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Велодорожка от ГП-108 до школы через поле\"/>
    </mc:Choice>
  </mc:AlternateContent>
  <xr:revisionPtr revIDLastSave="0" documentId="13_ncr:1_{39BF0EBF-FC68-4886-B068-443EADBAD292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2" r:id="rId1"/>
    <sheet name="смр" sheetId="6" r:id="rId2"/>
    <sheet name="мат" sheetId="7" r:id="rId3"/>
    <sheet name="ЛСР (2)" sheetId="5" state="hidden" r:id="rId4"/>
    <sheet name="РАБОТА" sheetId="3" state="hidden" r:id="rId5"/>
    <sheet name="МАТЕРИАЛ" sheetId="4" state="hidden" r:id="rId6"/>
  </sheets>
  <definedNames>
    <definedName name="_xlnm._FilterDatabase" localSheetId="5" hidden="1">МАТЕРИАЛ!$A$3:$M$55</definedName>
    <definedName name="_xlnm.Print_Area" localSheetId="0">ЛСР!$A$1:$K$76</definedName>
    <definedName name="_xlnm.Print_Area" localSheetId="3">'ЛСР (2)'!$A$1:$K$89</definedName>
    <definedName name="_xlnm.Print_Area" localSheetId="5">МАТЕРИАЛ!$A$1:$G$54</definedName>
    <definedName name="_xlnm.Print_Area" localSheetId="4">РАБОТА!$A$1:$F$11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C8" i="7"/>
  <c r="D8" i="7"/>
  <c r="E8" i="7"/>
  <c r="I8" i="7"/>
  <c r="C9" i="7"/>
  <c r="D9" i="7"/>
  <c r="E9" i="7"/>
  <c r="I9" i="7"/>
  <c r="C10" i="7"/>
  <c r="D10" i="7"/>
  <c r="E10" i="7"/>
  <c r="F10" i="7"/>
  <c r="H10" i="7" s="1"/>
  <c r="I10" i="7"/>
  <c r="C11" i="7"/>
  <c r="D11" i="7"/>
  <c r="E11" i="7"/>
  <c r="I11" i="7"/>
  <c r="C8" i="6"/>
  <c r="G8" i="6"/>
  <c r="C9" i="6"/>
  <c r="G9" i="6"/>
  <c r="I27" i="2"/>
  <c r="I28" i="2"/>
  <c r="I26" i="2"/>
  <c r="H28" i="2"/>
  <c r="F8" i="7" s="1"/>
  <c r="H8" i="7" s="1"/>
  <c r="C7" i="7"/>
  <c r="D7" i="7"/>
  <c r="E7" i="7"/>
  <c r="I7" i="7"/>
  <c r="J71" i="2"/>
  <c r="J70" i="2" s="1"/>
  <c r="H34" i="2"/>
  <c r="H33" i="2"/>
  <c r="G6" i="6"/>
  <c r="G7" i="6"/>
  <c r="G10" i="6"/>
  <c r="G11" i="6"/>
  <c r="G12" i="6"/>
  <c r="G13" i="6"/>
  <c r="C10" i="6"/>
  <c r="D10" i="6"/>
  <c r="F10" i="6" s="1"/>
  <c r="C11" i="6"/>
  <c r="C12" i="6"/>
  <c r="D12" i="6"/>
  <c r="F12" i="6" s="1"/>
  <c r="C13" i="6"/>
  <c r="D13" i="6"/>
  <c r="F13" i="6" s="1"/>
  <c r="I35" i="2"/>
  <c r="I33" i="2"/>
  <c r="J28" i="2" l="1"/>
  <c r="J33" i="2"/>
  <c r="H37" i="2"/>
  <c r="H45" i="2" s="1"/>
  <c r="H36" i="2"/>
  <c r="H44" i="2" s="1"/>
  <c r="I5" i="7"/>
  <c r="H21" i="2"/>
  <c r="H22" i="2" s="1"/>
  <c r="D8" i="6" l="1"/>
  <c r="F8" i="6" s="1"/>
  <c r="I6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65" i="2"/>
  <c r="I64" i="2"/>
  <c r="J64" i="2" s="1"/>
  <c r="I63" i="2"/>
  <c r="J63" i="2" s="1"/>
  <c r="I62" i="2"/>
  <c r="J62" i="2" s="1"/>
  <c r="I61" i="2"/>
  <c r="J61" i="2" s="1"/>
  <c r="I60" i="2"/>
  <c r="I59" i="2"/>
  <c r="J59" i="2" s="1"/>
  <c r="I58" i="2"/>
  <c r="I57" i="2"/>
  <c r="I56" i="2"/>
  <c r="I55" i="2"/>
  <c r="I54" i="2"/>
  <c r="J54" i="2" s="1"/>
  <c r="I53" i="2"/>
  <c r="I52" i="2"/>
  <c r="I51" i="2"/>
  <c r="J51" i="2" s="1"/>
  <c r="I50" i="2"/>
  <c r="I49" i="2"/>
  <c r="I48" i="2"/>
  <c r="J48" i="2" s="1"/>
  <c r="I47" i="2"/>
  <c r="I45" i="2"/>
  <c r="J45" i="2" s="1"/>
  <c r="I44" i="2"/>
  <c r="J44" i="2" s="1"/>
  <c r="I43" i="2"/>
  <c r="J43" i="2" s="1"/>
  <c r="I42" i="2"/>
  <c r="J42" i="2" s="1"/>
  <c r="I41" i="2"/>
  <c r="I40" i="2"/>
  <c r="I39" i="2"/>
  <c r="J39" i="2" s="1"/>
  <c r="I25" i="2"/>
  <c r="I24" i="2"/>
  <c r="C6" i="7"/>
  <c r="D6" i="7"/>
  <c r="E6" i="7"/>
  <c r="C12" i="7"/>
  <c r="D12" i="7"/>
  <c r="E12" i="7"/>
  <c r="C13" i="7"/>
  <c r="D13" i="7"/>
  <c r="E13" i="7"/>
  <c r="F13" i="7"/>
  <c r="H13" i="7" s="1"/>
  <c r="C14" i="7"/>
  <c r="D14" i="7"/>
  <c r="E14" i="7"/>
  <c r="F14" i="7"/>
  <c r="H14" i="7" s="1"/>
  <c r="C15" i="7"/>
  <c r="D15" i="7"/>
  <c r="E15" i="7"/>
  <c r="C16" i="7"/>
  <c r="D16" i="7"/>
  <c r="E16" i="7"/>
  <c r="C17" i="7"/>
  <c r="D17" i="7"/>
  <c r="E17" i="7"/>
  <c r="C18" i="7"/>
  <c r="D18" i="7"/>
  <c r="E18" i="7"/>
  <c r="F18" i="7"/>
  <c r="H18" i="7" s="1"/>
  <c r="C19" i="7"/>
  <c r="D19" i="7"/>
  <c r="E19" i="7"/>
  <c r="C20" i="7"/>
  <c r="D20" i="7"/>
  <c r="E20" i="7"/>
  <c r="C21" i="7"/>
  <c r="D21" i="7"/>
  <c r="E21" i="7"/>
  <c r="F21" i="7"/>
  <c r="H21" i="7" s="1"/>
  <c r="C22" i="7"/>
  <c r="D22" i="7"/>
  <c r="E22" i="7"/>
  <c r="C23" i="7"/>
  <c r="D23" i="7"/>
  <c r="E23" i="7"/>
  <c r="C24" i="7"/>
  <c r="D24" i="7"/>
  <c r="E24" i="7"/>
  <c r="F24" i="7"/>
  <c r="H24" i="7" s="1"/>
  <c r="C25" i="7"/>
  <c r="D25" i="7"/>
  <c r="E25" i="7"/>
  <c r="C26" i="7"/>
  <c r="D26" i="7"/>
  <c r="E26" i="7"/>
  <c r="C27" i="7"/>
  <c r="D27" i="7"/>
  <c r="E27" i="7"/>
  <c r="C28" i="7"/>
  <c r="D28" i="7"/>
  <c r="E28" i="7"/>
  <c r="C29" i="7"/>
  <c r="D29" i="7"/>
  <c r="E29" i="7"/>
  <c r="F29" i="7"/>
  <c r="H29" i="7" s="1"/>
  <c r="C30" i="7"/>
  <c r="D30" i="7"/>
  <c r="E30" i="7"/>
  <c r="C31" i="7"/>
  <c r="D31" i="7"/>
  <c r="E31" i="7"/>
  <c r="F31" i="7"/>
  <c r="H31" i="7" s="1"/>
  <c r="C32" i="7"/>
  <c r="D32" i="7"/>
  <c r="E32" i="7"/>
  <c r="F32" i="7"/>
  <c r="H32" i="7" s="1"/>
  <c r="C33" i="7"/>
  <c r="D33" i="7"/>
  <c r="E33" i="7"/>
  <c r="F33" i="7"/>
  <c r="H33" i="7" s="1"/>
  <c r="C34" i="7"/>
  <c r="D34" i="7"/>
  <c r="E34" i="7"/>
  <c r="F34" i="7"/>
  <c r="H34" i="7" s="1"/>
  <c r="C35" i="7"/>
  <c r="D35" i="7"/>
  <c r="E35" i="7"/>
  <c r="E5" i="7"/>
  <c r="D5" i="7"/>
  <c r="C5" i="7"/>
  <c r="I69" i="2"/>
  <c r="J69" i="2" s="1"/>
  <c r="J68" i="2" s="1"/>
  <c r="J67" i="2" s="1"/>
  <c r="I34" i="2"/>
  <c r="J34" i="2" s="1"/>
  <c r="I32" i="2"/>
  <c r="I22" i="2"/>
  <c r="J22" i="2" s="1"/>
  <c r="I21" i="2"/>
  <c r="J21" i="2" s="1"/>
  <c r="I20" i="2"/>
  <c r="I19" i="2"/>
  <c r="G5" i="6"/>
  <c r="C6" i="6"/>
  <c r="C7" i="6"/>
  <c r="C5" i="6"/>
  <c r="H65" i="2" l="1"/>
  <c r="J65" i="2" s="1"/>
  <c r="H24" i="2"/>
  <c r="H27" i="2" s="1"/>
  <c r="H56" i="2"/>
  <c r="F26" i="7" s="1"/>
  <c r="H26" i="7" s="1"/>
  <c r="H55" i="2"/>
  <c r="F25" i="7" s="1"/>
  <c r="H25" i="7" s="1"/>
  <c r="H52" i="2"/>
  <c r="F22" i="7" s="1"/>
  <c r="H22" i="7" s="1"/>
  <c r="H53" i="2"/>
  <c r="F23" i="7" s="1"/>
  <c r="H23" i="7" s="1"/>
  <c r="H49" i="2"/>
  <c r="F19" i="7" s="1"/>
  <c r="H19" i="7" s="1"/>
  <c r="H60" i="2"/>
  <c r="F30" i="7" s="1"/>
  <c r="H30" i="7" s="1"/>
  <c r="J24" i="2" l="1"/>
  <c r="F9" i="7"/>
  <c r="H9" i="7" s="1"/>
  <c r="J26" i="2"/>
  <c r="J55" i="2"/>
  <c r="J56" i="2"/>
  <c r="J53" i="2"/>
  <c r="J52" i="2"/>
  <c r="H19" i="2"/>
  <c r="J19" i="2" s="1"/>
  <c r="F5" i="7"/>
  <c r="H5" i="7" s="1"/>
  <c r="J49" i="2"/>
  <c r="J60" i="2"/>
  <c r="F35" i="7"/>
  <c r="H35" i="7" s="1"/>
  <c r="D5" i="6"/>
  <c r="F5" i="6" s="1"/>
  <c r="D7" i="6"/>
  <c r="F7" i="6" s="1"/>
  <c r="F15" i="7"/>
  <c r="H15" i="7" s="1"/>
  <c r="F16" i="7"/>
  <c r="H16" i="7" s="1"/>
  <c r="H50" i="2"/>
  <c r="H41" i="2"/>
  <c r="H32" i="2" s="1"/>
  <c r="D9" i="6" s="1"/>
  <c r="F9" i="6" s="1"/>
  <c r="H40" i="2"/>
  <c r="F11" i="7" s="1"/>
  <c r="H11" i="7" s="1"/>
  <c r="H58" i="2"/>
  <c r="J58" i="2" s="1"/>
  <c r="H57" i="2"/>
  <c r="J57" i="2" s="1"/>
  <c r="H47" i="2"/>
  <c r="J27" i="2" l="1"/>
  <c r="F7" i="7"/>
  <c r="H7" i="7" s="1"/>
  <c r="J32" i="2"/>
  <c r="J40" i="2"/>
  <c r="H35" i="2"/>
  <c r="F20" i="7"/>
  <c r="H20" i="7" s="1"/>
  <c r="J50" i="2"/>
  <c r="F12" i="7"/>
  <c r="H12" i="7" s="1"/>
  <c r="J41" i="2"/>
  <c r="F17" i="7"/>
  <c r="H17" i="7" s="1"/>
  <c r="J47" i="2"/>
  <c r="F28" i="7"/>
  <c r="H28" i="7" s="1"/>
  <c r="F27" i="7"/>
  <c r="H27" i="7" s="1"/>
  <c r="H25" i="2"/>
  <c r="J46" i="2" l="1"/>
  <c r="J38" i="2" s="1"/>
  <c r="D11" i="6"/>
  <c r="F11" i="6" s="1"/>
  <c r="J35" i="2"/>
  <c r="J31" i="2" s="1"/>
  <c r="H20" i="2"/>
  <c r="F6" i="7"/>
  <c r="H6" i="7" s="1"/>
  <c r="H36" i="7" s="1"/>
  <c r="J25" i="2"/>
  <c r="J23" i="2" s="1"/>
  <c r="H46" i="2" l="1"/>
  <c r="D6" i="6"/>
  <c r="F6" i="6" s="1"/>
  <c r="F14" i="6" s="1"/>
  <c r="J20" i="2"/>
  <c r="J18" i="2" s="1"/>
  <c r="J17" i="2" l="1"/>
  <c r="J73" i="2"/>
  <c r="J30" i="2"/>
  <c r="J72" i="2" l="1"/>
  <c r="J74" i="2"/>
  <c r="J81" i="5"/>
  <c r="I80" i="5"/>
  <c r="J80" i="5" s="1"/>
  <c r="J79" i="5" s="1"/>
  <c r="J78" i="5" s="1"/>
  <c r="I75" i="5"/>
  <c r="J75" i="5" s="1"/>
  <c r="I74" i="5"/>
  <c r="J74" i="5" s="1"/>
  <c r="I73" i="5"/>
  <c r="J73" i="5" s="1"/>
  <c r="I72" i="5"/>
  <c r="J72" i="5" s="1"/>
  <c r="I71" i="5"/>
  <c r="J71" i="5" s="1"/>
  <c r="I70" i="5"/>
  <c r="J70" i="5" s="1"/>
  <c r="I69" i="5"/>
  <c r="J69" i="5" s="1"/>
  <c r="I68" i="5"/>
  <c r="J68" i="5" s="1"/>
  <c r="I67" i="5"/>
  <c r="J67" i="5" s="1"/>
  <c r="I66" i="5"/>
  <c r="J66" i="5" s="1"/>
  <c r="I65" i="5"/>
  <c r="J65" i="5" s="1"/>
  <c r="I64" i="5"/>
  <c r="J64" i="5" s="1"/>
  <c r="I63" i="5"/>
  <c r="J63" i="5" s="1"/>
  <c r="I62" i="5"/>
  <c r="J62" i="5" s="1"/>
  <c r="I61" i="5"/>
  <c r="J61" i="5" s="1"/>
  <c r="I60" i="5"/>
  <c r="J60" i="5" s="1"/>
  <c r="I58" i="5"/>
  <c r="J58" i="5" s="1"/>
  <c r="J52" i="5"/>
  <c r="I51" i="5"/>
  <c r="J51" i="5" s="1"/>
  <c r="J50" i="5" s="1"/>
  <c r="I46" i="5"/>
  <c r="J46" i="5" s="1"/>
  <c r="I45" i="5"/>
  <c r="J45" i="5" s="1"/>
  <c r="I44" i="5"/>
  <c r="J44" i="5" s="1"/>
  <c r="I43" i="5"/>
  <c r="J43" i="5" s="1"/>
  <c r="I42" i="5"/>
  <c r="J42" i="5" s="1"/>
  <c r="I41" i="5"/>
  <c r="J41" i="5" s="1"/>
  <c r="I40" i="5"/>
  <c r="J40" i="5" s="1"/>
  <c r="I39" i="5"/>
  <c r="J39" i="5" s="1"/>
  <c r="I37" i="5"/>
  <c r="J37" i="5" s="1"/>
  <c r="J31" i="5"/>
  <c r="I30" i="5"/>
  <c r="J30" i="5" s="1"/>
  <c r="J29" i="5" s="1"/>
  <c r="J28" i="5" s="1"/>
  <c r="I25" i="5"/>
  <c r="J25" i="5" s="1"/>
  <c r="I24" i="5"/>
  <c r="J24" i="5" s="1"/>
  <c r="I23" i="5"/>
  <c r="J23" i="5" s="1"/>
  <c r="I22" i="5"/>
  <c r="J22" i="5" s="1"/>
  <c r="I21" i="5"/>
  <c r="J21" i="5" s="1"/>
  <c r="I19" i="5"/>
  <c r="J19" i="5" s="1"/>
  <c r="J49" i="5" l="1"/>
  <c r="J26" i="5"/>
  <c r="J20" i="5" s="1"/>
  <c r="J18" i="5"/>
  <c r="J76" i="5"/>
  <c r="J59" i="5" s="1"/>
  <c r="J57" i="5"/>
  <c r="J36" i="5"/>
  <c r="J47" i="5"/>
  <c r="J38" i="5" s="1"/>
  <c r="J84" i="5" l="1"/>
  <c r="J17" i="5"/>
  <c r="J56" i="5"/>
  <c r="J35" i="5"/>
  <c r="J85" i="5"/>
  <c r="D10" i="3"/>
  <c r="F10" i="3" s="1"/>
  <c r="D9" i="3"/>
  <c r="D8" i="3"/>
  <c r="F8" i="3" s="1"/>
  <c r="D7" i="3"/>
  <c r="D6" i="3"/>
  <c r="F6" i="3" s="1"/>
  <c r="D5" i="3"/>
  <c r="H37" i="7"/>
  <c r="D45" i="4"/>
  <c r="F45" i="4" s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F20" i="4" s="1"/>
  <c r="D21" i="4"/>
  <c r="F21" i="4" s="1"/>
  <c r="D22" i="4"/>
  <c r="F22" i="4" s="1"/>
  <c r="D23" i="4"/>
  <c r="F23" i="4" s="1"/>
  <c r="D24" i="4"/>
  <c r="F24" i="4" s="1"/>
  <c r="D25" i="4"/>
  <c r="F25" i="4" s="1"/>
  <c r="D26" i="4"/>
  <c r="F26" i="4" s="1"/>
  <c r="D27" i="4"/>
  <c r="F27" i="4" s="1"/>
  <c r="D28" i="4"/>
  <c r="F28" i="4" s="1"/>
  <c r="D29" i="4"/>
  <c r="F29" i="4" s="1"/>
  <c r="D30" i="4"/>
  <c r="F30" i="4" s="1"/>
  <c r="D31" i="4"/>
  <c r="F31" i="4" s="1"/>
  <c r="D32" i="4"/>
  <c r="F32" i="4" s="1"/>
  <c r="D33" i="4"/>
  <c r="F33" i="4" s="1"/>
  <c r="D34" i="4"/>
  <c r="F34" i="4" s="1"/>
  <c r="D35" i="4"/>
  <c r="F35" i="4" s="1"/>
  <c r="D36" i="4"/>
  <c r="F36" i="4" s="1"/>
  <c r="D37" i="4"/>
  <c r="F37" i="4" s="1"/>
  <c r="D38" i="4"/>
  <c r="F38" i="4" s="1"/>
  <c r="D39" i="4"/>
  <c r="F39" i="4" s="1"/>
  <c r="D40" i="4"/>
  <c r="F40" i="4" s="1"/>
  <c r="D41" i="4"/>
  <c r="F41" i="4" s="1"/>
  <c r="D42" i="4"/>
  <c r="F42" i="4" s="1"/>
  <c r="D43" i="4"/>
  <c r="F43" i="4" s="1"/>
  <c r="D44" i="4"/>
  <c r="F44" i="4" s="1"/>
  <c r="D46" i="4"/>
  <c r="F46" i="4" s="1"/>
  <c r="D47" i="4"/>
  <c r="F47" i="4" s="1"/>
  <c r="D48" i="4"/>
  <c r="F48" i="4" s="1"/>
  <c r="D49" i="4"/>
  <c r="F49" i="4" s="1"/>
  <c r="D50" i="4"/>
  <c r="F50" i="4" s="1"/>
  <c r="D51" i="4"/>
  <c r="F51" i="4" s="1"/>
  <c r="D52" i="4"/>
  <c r="F52" i="4" s="1"/>
  <c r="D53" i="4"/>
  <c r="F53" i="4" s="1"/>
  <c r="D5" i="4"/>
  <c r="J83" i="5" l="1"/>
  <c r="F5" i="3"/>
  <c r="F17" i="4"/>
  <c r="F16" i="4"/>
  <c r="F15" i="4"/>
  <c r="F14" i="4"/>
  <c r="F9" i="3"/>
  <c r="F7" i="3"/>
  <c r="F15" i="6" l="1"/>
  <c r="F11" i="3"/>
  <c r="F11" i="4"/>
  <c r="F10" i="4"/>
  <c r="F9" i="4"/>
  <c r="F8" i="4"/>
  <c r="F6" i="4"/>
  <c r="F5" i="4"/>
  <c r="F18" i="4" l="1"/>
  <c r="F19" i="4"/>
  <c r="F7" i="4"/>
  <c r="F13" i="4" l="1"/>
  <c r="F12" i="4"/>
  <c r="F54" i="4" l="1"/>
  <c r="F55" i="4" l="1"/>
  <c r="F12" i="3" l="1"/>
</calcChain>
</file>

<file path=xl/sharedStrings.xml><?xml version="1.0" encoding="utf-8"?>
<sst xmlns="http://schemas.openxmlformats.org/spreadsheetml/2006/main" count="604" uniqueCount="281">
  <si>
    <t>№ п/п</t>
  </si>
  <si>
    <t>Наименование</t>
  </si>
  <si>
    <t>Ед. изм.</t>
  </si>
  <si>
    <t>Норма</t>
  </si>
  <si>
    <t>Цена за ед. изм.</t>
  </si>
  <si>
    <t>Сумма</t>
  </si>
  <si>
    <t>Примечание</t>
  </si>
  <si>
    <t>м3</t>
  </si>
  <si>
    <t>Работа:</t>
  </si>
  <si>
    <t>Материалы:</t>
  </si>
  <si>
    <t>в т.ч. стоимость работ:</t>
  </si>
  <si>
    <t>в т.ч. стоимость материалов:</t>
  </si>
  <si>
    <t>Локальный сметный расчет №1</t>
  </si>
  <si>
    <t>Кол-во</t>
  </si>
  <si>
    <t>м.п.</t>
  </si>
  <si>
    <t>л</t>
  </si>
  <si>
    <t>ПОДРЯДЧИК:</t>
  </si>
  <si>
    <t>ЗАКАЗЧИК:</t>
  </si>
  <si>
    <t>ТЕХНИЧЕСКИЙ ЗАКАЗЧИК:</t>
  </si>
  <si>
    <t>Генеральный директор</t>
  </si>
  <si>
    <t>_________________/ Е.В. Низамова</t>
  </si>
  <si>
    <t>к Договору подряда №</t>
  </si>
  <si>
    <t>стоимость работ:</t>
  </si>
  <si>
    <t>Сводная ведомость объемов работ</t>
  </si>
  <si>
    <t>Сводная ведомость объемов материала</t>
  </si>
  <si>
    <t>Прошу выдать цены на расходные материалы с целью формирования процентного соотношения</t>
  </si>
  <si>
    <t>13</t>
  </si>
  <si>
    <t>13.08</t>
  </si>
  <si>
    <t>Наружные сети</t>
  </si>
  <si>
    <t>Строительство сетей связи</t>
  </si>
  <si>
    <t>ПРИМЕЧАНИЕ</t>
  </si>
  <si>
    <t>Колодец КС 10-9</t>
  </si>
  <si>
    <t>шт.</t>
  </si>
  <si>
    <t>Дно ПН-10</t>
  </si>
  <si>
    <t>Крышка ПП-10-1</t>
  </si>
  <si>
    <t>комлект</t>
  </si>
  <si>
    <t>Обойма+Люк (чугун), тип средний</t>
  </si>
  <si>
    <t>Труба полиэтиленовая SDR11 Ду110мм техническая, толщ. 11 мм (Арт.3002)</t>
  </si>
  <si>
    <t>Муфта соединительная для тех.трубы Ду110 мм (Арт. 3011)</t>
  </si>
  <si>
    <t>Битумная мастика</t>
  </si>
  <si>
    <t>Цемент</t>
  </si>
  <si>
    <t>кг.</t>
  </si>
  <si>
    <t>*Стоимость материалов учитывает стоимость доставки</t>
  </si>
  <si>
    <t>**Стоимость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</si>
  <si>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Электроснабжение КЛ-0,4КВ</t>
  </si>
  <si>
    <t>комплекс</t>
  </si>
  <si>
    <t>Кабель АВБбШв-1 ГОСТ 18410-73 с алюминиевыми жилами бронированный на напряжение 1,0 кВ сечением: 4*120 мм2</t>
  </si>
  <si>
    <t>км</t>
  </si>
  <si>
    <t>Кабель АВБбШв-1 ГОСТ 18410-73 с алюминиевыми жилами бронированный на напряжение 1,0 кВ сечением: 4*185 мм2</t>
  </si>
  <si>
    <t>Кабель АВБбШв-1 ГОСТ 18410-73 с алюминиевыми жилами бронированный на напряжение 1,0 кВ сечением: 4*240 мм2</t>
  </si>
  <si>
    <t>Муфта концевая 120 мм 4ПКВ(н)тпБН-1-70/120</t>
  </si>
  <si>
    <t>Муфта концевая 185 мм 4ПКВ(н)тпБН-1-150/240</t>
  </si>
  <si>
    <t>Муфта концевая 240 мм 4ПКВ(н)тпБН-1-150/240</t>
  </si>
  <si>
    <t>Лоток стальной с крышкой 300*100*3000 мм</t>
  </si>
  <si>
    <t>Шпилька М8*2000</t>
  </si>
  <si>
    <t>С-профиль 41*41, толщ. 2,5 мм ВРМ4107HD2</t>
  </si>
  <si>
    <t>Труба гофрированная двухстенная DKC Ду110 мм</t>
  </si>
  <si>
    <t>Песок строительный</t>
  </si>
  <si>
    <t>Лента сигнальная ЛСЭ-900 мм</t>
  </si>
  <si>
    <t>Электроосвещение</t>
  </si>
  <si>
    <t>13.11</t>
  </si>
  <si>
    <t>Устройство наружного электроосвещения</t>
  </si>
  <si>
    <t>Шкаф управления освещением (ШУО)</t>
  </si>
  <si>
    <t>комплект</t>
  </si>
  <si>
    <t>комплектация согласно прилагаемой схеме</t>
  </si>
  <si>
    <t>Автоматический выключатель 1-но полюсной, Iном=6А ВА47-29</t>
  </si>
  <si>
    <t>Сжим ответвительный У731</t>
  </si>
  <si>
    <t>Коробка монтажная 200*200 IP65</t>
  </si>
  <si>
    <t>Кабель АВБбШв-1 с алюминиевыми жилами в ПВХ изоляции и оболочке бронированный пятижильный сечением: 5*10</t>
  </si>
  <si>
    <t xml:space="preserve">Кабель АВВГнг с алюминиевыми жилами в ПВХ изоляции и оболочке трехжильный сечением: 3*4            </t>
  </si>
  <si>
    <t>Кабель силовой гибкий с медными жилами в резиновой изоляции и оболочке трехжильный сечением: 3*1,5</t>
  </si>
  <si>
    <t>Труба двустенная гофротруба Ду63 мм</t>
  </si>
  <si>
    <t>Труба двустенная гофротруба Ду32 мм</t>
  </si>
  <si>
    <t>Термоусадочная трубка ТУТнг-10/5</t>
  </si>
  <si>
    <t>Термоусадочная трубка ТУТнг-40/20</t>
  </si>
  <si>
    <t>Светильник односторонний, 4000К, на опоре 6м с ПЧ, Sibilux (цвет шампань)</t>
  </si>
  <si>
    <t>Светильник двусторонний, 4000К, на опоре 6м с ПЧ, Sibilux (цвет шампань)</t>
  </si>
  <si>
    <t>Светильник двусторонний, 4000К, на опоре 4,5/6м с ПЧ, Sibilux (цвет шампань)</t>
  </si>
  <si>
    <t>Светильник односторонний, 4000К, на опоре 4м с ПЧ, Sibilux (цвет шампань)</t>
  </si>
  <si>
    <t>Фонарь 360, высота 5м м ПЧ, Sibilux (цвет шампань)</t>
  </si>
  <si>
    <t>Светильник столбик, высота 1м с ПЧ</t>
  </si>
  <si>
    <t>Линейный грунтовый светильник, 1 м, 4000К, INTERRA-CU-12 (RADUGA tm)</t>
  </si>
  <si>
    <t>Грунтовый светильник, 4000К, INTERRA9 (RADUGA tm)</t>
  </si>
  <si>
    <t>Бетон</t>
  </si>
  <si>
    <t>Гравий</t>
  </si>
  <si>
    <t>Уголок 50*50*5 L=800 мм, С235, ГОСТ27772-88</t>
  </si>
  <si>
    <t>Уголок 50*50*5 L=450 мм, С235, ГОСТ27772-88</t>
  </si>
  <si>
    <t>Лист Б-пн-3.0 300*450 мм, Ст3, ГОСТ 16529-89</t>
  </si>
  <si>
    <t>Лист Б-пн-3.0 300*800 мм, Ст3, ГОСТ 16529-89</t>
  </si>
  <si>
    <t>Болт М12*25</t>
  </si>
  <si>
    <t>Гайка М12</t>
  </si>
  <si>
    <t>Шайба 12</t>
  </si>
  <si>
    <t>Лента сигнальная "Осторожно кабель" 100 мм</t>
  </si>
  <si>
    <t>НДС</t>
  </si>
  <si>
    <t>аналог согласовать с Ежиковым Р.А.</t>
  </si>
  <si>
    <t xml:space="preserve">комплектация согласно прилагаемой схеме                         (либо аналог) </t>
  </si>
  <si>
    <t>точное кол-во кабеля после выноса каб. линий в натуру</t>
  </si>
  <si>
    <t>Пусконаладочные работы сетей связи</t>
  </si>
  <si>
    <t>Устройство наружных сетей связи (в т.ч. бурение алмазное, заделка отверстий, прокладка траншеи, устройство приямка, колодца связи)</t>
  </si>
  <si>
    <t>13.08.01</t>
  </si>
  <si>
    <t>13.08.01.00</t>
  </si>
  <si>
    <t>Устройство наружных сетей электроснабжения 0,4 Кв                      (в т.ч. алмазное бурение, заделка отверстий)</t>
  </si>
  <si>
    <t>13.10.02</t>
  </si>
  <si>
    <t>13.10.02.00</t>
  </si>
  <si>
    <t>13.10.01</t>
  </si>
  <si>
    <t>13.10.01.00</t>
  </si>
  <si>
    <t>ПНР</t>
  </si>
  <si>
    <t>-</t>
  </si>
  <si>
    <t>13.08.02</t>
  </si>
  <si>
    <t>13.08.02.00</t>
  </si>
  <si>
    <t>Пусконаладочные работы электроснабжения 0,4 кВ</t>
  </si>
  <si>
    <t>13.11.02</t>
  </si>
  <si>
    <t>13.11.02.00</t>
  </si>
  <si>
    <t>13.11.01</t>
  </si>
  <si>
    <t>13.11.01.00</t>
  </si>
  <si>
    <t>Пусконаладочные работы электроосвещения</t>
  </si>
  <si>
    <t>13.10</t>
  </si>
  <si>
    <t>разработка грунта, обратная засыпка</t>
  </si>
  <si>
    <t>Расходные материалы (муфта соединительная для тех.трубы Ду110 мм, битумная мастика, цемент)</t>
  </si>
  <si>
    <t>%</t>
  </si>
  <si>
    <t>Расходные материалы (автоматический выключатель 1-но полюсной Iном=6А ВА47-29, сжим ответвительный У731, коробка монтажная 200*200 IP65, термоусадочная трубка ТУТнг-10/5 (ТУТнг-40/20), гравий, уголок 50*50*5 L=800 мм С235, уголок 50*50*5 L=450 мм С235 ГОСТ27772-88, лист Б-пн-3.0 300*450 мм Ст3, лист Б-пн-3.0 300*800 мм Ст3 ГОСТ 16529-89, болт М12*25, гайка М12, шайба 12, лента сигнальная "Осторожно кабель" 100 мм)</t>
  </si>
  <si>
    <t>ИТОГО по ЛСР, без НДС:</t>
  </si>
  <si>
    <t>нет</t>
  </si>
  <si>
    <t>Расходные материалы (шпилька М8*2000, С-профиль 41*41, толщ. 2,5 мм ВРМ4107HD2, песок строительный, лента сигнальная ЛСЭ-900 мм, битумная мастика, цемент)</t>
  </si>
  <si>
    <t>Марка</t>
  </si>
  <si>
    <t>Характеристика</t>
  </si>
  <si>
    <t>______________/</t>
  </si>
  <si>
    <t>Приложение №</t>
  </si>
  <si>
    <t>Толщина</t>
  </si>
  <si>
    <t>шт</t>
  </si>
  <si>
    <t>Прокладка кабеля тип 1</t>
  </si>
  <si>
    <t xml:space="preserve">Устройство наружных сетей электроосвещения </t>
  </si>
  <si>
    <t>13.11.</t>
  </si>
  <si>
    <t>13.11.01.</t>
  </si>
  <si>
    <t>13.11.02.</t>
  </si>
  <si>
    <t>13.11.03.</t>
  </si>
  <si>
    <t>13.11.03.00</t>
  </si>
  <si>
    <t>Прокладка кабеля, трубы для электроосвещения</t>
  </si>
  <si>
    <t>Кабель тип 1</t>
  </si>
  <si>
    <t>Монтаж ШУО</t>
  </si>
  <si>
    <t>Шкаф управления освещением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</si>
  <si>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</si>
  <si>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</si>
  <si>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ПРИМЕЧАНИЕ:</t>
  </si>
  <si>
    <t>Установка опор освещеня, ШУО</t>
  </si>
  <si>
    <t>Бетонирование</t>
  </si>
  <si>
    <t>Уголок</t>
  </si>
  <si>
    <t>м</t>
  </si>
  <si>
    <t>Счетчик</t>
  </si>
  <si>
    <t>Провод</t>
  </si>
  <si>
    <t>согласовать с энергосбытовой компанией</t>
  </si>
  <si>
    <t>Закладная</t>
  </si>
  <si>
    <t>Стержень металлический</t>
  </si>
  <si>
    <t>Отсыпка щебня</t>
  </si>
  <si>
    <t>для прокладки кабеля в земле</t>
  </si>
  <si>
    <t>в опорах освещения</t>
  </si>
  <si>
    <t>Лист</t>
  </si>
  <si>
    <t>Прокладка трубы гофрированной тип 1</t>
  </si>
  <si>
    <t>Труба гофрированная тип 1</t>
  </si>
  <si>
    <t>АВБШв</t>
  </si>
  <si>
    <t>Сталь полосовая горячего цинкования 4х25мм ГОСТ 103-2006</t>
  </si>
  <si>
    <t>для заземления ШУО</t>
  </si>
  <si>
    <t>ПуГВ</t>
  </si>
  <si>
    <t>в траншее</t>
  </si>
  <si>
    <t>Щебень</t>
  </si>
  <si>
    <t>ЭЛЕКТРОКОР ФЛЕКС</t>
  </si>
  <si>
    <t>Труба гибкая гофрированная, полимерная, наружный диаметр ∅63мм, стойкость к сжатию 450 Н</t>
  </si>
  <si>
    <t>4х25</t>
  </si>
  <si>
    <t>Муфта кабельная концевая, с броней, для наружной установки,
4 жилы, 16-25 мм2, без наконечников</t>
  </si>
  <si>
    <t>4ПКТп(б)-1-16/25</t>
  </si>
  <si>
    <t>Зажим прокалывающий ответвительный, 1 кВ</t>
  </si>
  <si>
    <t>ЗПО 4-35/4-35</t>
  </si>
  <si>
    <t>SIBILUX CURRENT</t>
  </si>
  <si>
    <t>Светильник светодиодный однорожковый, Sibilux.Current, высота 4м, 4000К</t>
  </si>
  <si>
    <t>Сжим ответвительный для кабелей сечением 16-35/1.5-10</t>
  </si>
  <si>
    <t>У733М</t>
  </si>
  <si>
    <t>1x6</t>
  </si>
  <si>
    <t>KE10.1</t>
  </si>
  <si>
    <t>Клеммник 4-х контактный</t>
  </si>
  <si>
    <t>см. схему ШУО лист 4 101-2025-ЭН</t>
  </si>
  <si>
    <t>см. схему лист 3 101-2025-ЭН</t>
  </si>
  <si>
    <t>Шкаф управления освещением, 380В/220В, 50Гц, АСУНО "ТЕЛУР", -в корпусе напольного монтажа 1600x600x400мм IP65, УХЛ1,  (с учетом сборки комплектующих, без учета прибора учета)</t>
  </si>
  <si>
    <t>Сталь полосовая горячего цинкования 4х40мм ГОСТ 103-2006</t>
  </si>
  <si>
    <t>Сталь полосовая горячего цинкования 5х50мм ГОСТ 103-2006</t>
  </si>
  <si>
    <t>Уголок стальной оцинкованный 50х50х5, L=3000мм; ГОСТ 27772-2021</t>
  </si>
  <si>
    <t>Закладная деталь для опор освещения Sibilux.Current высотой 4м</t>
  </si>
  <si>
    <t>Стальная опора</t>
  </si>
  <si>
    <t>Стальная опора круглоконическая высотой 4м</t>
  </si>
  <si>
    <t>3Ф20/Current</t>
  </si>
  <si>
    <t>В15</t>
  </si>
  <si>
    <t>Бетон B15 F150 W8; ГОСТ 7473-2010</t>
  </si>
  <si>
    <t>М1200</t>
  </si>
  <si>
    <t>Щебень фракции св. 22,4 до 31,5мм; ГОСТ 32703-2014</t>
  </si>
  <si>
    <t>Стержень круглый стальной горячего цинкования, d=16мм, L=5м ГОСТ 2590-2006</t>
  </si>
  <si>
    <t>Лист стальной 6х100х100 Б-ПН Ст3сп; ГОСТ 19903-2015</t>
  </si>
  <si>
    <t>Арматура 10 A-I (А240) ГОСТ 5781-82 L=150 мм</t>
  </si>
  <si>
    <t>Швеллер</t>
  </si>
  <si>
    <t>Арматура 12 A-III (А400) ГОСТ 5781-82 L=7700 мм</t>
  </si>
  <si>
    <t>Швеллер 12П L=2000 мм, ГОСТ 8240-97 Сталь ВСт 3 сп ГОСТ 380-2005</t>
  </si>
  <si>
    <t>кг</t>
  </si>
  <si>
    <t>для фундамента щита см. схему лист 15 101-2025-ЭН</t>
  </si>
  <si>
    <t>траншея тип Т-1, Т-1,1</t>
  </si>
  <si>
    <t>Эмаль</t>
  </si>
  <si>
    <t>Грунтовка</t>
  </si>
  <si>
    <t>Цинковая краска</t>
  </si>
  <si>
    <t>Бнд 90/130</t>
  </si>
  <si>
    <t>МБР-65</t>
  </si>
  <si>
    <t>ПФ-115</t>
  </si>
  <si>
    <t>ГФ-021</t>
  </si>
  <si>
    <t>Счетчик электроэнергии трехфазны</t>
  </si>
  <si>
    <t>в т.ч. для фундамента щита см. схему лист 15 101-2025-ЭН</t>
  </si>
  <si>
    <t>Обеспечение безопасного производства работ на участке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</si>
  <si>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</si>
  <si>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№</t>
  </si>
  <si>
    <t>Цена</t>
  </si>
  <si>
    <t>1</t>
  </si>
  <si>
    <t>2</t>
  </si>
  <si>
    <t>5</t>
  </si>
  <si>
    <t>7</t>
  </si>
  <si>
    <t>3</t>
  </si>
  <si>
    <t>4</t>
  </si>
  <si>
    <t>6</t>
  </si>
  <si>
    <t>Итого СМР:</t>
  </si>
  <si>
    <t>Итого</t>
  </si>
  <si>
    <t>Итого материалы:</t>
  </si>
  <si>
    <t>Проверка:</t>
  </si>
  <si>
    <t>Арматура тип 1</t>
  </si>
  <si>
    <t>Арматура тип 2</t>
  </si>
  <si>
    <t>Сталь полоса тип 1</t>
  </si>
  <si>
    <t>Сталь полоса тип 2</t>
  </si>
  <si>
    <t>Сталь полоса тип 3</t>
  </si>
  <si>
    <t>Битум Бнд 90/130</t>
  </si>
  <si>
    <t>Битум МБР-65</t>
  </si>
  <si>
    <t>Разработка грунта</t>
  </si>
  <si>
    <t>Обратная засыпка</t>
  </si>
  <si>
    <t>Установка светильника</t>
  </si>
  <si>
    <t>Установка фундамента опор 2,5-6 м</t>
  </si>
  <si>
    <t>Светильник</t>
  </si>
  <si>
    <t>Установка опор освещения</t>
  </si>
  <si>
    <t>8</t>
  </si>
  <si>
    <t>9</t>
  </si>
  <si>
    <t>Стоимость СМР по установке фундамента включает:щебеночную отсыпку, бетонирование, монтаж закладных</t>
  </si>
  <si>
    <t>Стоимость СМР по монтажу шкафа управления освещением включает установку фундаментов и зазеления ШУО</t>
  </si>
  <si>
    <t>Зажим</t>
  </si>
  <si>
    <t>Сжим</t>
  </si>
  <si>
    <t>Клеммник</t>
  </si>
  <si>
    <t>Муфта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</si>
  <si>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</si>
  <si>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</si>
  <si>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</si>
  <si>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</si>
  <si>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</si>
  <si>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</si>
  <si>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</si>
  <si>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</si>
  <si>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</si>
  <si>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</si>
  <si>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</si>
  <si>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</si>
  <si>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</si>
  <si>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</si>
  <si>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</si>
  <si>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</si>
  <si>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</si>
  <si>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</si>
  <si>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УКПТ 75/20</t>
  </si>
  <si>
    <t>для фундамента опор и ШУО</t>
  </si>
  <si>
    <t>в т.ч. фундамент ШУО</t>
  </si>
  <si>
    <t>Итого по ЛСР, с НДС:</t>
  </si>
  <si>
    <t>в т.ч. НДС:</t>
  </si>
  <si>
    <t>Лента сигнальная тип 1</t>
  </si>
  <si>
    <t>Уплотнитель</t>
  </si>
  <si>
    <t>ЛСЭ-250</t>
  </si>
  <si>
    <t>"Осторожно кабель" 250 мм</t>
  </si>
  <si>
    <t>Песок строительный, привозной, карьерный; ГОСТ 8736-93</t>
  </si>
  <si>
    <t>29</t>
  </si>
  <si>
    <t>30</t>
  </si>
  <si>
    <t>31</t>
  </si>
  <si>
    <t>грунт/песок</t>
  </si>
  <si>
    <r>
      <t>Прочие материалы</t>
    </r>
    <r>
      <rPr>
        <sz val="12"/>
        <rFont val="Times New Roman"/>
        <family val="1"/>
        <charset val="204"/>
      </rPr>
      <t xml:space="preserve"> ( Уголок, Лист, Арматура тип 1, Апматура тип 2, Швеллер, Зажим, Сжим, Клеммник, Муфта, Сталь полоса тип 1, Сталь полоса тип 2, Стержень металлический, Провод, Битум Бнд 90/130, Битум МБР-65, Эмаль, Грунтовка, Цинковая краска):</t>
    </r>
  </si>
  <si>
    <t xml:space="preserve">Тобольский тракт - Обход города Тюмени (мкр. Губернаторский). Многоэтажный жилой дом ГП-72.101»;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ГП-72.102»;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и встроеннопристроенным многоэтажным паркингом ГП-72.103»;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ГП-72.104»; «Комплексная застройка территории, расположенной в границах улиц: Тобольский тракт - Обход города Тюмени (мкр. Губернаторский). Многоэтажный паркинг ГП-72.108»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</si>
</sst>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\ _₽"/>
    <numFmt numFmtId="166" formatCode="#,##0.000\ _₽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b/>
      <sz val="12"/>
      <color rgb="FFFF0000"/>
      <name val="Times New Roman"/>
      <family val="1"/>
      <charset val="204"/>
    </font>
    <font>
      <sz val="8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9" fillId="0" borderId="0"/>
    <xf numFmtId="0" fontId="9" fillId="0" borderId="0"/>
    <xf numFmtId="0" fontId="1" fillId="0" borderId="0"/>
  </cellStyleXfs>
  <cellXfs count="246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4" fontId="5" fillId="4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5" fillId="2" borderId="0" xfId="2" applyNumberFormat="1" applyFont="1" applyFill="1" applyAlignment="1">
      <alignment horizontal="center" vertical="top"/>
    </xf>
    <xf numFmtId="4" fontId="4" fillId="2" borderId="0" xfId="0" applyNumberFormat="1" applyFont="1" applyFill="1" applyAlignment="1">
      <alignment horizontal="center"/>
    </xf>
    <xf numFmtId="49" fontId="5" fillId="2" borderId="0" xfId="2" applyNumberFormat="1" applyFont="1" applyFill="1" applyAlignment="1">
      <alignment horizontal="left" vertical="top"/>
    </xf>
    <xf numFmtId="0" fontId="4" fillId="2" borderId="0" xfId="0" applyFont="1" applyFill="1" applyAlignment="1">
      <alignment horizontal="left"/>
    </xf>
    <xf numFmtId="49" fontId="4" fillId="2" borderId="0" xfId="1" applyNumberFormat="1" applyFont="1" applyFill="1" applyAlignment="1">
      <alignment horizontal="left" vertical="top"/>
    </xf>
    <xf numFmtId="49" fontId="4" fillId="2" borderId="0" xfId="1" applyNumberFormat="1" applyFont="1" applyFill="1" applyAlignment="1">
      <alignment horizontal="left" vertical="top" wrapText="1"/>
    </xf>
    <xf numFmtId="49" fontId="5" fillId="2" borderId="0" xfId="2" applyNumberFormat="1" applyFont="1" applyFill="1" applyAlignment="1">
      <alignment horizontal="center"/>
    </xf>
    <xf numFmtId="49" fontId="4" fillId="2" borderId="0" xfId="2" applyNumberFormat="1" applyFont="1" applyFill="1" applyAlignment="1">
      <alignment horizontal="left"/>
    </xf>
    <xf numFmtId="49" fontId="4" fillId="2" borderId="0" xfId="2" applyNumberFormat="1" applyFont="1" applyFill="1" applyAlignment="1">
      <alignment horizontal="left" vertical="top"/>
    </xf>
    <xf numFmtId="4" fontId="4" fillId="2" borderId="0" xfId="0" applyNumberFormat="1" applyFont="1" applyFill="1"/>
    <xf numFmtId="0" fontId="4" fillId="2" borderId="0" xfId="0" applyFont="1" applyFill="1"/>
    <xf numFmtId="0" fontId="4" fillId="2" borderId="0" xfId="2" applyFont="1" applyFill="1" applyAlignment="1">
      <alignment horizontal="center"/>
    </xf>
    <xf numFmtId="49" fontId="5" fillId="6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 wrapText="1"/>
    </xf>
    <xf numFmtId="0" fontId="5" fillId="5" borderId="5" xfId="0" applyFont="1" applyFill="1" applyBorder="1" applyAlignment="1">
      <alignment horizontal="center" vertical="center" wrapText="1"/>
    </xf>
    <xf numFmtId="4" fontId="5" fillId="5" borderId="5" xfId="0" applyNumberFormat="1" applyFont="1" applyFill="1" applyBorder="1" applyAlignment="1">
      <alignment vertical="center" wrapText="1"/>
    </xf>
    <xf numFmtId="4" fontId="5" fillId="3" borderId="5" xfId="0" applyNumberFormat="1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4" fontId="5" fillId="4" borderId="5" xfId="0" applyNumberFormat="1" applyFont="1" applyFill="1" applyBorder="1" applyAlignment="1">
      <alignment vertical="center" wrapText="1"/>
    </xf>
    <xf numFmtId="4" fontId="4" fillId="4" borderId="5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 wrapText="1"/>
    </xf>
    <xf numFmtId="4" fontId="5" fillId="5" borderId="5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4" fontId="4" fillId="5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4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vertical="center" wrapText="1"/>
    </xf>
    <xf numFmtId="2" fontId="4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center" vertical="center"/>
    </xf>
    <xf numFmtId="4" fontId="7" fillId="4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2" fontId="4" fillId="5" borderId="5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0" fillId="0" borderId="0" xfId="0" applyFont="1"/>
    <xf numFmtId="4" fontId="10" fillId="0" borderId="0" xfId="3" applyNumberFormat="1" applyFont="1"/>
    <xf numFmtId="4" fontId="10" fillId="0" borderId="0" xfId="0" applyNumberFormat="1" applyFont="1"/>
    <xf numFmtId="0" fontId="10" fillId="0" borderId="0" xfId="3" applyFont="1" applyAlignment="1">
      <alignment horizontal="right"/>
    </xf>
    <xf numFmtId="0" fontId="10" fillId="0" borderId="0" xfId="3" applyFont="1"/>
    <xf numFmtId="0" fontId="11" fillId="0" borderId="0" xfId="3" applyFont="1"/>
    <xf numFmtId="4" fontId="11" fillId="0" borderId="0" xfId="3" applyNumberFormat="1" applyFont="1"/>
    <xf numFmtId="4" fontId="0" fillId="0" borderId="0" xfId="0" applyNumberFormat="1"/>
    <xf numFmtId="0" fontId="12" fillId="0" borderId="0" xfId="0" applyFont="1" applyAlignment="1">
      <alignment vertical="center" wrapText="1"/>
    </xf>
    <xf numFmtId="4" fontId="4" fillId="2" borderId="0" xfId="0" applyNumberFormat="1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1" fontId="5" fillId="0" borderId="5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4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5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166" fontId="4" fillId="0" borderId="5" xfId="0" applyNumberFormat="1" applyFont="1" applyBorder="1" applyAlignment="1">
      <alignment horizontal="center" vertical="center" wrapText="1"/>
    </xf>
    <xf numFmtId="0" fontId="4" fillId="7" borderId="0" xfId="0" applyFont="1" applyFill="1" applyAlignment="1">
      <alignment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4" fontId="5" fillId="2" borderId="0" xfId="0" applyNumberFormat="1" applyFont="1" applyFill="1" applyAlignment="1">
      <alignment horizontal="left" vertical="center"/>
    </xf>
    <xf numFmtId="165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8" fillId="2" borderId="0" xfId="0" applyFont="1" applyFill="1" applyAlignment="1">
      <alignment horizontal="center" vertical="center" wrapText="1"/>
    </xf>
    <xf numFmtId="49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49" fontId="6" fillId="6" borderId="5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center" vertical="center" wrapText="1"/>
    </xf>
    <xf numFmtId="16" fontId="6" fillId="5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horizontal="center" vertical="center" wrapText="1"/>
    </xf>
    <xf numFmtId="4" fontId="6" fillId="5" borderId="5" xfId="0" applyNumberFormat="1" applyFont="1" applyFill="1" applyBorder="1" applyAlignment="1">
      <alignment vertical="center" wrapText="1"/>
    </xf>
    <xf numFmtId="14" fontId="6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4" fontId="8" fillId="3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center" wrapText="1"/>
    </xf>
    <xf numFmtId="4" fontId="6" fillId="4" borderId="5" xfId="0" applyNumberFormat="1" applyFont="1" applyFill="1" applyBorder="1" applyAlignment="1">
      <alignment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49" fontId="8" fillId="5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left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4" fontId="8" fillId="5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4" fontId="5" fillId="2" borderId="0" xfId="0" applyNumberFormat="1" applyFont="1" applyFill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vertical="center"/>
    </xf>
    <xf numFmtId="0" fontId="8" fillId="5" borderId="5" xfId="0" applyFont="1" applyFill="1" applyBorder="1" applyAlignment="1">
      <alignment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vertical="center" wrapText="1"/>
    </xf>
    <xf numFmtId="49" fontId="8" fillId="2" borderId="0" xfId="1" applyNumberFormat="1" applyFont="1" applyFill="1" applyAlignment="1">
      <alignment horizontal="left" vertical="center"/>
    </xf>
    <xf numFmtId="49" fontId="8" fillId="2" borderId="0" xfId="1" applyNumberFormat="1" applyFont="1" applyFill="1" applyAlignment="1">
      <alignment horizontal="left" vertical="center" wrapText="1"/>
    </xf>
    <xf numFmtId="49" fontId="6" fillId="2" borderId="0" xfId="2" applyNumberFormat="1" applyFont="1" applyFill="1" applyAlignment="1">
      <alignment horizontal="center" vertical="center"/>
    </xf>
    <xf numFmtId="49" fontId="6" fillId="2" borderId="0" xfId="2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165" fontId="6" fillId="0" borderId="0" xfId="0" applyNumberFormat="1" applyFont="1"/>
    <xf numFmtId="49" fontId="5" fillId="0" borderId="5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2" borderId="7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5" fontId="6" fillId="2" borderId="2" xfId="0" applyNumberFormat="1" applyFont="1" applyFill="1" applyBorder="1" applyAlignment="1">
      <alignment horizontal="center" vertical="center"/>
    </xf>
    <xf numFmtId="165" fontId="8" fillId="2" borderId="5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49" fontId="6" fillId="4" borderId="5" xfId="0" applyNumberFormat="1" applyFont="1" applyFill="1" applyBorder="1" applyAlignment="1">
      <alignment horizontal="center" vertical="center"/>
    </xf>
    <xf numFmtId="165" fontId="6" fillId="4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49" fontId="8" fillId="0" borderId="0" xfId="0" applyNumberFormat="1" applyFont="1"/>
    <xf numFmtId="0" fontId="8" fillId="0" borderId="0" xfId="0" applyFont="1" applyAlignment="1">
      <alignment wrapText="1"/>
    </xf>
    <xf numFmtId="165" fontId="6" fillId="2" borderId="0" xfId="0" applyNumberFormat="1" applyFont="1" applyFill="1"/>
    <xf numFmtId="165" fontId="8" fillId="0" borderId="0" xfId="0" applyNumberFormat="1" applyFont="1"/>
    <xf numFmtId="4" fontId="4" fillId="0" borderId="5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49" fontId="4" fillId="2" borderId="5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center" vertical="center"/>
    </xf>
    <xf numFmtId="0" fontId="15" fillId="2" borderId="0" xfId="0" applyFont="1" applyFill="1" applyAlignment="1">
      <alignment vertical="center" wrapText="1"/>
    </xf>
    <xf numFmtId="165" fontId="8" fillId="0" borderId="0" xfId="0" applyNumberFormat="1" applyFont="1" applyAlignment="1">
      <alignment horizontal="right"/>
    </xf>
    <xf numFmtId="165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" fontId="8" fillId="0" borderId="0" xfId="3" applyNumberFormat="1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right" vertical="center"/>
    </xf>
    <xf numFmtId="0" fontId="6" fillId="0" borderId="0" xfId="3" applyFont="1" applyAlignment="1">
      <alignment vertical="center"/>
    </xf>
    <xf numFmtId="4" fontId="6" fillId="0" borderId="0" xfId="3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8" fillId="0" borderId="0" xfId="0" applyFont="1" applyAlignment="1">
      <alignment horizontal="right" vertical="center"/>
    </xf>
    <xf numFmtId="4" fontId="17" fillId="5" borderId="5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49" fontId="5" fillId="5" borderId="5" xfId="0" applyNumberFormat="1" applyFont="1" applyFill="1" applyBorder="1" applyAlignment="1">
      <alignment vertical="center"/>
    </xf>
    <xf numFmtId="49" fontId="18" fillId="5" borderId="5" xfId="0" applyNumberFormat="1" applyFont="1" applyFill="1" applyBorder="1" applyAlignment="1">
      <alignment vertical="center"/>
    </xf>
    <xf numFmtId="0" fontId="18" fillId="5" borderId="5" xfId="0" applyFont="1" applyFill="1" applyBorder="1" applyAlignment="1">
      <alignment vertical="center" wrapText="1"/>
    </xf>
    <xf numFmtId="0" fontId="18" fillId="5" borderId="5" xfId="0" applyFont="1" applyFill="1" applyBorder="1" applyAlignment="1">
      <alignment horizontal="center" vertical="center" wrapText="1"/>
    </xf>
    <xf numFmtId="4" fontId="18" fillId="5" borderId="5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6" fillId="2" borderId="0" xfId="2" applyNumberFormat="1" applyFont="1" applyFill="1" applyAlignment="1">
      <alignment horizontal="center" vertical="center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  <xf numFmtId="0" fontId="7" fillId="4" borderId="2" xfId="0" applyFont="1" applyFill="1" applyBorder="1" applyAlignment="1">
      <alignment horizontal="right" vertical="center"/>
    </xf>
    <xf numFmtId="0" fontId="7" fillId="4" borderId="3" xfId="0" applyFont="1" applyFill="1" applyBorder="1" applyAlignment="1">
      <alignment horizontal="right" vertical="center"/>
    </xf>
    <xf numFmtId="0" fontId="7" fillId="4" borderId="4" xfId="0" applyFont="1" applyFill="1" applyBorder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49" fontId="4" fillId="2" borderId="0" xfId="2" applyNumberFormat="1" applyFont="1" applyFill="1" applyAlignment="1">
      <alignment horizontal="center" vertical="center" wrapText="1"/>
    </xf>
    <xf numFmtId="49" fontId="4" fillId="2" borderId="0" xfId="2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4" borderId="2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right" vertical="center"/>
    </xf>
    <xf numFmtId="0" fontId="15" fillId="2" borderId="0" xfId="0" applyFont="1" applyFill="1" applyAlignment="1">
      <alignment horizontal="left" vertical="center" wrapText="1"/>
    </xf>
    <xf numFmtId="49" fontId="6" fillId="0" borderId="0" xfId="0" applyNumberFormat="1" applyFont="1" applyAlignment="1">
      <alignment horizontal="center" vertical="center"/>
    </xf>
    <xf numFmtId="165" fontId="6" fillId="4" borderId="2" xfId="0" applyNumberFormat="1" applyFont="1" applyFill="1" applyBorder="1" applyAlignment="1">
      <alignment horizontal="right" vertical="center"/>
    </xf>
    <xf numFmtId="165" fontId="6" fillId="4" borderId="3" xfId="0" applyNumberFormat="1" applyFont="1" applyFill="1" applyBorder="1" applyAlignment="1">
      <alignment horizontal="right" vertical="center"/>
    </xf>
    <xf numFmtId="165" fontId="6" fillId="4" borderId="4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top" wrapText="1"/>
    </xf>
    <xf numFmtId="49" fontId="5" fillId="2" borderId="0" xfId="2" applyNumberFormat="1" applyFont="1" applyFill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 xr:uid="{0B654DFD-69A8-47F9-90E2-3B5A9E2E861C}"/>
    <cellStyle name="Обычный 2 2" xfId="4" xr:uid="{610E6301-0A5A-4C74-9E2B-C16915BA7EA8}"/>
    <cellStyle name="Обычный 2 2 2" xfId="2" xr:uid="{29FEE7E6-5A59-44A1-8094-06F176129BC4}"/>
    <cellStyle name="Обычный 3" xfId="3" xr:uid="{041907F7-A6DA-4211-A451-1AC545FCFACA}"/>
    <cellStyle name="Обычный 3 2 2 2" xfId="5" xr:uid="{453265F2-52C4-4CCF-B8A8-6239A08BC3C5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8F28C"/>
      <color rgb="FFB578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A01A-B941-49BA-B386-6945B6539108}">
  <dimension ref="A1:M85"/>
  <sheetViews>
    <sheetView tabSelected="1" zoomScale="55" zoomScaleNormal="55" zoomScaleSheetLayoutView="70" workbookViewId="0">
      <selection activeCell="D40" sqref="D40"/>
    </sheetView>
  </sheetViews>
  <sheetFormatPr defaultColWidth="9.140625" defaultRowHeight="15.75" outlineLevelRow="3" outlineLevelCol="1"/>
  <cols>
    <col min="1" max="1" width="13" style="106" bestFit="1" customWidth="1"/>
    <col min="2" max="2" width="64.7109375" style="107" customWidth="1"/>
    <col min="3" max="3" width="17.85546875" style="105" customWidth="1"/>
    <col min="4" max="4" width="39" style="105" customWidth="1"/>
    <col min="5" max="6" width="15.28515625" style="105" customWidth="1"/>
    <col min="7" max="7" width="15.28515625" style="105" customWidth="1" outlineLevel="1"/>
    <col min="8" max="9" width="15.28515625" style="105" customWidth="1"/>
    <col min="10" max="10" width="24.140625" style="105" customWidth="1"/>
    <col min="11" max="11" width="40.7109375" style="105" customWidth="1"/>
    <col min="12" max="12" width="9.140625" style="20" customWidth="1"/>
    <col min="13" max="13" width="22.42578125" style="20" customWidth="1"/>
    <col min="14" max="15" width="13.7109375" style="20" bestFit="1" customWidth="1"/>
    <col min="16" max="16" width="14.42578125" style="20" bestFit="1" customWidth="1"/>
    <col min="17" max="16384" width="9.140625" style="20"/>
  </cols>
  <sheetData>
    <row r="1" spans="1:11" s="192" customFormat="1">
      <c r="A1" s="188"/>
      <c r="B1" s="189"/>
      <c r="C1" s="190"/>
      <c r="D1" s="190"/>
      <c r="E1" s="190"/>
      <c r="F1" s="189"/>
      <c r="G1" s="189"/>
      <c r="H1" s="191"/>
      <c r="I1" s="190"/>
      <c r="K1" s="193" t="s">
        <v>127</v>
      </c>
    </row>
    <row r="2" spans="1:11" s="192" customFormat="1">
      <c r="A2" s="188"/>
      <c r="B2" s="189"/>
      <c r="C2" s="190"/>
      <c r="D2" s="190"/>
      <c r="E2" s="190"/>
      <c r="F2" s="189"/>
      <c r="G2" s="189"/>
      <c r="H2" s="191"/>
      <c r="I2" s="190"/>
      <c r="K2" s="193" t="s">
        <v>21</v>
      </c>
    </row>
    <row r="3" spans="1:11" s="192" customFormat="1">
      <c r="A3" s="188"/>
      <c r="B3" s="189"/>
      <c r="C3" s="190"/>
      <c r="D3" s="190"/>
      <c r="E3" s="190"/>
      <c r="F3" s="189"/>
      <c r="G3" s="189"/>
      <c r="H3" s="191"/>
      <c r="I3" s="190"/>
      <c r="J3" s="189"/>
    </row>
    <row r="4" spans="1:11" s="192" customFormat="1">
      <c r="A4" s="188"/>
      <c r="B4" s="194" t="s">
        <v>16</v>
      </c>
      <c r="C4" s="195"/>
      <c r="D4" s="195" t="s">
        <v>17</v>
      </c>
      <c r="F4" s="189"/>
      <c r="G4" s="189"/>
      <c r="H4" s="191"/>
      <c r="J4" s="195" t="s">
        <v>18</v>
      </c>
    </row>
    <row r="5" spans="1:11" s="192" customFormat="1">
      <c r="A5" s="188"/>
      <c r="B5" s="196"/>
      <c r="C5" s="190"/>
      <c r="D5" s="190" t="s">
        <v>19</v>
      </c>
      <c r="F5" s="189"/>
      <c r="G5" s="189"/>
      <c r="H5" s="191"/>
      <c r="J5" s="190" t="s">
        <v>19</v>
      </c>
    </row>
    <row r="6" spans="1:11" s="192" customFormat="1">
      <c r="A6" s="188"/>
      <c r="B6" s="196"/>
      <c r="C6" s="190"/>
      <c r="D6" s="190"/>
      <c r="F6" s="189"/>
      <c r="G6" s="189"/>
      <c r="H6" s="191"/>
      <c r="J6" s="190"/>
    </row>
    <row r="7" spans="1:11" s="192" customFormat="1">
      <c r="A7" s="188"/>
      <c r="B7" s="196"/>
      <c r="C7" s="190"/>
      <c r="D7" s="190"/>
      <c r="H7" s="190"/>
      <c r="J7" s="190"/>
    </row>
    <row r="8" spans="1:11" s="192" customFormat="1">
      <c r="A8" s="188"/>
      <c r="B8" s="196" t="s">
        <v>126</v>
      </c>
      <c r="C8" s="190"/>
      <c r="D8" s="190" t="s">
        <v>20</v>
      </c>
      <c r="F8" s="189"/>
      <c r="G8" s="189"/>
      <c r="H8" s="191"/>
      <c r="J8" s="190" t="s">
        <v>20</v>
      </c>
    </row>
    <row r="9" spans="1:11" s="152" customFormat="1">
      <c r="A9" s="148"/>
      <c r="B9" s="149"/>
      <c r="C9" s="150"/>
      <c r="D9" s="150"/>
      <c r="E9" s="150"/>
      <c r="F9" s="150"/>
      <c r="G9" s="150"/>
      <c r="H9" s="150"/>
      <c r="I9" s="151"/>
      <c r="J9" s="151"/>
      <c r="K9" s="150"/>
    </row>
    <row r="10" spans="1:11" s="1" customFormat="1">
      <c r="A10" s="220" t="s">
        <v>12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</row>
    <row r="11" spans="1:11" s="1" customFormat="1" ht="82.5" customHeight="1">
      <c r="A11" s="228" t="s">
        <v>280</v>
      </c>
      <c r="B11" s="229"/>
      <c r="C11" s="229"/>
      <c r="D11" s="229"/>
      <c r="E11" s="229"/>
      <c r="F11" s="229"/>
      <c r="G11" s="229"/>
      <c r="H11" s="229"/>
      <c r="I11" s="229"/>
      <c r="J11" s="229"/>
      <c r="K11" s="229"/>
    </row>
    <row r="12" spans="1:11" s="2" customFormat="1">
      <c r="A12" s="106"/>
      <c r="B12" s="107"/>
      <c r="C12" s="105"/>
      <c r="D12" s="105"/>
      <c r="E12" s="105"/>
      <c r="F12" s="105"/>
      <c r="G12" s="105"/>
      <c r="H12" s="108"/>
      <c r="I12" s="109"/>
      <c r="J12" s="109"/>
      <c r="K12" s="105"/>
    </row>
    <row r="13" spans="1:11" s="19" customFormat="1" ht="31.5">
      <c r="A13" s="110" t="s">
        <v>0</v>
      </c>
      <c r="B13" s="111" t="s">
        <v>1</v>
      </c>
      <c r="C13" s="111" t="s">
        <v>124</v>
      </c>
      <c r="D13" s="111" t="s">
        <v>125</v>
      </c>
      <c r="E13" s="111" t="s">
        <v>2</v>
      </c>
      <c r="F13" s="111" t="s">
        <v>3</v>
      </c>
      <c r="G13" s="111" t="s">
        <v>128</v>
      </c>
      <c r="H13" s="111" t="s">
        <v>13</v>
      </c>
      <c r="I13" s="111" t="s">
        <v>4</v>
      </c>
      <c r="J13" s="111" t="s">
        <v>5</v>
      </c>
      <c r="K13" s="111" t="s">
        <v>6</v>
      </c>
    </row>
    <row r="14" spans="1:11" s="19" customFormat="1">
      <c r="A14" s="112" t="s">
        <v>26</v>
      </c>
      <c r="B14" s="113" t="s">
        <v>28</v>
      </c>
      <c r="C14" s="114"/>
      <c r="D14" s="114"/>
      <c r="E14" s="114"/>
      <c r="F14" s="114"/>
      <c r="G14" s="114"/>
      <c r="H14" s="114"/>
      <c r="I14" s="114"/>
      <c r="J14" s="114"/>
      <c r="K14" s="114"/>
    </row>
    <row r="15" spans="1:11" s="19" customFormat="1">
      <c r="A15" s="115" t="s">
        <v>132</v>
      </c>
      <c r="B15" s="116" t="s">
        <v>131</v>
      </c>
      <c r="C15" s="117"/>
      <c r="D15" s="117"/>
      <c r="E15" s="117"/>
      <c r="F15" s="117"/>
      <c r="G15" s="117"/>
      <c r="H15" s="117"/>
      <c r="I15" s="116"/>
      <c r="J15" s="118"/>
      <c r="K15" s="118"/>
    </row>
    <row r="16" spans="1:11" s="19" customFormat="1" outlineLevel="1">
      <c r="A16" s="119" t="s">
        <v>133</v>
      </c>
      <c r="B16" s="120" t="s">
        <v>137</v>
      </c>
      <c r="C16" s="121"/>
      <c r="D16" s="121"/>
      <c r="E16" s="121"/>
      <c r="F16" s="121"/>
      <c r="G16" s="121"/>
      <c r="H16" s="121"/>
      <c r="I16" s="61"/>
      <c r="J16" s="60"/>
      <c r="K16" s="122"/>
    </row>
    <row r="17" spans="1:13" s="19" customFormat="1" outlineLevel="2">
      <c r="A17" s="123" t="s">
        <v>114</v>
      </c>
      <c r="B17" s="124" t="s">
        <v>137</v>
      </c>
      <c r="C17" s="125"/>
      <c r="D17" s="125"/>
      <c r="E17" s="125"/>
      <c r="F17" s="125"/>
      <c r="G17" s="125"/>
      <c r="H17" s="125"/>
      <c r="I17" s="126"/>
      <c r="J17" s="90">
        <f>J18+J23</f>
        <v>0</v>
      </c>
      <c r="K17" s="127"/>
    </row>
    <row r="18" spans="1:13" s="19" customFormat="1" outlineLevel="3">
      <c r="A18" s="128"/>
      <c r="B18" s="129" t="s">
        <v>8</v>
      </c>
      <c r="C18" s="117"/>
      <c r="D18" s="117"/>
      <c r="E18" s="117"/>
      <c r="F18" s="117"/>
      <c r="G18" s="117"/>
      <c r="H18" s="130"/>
      <c r="I18" s="130"/>
      <c r="J18" s="130">
        <f>SUM(J19:J22)</f>
        <v>0</v>
      </c>
      <c r="K18" s="130"/>
    </row>
    <row r="19" spans="1:13" s="19" customFormat="1" outlineLevel="3">
      <c r="A19" s="128"/>
      <c r="B19" s="131" t="s">
        <v>157</v>
      </c>
      <c r="C19" s="132"/>
      <c r="D19" s="132"/>
      <c r="E19" s="132" t="s">
        <v>14</v>
      </c>
      <c r="F19" s="132"/>
      <c r="G19" s="132"/>
      <c r="H19" s="133">
        <f>H24</f>
        <v>300.83999999999997</v>
      </c>
      <c r="I19" s="50">
        <f>VLOOKUP($B19,смр!$B$5:$G$13,4,0)</f>
        <v>0</v>
      </c>
      <c r="J19" s="133">
        <f>ROUND(I19*H19,2)</f>
        <v>0</v>
      </c>
      <c r="K19" s="133"/>
    </row>
    <row r="20" spans="1:13" s="19" customFormat="1" outlineLevel="3">
      <c r="A20" s="128"/>
      <c r="B20" s="131" t="s">
        <v>130</v>
      </c>
      <c r="C20" s="132"/>
      <c r="D20" s="132"/>
      <c r="E20" s="132" t="s">
        <v>14</v>
      </c>
      <c r="F20" s="132"/>
      <c r="G20" s="132"/>
      <c r="H20" s="133">
        <f>H25</f>
        <v>318.83999999999997</v>
      </c>
      <c r="I20" s="50">
        <f>VLOOKUP($B20,смр!$B$5:$G$13,4,0)</f>
        <v>0</v>
      </c>
      <c r="J20" s="133">
        <f t="shared" ref="J20:J22" si="0">ROUND(I20*H20,2)</f>
        <v>0</v>
      </c>
      <c r="K20" s="133"/>
    </row>
    <row r="21" spans="1:13" s="19" customFormat="1" outlineLevel="3">
      <c r="A21" s="128"/>
      <c r="B21" s="131" t="s">
        <v>233</v>
      </c>
      <c r="C21" s="132"/>
      <c r="D21" s="132"/>
      <c r="E21" s="132" t="s">
        <v>7</v>
      </c>
      <c r="F21" s="132"/>
      <c r="G21" s="132"/>
      <c r="H21" s="133">
        <f>(103.4-10.8+147.3)*0.9*((0.3+0.444)/2)+10.8*1.2*((0.3+0.492)/2)</f>
        <v>85.45</v>
      </c>
      <c r="I21" s="50">
        <f>VLOOKUP($B21,смр!$B$5:$G$13,4,0)</f>
        <v>0</v>
      </c>
      <c r="J21" s="133">
        <f>ROUND(I21*H21,2)</f>
        <v>0</v>
      </c>
      <c r="K21" s="133" t="s">
        <v>201</v>
      </c>
    </row>
    <row r="22" spans="1:13" s="19" customFormat="1" outlineLevel="3">
      <c r="A22" s="205"/>
      <c r="B22" s="48" t="s">
        <v>234</v>
      </c>
      <c r="C22" s="49"/>
      <c r="D22" s="49"/>
      <c r="E22" s="49" t="s">
        <v>7</v>
      </c>
      <c r="F22" s="49"/>
      <c r="G22" s="49"/>
      <c r="H22" s="50">
        <f>H21</f>
        <v>85.45</v>
      </c>
      <c r="I22" s="50">
        <f>VLOOKUP($B22,смр!$B$5:$G$13,4,0)</f>
        <v>0</v>
      </c>
      <c r="J22" s="50">
        <f t="shared" si="0"/>
        <v>0</v>
      </c>
      <c r="K22" s="50" t="s">
        <v>278</v>
      </c>
    </row>
    <row r="23" spans="1:13" s="19" customFormat="1" outlineLevel="3">
      <c r="A23" s="134"/>
      <c r="B23" s="135" t="s">
        <v>9</v>
      </c>
      <c r="C23" s="136"/>
      <c r="D23" s="136"/>
      <c r="E23" s="136"/>
      <c r="F23" s="136"/>
      <c r="G23" s="136"/>
      <c r="H23" s="137"/>
      <c r="I23" s="137"/>
      <c r="J23" s="138">
        <f>SUM(J24:J28)</f>
        <v>0</v>
      </c>
      <c r="K23" s="138"/>
    </row>
    <row r="24" spans="1:13" s="19" customFormat="1" ht="47.25" outlineLevel="3">
      <c r="A24" s="134"/>
      <c r="B24" s="139" t="s">
        <v>158</v>
      </c>
      <c r="C24" s="136" t="s">
        <v>165</v>
      </c>
      <c r="D24" s="136" t="s">
        <v>166</v>
      </c>
      <c r="E24" s="136" t="s">
        <v>14</v>
      </c>
      <c r="F24" s="136"/>
      <c r="G24" s="136"/>
      <c r="H24" s="137">
        <f>103.4*1.2+147.3*1.2</f>
        <v>300.83999999999997</v>
      </c>
      <c r="I24" s="179">
        <f>VLOOKUP($B24,мат!$B$5:$I$35,6,0)</f>
        <v>0</v>
      </c>
      <c r="J24" s="137">
        <f>ROUND(H24*I24,2)</f>
        <v>0</v>
      </c>
      <c r="K24" s="137" t="s">
        <v>154</v>
      </c>
      <c r="M24" s="140"/>
    </row>
    <row r="25" spans="1:13" s="19" customFormat="1" outlineLevel="3">
      <c r="A25" s="134"/>
      <c r="B25" s="139" t="s">
        <v>138</v>
      </c>
      <c r="C25" s="136" t="s">
        <v>159</v>
      </c>
      <c r="D25" s="136" t="s">
        <v>167</v>
      </c>
      <c r="E25" s="136" t="s">
        <v>14</v>
      </c>
      <c r="F25" s="136"/>
      <c r="G25" s="136"/>
      <c r="H25" s="137">
        <f>103.4*1.2+147.3*1.2+2*H40</f>
        <v>318.83999999999997</v>
      </c>
      <c r="I25" s="179">
        <f>VLOOKUP($B25,мат!$B$5:$I$35,6,0)</f>
        <v>0</v>
      </c>
      <c r="J25" s="137">
        <f>ROUND(H25*I25,2)</f>
        <v>0</v>
      </c>
      <c r="K25" s="137" t="s">
        <v>163</v>
      </c>
    </row>
    <row r="26" spans="1:13" s="19" customFormat="1" ht="31.5" outlineLevel="3">
      <c r="A26" s="204"/>
      <c r="B26" s="18" t="s">
        <v>57</v>
      </c>
      <c r="C26" s="15"/>
      <c r="D26" s="15" t="s">
        <v>274</v>
      </c>
      <c r="E26" s="15" t="s">
        <v>7</v>
      </c>
      <c r="F26" s="15">
        <v>1.1439999999999999</v>
      </c>
      <c r="G26" s="15"/>
      <c r="H26" s="16">
        <f>28.48*F26</f>
        <v>32.58</v>
      </c>
      <c r="I26" s="179">
        <f>VLOOKUP($B26,мат!$B$5:$I$35,6,0)</f>
        <v>0</v>
      </c>
      <c r="J26" s="16">
        <f>ROUND(H26*I26,2)</f>
        <v>0</v>
      </c>
      <c r="K26" s="16"/>
    </row>
    <row r="27" spans="1:13" s="19" customFormat="1" outlineLevel="3">
      <c r="A27" s="204"/>
      <c r="B27" s="18" t="s">
        <v>270</v>
      </c>
      <c r="C27" s="15" t="s">
        <v>272</v>
      </c>
      <c r="D27" s="15" t="s">
        <v>273</v>
      </c>
      <c r="E27" s="15" t="s">
        <v>14</v>
      </c>
      <c r="F27" s="15"/>
      <c r="G27" s="15"/>
      <c r="H27" s="16">
        <f>H24</f>
        <v>300.83999999999997</v>
      </c>
      <c r="I27" s="179">
        <f>VLOOKUP($B27,мат!$B$5:$I$35,6,0)</f>
        <v>0</v>
      </c>
      <c r="J27" s="16">
        <f t="shared" ref="J27:J28" si="1">ROUND(H27*I27,2)</f>
        <v>0</v>
      </c>
      <c r="K27" s="16" t="s">
        <v>163</v>
      </c>
    </row>
    <row r="28" spans="1:13" s="19" customFormat="1" outlineLevel="3">
      <c r="A28" s="204"/>
      <c r="B28" s="18" t="s">
        <v>271</v>
      </c>
      <c r="C28" s="15" t="s">
        <v>265</v>
      </c>
      <c r="D28" s="15"/>
      <c r="E28" s="15" t="s">
        <v>32</v>
      </c>
      <c r="F28" s="15"/>
      <c r="G28" s="15"/>
      <c r="H28" s="16">
        <f>8*2+1+3</f>
        <v>20</v>
      </c>
      <c r="I28" s="179">
        <f>VLOOKUP($B28,мат!$B$5:$I$35,6,0)</f>
        <v>0</v>
      </c>
      <c r="J28" s="16">
        <f t="shared" si="1"/>
        <v>0</v>
      </c>
      <c r="K28" s="16"/>
    </row>
    <row r="29" spans="1:13" s="19" customFormat="1" outlineLevel="1">
      <c r="A29" s="119" t="s">
        <v>134</v>
      </c>
      <c r="B29" s="120" t="s">
        <v>144</v>
      </c>
      <c r="C29" s="121"/>
      <c r="D29" s="121"/>
      <c r="E29" s="121"/>
      <c r="F29" s="121"/>
      <c r="G29" s="121"/>
      <c r="H29" s="121"/>
      <c r="I29" s="61"/>
      <c r="J29" s="60"/>
      <c r="K29" s="122"/>
    </row>
    <row r="30" spans="1:13" s="19" customFormat="1" outlineLevel="2">
      <c r="A30" s="123" t="s">
        <v>112</v>
      </c>
      <c r="B30" s="124" t="s">
        <v>144</v>
      </c>
      <c r="C30" s="125"/>
      <c r="D30" s="125"/>
      <c r="E30" s="125"/>
      <c r="F30" s="125"/>
      <c r="G30" s="125"/>
      <c r="H30" s="125"/>
      <c r="I30" s="126"/>
      <c r="J30" s="90">
        <f>J31+J38</f>
        <v>0</v>
      </c>
      <c r="K30" s="127"/>
    </row>
    <row r="31" spans="1:13" s="19" customFormat="1" outlineLevel="3">
      <c r="A31" s="142"/>
      <c r="B31" s="129" t="s">
        <v>8</v>
      </c>
      <c r="C31" s="117"/>
      <c r="D31" s="117"/>
      <c r="E31" s="117"/>
      <c r="F31" s="117"/>
      <c r="G31" s="117"/>
      <c r="H31" s="130"/>
      <c r="I31" s="130"/>
      <c r="J31" s="130">
        <f>SUM(J32:J37)</f>
        <v>0</v>
      </c>
      <c r="K31" s="130"/>
    </row>
    <row r="32" spans="1:13" s="19" customFormat="1">
      <c r="A32" s="143"/>
      <c r="B32" s="144" t="s">
        <v>238</v>
      </c>
      <c r="C32" s="132"/>
      <c r="D32" s="132"/>
      <c r="E32" s="132" t="s">
        <v>129</v>
      </c>
      <c r="F32" s="132"/>
      <c r="G32" s="132"/>
      <c r="H32" s="133">
        <f>H41</f>
        <v>9</v>
      </c>
      <c r="I32" s="50">
        <f>VLOOKUP($B32,смр!$B$5:$G$13,4,0)</f>
        <v>0</v>
      </c>
      <c r="J32" s="133">
        <f t="shared" ref="J32:J35" si="2">ROUND(I32*H32,2)</f>
        <v>0</v>
      </c>
      <c r="K32" s="118"/>
    </row>
    <row r="33" spans="1:12" s="19" customFormat="1">
      <c r="A33" s="206"/>
      <c r="B33" s="58" t="s">
        <v>235</v>
      </c>
      <c r="C33" s="49"/>
      <c r="D33" s="49"/>
      <c r="E33" s="49" t="s">
        <v>129</v>
      </c>
      <c r="F33" s="49"/>
      <c r="G33" s="49"/>
      <c r="H33" s="50">
        <f>H39</f>
        <v>9</v>
      </c>
      <c r="I33" s="50">
        <f>VLOOKUP($B33,смр!$B$5:$G$13,4,0)</f>
        <v>0</v>
      </c>
      <c r="J33" s="50">
        <f t="shared" si="2"/>
        <v>0</v>
      </c>
      <c r="K33" s="39"/>
    </row>
    <row r="34" spans="1:12" s="19" customFormat="1">
      <c r="A34" s="206"/>
      <c r="B34" s="58" t="s">
        <v>139</v>
      </c>
      <c r="C34" s="49"/>
      <c r="D34" s="49"/>
      <c r="E34" s="49" t="s">
        <v>129</v>
      </c>
      <c r="F34" s="49"/>
      <c r="G34" s="49"/>
      <c r="H34" s="50">
        <f>H42</f>
        <v>1</v>
      </c>
      <c r="I34" s="50">
        <f>VLOOKUP($B34,смр!$B$5:$G$13,4,0)</f>
        <v>0</v>
      </c>
      <c r="J34" s="50">
        <f t="shared" si="2"/>
        <v>0</v>
      </c>
      <c r="K34" s="50" t="s">
        <v>267</v>
      </c>
    </row>
    <row r="35" spans="1:12" s="19" customFormat="1">
      <c r="A35" s="206"/>
      <c r="B35" s="58" t="s">
        <v>236</v>
      </c>
      <c r="C35" s="49"/>
      <c r="D35" s="49"/>
      <c r="E35" s="49" t="s">
        <v>129</v>
      </c>
      <c r="F35" s="49"/>
      <c r="G35" s="49"/>
      <c r="H35" s="50">
        <f>H40</f>
        <v>9</v>
      </c>
      <c r="I35" s="50">
        <f>VLOOKUP($B35,смр!$B$5:$G$13,4,0)</f>
        <v>0</v>
      </c>
      <c r="J35" s="50">
        <f t="shared" si="2"/>
        <v>0</v>
      </c>
      <c r="K35" s="50"/>
    </row>
    <row r="36" spans="1:12" s="203" customFormat="1" ht="12.75">
      <c r="A36" s="207"/>
      <c r="B36" s="208" t="s">
        <v>145</v>
      </c>
      <c r="C36" s="209"/>
      <c r="D36" s="209"/>
      <c r="E36" s="209" t="s">
        <v>7</v>
      </c>
      <c r="F36" s="209"/>
      <c r="G36" s="209"/>
      <c r="H36" s="202">
        <f>0.2*H39+0.21</f>
        <v>2.0099999999999998</v>
      </c>
      <c r="I36" s="202"/>
      <c r="J36" s="202"/>
      <c r="K36" s="210" t="s">
        <v>266</v>
      </c>
    </row>
    <row r="37" spans="1:12" s="203" customFormat="1" ht="12.75">
      <c r="A37" s="207"/>
      <c r="B37" s="208" t="s">
        <v>153</v>
      </c>
      <c r="C37" s="209"/>
      <c r="D37" s="209"/>
      <c r="E37" s="209" t="s">
        <v>7</v>
      </c>
      <c r="F37" s="209"/>
      <c r="G37" s="209"/>
      <c r="H37" s="202">
        <f>0.05*H39+0.14</f>
        <v>0.59</v>
      </c>
      <c r="I37" s="202"/>
      <c r="J37" s="202"/>
      <c r="K37" s="210" t="s">
        <v>266</v>
      </c>
    </row>
    <row r="38" spans="1:12" s="19" customFormat="1" outlineLevel="3">
      <c r="A38" s="211"/>
      <c r="B38" s="52" t="s">
        <v>9</v>
      </c>
      <c r="C38" s="15"/>
      <c r="D38" s="15"/>
      <c r="E38" s="15"/>
      <c r="F38" s="15"/>
      <c r="G38" s="15"/>
      <c r="H38" s="16"/>
      <c r="I38" s="16"/>
      <c r="J38" s="53">
        <f>SUM(J39:J46)</f>
        <v>0</v>
      </c>
      <c r="K38" s="53"/>
    </row>
    <row r="39" spans="1:12" s="19" customFormat="1" ht="47.25" outlineLevel="3">
      <c r="A39" s="211"/>
      <c r="B39" s="79" t="s">
        <v>237</v>
      </c>
      <c r="C39" s="15" t="s">
        <v>172</v>
      </c>
      <c r="D39" s="15" t="s">
        <v>173</v>
      </c>
      <c r="E39" s="15" t="s">
        <v>129</v>
      </c>
      <c r="F39" s="15"/>
      <c r="G39" s="15"/>
      <c r="H39" s="16">
        <v>9</v>
      </c>
      <c r="I39" s="179">
        <f>VLOOKUP($B39,мат!$B$5:$I$35,6,0)</f>
        <v>0</v>
      </c>
      <c r="J39" s="16">
        <f t="shared" ref="J39:J65" si="3">ROUND(H39*I39,2)</f>
        <v>0</v>
      </c>
      <c r="K39" s="16" t="s">
        <v>180</v>
      </c>
      <c r="L39" s="101"/>
    </row>
    <row r="40" spans="1:12" s="19" customFormat="1" ht="31.5" outlineLevel="3">
      <c r="A40" s="211"/>
      <c r="B40" s="212" t="s">
        <v>151</v>
      </c>
      <c r="C40" s="15" t="s">
        <v>188</v>
      </c>
      <c r="D40" s="15" t="s">
        <v>185</v>
      </c>
      <c r="E40" s="15" t="s">
        <v>129</v>
      </c>
      <c r="F40" s="15"/>
      <c r="G40" s="15"/>
      <c r="H40" s="16">
        <f>H39</f>
        <v>9</v>
      </c>
      <c r="I40" s="179">
        <f>VLOOKUP($B40,мат!$B$5:$I$35,6,0)</f>
        <v>0</v>
      </c>
      <c r="J40" s="16">
        <f t="shared" si="3"/>
        <v>0</v>
      </c>
      <c r="K40" s="16"/>
      <c r="L40" s="101"/>
    </row>
    <row r="41" spans="1:12" s="19" customFormat="1" ht="31.5" outlineLevel="3">
      <c r="A41" s="211"/>
      <c r="B41" s="212" t="s">
        <v>186</v>
      </c>
      <c r="C41" s="15"/>
      <c r="D41" s="15" t="s">
        <v>187</v>
      </c>
      <c r="E41" s="15" t="s">
        <v>129</v>
      </c>
      <c r="F41" s="15"/>
      <c r="G41" s="15"/>
      <c r="H41" s="16">
        <f>H39</f>
        <v>9</v>
      </c>
      <c r="I41" s="179">
        <f>VLOOKUP($B41,мат!$B$5:$I$35,6,0)</f>
        <v>0</v>
      </c>
      <c r="J41" s="16">
        <f t="shared" si="3"/>
        <v>0</v>
      </c>
      <c r="K41" s="15"/>
      <c r="L41" s="101"/>
    </row>
    <row r="42" spans="1:12" s="19" customFormat="1" ht="94.5" outlineLevel="3">
      <c r="A42" s="204"/>
      <c r="B42" s="18" t="s">
        <v>140</v>
      </c>
      <c r="C42" s="15"/>
      <c r="D42" s="15" t="s">
        <v>181</v>
      </c>
      <c r="E42" s="15" t="s">
        <v>129</v>
      </c>
      <c r="F42" s="15"/>
      <c r="G42" s="15"/>
      <c r="H42" s="16">
        <v>1</v>
      </c>
      <c r="I42" s="179">
        <f>VLOOKUP($B42,мат!$B$5:$I$35,6,0)</f>
        <v>0</v>
      </c>
      <c r="J42" s="16">
        <f t="shared" si="3"/>
        <v>0</v>
      </c>
      <c r="K42" s="16" t="s">
        <v>179</v>
      </c>
      <c r="L42" s="101"/>
    </row>
    <row r="43" spans="1:12" s="19" customFormat="1" ht="31.5" outlineLevel="3">
      <c r="A43" s="211"/>
      <c r="B43" s="18" t="s">
        <v>148</v>
      </c>
      <c r="C43" s="15"/>
      <c r="D43" s="15" t="s">
        <v>209</v>
      </c>
      <c r="E43" s="15" t="s">
        <v>129</v>
      </c>
      <c r="F43" s="15"/>
      <c r="G43" s="15"/>
      <c r="H43" s="16">
        <v>1</v>
      </c>
      <c r="I43" s="179">
        <f>VLOOKUP($B43,мат!$B$5:$I$35,6,0)</f>
        <v>0</v>
      </c>
      <c r="J43" s="16">
        <f t="shared" si="3"/>
        <v>0</v>
      </c>
      <c r="K43" s="16" t="s">
        <v>150</v>
      </c>
      <c r="L43" s="101"/>
    </row>
    <row r="44" spans="1:12" s="19" customFormat="1" ht="31.5" outlineLevel="3">
      <c r="A44" s="204"/>
      <c r="B44" s="18" t="s">
        <v>83</v>
      </c>
      <c r="C44" s="15" t="s">
        <v>189</v>
      </c>
      <c r="D44" s="15" t="s">
        <v>190</v>
      </c>
      <c r="E44" s="15" t="s">
        <v>7</v>
      </c>
      <c r="F44" s="15">
        <v>1.0149999999999999</v>
      </c>
      <c r="G44" s="15"/>
      <c r="H44" s="16">
        <f>H36*F44</f>
        <v>2.04</v>
      </c>
      <c r="I44" s="179">
        <f>VLOOKUP($B44,мат!$B$5:$I$35,6,0)</f>
        <v>0</v>
      </c>
      <c r="J44" s="16">
        <f t="shared" si="3"/>
        <v>0</v>
      </c>
      <c r="K44" s="16" t="s">
        <v>266</v>
      </c>
      <c r="L44" s="102"/>
    </row>
    <row r="45" spans="1:12" s="19" customFormat="1" ht="31.5" outlineLevel="3">
      <c r="A45" s="204"/>
      <c r="B45" s="18" t="s">
        <v>164</v>
      </c>
      <c r="C45" s="15" t="s">
        <v>191</v>
      </c>
      <c r="D45" s="15" t="s">
        <v>192</v>
      </c>
      <c r="E45" s="15" t="s">
        <v>7</v>
      </c>
      <c r="F45" s="15">
        <v>1.84</v>
      </c>
      <c r="G45" s="15"/>
      <c r="H45" s="16">
        <f>H37*F45</f>
        <v>1.0900000000000001</v>
      </c>
      <c r="I45" s="179">
        <f>VLOOKUP($B45,мат!$B$5:$I$35,6,0)</f>
        <v>0</v>
      </c>
      <c r="J45" s="16">
        <f t="shared" si="3"/>
        <v>0</v>
      </c>
      <c r="K45" s="16" t="s">
        <v>266</v>
      </c>
      <c r="L45" s="102"/>
    </row>
    <row r="46" spans="1:12" s="19" customFormat="1" ht="78.75" outlineLevel="3">
      <c r="A46" s="211"/>
      <c r="B46" s="213" t="s">
        <v>279</v>
      </c>
      <c r="C46" s="54"/>
      <c r="D46" s="54"/>
      <c r="E46" s="54" t="s">
        <v>119</v>
      </c>
      <c r="F46" s="54"/>
      <c r="G46" s="54"/>
      <c r="H46" s="53" t="e">
        <f>J46/J31*100</f>
        <v>#DIV/0!</v>
      </c>
      <c r="I46" s="53"/>
      <c r="J46" s="53">
        <f>SUM(J47:J65)</f>
        <v>0</v>
      </c>
      <c r="K46" s="53"/>
      <c r="L46" s="101"/>
    </row>
    <row r="47" spans="1:12" s="19" customFormat="1" ht="47.25" outlineLevel="3">
      <c r="A47" s="204"/>
      <c r="B47" s="18" t="s">
        <v>146</v>
      </c>
      <c r="C47" s="15"/>
      <c r="D47" s="15" t="s">
        <v>184</v>
      </c>
      <c r="E47" s="15" t="s">
        <v>129</v>
      </c>
      <c r="F47" s="15"/>
      <c r="G47" s="15"/>
      <c r="H47" s="16">
        <f>33.93/3.77/3</f>
        <v>3</v>
      </c>
      <c r="I47" s="179">
        <f>VLOOKUP($B47,мат!$B$5:$I$35,6,0)</f>
        <v>0</v>
      </c>
      <c r="J47" s="16">
        <f t="shared" ref="J47:J52" si="4">ROUND(H47*I47,2)</f>
        <v>0</v>
      </c>
      <c r="K47" s="16" t="s">
        <v>161</v>
      </c>
      <c r="L47" s="101"/>
    </row>
    <row r="48" spans="1:12" s="19" customFormat="1" ht="31.5" outlineLevel="3">
      <c r="A48" s="204"/>
      <c r="B48" s="18" t="s">
        <v>156</v>
      </c>
      <c r="C48" s="15"/>
      <c r="D48" s="15" t="s">
        <v>194</v>
      </c>
      <c r="E48" s="15" t="s">
        <v>129</v>
      </c>
      <c r="F48" s="15"/>
      <c r="G48" s="15"/>
      <c r="H48" s="16">
        <v>4</v>
      </c>
      <c r="I48" s="179">
        <f>VLOOKUP($B48,мат!$B$5:$I$35,6,0)</f>
        <v>0</v>
      </c>
      <c r="J48" s="16">
        <f t="shared" si="4"/>
        <v>0</v>
      </c>
      <c r="K48" s="16" t="s">
        <v>200</v>
      </c>
      <c r="L48" s="101"/>
    </row>
    <row r="49" spans="1:12" s="19" customFormat="1" ht="31.5" outlineLevel="3">
      <c r="A49" s="134"/>
      <c r="B49" s="18" t="s">
        <v>226</v>
      </c>
      <c r="C49" s="136"/>
      <c r="D49" s="136" t="s">
        <v>195</v>
      </c>
      <c r="E49" s="136" t="s">
        <v>199</v>
      </c>
      <c r="F49" s="136"/>
      <c r="G49" s="136"/>
      <c r="H49" s="137">
        <f>1.42*4+3.41+0.64</f>
        <v>9.73</v>
      </c>
      <c r="I49" s="179">
        <f>VLOOKUP($B49,мат!$B$5:$I$35,6,0)</f>
        <v>0</v>
      </c>
      <c r="J49" s="137">
        <f t="shared" si="4"/>
        <v>0</v>
      </c>
      <c r="K49" s="137" t="s">
        <v>200</v>
      </c>
      <c r="L49" s="101"/>
    </row>
    <row r="50" spans="1:12" s="19" customFormat="1" ht="31.5" outlineLevel="3">
      <c r="A50" s="134"/>
      <c r="B50" s="18" t="s">
        <v>227</v>
      </c>
      <c r="C50" s="136"/>
      <c r="D50" s="136" t="s">
        <v>197</v>
      </c>
      <c r="E50" s="136" t="s">
        <v>199</v>
      </c>
      <c r="F50" s="136"/>
      <c r="G50" s="136"/>
      <c r="H50" s="137">
        <f>6.84+4.97</f>
        <v>11.81</v>
      </c>
      <c r="I50" s="179">
        <f>VLOOKUP($B50,мат!$B$5:$I$35,6,0)</f>
        <v>0</v>
      </c>
      <c r="J50" s="137">
        <f t="shared" si="4"/>
        <v>0</v>
      </c>
      <c r="K50" s="137" t="s">
        <v>200</v>
      </c>
      <c r="L50" s="101"/>
    </row>
    <row r="51" spans="1:12" s="19" customFormat="1" ht="47.25" outlineLevel="3">
      <c r="A51" s="134"/>
      <c r="B51" s="18" t="s">
        <v>196</v>
      </c>
      <c r="C51" s="136"/>
      <c r="D51" s="136" t="s">
        <v>198</v>
      </c>
      <c r="E51" s="136" t="s">
        <v>129</v>
      </c>
      <c r="F51" s="136"/>
      <c r="G51" s="136"/>
      <c r="H51" s="137">
        <v>1</v>
      </c>
      <c r="I51" s="179">
        <f>VLOOKUP($B51,мат!$B$5:$I$35,6,0)</f>
        <v>0</v>
      </c>
      <c r="J51" s="137">
        <f t="shared" si="4"/>
        <v>0</v>
      </c>
      <c r="K51" s="137" t="s">
        <v>200</v>
      </c>
      <c r="L51" s="101"/>
    </row>
    <row r="52" spans="1:12" s="19" customFormat="1" ht="31.5" outlineLevel="3">
      <c r="A52" s="134"/>
      <c r="B52" s="18" t="s">
        <v>243</v>
      </c>
      <c r="C52" s="136" t="s">
        <v>171</v>
      </c>
      <c r="D52" s="136" t="s">
        <v>170</v>
      </c>
      <c r="E52" s="136" t="s">
        <v>129</v>
      </c>
      <c r="F52" s="136"/>
      <c r="G52" s="136"/>
      <c r="H52" s="137">
        <f>(H39-1)*4</f>
        <v>32</v>
      </c>
      <c r="I52" s="179">
        <f>VLOOKUP($B52,мат!$B$5:$I$35,6,0)</f>
        <v>0</v>
      </c>
      <c r="J52" s="137">
        <f t="shared" si="4"/>
        <v>0</v>
      </c>
      <c r="K52" s="137" t="s">
        <v>155</v>
      </c>
      <c r="L52" s="101"/>
    </row>
    <row r="53" spans="1:12" s="19" customFormat="1" ht="31.5" outlineLevel="3">
      <c r="A53" s="134"/>
      <c r="B53" s="18" t="s">
        <v>244</v>
      </c>
      <c r="C53" s="136" t="s">
        <v>175</v>
      </c>
      <c r="D53" s="136" t="s">
        <v>174</v>
      </c>
      <c r="E53" s="136" t="s">
        <v>129</v>
      </c>
      <c r="F53" s="136"/>
      <c r="G53" s="136"/>
      <c r="H53" s="137">
        <f>2*H39</f>
        <v>18</v>
      </c>
      <c r="I53" s="179">
        <f>VLOOKUP($B53,мат!$B$5:$I$35,6,0)</f>
        <v>0</v>
      </c>
      <c r="J53" s="137">
        <f t="shared" si="3"/>
        <v>0</v>
      </c>
      <c r="K53" s="137" t="s">
        <v>155</v>
      </c>
      <c r="L53" s="101"/>
    </row>
    <row r="54" spans="1:12" s="19" customFormat="1" outlineLevel="3">
      <c r="A54" s="134"/>
      <c r="B54" s="18" t="s">
        <v>245</v>
      </c>
      <c r="C54" s="136" t="s">
        <v>177</v>
      </c>
      <c r="D54" s="136" t="s">
        <v>178</v>
      </c>
      <c r="E54" s="136" t="s">
        <v>129</v>
      </c>
      <c r="F54" s="136"/>
      <c r="G54" s="136"/>
      <c r="H54" s="137">
        <v>9</v>
      </c>
      <c r="I54" s="179">
        <f>VLOOKUP($B54,мат!$B$5:$I$35,6,0)</f>
        <v>0</v>
      </c>
      <c r="J54" s="137">
        <f t="shared" si="3"/>
        <v>0</v>
      </c>
      <c r="K54" s="137" t="s">
        <v>155</v>
      </c>
      <c r="L54" s="101"/>
    </row>
    <row r="55" spans="1:12" s="19" customFormat="1" ht="47.25" outlineLevel="3">
      <c r="A55" s="134"/>
      <c r="B55" s="18" t="s">
        <v>246</v>
      </c>
      <c r="C55" s="136" t="s">
        <v>169</v>
      </c>
      <c r="D55" s="136" t="s">
        <v>168</v>
      </c>
      <c r="E55" s="136" t="s">
        <v>129</v>
      </c>
      <c r="F55" s="136"/>
      <c r="G55" s="136"/>
      <c r="H55" s="137">
        <f>H39*2</f>
        <v>18</v>
      </c>
      <c r="I55" s="179">
        <f>VLOOKUP($B55,мат!$B$5:$I$35,6,0)</f>
        <v>0</v>
      </c>
      <c r="J55" s="137">
        <f t="shared" si="3"/>
        <v>0</v>
      </c>
      <c r="K55" s="137"/>
      <c r="L55" s="101"/>
    </row>
    <row r="56" spans="1:12" s="19" customFormat="1" ht="31.5" outlineLevel="3">
      <c r="A56" s="134"/>
      <c r="B56" s="18" t="s">
        <v>228</v>
      </c>
      <c r="C56" s="136"/>
      <c r="D56" s="136" t="s">
        <v>160</v>
      </c>
      <c r="E56" s="136" t="s">
        <v>147</v>
      </c>
      <c r="F56" s="136"/>
      <c r="G56" s="136"/>
      <c r="H56" s="137">
        <f>0.6*9</f>
        <v>5.4</v>
      </c>
      <c r="I56" s="179">
        <f>VLOOKUP($B56,мат!$B$5:$I$35,6,0)</f>
        <v>0</v>
      </c>
      <c r="J56" s="137">
        <f t="shared" si="3"/>
        <v>0</v>
      </c>
      <c r="K56" s="137" t="s">
        <v>161</v>
      </c>
      <c r="L56" s="101"/>
    </row>
    <row r="57" spans="1:12" s="19" customFormat="1" ht="31.5" outlineLevel="3">
      <c r="A57" s="134"/>
      <c r="B57" s="18" t="s">
        <v>229</v>
      </c>
      <c r="C57" s="136"/>
      <c r="D57" s="136" t="s">
        <v>182</v>
      </c>
      <c r="E57" s="136" t="s">
        <v>147</v>
      </c>
      <c r="F57" s="136"/>
      <c r="G57" s="136"/>
      <c r="H57" s="137">
        <f>2.52/1.26</f>
        <v>2</v>
      </c>
      <c r="I57" s="179">
        <f>VLOOKUP($B57,мат!$B$5:$I$35,6,0)</f>
        <v>0</v>
      </c>
      <c r="J57" s="137">
        <f t="shared" si="3"/>
        <v>0</v>
      </c>
      <c r="K57" s="137" t="s">
        <v>161</v>
      </c>
      <c r="L57" s="101"/>
    </row>
    <row r="58" spans="1:12" s="19" customFormat="1" ht="31.5" outlineLevel="3">
      <c r="A58" s="134"/>
      <c r="B58" s="18" t="s">
        <v>230</v>
      </c>
      <c r="C58" s="136"/>
      <c r="D58" s="136" t="s">
        <v>183</v>
      </c>
      <c r="E58" s="136" t="s">
        <v>147</v>
      </c>
      <c r="F58" s="136"/>
      <c r="G58" s="136"/>
      <c r="H58" s="137">
        <f>19.6/1.96</f>
        <v>10</v>
      </c>
      <c r="I58" s="179">
        <f>VLOOKUP($B58,мат!$B$5:$I$35,6,0)</f>
        <v>0</v>
      </c>
      <c r="J58" s="137">
        <f t="shared" si="3"/>
        <v>0</v>
      </c>
      <c r="K58" s="137" t="s">
        <v>161</v>
      </c>
      <c r="L58" s="101"/>
    </row>
    <row r="59" spans="1:12" s="19" customFormat="1" ht="47.25" outlineLevel="3">
      <c r="A59" s="134"/>
      <c r="B59" s="18" t="s">
        <v>152</v>
      </c>
      <c r="C59" s="136"/>
      <c r="D59" s="136" t="s">
        <v>193</v>
      </c>
      <c r="E59" s="136" t="s">
        <v>129</v>
      </c>
      <c r="F59" s="136"/>
      <c r="G59" s="136"/>
      <c r="H59" s="137">
        <v>9</v>
      </c>
      <c r="I59" s="179">
        <f>VLOOKUP($B59,мат!$B$5:$I$35,6,0)</f>
        <v>0</v>
      </c>
      <c r="J59" s="137">
        <f t="shared" si="3"/>
        <v>0</v>
      </c>
      <c r="K59" s="137" t="s">
        <v>161</v>
      </c>
      <c r="L59" s="101"/>
    </row>
    <row r="60" spans="1:12" s="19" customFormat="1" outlineLevel="3">
      <c r="A60" s="134"/>
      <c r="B60" s="18" t="s">
        <v>149</v>
      </c>
      <c r="C60" s="136" t="s">
        <v>162</v>
      </c>
      <c r="D60" s="136" t="s">
        <v>176</v>
      </c>
      <c r="E60" s="136" t="s">
        <v>147</v>
      </c>
      <c r="F60" s="136"/>
      <c r="G60" s="136"/>
      <c r="H60" s="137">
        <f>H39*0.5</f>
        <v>4.5</v>
      </c>
      <c r="I60" s="179">
        <f>VLOOKUP($B60,мат!$B$5:$I$35,6,0)</f>
        <v>0</v>
      </c>
      <c r="J60" s="137">
        <f t="shared" si="3"/>
        <v>0</v>
      </c>
      <c r="K60" s="137" t="s">
        <v>155</v>
      </c>
      <c r="L60" s="101"/>
    </row>
    <row r="61" spans="1:12" s="19" customFormat="1" ht="31.5" outlineLevel="3">
      <c r="A61" s="134"/>
      <c r="B61" s="79" t="s">
        <v>231</v>
      </c>
      <c r="C61" s="15"/>
      <c r="D61" s="15" t="s">
        <v>205</v>
      </c>
      <c r="E61" s="136" t="s">
        <v>199</v>
      </c>
      <c r="F61" s="136"/>
      <c r="G61" s="136"/>
      <c r="H61" s="137">
        <v>11.3</v>
      </c>
      <c r="I61" s="179">
        <f>VLOOKUP($B61,мат!$B$5:$I$35,6,0)</f>
        <v>0</v>
      </c>
      <c r="J61" s="137">
        <f t="shared" si="3"/>
        <v>0</v>
      </c>
      <c r="K61" s="137" t="s">
        <v>200</v>
      </c>
      <c r="L61" s="102"/>
    </row>
    <row r="62" spans="1:12" s="19" customFormat="1" ht="31.5" outlineLevel="3">
      <c r="A62" s="134"/>
      <c r="B62" s="79" t="s">
        <v>232</v>
      </c>
      <c r="C62" s="15"/>
      <c r="D62" s="15" t="s">
        <v>206</v>
      </c>
      <c r="E62" s="136" t="s">
        <v>199</v>
      </c>
      <c r="F62" s="136"/>
      <c r="G62" s="136"/>
      <c r="H62" s="137">
        <v>3.5</v>
      </c>
      <c r="I62" s="179">
        <f>VLOOKUP($B62,мат!$B$5:$I$35,6,0)</f>
        <v>0</v>
      </c>
      <c r="J62" s="137">
        <f t="shared" si="3"/>
        <v>0</v>
      </c>
      <c r="K62" s="137" t="s">
        <v>200</v>
      </c>
      <c r="L62" s="102"/>
    </row>
    <row r="63" spans="1:12" s="19" customFormat="1" ht="31.5" outlineLevel="3">
      <c r="A63" s="134"/>
      <c r="B63" s="79" t="s">
        <v>202</v>
      </c>
      <c r="C63" s="15"/>
      <c r="D63" s="15" t="s">
        <v>207</v>
      </c>
      <c r="E63" s="136" t="s">
        <v>199</v>
      </c>
      <c r="F63" s="136"/>
      <c r="G63" s="136"/>
      <c r="H63" s="137">
        <v>0.3</v>
      </c>
      <c r="I63" s="179">
        <f>VLOOKUP($B63,мат!$B$5:$I$35,6,0)</f>
        <v>0</v>
      </c>
      <c r="J63" s="137">
        <f t="shared" si="3"/>
        <v>0</v>
      </c>
      <c r="K63" s="137" t="s">
        <v>200</v>
      </c>
      <c r="L63" s="102"/>
    </row>
    <row r="64" spans="1:12" s="19" customFormat="1" ht="31.5" outlineLevel="3">
      <c r="A64" s="134"/>
      <c r="B64" s="79" t="s">
        <v>203</v>
      </c>
      <c r="C64" s="15"/>
      <c r="D64" s="15" t="s">
        <v>208</v>
      </c>
      <c r="E64" s="136" t="s">
        <v>199</v>
      </c>
      <c r="F64" s="136"/>
      <c r="G64" s="136"/>
      <c r="H64" s="137">
        <v>0.1</v>
      </c>
      <c r="I64" s="179">
        <f>VLOOKUP($B64,мат!$B$5:$I$35,6,0)</f>
        <v>0</v>
      </c>
      <c r="J64" s="137">
        <f t="shared" si="3"/>
        <v>0</v>
      </c>
      <c r="K64" s="137" t="s">
        <v>200</v>
      </c>
      <c r="L64" s="102"/>
    </row>
    <row r="65" spans="1:12" s="19" customFormat="1" ht="31.5" outlineLevel="3">
      <c r="A65" s="134"/>
      <c r="B65" s="79" t="s">
        <v>204</v>
      </c>
      <c r="C65" s="15"/>
      <c r="D65" s="15"/>
      <c r="E65" s="136" t="s">
        <v>199</v>
      </c>
      <c r="F65" s="136"/>
      <c r="G65" s="136"/>
      <c r="H65" s="137">
        <f>0.05+0.225</f>
        <v>0.28000000000000003</v>
      </c>
      <c r="I65" s="179">
        <f>VLOOKUP($B65,мат!$B$5:$I$35,6,0)</f>
        <v>0</v>
      </c>
      <c r="J65" s="137">
        <f t="shared" si="3"/>
        <v>0</v>
      </c>
      <c r="K65" s="137" t="s">
        <v>210</v>
      </c>
      <c r="L65" s="102"/>
    </row>
    <row r="66" spans="1:12" s="19" customFormat="1" outlineLevel="1">
      <c r="A66" s="119" t="s">
        <v>135</v>
      </c>
      <c r="B66" s="120" t="s">
        <v>106</v>
      </c>
      <c r="C66" s="121"/>
      <c r="D66" s="121"/>
      <c r="E66" s="121"/>
      <c r="F66" s="121"/>
      <c r="G66" s="121"/>
      <c r="H66" s="121"/>
      <c r="I66" s="61"/>
      <c r="J66" s="60"/>
      <c r="K66" s="122"/>
    </row>
    <row r="67" spans="1:12" s="19" customFormat="1" outlineLevel="2">
      <c r="A67" s="123" t="s">
        <v>136</v>
      </c>
      <c r="B67" s="124" t="s">
        <v>106</v>
      </c>
      <c r="C67" s="125"/>
      <c r="D67" s="125"/>
      <c r="E67" s="125"/>
      <c r="F67" s="125"/>
      <c r="G67" s="125"/>
      <c r="H67" s="125"/>
      <c r="I67" s="126"/>
      <c r="J67" s="90">
        <f>J68+J70</f>
        <v>0</v>
      </c>
      <c r="K67" s="127"/>
    </row>
    <row r="68" spans="1:12" s="19" customFormat="1" outlineLevel="3">
      <c r="A68" s="142"/>
      <c r="B68" s="129" t="s">
        <v>8</v>
      </c>
      <c r="C68" s="117"/>
      <c r="D68" s="117"/>
      <c r="E68" s="117"/>
      <c r="F68" s="117"/>
      <c r="G68" s="117"/>
      <c r="H68" s="130"/>
      <c r="I68" s="130"/>
      <c r="J68" s="130">
        <f>J69</f>
        <v>0</v>
      </c>
      <c r="K68" s="130"/>
    </row>
    <row r="69" spans="1:12" s="19" customFormat="1">
      <c r="A69" s="143"/>
      <c r="B69" s="144" t="s">
        <v>115</v>
      </c>
      <c r="C69" s="132"/>
      <c r="D69" s="132"/>
      <c r="E69" s="132" t="s">
        <v>45</v>
      </c>
      <c r="F69" s="132"/>
      <c r="G69" s="132"/>
      <c r="H69" s="133">
        <v>1</v>
      </c>
      <c r="I69" s="50">
        <f>VLOOKUP($B69,смр!$B$5:$G$13,4,0)</f>
        <v>0</v>
      </c>
      <c r="J69" s="133">
        <f>ROUND(I69*H69,2)</f>
        <v>0</v>
      </c>
      <c r="K69" s="118"/>
    </row>
    <row r="70" spans="1:12" s="19" customFormat="1" outlineLevel="3">
      <c r="A70" s="141"/>
      <c r="B70" s="135" t="s">
        <v>9</v>
      </c>
      <c r="C70" s="136"/>
      <c r="D70" s="136"/>
      <c r="E70" s="136"/>
      <c r="F70" s="136"/>
      <c r="G70" s="136"/>
      <c r="H70" s="137"/>
      <c r="I70" s="137"/>
      <c r="J70" s="138">
        <f>SUM(J71)</f>
        <v>0</v>
      </c>
      <c r="K70" s="138"/>
    </row>
    <row r="71" spans="1:12" s="19" customFormat="1" outlineLevel="3">
      <c r="A71" s="141"/>
      <c r="B71" s="139" t="s">
        <v>107</v>
      </c>
      <c r="C71" s="136"/>
      <c r="D71" s="136"/>
      <c r="E71" s="136"/>
      <c r="F71" s="136"/>
      <c r="G71" s="136"/>
      <c r="H71" s="137"/>
      <c r="I71" s="137"/>
      <c r="J71" s="137">
        <f>ROUND(H71*I71,2)</f>
        <v>0</v>
      </c>
      <c r="K71" s="137"/>
    </row>
    <row r="72" spans="1:12">
      <c r="A72" s="145"/>
      <c r="B72" s="221" t="s">
        <v>268</v>
      </c>
      <c r="C72" s="222"/>
      <c r="D72" s="222"/>
      <c r="E72" s="222"/>
      <c r="F72" s="222"/>
      <c r="G72" s="222"/>
      <c r="H72" s="222"/>
      <c r="I72" s="223"/>
      <c r="J72" s="60">
        <f>J17+J67+J30</f>
        <v>0</v>
      </c>
      <c r="K72" s="61"/>
    </row>
    <row r="73" spans="1:12">
      <c r="A73" s="146"/>
      <c r="B73" s="224" t="s">
        <v>10</v>
      </c>
      <c r="C73" s="225"/>
      <c r="D73" s="225"/>
      <c r="E73" s="225"/>
      <c r="F73" s="225"/>
      <c r="G73" s="225"/>
      <c r="H73" s="225"/>
      <c r="I73" s="226"/>
      <c r="J73" s="63">
        <f>J18+J68+J31</f>
        <v>0</v>
      </c>
      <c r="K73" s="63"/>
    </row>
    <row r="74" spans="1:12">
      <c r="A74" s="146"/>
      <c r="B74" s="224" t="s">
        <v>11</v>
      </c>
      <c r="C74" s="225"/>
      <c r="D74" s="225"/>
      <c r="E74" s="225"/>
      <c r="F74" s="225"/>
      <c r="G74" s="225"/>
      <c r="H74" s="225"/>
      <c r="I74" s="226"/>
      <c r="J74" s="63">
        <f>J23+J70+J38</f>
        <v>0</v>
      </c>
      <c r="K74" s="63"/>
    </row>
    <row r="75" spans="1:12">
      <c r="A75" s="146"/>
      <c r="B75" s="224" t="s">
        <v>269</v>
      </c>
      <c r="C75" s="225"/>
      <c r="D75" s="225"/>
      <c r="E75" s="225"/>
      <c r="F75" s="225"/>
      <c r="G75" s="225"/>
      <c r="H75" s="225"/>
      <c r="I75" s="226"/>
      <c r="J75" s="63"/>
      <c r="K75" s="63"/>
    </row>
    <row r="76" spans="1:12">
      <c r="A76" s="147"/>
    </row>
    <row r="79" spans="1:12">
      <c r="A79" s="227" t="s">
        <v>143</v>
      </c>
      <c r="B79" s="227"/>
      <c r="C79" s="227"/>
      <c r="D79" s="227"/>
      <c r="E79" s="227"/>
      <c r="F79" s="227"/>
      <c r="G79" s="227"/>
      <c r="H79" s="227"/>
      <c r="I79" s="227"/>
      <c r="J79" s="227"/>
      <c r="K79" s="197"/>
    </row>
    <row r="80" spans="1:12">
      <c r="A80" s="162" t="s">
        <v>142</v>
      </c>
      <c r="B80" s="162"/>
      <c r="C80" s="162"/>
      <c r="D80" s="162"/>
      <c r="E80" s="162"/>
      <c r="F80" s="162"/>
      <c r="G80" s="162"/>
      <c r="H80" s="162"/>
      <c r="I80" s="162"/>
      <c r="J80" s="162"/>
      <c r="K80" s="162"/>
    </row>
    <row r="81" spans="1:11" ht="38.25" customHeight="1">
      <c r="A81" s="219" t="s">
        <v>141</v>
      </c>
      <c r="B81" s="219"/>
      <c r="C81" s="219"/>
      <c r="D81" s="219"/>
      <c r="E81" s="219"/>
      <c r="F81" s="219"/>
      <c r="G81" s="219"/>
      <c r="H81" s="219"/>
      <c r="I81" s="219"/>
      <c r="J81" s="219"/>
      <c r="K81" s="219"/>
    </row>
    <row r="82" spans="1:11">
      <c r="A82" s="162" t="s">
        <v>241</v>
      </c>
      <c r="B82" s="20"/>
      <c r="C82" s="198"/>
      <c r="D82" s="198"/>
      <c r="E82" s="198"/>
      <c r="F82" s="198"/>
      <c r="G82" s="198"/>
      <c r="H82" s="198"/>
      <c r="I82" s="198"/>
      <c r="J82" s="198"/>
      <c r="K82" s="197"/>
    </row>
    <row r="83" spans="1:11">
      <c r="A83" s="162" t="s">
        <v>242</v>
      </c>
      <c r="B83" s="20"/>
      <c r="C83" s="198"/>
      <c r="D83" s="198"/>
      <c r="E83" s="198"/>
      <c r="F83" s="198"/>
      <c r="G83" s="198"/>
      <c r="H83" s="198"/>
      <c r="I83" s="198"/>
      <c r="J83" s="198"/>
      <c r="K83" s="197"/>
    </row>
    <row r="84" spans="1:11">
      <c r="A84" s="171" t="s">
        <v>211</v>
      </c>
    </row>
    <row r="85" spans="1:11">
      <c r="A85" s="218" t="s">
        <v>212</v>
      </c>
      <c r="B85" s="218"/>
      <c r="C85" s="218"/>
      <c r="D85" s="218"/>
      <c r="E85" s="218"/>
      <c r="F85" s="218"/>
      <c r="G85" s="218"/>
      <c r="H85" s="218"/>
      <c r="I85" s="218"/>
      <c r="J85" s="218"/>
      <c r="K85" s="218"/>
    </row>
  </sheetData>
  <mergeCells count="9">
    <mergeCell ref="A85:K85"/>
    <mergeCell ref="A81:K81"/>
    <mergeCell ref="A10:K10"/>
    <mergeCell ref="B72:I72"/>
    <mergeCell ref="B73:I73"/>
    <mergeCell ref="B74:I74"/>
    <mergeCell ref="A79:J79"/>
    <mergeCell ref="B75:I75"/>
    <mergeCell ref="A11:K11"/>
  </mergeCells>
  <phoneticPr fontId="14" type="noConversion"/>
  <conditionalFormatting sqref="B85">
    <cfRule type="duplicateValues" dxfId="2" priority="1"/>
  </conditionalFormatting>
  <pageMargins left="0.7" right="0.7" top="0.75" bottom="0.75" header="0.3" footer="0.3"/>
  <pageSetup scale="33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2D158-726E-41C9-8FC1-CD1980C059EC}">
  <dimension ref="A1:P20"/>
  <sheetViews>
    <sheetView workbookViewId="0">
      <selection activeCell="E5" sqref="E5:E13"/>
    </sheetView>
  </sheetViews>
  <sheetFormatPr defaultRowHeight="15" customHeight="1"/>
  <cols>
    <col min="1" max="1" width="9.140625" style="189"/>
    <col min="2" max="2" width="78.5703125" style="189" customWidth="1"/>
    <col min="3" max="6" width="16.28515625" style="189" customWidth="1"/>
    <col min="7" max="7" width="30" style="196" customWidth="1"/>
    <col min="8" max="16384" width="9.140625" style="189"/>
  </cols>
  <sheetData>
    <row r="1" spans="1:10" ht="15" customHeight="1">
      <c r="A1" s="104"/>
      <c r="B1" s="20"/>
      <c r="C1" s="162"/>
      <c r="D1" s="103"/>
      <c r="E1" s="180"/>
      <c r="F1" s="181"/>
      <c r="G1" s="183"/>
    </row>
    <row r="2" spans="1:10" ht="15" customHeight="1">
      <c r="A2" s="230" t="s">
        <v>23</v>
      </c>
      <c r="B2" s="230"/>
      <c r="C2" s="230"/>
      <c r="D2" s="230"/>
      <c r="E2" s="230"/>
      <c r="F2" s="230"/>
      <c r="G2" s="230"/>
    </row>
    <row r="3" spans="1:10" ht="15" customHeight="1">
      <c r="A3" s="104"/>
      <c r="B3" s="20"/>
      <c r="C3" s="162"/>
      <c r="D3" s="103"/>
      <c r="E3" s="180"/>
      <c r="F3" s="180"/>
      <c r="G3" s="183"/>
    </row>
    <row r="4" spans="1:10" ht="15" customHeight="1">
      <c r="A4" s="156" t="s">
        <v>213</v>
      </c>
      <c r="B4" s="54" t="s">
        <v>1</v>
      </c>
      <c r="C4" s="54" t="s">
        <v>2</v>
      </c>
      <c r="D4" s="53" t="s">
        <v>13</v>
      </c>
      <c r="E4" s="53" t="s">
        <v>214</v>
      </c>
      <c r="F4" s="53" t="s">
        <v>5</v>
      </c>
      <c r="G4" s="53" t="s">
        <v>6</v>
      </c>
    </row>
    <row r="5" spans="1:10" ht="15" customHeight="1">
      <c r="A5" s="182" t="s">
        <v>215</v>
      </c>
      <c r="B5" s="157" t="s">
        <v>157</v>
      </c>
      <c r="C5" s="158" t="str">
        <f>VLOOKUP($B5,ЛСР!$B$13:$K$71,4,0)</f>
        <v>м.п.</v>
      </c>
      <c r="D5" s="159">
        <f>SUMIF(ЛСР!$B$13:$B$71,B5,ЛСР!$H$13:$H$71)</f>
        <v>300.83999999999997</v>
      </c>
      <c r="E5" s="83"/>
      <c r="F5" s="160">
        <f>ROUND(E5*D5,2)</f>
        <v>0</v>
      </c>
      <c r="G5" s="154">
        <f>VLOOKUP($B5,ЛСР!$B$13:$K$71,10,0)</f>
        <v>0</v>
      </c>
    </row>
    <row r="6" spans="1:10" ht="15.75">
      <c r="A6" s="182" t="s">
        <v>216</v>
      </c>
      <c r="B6" s="157" t="s">
        <v>130</v>
      </c>
      <c r="C6" s="158" t="str">
        <f>VLOOKUP($B6,ЛСР!$B$13:$K$71,4,0)</f>
        <v>м.п.</v>
      </c>
      <c r="D6" s="159">
        <f>SUMIF(ЛСР!$B$13:$B$71,B6,ЛСР!$H$13:$H$71)</f>
        <v>318.83999999999997</v>
      </c>
      <c r="E6" s="83"/>
      <c r="F6" s="160">
        <f t="shared" ref="F6:F7" si="0">ROUND(E6*D6,2)</f>
        <v>0</v>
      </c>
      <c r="G6" s="154">
        <f>VLOOKUP($B6,ЛСР!$B$13:$K$71,10,0)</f>
        <v>0</v>
      </c>
    </row>
    <row r="7" spans="1:10" ht="15" customHeight="1">
      <c r="A7" s="182" t="s">
        <v>219</v>
      </c>
      <c r="B7" s="157" t="s">
        <v>233</v>
      </c>
      <c r="C7" s="158" t="str">
        <f>VLOOKUP($B7,ЛСР!$B$13:$K$71,4,0)</f>
        <v>м3</v>
      </c>
      <c r="D7" s="159">
        <f>SUMIF(ЛСР!$B$13:$B$71,B7,ЛСР!$H$13:$H$71)</f>
        <v>85.45</v>
      </c>
      <c r="E7" s="83"/>
      <c r="F7" s="160">
        <f t="shared" si="0"/>
        <v>0</v>
      </c>
      <c r="G7" s="154" t="str">
        <f>VLOOKUP($B7,ЛСР!$B$13:$K$71,10,0)</f>
        <v>траншея тип Т-1, Т-1,1</v>
      </c>
    </row>
    <row r="8" spans="1:10" ht="15" customHeight="1">
      <c r="A8" s="182" t="s">
        <v>220</v>
      </c>
      <c r="B8" s="157" t="s">
        <v>234</v>
      </c>
      <c r="C8" s="158" t="str">
        <f>VLOOKUP($B8,ЛСР!$B$13:$K$71,4,0)</f>
        <v>м3</v>
      </c>
      <c r="D8" s="159">
        <f>SUMIF(ЛСР!$B$13:$B$71,B8,ЛСР!$H$13:$H$71)</f>
        <v>85.45</v>
      </c>
      <c r="E8" s="83"/>
      <c r="F8" s="160">
        <f t="shared" ref="F8:F9" si="1">ROUND(E8*D8,2)</f>
        <v>0</v>
      </c>
      <c r="G8" s="154" t="str">
        <f>VLOOKUP($B8,ЛСР!$B$13:$K$71,10,0)</f>
        <v>грунт/песок</v>
      </c>
    </row>
    <row r="9" spans="1:10" ht="15" customHeight="1">
      <c r="A9" s="182" t="s">
        <v>217</v>
      </c>
      <c r="B9" s="157" t="s">
        <v>238</v>
      </c>
      <c r="C9" s="158" t="str">
        <f>VLOOKUP($B9,ЛСР!$B$13:$K$71,4,0)</f>
        <v>шт</v>
      </c>
      <c r="D9" s="159">
        <f>SUMIF(ЛСР!$B$13:$B$71,B9,ЛСР!$H$13:$H$71)</f>
        <v>9</v>
      </c>
      <c r="E9" s="83"/>
      <c r="F9" s="160">
        <f t="shared" si="1"/>
        <v>0</v>
      </c>
      <c r="G9" s="154">
        <f>VLOOKUP($B9,ЛСР!$B$13:$K$71,10,0)</f>
        <v>0</v>
      </c>
    </row>
    <row r="10" spans="1:10" ht="15" customHeight="1">
      <c r="A10" s="182" t="s">
        <v>221</v>
      </c>
      <c r="B10" s="157" t="s">
        <v>235</v>
      </c>
      <c r="C10" s="158" t="str">
        <f>VLOOKUP($B10,ЛСР!$B$13:$K$71,4,0)</f>
        <v>шт</v>
      </c>
      <c r="D10" s="159">
        <f>SUMIF(ЛСР!$B$13:$B$71,B10,ЛСР!$H$13:$H$71)</f>
        <v>9</v>
      </c>
      <c r="E10" s="83"/>
      <c r="F10" s="160">
        <f t="shared" ref="F10:F13" si="2">ROUND(E10*D10,2)</f>
        <v>0</v>
      </c>
      <c r="G10" s="154">
        <f>VLOOKUP($B10,ЛСР!$B$13:$K$71,10,0)</f>
        <v>0</v>
      </c>
    </row>
    <row r="11" spans="1:10" ht="15" customHeight="1">
      <c r="A11" s="182" t="s">
        <v>218</v>
      </c>
      <c r="B11" s="157" t="s">
        <v>236</v>
      </c>
      <c r="C11" s="158" t="str">
        <f>VLOOKUP($B11,ЛСР!$B$13:$K$71,4,0)</f>
        <v>шт</v>
      </c>
      <c r="D11" s="159">
        <f>SUMIF(ЛСР!$B$13:$B$71,B11,ЛСР!$H$13:$H$71)</f>
        <v>9</v>
      </c>
      <c r="E11" s="83"/>
      <c r="F11" s="160">
        <f t="shared" si="2"/>
        <v>0</v>
      </c>
      <c r="G11" s="154">
        <f>VLOOKUP($B11,ЛСР!$B$13:$K$71,10,0)</f>
        <v>0</v>
      </c>
    </row>
    <row r="12" spans="1:10" ht="15.75">
      <c r="A12" s="182" t="s">
        <v>239</v>
      </c>
      <c r="B12" s="157" t="s">
        <v>139</v>
      </c>
      <c r="C12" s="158" t="str">
        <f>VLOOKUP($B12,ЛСР!$B$13:$K$71,4,0)</f>
        <v>шт</v>
      </c>
      <c r="D12" s="159">
        <f>SUMIF(ЛСР!$B$13:$B$71,B12,ЛСР!$H$13:$H$71)</f>
        <v>1</v>
      </c>
      <c r="E12" s="83"/>
      <c r="F12" s="160">
        <f t="shared" si="2"/>
        <v>0</v>
      </c>
      <c r="G12" s="154" t="str">
        <f>VLOOKUP($B12,ЛСР!$B$13:$K$71,10,0)</f>
        <v>в т.ч. фундамент ШУО</v>
      </c>
    </row>
    <row r="13" spans="1:10" ht="15" customHeight="1">
      <c r="A13" s="182" t="s">
        <v>240</v>
      </c>
      <c r="B13" s="157" t="s">
        <v>115</v>
      </c>
      <c r="C13" s="158" t="str">
        <f>VLOOKUP($B13,ЛСР!$B$13:$K$71,4,0)</f>
        <v>комплекс</v>
      </c>
      <c r="D13" s="159">
        <f>SUMIF(ЛСР!$B$13:$B$71,B13,ЛСР!$H$13:$H$71)</f>
        <v>1</v>
      </c>
      <c r="E13" s="83"/>
      <c r="F13" s="160">
        <f t="shared" si="2"/>
        <v>0</v>
      </c>
      <c r="G13" s="154">
        <f>VLOOKUP($B13,ЛСР!$B$13:$K$71,10,0)</f>
        <v>0</v>
      </c>
    </row>
    <row r="14" spans="1:10" ht="15" customHeight="1">
      <c r="A14" s="89"/>
      <c r="B14" s="231" t="s">
        <v>222</v>
      </c>
      <c r="C14" s="232"/>
      <c r="D14" s="232"/>
      <c r="E14" s="233"/>
      <c r="F14" s="161">
        <f>SUM(F5:F13)</f>
        <v>0</v>
      </c>
      <c r="G14" s="11"/>
    </row>
    <row r="15" spans="1:10" ht="15" customHeight="1">
      <c r="E15" s="201" t="s">
        <v>225</v>
      </c>
      <c r="F15" s="184">
        <f>F14-ЛСР!J73</f>
        <v>0</v>
      </c>
    </row>
    <row r="16" spans="1:10" ht="15" customHeight="1">
      <c r="A16" s="234"/>
      <c r="B16" s="234"/>
      <c r="C16" s="234"/>
      <c r="D16" s="234"/>
      <c r="E16" s="234"/>
      <c r="F16" s="234"/>
      <c r="G16" s="234"/>
      <c r="H16" s="234"/>
      <c r="I16" s="234"/>
      <c r="J16" s="234"/>
    </row>
    <row r="17" spans="1:16" ht="15" customHeight="1">
      <c r="A17" s="218"/>
      <c r="B17" s="218"/>
      <c r="C17" s="218"/>
      <c r="D17" s="218"/>
      <c r="E17" s="218"/>
      <c r="F17" s="218"/>
      <c r="G17" s="218"/>
      <c r="H17" s="218"/>
      <c r="I17" s="218"/>
      <c r="J17" s="218"/>
      <c r="K17" s="218"/>
    </row>
    <row r="18" spans="1:16" ht="15" customHeight="1">
      <c r="A18" s="218"/>
      <c r="B18" s="218"/>
      <c r="C18" s="218"/>
      <c r="D18" s="218"/>
      <c r="E18" s="218"/>
      <c r="F18" s="218"/>
      <c r="G18" s="218"/>
      <c r="H18" s="107"/>
      <c r="I18" s="107"/>
      <c r="J18" s="107"/>
      <c r="K18" s="107"/>
    </row>
    <row r="19" spans="1:16" ht="15" customHeight="1">
      <c r="A19" s="171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20"/>
      <c r="M19" s="20"/>
      <c r="N19" s="199"/>
      <c r="O19" s="199"/>
      <c r="P19" s="199"/>
    </row>
    <row r="20" spans="1:16" ht="15" customHeight="1">
      <c r="A20" s="218"/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00"/>
      <c r="M20" s="200"/>
      <c r="N20" s="200"/>
      <c r="O20" s="200"/>
      <c r="P20" s="200"/>
    </row>
  </sheetData>
  <mergeCells count="6">
    <mergeCell ref="A20:K20"/>
    <mergeCell ref="A2:G2"/>
    <mergeCell ref="B14:E14"/>
    <mergeCell ref="A16:J16"/>
    <mergeCell ref="A17:K17"/>
    <mergeCell ref="A18:G18"/>
  </mergeCells>
  <phoneticPr fontId="14" type="noConversion"/>
  <conditionalFormatting sqref="B19:B1048576 B1:B17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3D0A1-9BAC-477E-942C-71ACFC3DFD2F}">
  <dimension ref="A2:P42"/>
  <sheetViews>
    <sheetView topLeftCell="A22" zoomScale="70" zoomScaleNormal="70" workbookViewId="0">
      <selection activeCell="H30" sqref="H30"/>
    </sheetView>
  </sheetViews>
  <sheetFormatPr defaultRowHeight="15.75" outlineLevelRow="3"/>
  <cols>
    <col min="1" max="1" width="13.140625" style="175" customWidth="1"/>
    <col min="2" max="2" width="45.7109375" style="176" customWidth="1"/>
    <col min="3" max="3" width="26.28515625" style="163" customWidth="1"/>
    <col min="4" max="4" width="39.5703125" style="176" customWidth="1"/>
    <col min="5" max="5" width="15.85546875" style="163" bestFit="1" customWidth="1"/>
    <col min="6" max="6" width="19.42578125" style="177" customWidth="1"/>
    <col min="7" max="7" width="19.5703125" style="155" customWidth="1"/>
    <col min="8" max="8" width="24.7109375" style="178" customWidth="1"/>
    <col min="9" max="9" width="36.42578125" style="163" customWidth="1"/>
    <col min="10" max="16384" width="9.140625" style="163"/>
  </cols>
  <sheetData>
    <row r="2" spans="1:9">
      <c r="A2" s="235" t="s">
        <v>24</v>
      </c>
      <c r="B2" s="235"/>
      <c r="C2" s="235"/>
      <c r="D2" s="235"/>
      <c r="E2" s="235"/>
      <c r="F2" s="235"/>
      <c r="G2" s="235"/>
      <c r="H2" s="235"/>
      <c r="I2" s="235"/>
    </row>
    <row r="4" spans="1:9">
      <c r="A4" s="156" t="s">
        <v>213</v>
      </c>
      <c r="B4" s="164" t="s">
        <v>1</v>
      </c>
      <c r="C4" s="165" t="s">
        <v>124</v>
      </c>
      <c r="D4" s="165" t="s">
        <v>125</v>
      </c>
      <c r="E4" s="165" t="s">
        <v>2</v>
      </c>
      <c r="F4" s="166" t="s">
        <v>223</v>
      </c>
      <c r="G4" s="167" t="s">
        <v>4</v>
      </c>
      <c r="H4" s="167" t="s">
        <v>5</v>
      </c>
      <c r="I4" s="53" t="s">
        <v>6</v>
      </c>
    </row>
    <row r="5" spans="1:9" s="171" customFormat="1" ht="47.25" outlineLevel="3">
      <c r="A5" s="153" t="s">
        <v>215</v>
      </c>
      <c r="B5" s="139" t="s">
        <v>158</v>
      </c>
      <c r="C5" s="158" t="str">
        <f>VLOOKUP($B5,ЛСР!$B$13:$K$71,2,0)</f>
        <v>ЭЛЕКТРОКОР ФЛЕКС</v>
      </c>
      <c r="D5" s="168" t="str">
        <f>VLOOKUP($B5,ЛСР!$B$13:$K$71,3,0)</f>
        <v>Труба гибкая гофрированная, полимерная, наружный диаметр ∅63мм, стойкость к сжатию 450 Н</v>
      </c>
      <c r="E5" s="158" t="str">
        <f>VLOOKUP($B5,ЛСР!$B$13:$K$71,4,0)</f>
        <v>м.п.</v>
      </c>
      <c r="F5" s="169">
        <f>SUMIF(ЛСР!$B$13:$B$71,B5,ЛСР!$H$13:$H$71)</f>
        <v>300.83999999999997</v>
      </c>
      <c r="G5" s="170"/>
      <c r="H5" s="170">
        <f>ROUND(G5*F5,2)</f>
        <v>0</v>
      </c>
      <c r="I5" s="154" t="str">
        <f>VLOOKUP($B5,ЛСР!$B$13:$K$71,10,0)</f>
        <v>для прокладки кабеля в земле</v>
      </c>
    </row>
    <row r="6" spans="1:9" s="171" customFormat="1" outlineLevel="3">
      <c r="A6" s="153" t="s">
        <v>216</v>
      </c>
      <c r="B6" s="139" t="s">
        <v>138</v>
      </c>
      <c r="C6" s="158" t="str">
        <f>VLOOKUP($B6,ЛСР!$B$13:$K$71,2,0)</f>
        <v>АВБШв</v>
      </c>
      <c r="D6" s="168" t="str">
        <f>VLOOKUP($B6,ЛСР!$B$13:$K$71,3,0)</f>
        <v>4х25</v>
      </c>
      <c r="E6" s="158" t="str">
        <f>VLOOKUP($B6,ЛСР!$B$13:$K$71,4,0)</f>
        <v>м.п.</v>
      </c>
      <c r="F6" s="169">
        <f>SUMIF(ЛСР!$B$13:$B$71,B6,ЛСР!$H$13:$H$71)</f>
        <v>318.83999999999997</v>
      </c>
      <c r="G6" s="170"/>
      <c r="H6" s="170">
        <f t="shared" ref="H6:H35" si="0">ROUND(G6*F6,2)</f>
        <v>0</v>
      </c>
      <c r="I6" s="154" t="str">
        <f>VLOOKUP($B6,ЛСР!$B$13:$K$71,10,0)</f>
        <v>в траншее</v>
      </c>
    </row>
    <row r="7" spans="1:9" s="1" customFormat="1" outlineLevel="3">
      <c r="A7" s="182" t="s">
        <v>219</v>
      </c>
      <c r="B7" s="18" t="s">
        <v>270</v>
      </c>
      <c r="C7" s="214" t="str">
        <f>VLOOKUP($B7,ЛСР!$B$13:$K$71,2,0)</f>
        <v>ЛСЭ-250</v>
      </c>
      <c r="D7" s="215" t="str">
        <f>VLOOKUP($B7,ЛСР!$B$13:$K$71,3,0)</f>
        <v>"Осторожно кабель" 250 мм</v>
      </c>
      <c r="E7" s="214" t="str">
        <f>VLOOKUP($B7,ЛСР!$B$13:$K$71,4,0)</f>
        <v>м.п.</v>
      </c>
      <c r="F7" s="216">
        <f>SUMIF(ЛСР!$B$13:$B$71,B7,ЛСР!$H$13:$H$71)</f>
        <v>300.83999999999997</v>
      </c>
      <c r="G7" s="170"/>
      <c r="H7" s="217">
        <f t="shared" ref="H7" si="1">ROUND(G7*F7,2)</f>
        <v>0</v>
      </c>
      <c r="I7" s="82" t="str">
        <f>VLOOKUP($B7,ЛСР!$B$13:$K$71,10,0)</f>
        <v>в траншее</v>
      </c>
    </row>
    <row r="8" spans="1:9" s="1" customFormat="1" outlineLevel="3">
      <c r="A8" s="182" t="s">
        <v>220</v>
      </c>
      <c r="B8" s="18" t="s">
        <v>271</v>
      </c>
      <c r="C8" s="214" t="str">
        <f>VLOOKUP($B8,ЛСР!$B$13:$K$71,2,0)</f>
        <v>УКПТ 75/20</v>
      </c>
      <c r="D8" s="215">
        <f>VLOOKUP($B8,ЛСР!$B$13:$K$71,3,0)</f>
        <v>0</v>
      </c>
      <c r="E8" s="214" t="str">
        <f>VLOOKUP($B8,ЛСР!$B$13:$K$71,4,0)</f>
        <v>шт.</v>
      </c>
      <c r="F8" s="216">
        <f>SUMIF(ЛСР!$B$13:$B$71,B8,ЛСР!$H$13:$H$71)</f>
        <v>20</v>
      </c>
      <c r="G8" s="170"/>
      <c r="H8" s="217">
        <f t="shared" ref="H8:H9" si="2">ROUND(G8*F8,2)</f>
        <v>0</v>
      </c>
      <c r="I8" s="82">
        <f>VLOOKUP($B8,ЛСР!$B$13:$K$71,10,0)</f>
        <v>0</v>
      </c>
    </row>
    <row r="9" spans="1:9" s="1" customFormat="1" ht="31.5" outlineLevel="3">
      <c r="A9" s="182" t="s">
        <v>217</v>
      </c>
      <c r="B9" s="18" t="s">
        <v>57</v>
      </c>
      <c r="C9" s="214">
        <f>VLOOKUP($B9,ЛСР!$B$13:$K$71,2,0)</f>
        <v>0</v>
      </c>
      <c r="D9" s="215" t="str">
        <f>VLOOKUP($B9,ЛСР!$B$13:$K$71,3,0)</f>
        <v>Песок строительный, привозной, карьерный; ГОСТ 8736-93</v>
      </c>
      <c r="E9" s="214" t="str">
        <f>VLOOKUP($B9,ЛСР!$B$13:$K$71,4,0)</f>
        <v>м3</v>
      </c>
      <c r="F9" s="216">
        <f>SUMIF(ЛСР!$B$13:$B$71,B9,ЛСР!$H$13:$H$71)</f>
        <v>32.58</v>
      </c>
      <c r="G9" s="170"/>
      <c r="H9" s="217">
        <f t="shared" si="2"/>
        <v>0</v>
      </c>
      <c r="I9" s="82">
        <f>VLOOKUP($B9,ЛСР!$B$13:$K$71,10,0)</f>
        <v>0</v>
      </c>
    </row>
    <row r="10" spans="1:9" s="171" customFormat="1" ht="47.25" outlineLevel="3">
      <c r="A10" s="153" t="s">
        <v>221</v>
      </c>
      <c r="B10" s="139" t="s">
        <v>237</v>
      </c>
      <c r="C10" s="158" t="str">
        <f>VLOOKUP($B10,ЛСР!$B$13:$K$71,2,0)</f>
        <v>SIBILUX CURRENT</v>
      </c>
      <c r="D10" s="168" t="str">
        <f>VLOOKUP($B10,ЛСР!$B$13:$K$71,3,0)</f>
        <v>Светильник светодиодный однорожковый, Sibilux.Current, высота 4м, 4000К</v>
      </c>
      <c r="E10" s="158" t="str">
        <f>VLOOKUP($B10,ЛСР!$B$13:$K$71,4,0)</f>
        <v>шт</v>
      </c>
      <c r="F10" s="169">
        <f>SUMIF(ЛСР!$B$13:$B$71,B10,ЛСР!$H$13:$H$71)</f>
        <v>9</v>
      </c>
      <c r="G10" s="170"/>
      <c r="H10" s="170">
        <f t="shared" si="0"/>
        <v>0</v>
      </c>
      <c r="I10" s="154" t="str">
        <f>VLOOKUP($B10,ЛСР!$B$13:$K$71,10,0)</f>
        <v>см. схему лист 3 101-2025-ЭН</v>
      </c>
    </row>
    <row r="11" spans="1:9" s="171" customFormat="1" ht="31.5" outlineLevel="3">
      <c r="A11" s="153" t="s">
        <v>218</v>
      </c>
      <c r="B11" s="139" t="s">
        <v>151</v>
      </c>
      <c r="C11" s="158" t="str">
        <f>VLOOKUP($B11,ЛСР!$B$13:$K$71,2,0)</f>
        <v>3Ф20/Current</v>
      </c>
      <c r="D11" s="168" t="str">
        <f>VLOOKUP($B11,ЛСР!$B$13:$K$71,3,0)</f>
        <v>Закладная деталь для опор освещения Sibilux.Current высотой 4м</v>
      </c>
      <c r="E11" s="158" t="str">
        <f>VLOOKUP($B11,ЛСР!$B$13:$K$71,4,0)</f>
        <v>шт</v>
      </c>
      <c r="F11" s="169">
        <f>SUMIF(ЛСР!$B$13:$B$71,B11,ЛСР!$H$13:$H$71)</f>
        <v>9</v>
      </c>
      <c r="G11" s="170"/>
      <c r="H11" s="170">
        <f t="shared" si="0"/>
        <v>0</v>
      </c>
      <c r="I11" s="154">
        <f>VLOOKUP($B11,ЛСР!$B$13:$K$71,10,0)</f>
        <v>0</v>
      </c>
    </row>
    <row r="12" spans="1:9" s="171" customFormat="1" ht="31.5" outlineLevel="3">
      <c r="A12" s="153" t="s">
        <v>239</v>
      </c>
      <c r="B12" s="139" t="s">
        <v>186</v>
      </c>
      <c r="C12" s="158">
        <f>VLOOKUP($B12,ЛСР!$B$13:$K$71,2,0)</f>
        <v>0</v>
      </c>
      <c r="D12" s="168" t="str">
        <f>VLOOKUP($B12,ЛСР!$B$13:$K$71,3,0)</f>
        <v>Стальная опора круглоконическая высотой 4м</v>
      </c>
      <c r="E12" s="158" t="str">
        <f>VLOOKUP($B12,ЛСР!$B$13:$K$71,4,0)</f>
        <v>шт</v>
      </c>
      <c r="F12" s="169">
        <f>SUMIF(ЛСР!$B$13:$B$71,B12,ЛСР!$H$13:$H$71)</f>
        <v>9</v>
      </c>
      <c r="G12" s="170"/>
      <c r="H12" s="170">
        <f t="shared" si="0"/>
        <v>0</v>
      </c>
      <c r="I12" s="154">
        <f>VLOOKUP($B12,ЛСР!$B$13:$K$71,10,0)</f>
        <v>0</v>
      </c>
    </row>
    <row r="13" spans="1:9" s="171" customFormat="1" ht="94.5" outlineLevel="3">
      <c r="A13" s="153" t="s">
        <v>240</v>
      </c>
      <c r="B13" s="139" t="s">
        <v>140</v>
      </c>
      <c r="C13" s="158">
        <f>VLOOKUP($B13,ЛСР!$B$13:$K$71,2,0)</f>
        <v>0</v>
      </c>
      <c r="D13" s="168" t="str">
        <f>VLOOKUP($B13,ЛСР!$B$13:$K$71,3,0)</f>
        <v>Шкаф управления освещением, 380В/220В, 50Гц, АСУНО "ТЕЛУР", -в корпусе напольного монтажа 1600x600x400мм IP65, УХЛ1,  (с учетом сборки комплектующих, без учета прибора учета)</v>
      </c>
      <c r="E13" s="158" t="str">
        <f>VLOOKUP($B13,ЛСР!$B$13:$K$71,4,0)</f>
        <v>шт</v>
      </c>
      <c r="F13" s="169">
        <f>SUMIF(ЛСР!$B$13:$B$71,B13,ЛСР!$H$13:$H$71)</f>
        <v>1</v>
      </c>
      <c r="G13" s="170"/>
      <c r="H13" s="170">
        <f t="shared" si="0"/>
        <v>0</v>
      </c>
      <c r="I13" s="154" t="str">
        <f>VLOOKUP($B13,ЛСР!$B$13:$K$71,10,0)</f>
        <v>см. схему ШУО лист 4 101-2025-ЭН</v>
      </c>
    </row>
    <row r="14" spans="1:9" s="171" customFormat="1" ht="31.5" outlineLevel="3">
      <c r="A14" s="153" t="s">
        <v>247</v>
      </c>
      <c r="B14" s="139" t="s">
        <v>148</v>
      </c>
      <c r="C14" s="158">
        <f>VLOOKUP($B14,ЛСР!$B$13:$K$71,2,0)</f>
        <v>0</v>
      </c>
      <c r="D14" s="168" t="str">
        <f>VLOOKUP($B14,ЛСР!$B$13:$K$71,3,0)</f>
        <v>Счетчик электроэнергии трехфазны</v>
      </c>
      <c r="E14" s="158" t="str">
        <f>VLOOKUP($B14,ЛСР!$B$13:$K$71,4,0)</f>
        <v>шт</v>
      </c>
      <c r="F14" s="169">
        <f>SUMIF(ЛСР!$B$13:$B$71,B14,ЛСР!$H$13:$H$71)</f>
        <v>1</v>
      </c>
      <c r="G14" s="170"/>
      <c r="H14" s="170">
        <f t="shared" si="0"/>
        <v>0</v>
      </c>
      <c r="I14" s="154" t="str">
        <f>VLOOKUP($B14,ЛСР!$B$13:$K$71,10,0)</f>
        <v>согласовать с энергосбытовой компанией</v>
      </c>
    </row>
    <row r="15" spans="1:9" s="171" customFormat="1" outlineLevel="3">
      <c r="A15" s="153" t="s">
        <v>248</v>
      </c>
      <c r="B15" s="139" t="s">
        <v>83</v>
      </c>
      <c r="C15" s="158" t="str">
        <f>VLOOKUP($B15,ЛСР!$B$13:$K$71,2,0)</f>
        <v>В15</v>
      </c>
      <c r="D15" s="168" t="str">
        <f>VLOOKUP($B15,ЛСР!$B$13:$K$71,3,0)</f>
        <v>Бетон B15 F150 W8; ГОСТ 7473-2010</v>
      </c>
      <c r="E15" s="158" t="str">
        <f>VLOOKUP($B15,ЛСР!$B$13:$K$71,4,0)</f>
        <v>м3</v>
      </c>
      <c r="F15" s="169">
        <f>SUMIF(ЛСР!$B$13:$B$71,B15,ЛСР!$H$13:$H$71)</f>
        <v>2.04</v>
      </c>
      <c r="G15" s="170"/>
      <c r="H15" s="170">
        <f t="shared" si="0"/>
        <v>0</v>
      </c>
      <c r="I15" s="154" t="str">
        <f>VLOOKUP($B15,ЛСР!$B$13:$K$71,10,0)</f>
        <v>для фундамента опор и ШУО</v>
      </c>
    </row>
    <row r="16" spans="1:9" s="171" customFormat="1" ht="31.5" outlineLevel="3">
      <c r="A16" s="153" t="s">
        <v>249</v>
      </c>
      <c r="B16" s="139" t="s">
        <v>164</v>
      </c>
      <c r="C16" s="158" t="str">
        <f>VLOOKUP($B16,ЛСР!$B$13:$K$71,2,0)</f>
        <v>М1200</v>
      </c>
      <c r="D16" s="168" t="str">
        <f>VLOOKUP($B16,ЛСР!$B$13:$K$71,3,0)</f>
        <v>Щебень фракции св. 22,4 до 31,5мм; ГОСТ 32703-2014</v>
      </c>
      <c r="E16" s="158" t="str">
        <f>VLOOKUP($B16,ЛСР!$B$13:$K$71,4,0)</f>
        <v>м3</v>
      </c>
      <c r="F16" s="169">
        <f>SUMIF(ЛСР!$B$13:$B$71,B16,ЛСР!$H$13:$H$71)</f>
        <v>1.0900000000000001</v>
      </c>
      <c r="G16" s="170"/>
      <c r="H16" s="170">
        <f t="shared" si="0"/>
        <v>0</v>
      </c>
      <c r="I16" s="154" t="str">
        <f>VLOOKUP($B16,ЛСР!$B$13:$K$71,10,0)</f>
        <v>для фундамента опор и ШУО</v>
      </c>
    </row>
    <row r="17" spans="1:9" s="171" customFormat="1" ht="47.25" outlineLevel="3">
      <c r="A17" s="153" t="s">
        <v>26</v>
      </c>
      <c r="B17" s="139" t="s">
        <v>146</v>
      </c>
      <c r="C17" s="158">
        <f>VLOOKUP($B17,ЛСР!$B$13:$K$71,2,0)</f>
        <v>0</v>
      </c>
      <c r="D17" s="168" t="str">
        <f>VLOOKUP($B17,ЛСР!$B$13:$K$71,3,0)</f>
        <v>Уголок стальной оцинкованный 50х50х5, L=3000мм; ГОСТ 27772-2021</v>
      </c>
      <c r="E17" s="158" t="str">
        <f>VLOOKUP($B17,ЛСР!$B$13:$K$71,4,0)</f>
        <v>шт</v>
      </c>
      <c r="F17" s="169">
        <f>SUMIF(ЛСР!$B$13:$B$71,B17,ЛСР!$H$13:$H$71)</f>
        <v>3</v>
      </c>
      <c r="G17" s="170"/>
      <c r="H17" s="170">
        <f t="shared" si="0"/>
        <v>0</v>
      </c>
      <c r="I17" s="154" t="str">
        <f>VLOOKUP($B17,ЛСР!$B$13:$K$71,10,0)</f>
        <v>для заземления ШУО</v>
      </c>
    </row>
    <row r="18" spans="1:9" s="171" customFormat="1" ht="31.5" outlineLevel="3">
      <c r="A18" s="153" t="s">
        <v>250</v>
      </c>
      <c r="B18" s="139" t="s">
        <v>156</v>
      </c>
      <c r="C18" s="158">
        <f>VLOOKUP($B18,ЛСР!$B$13:$K$71,2,0)</f>
        <v>0</v>
      </c>
      <c r="D18" s="168" t="str">
        <f>VLOOKUP($B18,ЛСР!$B$13:$K$71,3,0)</f>
        <v>Лист стальной 6х100х100 Б-ПН Ст3сп; ГОСТ 19903-2015</v>
      </c>
      <c r="E18" s="158" t="str">
        <f>VLOOKUP($B18,ЛСР!$B$13:$K$71,4,0)</f>
        <v>шт</v>
      </c>
      <c r="F18" s="169">
        <f>SUMIF(ЛСР!$B$13:$B$71,B18,ЛСР!$H$13:$H$71)</f>
        <v>4</v>
      </c>
      <c r="G18" s="170"/>
      <c r="H18" s="170">
        <f t="shared" si="0"/>
        <v>0</v>
      </c>
      <c r="I18" s="154" t="str">
        <f>VLOOKUP($B18,ЛСР!$B$13:$K$71,10,0)</f>
        <v>для фундамента щита см. схему лист 15 101-2025-ЭН</v>
      </c>
    </row>
    <row r="19" spans="1:9" s="171" customFormat="1" ht="31.5" outlineLevel="3">
      <c r="A19" s="153" t="s">
        <v>251</v>
      </c>
      <c r="B19" s="139" t="s">
        <v>226</v>
      </c>
      <c r="C19" s="158">
        <f>VLOOKUP($B19,ЛСР!$B$13:$K$71,2,0)</f>
        <v>0</v>
      </c>
      <c r="D19" s="168" t="str">
        <f>VLOOKUP($B19,ЛСР!$B$13:$K$71,3,0)</f>
        <v>Арматура 10 A-I (А240) ГОСТ 5781-82 L=150 мм</v>
      </c>
      <c r="E19" s="158" t="str">
        <f>VLOOKUP($B19,ЛСР!$B$13:$K$71,4,0)</f>
        <v>кг</v>
      </c>
      <c r="F19" s="169">
        <f>SUMIF(ЛСР!$B$13:$B$71,B19,ЛСР!$H$13:$H$71)</f>
        <v>9.73</v>
      </c>
      <c r="G19" s="170"/>
      <c r="H19" s="170">
        <f t="shared" si="0"/>
        <v>0</v>
      </c>
      <c r="I19" s="154" t="str">
        <f>VLOOKUP($B19,ЛСР!$B$13:$K$71,10,0)</f>
        <v>для фундамента щита см. схему лист 15 101-2025-ЭН</v>
      </c>
    </row>
    <row r="20" spans="1:9" s="171" customFormat="1" ht="31.5" outlineLevel="3">
      <c r="A20" s="153" t="s">
        <v>252</v>
      </c>
      <c r="B20" s="139" t="s">
        <v>227</v>
      </c>
      <c r="C20" s="158">
        <f>VLOOKUP($B20,ЛСР!$B$13:$K$71,2,0)</f>
        <v>0</v>
      </c>
      <c r="D20" s="168" t="str">
        <f>VLOOKUP($B20,ЛСР!$B$13:$K$71,3,0)</f>
        <v>Арматура 12 A-III (А400) ГОСТ 5781-82 L=7700 мм</v>
      </c>
      <c r="E20" s="158" t="str">
        <f>VLOOKUP($B20,ЛСР!$B$13:$K$71,4,0)</f>
        <v>кг</v>
      </c>
      <c r="F20" s="169">
        <f>SUMIF(ЛСР!$B$13:$B$71,B20,ЛСР!$H$13:$H$71)</f>
        <v>11.81</v>
      </c>
      <c r="G20" s="170"/>
      <c r="H20" s="170">
        <f t="shared" si="0"/>
        <v>0</v>
      </c>
      <c r="I20" s="154" t="str">
        <f>VLOOKUP($B20,ЛСР!$B$13:$K$71,10,0)</f>
        <v>для фундамента щита см. схему лист 15 101-2025-ЭН</v>
      </c>
    </row>
    <row r="21" spans="1:9" s="171" customFormat="1" ht="31.5" outlineLevel="3">
      <c r="A21" s="153" t="s">
        <v>253</v>
      </c>
      <c r="B21" s="139" t="s">
        <v>196</v>
      </c>
      <c r="C21" s="158">
        <f>VLOOKUP($B21,ЛСР!$B$13:$K$71,2,0)</f>
        <v>0</v>
      </c>
      <c r="D21" s="168" t="str">
        <f>VLOOKUP($B21,ЛСР!$B$13:$K$71,3,0)</f>
        <v>Швеллер 12П L=2000 мм, ГОСТ 8240-97 Сталь ВСт 3 сп ГОСТ 380-2005</v>
      </c>
      <c r="E21" s="158" t="str">
        <f>VLOOKUP($B21,ЛСР!$B$13:$K$71,4,0)</f>
        <v>шт</v>
      </c>
      <c r="F21" s="169">
        <f>SUMIF(ЛСР!$B$13:$B$71,B21,ЛСР!$H$13:$H$71)</f>
        <v>1</v>
      </c>
      <c r="G21" s="170"/>
      <c r="H21" s="170">
        <f t="shared" si="0"/>
        <v>0</v>
      </c>
      <c r="I21" s="154" t="str">
        <f>VLOOKUP($B21,ЛСР!$B$13:$K$71,10,0)</f>
        <v>для фундамента щита см. схему лист 15 101-2025-ЭН</v>
      </c>
    </row>
    <row r="22" spans="1:9" s="171" customFormat="1" ht="31.5" outlineLevel="3">
      <c r="A22" s="153" t="s">
        <v>254</v>
      </c>
      <c r="B22" s="79" t="s">
        <v>243</v>
      </c>
      <c r="C22" s="158" t="str">
        <f>VLOOKUP($B22,ЛСР!$B$13:$K$71,2,0)</f>
        <v>ЗПО 4-35/4-35</v>
      </c>
      <c r="D22" s="168" t="str">
        <f>VLOOKUP($B22,ЛСР!$B$13:$K$71,3,0)</f>
        <v>Зажим прокалывающий ответвительный, 1 кВ</v>
      </c>
      <c r="E22" s="158" t="str">
        <f>VLOOKUP($B22,ЛСР!$B$13:$K$71,4,0)</f>
        <v>шт</v>
      </c>
      <c r="F22" s="169">
        <f>SUMIF(ЛСР!$B$13:$B$71,B22,ЛСР!$H$13:$H$71)</f>
        <v>32</v>
      </c>
      <c r="G22" s="170"/>
      <c r="H22" s="170">
        <f t="shared" si="0"/>
        <v>0</v>
      </c>
      <c r="I22" s="154" t="str">
        <f>VLOOKUP($B22,ЛСР!$B$13:$K$71,10,0)</f>
        <v>в опорах освещения</v>
      </c>
    </row>
    <row r="23" spans="1:9" s="171" customFormat="1" ht="31.5" outlineLevel="3">
      <c r="A23" s="153" t="s">
        <v>255</v>
      </c>
      <c r="B23" s="157" t="s">
        <v>244</v>
      </c>
      <c r="C23" s="158" t="str">
        <f>VLOOKUP($B23,ЛСР!$B$13:$K$71,2,0)</f>
        <v>У733М</v>
      </c>
      <c r="D23" s="168" t="str">
        <f>VLOOKUP($B23,ЛСР!$B$13:$K$71,3,0)</f>
        <v>Сжим ответвительный для кабелей сечением 16-35/1.5-10</v>
      </c>
      <c r="E23" s="158" t="str">
        <f>VLOOKUP($B23,ЛСР!$B$13:$K$71,4,0)</f>
        <v>шт</v>
      </c>
      <c r="F23" s="169">
        <f>SUMIF(ЛСР!$B$13:$B$71,B23,ЛСР!$H$13:$H$71)</f>
        <v>18</v>
      </c>
      <c r="G23" s="170"/>
      <c r="H23" s="170">
        <f t="shared" si="0"/>
        <v>0</v>
      </c>
      <c r="I23" s="154" t="str">
        <f>VLOOKUP($B23,ЛСР!$B$13:$K$71,10,0)</f>
        <v>в опорах освещения</v>
      </c>
    </row>
    <row r="24" spans="1:9" s="171" customFormat="1" outlineLevel="3">
      <c r="A24" s="153" t="s">
        <v>256</v>
      </c>
      <c r="B24" s="157" t="s">
        <v>245</v>
      </c>
      <c r="C24" s="158" t="str">
        <f>VLOOKUP($B24,ЛСР!$B$13:$K$71,2,0)</f>
        <v>KE10.1</v>
      </c>
      <c r="D24" s="168" t="str">
        <f>VLOOKUP($B24,ЛСР!$B$13:$K$71,3,0)</f>
        <v>Клеммник 4-х контактный</v>
      </c>
      <c r="E24" s="158" t="str">
        <f>VLOOKUP($B24,ЛСР!$B$13:$K$71,4,0)</f>
        <v>шт</v>
      </c>
      <c r="F24" s="169">
        <f>SUMIF(ЛСР!$B$13:$B$71,B24,ЛСР!$H$13:$H$71)</f>
        <v>9</v>
      </c>
      <c r="G24" s="170"/>
      <c r="H24" s="170">
        <f t="shared" si="0"/>
        <v>0</v>
      </c>
      <c r="I24" s="154" t="str">
        <f>VLOOKUP($B24,ЛСР!$B$13:$K$71,10,0)</f>
        <v>в опорах освещения</v>
      </c>
    </row>
    <row r="25" spans="1:9" s="171" customFormat="1" ht="47.25" outlineLevel="3">
      <c r="A25" s="153" t="s">
        <v>257</v>
      </c>
      <c r="B25" s="157" t="s">
        <v>246</v>
      </c>
      <c r="C25" s="158" t="str">
        <f>VLOOKUP($B25,ЛСР!$B$13:$K$71,2,0)</f>
        <v>4ПКТп(б)-1-16/25</v>
      </c>
      <c r="D25" s="168" t="str">
        <f>VLOOKUP($B25,ЛСР!$B$13:$K$71,3,0)</f>
        <v>Муфта кабельная концевая, с броней, для наружной установки,
4 жилы, 16-25 мм2, без наконечников</v>
      </c>
      <c r="E25" s="158" t="str">
        <f>VLOOKUP($B25,ЛСР!$B$13:$K$71,4,0)</f>
        <v>шт</v>
      </c>
      <c r="F25" s="169">
        <f>SUMIF(ЛСР!$B$13:$B$71,B25,ЛСР!$H$13:$H$71)</f>
        <v>18</v>
      </c>
      <c r="G25" s="170"/>
      <c r="H25" s="170">
        <f t="shared" si="0"/>
        <v>0</v>
      </c>
      <c r="I25" s="154">
        <f>VLOOKUP($B25,ЛСР!$B$13:$K$71,10,0)</f>
        <v>0</v>
      </c>
    </row>
    <row r="26" spans="1:9" s="171" customFormat="1" ht="31.5" outlineLevel="3">
      <c r="A26" s="153" t="s">
        <v>258</v>
      </c>
      <c r="B26" s="157" t="s">
        <v>228</v>
      </c>
      <c r="C26" s="158">
        <f>VLOOKUP($B26,ЛСР!$B$13:$K$71,2,0)</f>
        <v>0</v>
      </c>
      <c r="D26" s="168" t="str">
        <f>VLOOKUP($B26,ЛСР!$B$13:$K$71,3,0)</f>
        <v>Сталь полосовая горячего цинкования 4х25мм ГОСТ 103-2006</v>
      </c>
      <c r="E26" s="158" t="str">
        <f>VLOOKUP($B26,ЛСР!$B$13:$K$71,4,0)</f>
        <v>м</v>
      </c>
      <c r="F26" s="169">
        <f>SUMIF(ЛСР!$B$13:$B$71,B26,ЛСР!$H$13:$H$71)</f>
        <v>5.4</v>
      </c>
      <c r="G26" s="170"/>
      <c r="H26" s="170">
        <f t="shared" si="0"/>
        <v>0</v>
      </c>
      <c r="I26" s="154" t="str">
        <f>VLOOKUP($B26,ЛСР!$B$13:$K$71,10,0)</f>
        <v>для заземления ШУО</v>
      </c>
    </row>
    <row r="27" spans="1:9" s="171" customFormat="1" ht="31.5" outlineLevel="3">
      <c r="A27" s="153" t="s">
        <v>259</v>
      </c>
      <c r="B27" s="157" t="s">
        <v>229</v>
      </c>
      <c r="C27" s="158">
        <f>VLOOKUP($B27,ЛСР!$B$13:$K$71,2,0)</f>
        <v>0</v>
      </c>
      <c r="D27" s="168" t="str">
        <f>VLOOKUP($B27,ЛСР!$B$13:$K$71,3,0)</f>
        <v>Сталь полосовая горячего цинкования 4х40мм ГОСТ 103-2006</v>
      </c>
      <c r="E27" s="158" t="str">
        <f>VLOOKUP($B27,ЛСР!$B$13:$K$71,4,0)</f>
        <v>м</v>
      </c>
      <c r="F27" s="169">
        <f>SUMIF(ЛСР!$B$13:$B$71,B27,ЛСР!$H$13:$H$71)</f>
        <v>2</v>
      </c>
      <c r="G27" s="170"/>
      <c r="H27" s="170">
        <f t="shared" si="0"/>
        <v>0</v>
      </c>
      <c r="I27" s="154" t="str">
        <f>VLOOKUP($B27,ЛСР!$B$13:$K$71,10,0)</f>
        <v>для заземления ШУО</v>
      </c>
    </row>
    <row r="28" spans="1:9" s="171" customFormat="1" ht="31.5" outlineLevel="3">
      <c r="A28" s="153" t="s">
        <v>260</v>
      </c>
      <c r="B28" s="157" t="s">
        <v>230</v>
      </c>
      <c r="C28" s="158">
        <f>VLOOKUP($B28,ЛСР!$B$13:$K$71,2,0)</f>
        <v>0</v>
      </c>
      <c r="D28" s="168" t="str">
        <f>VLOOKUP($B28,ЛСР!$B$13:$K$71,3,0)</f>
        <v>Сталь полосовая горячего цинкования 5х50мм ГОСТ 103-2006</v>
      </c>
      <c r="E28" s="158" t="str">
        <f>VLOOKUP($B28,ЛСР!$B$13:$K$71,4,0)</f>
        <v>м</v>
      </c>
      <c r="F28" s="169">
        <f>SUMIF(ЛСР!$B$13:$B$71,B28,ЛСР!$H$13:$H$71)</f>
        <v>10</v>
      </c>
      <c r="G28" s="170"/>
      <c r="H28" s="170">
        <f t="shared" si="0"/>
        <v>0</v>
      </c>
      <c r="I28" s="154" t="str">
        <f>VLOOKUP($B28,ЛСР!$B$13:$K$71,10,0)</f>
        <v>для заземления ШУО</v>
      </c>
    </row>
    <row r="29" spans="1:9" s="171" customFormat="1" ht="47.25" outlineLevel="3">
      <c r="A29" s="153" t="s">
        <v>261</v>
      </c>
      <c r="B29" s="157" t="s">
        <v>152</v>
      </c>
      <c r="C29" s="158">
        <f>VLOOKUP($B29,ЛСР!$B$13:$K$71,2,0)</f>
        <v>0</v>
      </c>
      <c r="D29" s="168" t="str">
        <f>VLOOKUP($B29,ЛСР!$B$13:$K$71,3,0)</f>
        <v>Стержень круглый стальной горячего цинкования, d=16мм, L=5м ГОСТ 2590-2006</v>
      </c>
      <c r="E29" s="158" t="str">
        <f>VLOOKUP($B29,ЛСР!$B$13:$K$71,4,0)</f>
        <v>шт</v>
      </c>
      <c r="F29" s="169">
        <f>SUMIF(ЛСР!$B$13:$B$71,B29,ЛСР!$H$13:$H$71)</f>
        <v>9</v>
      </c>
      <c r="G29" s="170"/>
      <c r="H29" s="170">
        <f t="shared" si="0"/>
        <v>0</v>
      </c>
      <c r="I29" s="154" t="str">
        <f>VLOOKUP($B29,ЛСР!$B$13:$K$71,10,0)</f>
        <v>для заземления ШУО</v>
      </c>
    </row>
    <row r="30" spans="1:9" s="171" customFormat="1" outlineLevel="3">
      <c r="A30" s="153" t="s">
        <v>262</v>
      </c>
      <c r="B30" s="157" t="s">
        <v>149</v>
      </c>
      <c r="C30" s="158" t="str">
        <f>VLOOKUP($B30,ЛСР!$B$13:$K$71,2,0)</f>
        <v>ПуГВ</v>
      </c>
      <c r="D30" s="168" t="str">
        <f>VLOOKUP($B30,ЛСР!$B$13:$K$71,3,0)</f>
        <v>1x6</v>
      </c>
      <c r="E30" s="158" t="str">
        <f>VLOOKUP($B30,ЛСР!$B$13:$K$71,4,0)</f>
        <v>м</v>
      </c>
      <c r="F30" s="169">
        <f>SUMIF(ЛСР!$B$13:$B$71,B30,ЛСР!$H$13:$H$71)</f>
        <v>4.5</v>
      </c>
      <c r="G30" s="170"/>
      <c r="H30" s="170">
        <f t="shared" si="0"/>
        <v>0</v>
      </c>
      <c r="I30" s="154" t="str">
        <f>VLOOKUP($B30,ЛСР!$B$13:$K$71,10,0)</f>
        <v>в опорах освещения</v>
      </c>
    </row>
    <row r="31" spans="1:9" s="171" customFormat="1" ht="31.5" outlineLevel="3">
      <c r="A31" s="153" t="s">
        <v>263</v>
      </c>
      <c r="B31" s="157" t="s">
        <v>231</v>
      </c>
      <c r="C31" s="158">
        <f>VLOOKUP($B31,ЛСР!$B$13:$K$71,2,0)</f>
        <v>0</v>
      </c>
      <c r="D31" s="168" t="str">
        <f>VLOOKUP($B31,ЛСР!$B$13:$K$71,3,0)</f>
        <v>Бнд 90/130</v>
      </c>
      <c r="E31" s="158" t="str">
        <f>VLOOKUP($B31,ЛСР!$B$13:$K$71,4,0)</f>
        <v>кг</v>
      </c>
      <c r="F31" s="169">
        <f>SUMIF(ЛСР!$B$13:$B$71,B31,ЛСР!$H$13:$H$71)</f>
        <v>11.3</v>
      </c>
      <c r="G31" s="170"/>
      <c r="H31" s="170">
        <f t="shared" si="0"/>
        <v>0</v>
      </c>
      <c r="I31" s="154" t="str">
        <f>VLOOKUP($B31,ЛСР!$B$13:$K$71,10,0)</f>
        <v>для фундамента щита см. схему лист 15 101-2025-ЭН</v>
      </c>
    </row>
    <row r="32" spans="1:9" s="171" customFormat="1" ht="31.5" outlineLevel="3">
      <c r="A32" s="153" t="s">
        <v>264</v>
      </c>
      <c r="B32" s="157" t="s">
        <v>232</v>
      </c>
      <c r="C32" s="158">
        <f>VLOOKUP($B32,ЛСР!$B$13:$K$71,2,0)</f>
        <v>0</v>
      </c>
      <c r="D32" s="168" t="str">
        <f>VLOOKUP($B32,ЛСР!$B$13:$K$71,3,0)</f>
        <v>МБР-65</v>
      </c>
      <c r="E32" s="158" t="str">
        <f>VLOOKUP($B32,ЛСР!$B$13:$K$71,4,0)</f>
        <v>кг</v>
      </c>
      <c r="F32" s="169">
        <f>SUMIF(ЛСР!$B$13:$B$71,B32,ЛСР!$H$13:$H$71)</f>
        <v>3.5</v>
      </c>
      <c r="G32" s="170"/>
      <c r="H32" s="170">
        <f t="shared" si="0"/>
        <v>0</v>
      </c>
      <c r="I32" s="154" t="str">
        <f>VLOOKUP($B32,ЛСР!$B$13:$K$71,10,0)</f>
        <v>для фундамента щита см. схему лист 15 101-2025-ЭН</v>
      </c>
    </row>
    <row r="33" spans="1:16" s="171" customFormat="1" ht="31.5" outlineLevel="3">
      <c r="A33" s="153" t="s">
        <v>275</v>
      </c>
      <c r="B33" s="157" t="s">
        <v>202</v>
      </c>
      <c r="C33" s="158">
        <f>VLOOKUP($B33,ЛСР!$B$13:$K$71,2,0)</f>
        <v>0</v>
      </c>
      <c r="D33" s="168" t="str">
        <f>VLOOKUP($B33,ЛСР!$B$13:$K$71,3,0)</f>
        <v>ПФ-115</v>
      </c>
      <c r="E33" s="158" t="str">
        <f>VLOOKUP($B33,ЛСР!$B$13:$K$71,4,0)</f>
        <v>кг</v>
      </c>
      <c r="F33" s="169">
        <f>SUMIF(ЛСР!$B$13:$B$71,B33,ЛСР!$H$13:$H$71)</f>
        <v>0.3</v>
      </c>
      <c r="G33" s="170"/>
      <c r="H33" s="170">
        <f t="shared" si="0"/>
        <v>0</v>
      </c>
      <c r="I33" s="154" t="str">
        <f>VLOOKUP($B33,ЛСР!$B$13:$K$71,10,0)</f>
        <v>для фундамента щита см. схему лист 15 101-2025-ЭН</v>
      </c>
    </row>
    <row r="34" spans="1:16" s="171" customFormat="1" ht="31.5" outlineLevel="3">
      <c r="A34" s="153" t="s">
        <v>276</v>
      </c>
      <c r="B34" s="157" t="s">
        <v>203</v>
      </c>
      <c r="C34" s="158">
        <f>VLOOKUP($B34,ЛСР!$B$13:$K$71,2,0)</f>
        <v>0</v>
      </c>
      <c r="D34" s="168" t="str">
        <f>VLOOKUP($B34,ЛСР!$B$13:$K$71,3,0)</f>
        <v>ГФ-021</v>
      </c>
      <c r="E34" s="158" t="str">
        <f>VLOOKUP($B34,ЛСР!$B$13:$K$71,4,0)</f>
        <v>кг</v>
      </c>
      <c r="F34" s="169">
        <f>SUMIF(ЛСР!$B$13:$B$71,B34,ЛСР!$H$13:$H$71)</f>
        <v>0.1</v>
      </c>
      <c r="G34" s="170"/>
      <c r="H34" s="170">
        <f t="shared" si="0"/>
        <v>0</v>
      </c>
      <c r="I34" s="154" t="str">
        <f>VLOOKUP($B34,ЛСР!$B$13:$K$71,10,0)</f>
        <v>для фундамента щита см. схему лист 15 101-2025-ЭН</v>
      </c>
    </row>
    <row r="35" spans="1:16" s="171" customFormat="1" ht="31.5" outlineLevel="3">
      <c r="A35" s="153" t="s">
        <v>277</v>
      </c>
      <c r="B35" s="157" t="s">
        <v>204</v>
      </c>
      <c r="C35" s="158">
        <f>VLOOKUP($B35,ЛСР!$B$13:$K$71,2,0)</f>
        <v>0</v>
      </c>
      <c r="D35" s="168">
        <f>VLOOKUP($B35,ЛСР!$B$13:$K$71,3,0)</f>
        <v>0</v>
      </c>
      <c r="E35" s="158" t="str">
        <f>VLOOKUP($B35,ЛСР!$B$13:$K$71,4,0)</f>
        <v>кг</v>
      </c>
      <c r="F35" s="169">
        <f>SUMIF(ЛСР!$B$13:$B$71,B35,ЛСР!$H$13:$H$71)</f>
        <v>0.28000000000000003</v>
      </c>
      <c r="G35" s="170"/>
      <c r="H35" s="170">
        <f t="shared" si="0"/>
        <v>0</v>
      </c>
      <c r="I35" s="154" t="str">
        <f>VLOOKUP($B35,ЛСР!$B$13:$K$71,10,0)</f>
        <v>в т.ч. для фундамента щита см. схему лист 15 101-2025-ЭН</v>
      </c>
    </row>
    <row r="36" spans="1:16">
      <c r="A36" s="172"/>
      <c r="B36" s="236" t="s">
        <v>224</v>
      </c>
      <c r="C36" s="237"/>
      <c r="D36" s="237"/>
      <c r="E36" s="237"/>
      <c r="F36" s="237"/>
      <c r="G36" s="238"/>
      <c r="H36" s="173">
        <f>SUM(H5:H35)</f>
        <v>0</v>
      </c>
      <c r="I36" s="174"/>
    </row>
    <row r="37" spans="1:16">
      <c r="G37" s="186" t="s">
        <v>225</v>
      </c>
      <c r="H37" s="187">
        <f>H36-ЛСР!J74</f>
        <v>0</v>
      </c>
    </row>
    <row r="38" spans="1:16" s="20" customFormat="1">
      <c r="A38" s="185"/>
      <c r="B38" s="185"/>
      <c r="C38" s="185"/>
      <c r="D38" s="185"/>
      <c r="E38" s="185"/>
      <c r="F38" s="185"/>
      <c r="G38" s="185"/>
      <c r="H38" s="185"/>
      <c r="I38" s="185"/>
      <c r="J38" s="185"/>
      <c r="K38" s="189"/>
      <c r="L38" s="189"/>
      <c r="M38" s="163"/>
      <c r="N38" s="163"/>
      <c r="O38" s="163"/>
      <c r="P38" s="163"/>
    </row>
    <row r="39" spans="1:16" s="20" customFormat="1">
      <c r="A39" s="107"/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63"/>
      <c r="M39" s="163"/>
      <c r="N39" s="163"/>
      <c r="O39" s="163"/>
      <c r="P39" s="163"/>
    </row>
    <row r="40" spans="1:16" s="20" customFormat="1">
      <c r="A40" s="107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63"/>
      <c r="M40" s="189"/>
      <c r="N40" s="189"/>
      <c r="O40" s="189"/>
      <c r="P40" s="189"/>
    </row>
    <row r="41" spans="1:16" s="20" customFormat="1">
      <c r="A41" s="107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N41" s="199"/>
      <c r="O41" s="199"/>
      <c r="P41" s="199"/>
    </row>
    <row r="42" spans="1:16" s="20" customFormat="1">
      <c r="A42" s="107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200"/>
      <c r="M42" s="200"/>
      <c r="N42" s="200"/>
      <c r="O42" s="200"/>
      <c r="P42" s="200"/>
    </row>
  </sheetData>
  <mergeCells count="2">
    <mergeCell ref="A2:I2"/>
    <mergeCell ref="B36:G36"/>
  </mergeCells>
  <phoneticPr fontId="14" type="noConversion"/>
  <conditionalFormatting sqref="B1:B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B214F-07F9-4C4E-808B-4229F1299C13}">
  <dimension ref="A1:M95"/>
  <sheetViews>
    <sheetView view="pageBreakPreview" topLeftCell="A55" zoomScale="70" zoomScaleNormal="70" zoomScaleSheetLayoutView="70" workbookViewId="0">
      <selection activeCell="D74" sqref="D74:D75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73" customFormat="1" ht="15">
      <c r="A1" s="69"/>
      <c r="B1" s="69"/>
      <c r="C1" s="70"/>
      <c r="D1" s="70"/>
      <c r="E1" s="70"/>
      <c r="F1" s="69"/>
      <c r="G1" s="69"/>
      <c r="H1" s="71"/>
      <c r="I1" s="70"/>
      <c r="K1" s="72" t="s">
        <v>127</v>
      </c>
    </row>
    <row r="2" spans="1:11" s="73" customFormat="1" ht="15">
      <c r="A2" s="69"/>
      <c r="B2" s="69"/>
      <c r="C2" s="70"/>
      <c r="D2" s="70"/>
      <c r="E2" s="70"/>
      <c r="F2" s="69"/>
      <c r="G2" s="69"/>
      <c r="H2" s="71"/>
      <c r="I2" s="70"/>
      <c r="K2" s="72" t="s">
        <v>21</v>
      </c>
    </row>
    <row r="3" spans="1:11" s="73" customFormat="1" ht="15">
      <c r="A3" s="69"/>
      <c r="B3" s="69"/>
      <c r="C3" s="70"/>
      <c r="D3" s="70"/>
      <c r="E3" s="70"/>
      <c r="F3" s="69"/>
      <c r="G3" s="69"/>
      <c r="H3" s="71"/>
      <c r="I3" s="70"/>
      <c r="J3" s="69"/>
    </row>
    <row r="4" spans="1:11" s="73" customFormat="1" ht="15">
      <c r="A4"/>
      <c r="B4" s="74" t="s">
        <v>16</v>
      </c>
      <c r="C4" s="75"/>
      <c r="D4" s="75"/>
      <c r="E4" s="75" t="s">
        <v>17</v>
      </c>
      <c r="F4"/>
      <c r="G4"/>
      <c r="H4" s="76"/>
      <c r="J4" s="75" t="s">
        <v>18</v>
      </c>
    </row>
    <row r="5" spans="1:11" s="73" customFormat="1" ht="15" customHeight="1">
      <c r="A5"/>
      <c r="B5" s="77"/>
      <c r="C5" s="70"/>
      <c r="D5" s="70"/>
      <c r="E5" s="70" t="s">
        <v>19</v>
      </c>
      <c r="F5"/>
      <c r="G5"/>
      <c r="H5" s="76"/>
      <c r="J5" s="70" t="s">
        <v>19</v>
      </c>
    </row>
    <row r="6" spans="1:11" s="73" customFormat="1" ht="15" customHeight="1">
      <c r="A6"/>
      <c r="B6" s="77"/>
      <c r="C6" s="70"/>
      <c r="D6" s="70"/>
      <c r="E6" s="70"/>
      <c r="F6"/>
      <c r="G6"/>
      <c r="H6" s="76"/>
      <c r="J6" s="70"/>
    </row>
    <row r="7" spans="1:11" s="73" customFormat="1" ht="15">
      <c r="A7"/>
      <c r="B7" s="77"/>
      <c r="C7" s="70"/>
      <c r="D7" s="70"/>
      <c r="E7" s="70"/>
      <c r="H7" s="70"/>
      <c r="J7" s="70"/>
    </row>
    <row r="8" spans="1:11" s="73" customFormat="1" ht="15" customHeight="1">
      <c r="A8"/>
      <c r="B8" s="77" t="s">
        <v>126</v>
      </c>
      <c r="C8" s="70"/>
      <c r="D8" s="70"/>
      <c r="E8" s="70" t="s">
        <v>20</v>
      </c>
      <c r="F8"/>
      <c r="G8"/>
      <c r="H8" s="76"/>
      <c r="J8" s="70" t="s">
        <v>20</v>
      </c>
    </row>
    <row r="9" spans="1:11" s="24" customFormat="1">
      <c r="A9" s="25"/>
      <c r="B9" s="26"/>
      <c r="C9" s="21"/>
      <c r="D9" s="21"/>
      <c r="E9" s="21"/>
      <c r="F9" s="21"/>
      <c r="G9" s="21"/>
      <c r="H9" s="21"/>
      <c r="I9" s="23"/>
      <c r="J9" s="23"/>
      <c r="K9" s="27"/>
    </row>
    <row r="10" spans="1:11" s="31" customFormat="1">
      <c r="A10" s="28"/>
      <c r="B10" s="29"/>
      <c r="C10" s="32"/>
      <c r="D10" s="32"/>
      <c r="E10" s="32"/>
      <c r="F10" s="32"/>
      <c r="G10" s="32"/>
      <c r="H10" s="3"/>
      <c r="I10" s="28"/>
      <c r="J10" s="30"/>
      <c r="K10" s="22"/>
    </row>
    <row r="11" spans="1:11" s="31" customFormat="1">
      <c r="A11" s="240" t="s">
        <v>12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</row>
    <row r="12" spans="1:11" s="2" customFormat="1">
      <c r="A12" s="1"/>
      <c r="C12" s="3"/>
      <c r="D12" s="3"/>
      <c r="E12" s="3"/>
      <c r="F12" s="3"/>
      <c r="G12" s="3"/>
      <c r="H12" s="5"/>
      <c r="I12" s="6"/>
      <c r="J12" s="6"/>
      <c r="K12" s="4"/>
    </row>
    <row r="13" spans="1:11" s="19" customFormat="1" ht="31.5">
      <c r="A13" s="64" t="s">
        <v>0</v>
      </c>
      <c r="B13" s="7" t="s">
        <v>1</v>
      </c>
      <c r="C13" s="7" t="s">
        <v>124</v>
      </c>
      <c r="D13" s="7" t="s">
        <v>125</v>
      </c>
      <c r="E13" s="7" t="s">
        <v>2</v>
      </c>
      <c r="F13" s="7" t="s">
        <v>3</v>
      </c>
      <c r="G13" s="7" t="s">
        <v>128</v>
      </c>
      <c r="H13" s="7" t="s">
        <v>13</v>
      </c>
      <c r="I13" s="7" t="s">
        <v>4</v>
      </c>
      <c r="J13" s="7" t="s">
        <v>5</v>
      </c>
      <c r="K13" s="7" t="s">
        <v>6</v>
      </c>
    </row>
    <row r="14" spans="1:11" s="19" customFormat="1">
      <c r="A14" s="33" t="s">
        <v>26</v>
      </c>
      <c r="B14" s="34" t="s">
        <v>28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1:11" s="19" customFormat="1">
      <c r="A15" s="86" t="s">
        <v>27</v>
      </c>
      <c r="B15" s="37" t="s">
        <v>29</v>
      </c>
      <c r="C15" s="38"/>
      <c r="D15" s="38"/>
      <c r="E15" s="38"/>
      <c r="F15" s="38"/>
      <c r="G15" s="38"/>
      <c r="H15" s="38"/>
      <c r="I15" s="37"/>
      <c r="J15" s="39"/>
      <c r="K15" s="39"/>
    </row>
    <row r="16" spans="1:11" s="19" customFormat="1" outlineLevel="1">
      <c r="A16" s="88" t="s">
        <v>99</v>
      </c>
      <c r="B16" s="8" t="s">
        <v>29</v>
      </c>
      <c r="C16" s="9"/>
      <c r="D16" s="9"/>
      <c r="E16" s="9"/>
      <c r="F16" s="9"/>
      <c r="G16" s="9"/>
      <c r="H16" s="9"/>
      <c r="I16" s="40"/>
      <c r="J16" s="10"/>
      <c r="K16" s="41"/>
    </row>
    <row r="17" spans="1:11" s="19" customFormat="1" outlineLevel="2">
      <c r="A17" s="87" t="s">
        <v>100</v>
      </c>
      <c r="B17" s="13" t="s">
        <v>29</v>
      </c>
      <c r="C17" s="11"/>
      <c r="D17" s="11"/>
      <c r="E17" s="11"/>
      <c r="F17" s="11"/>
      <c r="G17" s="11"/>
      <c r="H17" s="11"/>
      <c r="I17" s="42"/>
      <c r="J17" s="12">
        <f>J18+J20</f>
        <v>454110</v>
      </c>
      <c r="K17" s="43"/>
    </row>
    <row r="18" spans="1:11" s="19" customFormat="1" outlineLevel="3">
      <c r="A18" s="44"/>
      <c r="B18" s="46" t="s">
        <v>8</v>
      </c>
      <c r="C18" s="38"/>
      <c r="D18" s="38"/>
      <c r="E18" s="38"/>
      <c r="F18" s="38"/>
      <c r="G18" s="38"/>
      <c r="H18" s="47"/>
      <c r="I18" s="47"/>
      <c r="J18" s="47">
        <f>J19</f>
        <v>135000</v>
      </c>
      <c r="K18" s="47"/>
    </row>
    <row r="19" spans="1:11" s="19" customFormat="1" ht="55.5" customHeight="1" outlineLevel="3">
      <c r="A19" s="44"/>
      <c r="B19" s="48" t="s">
        <v>98</v>
      </c>
      <c r="C19" s="49"/>
      <c r="D19" s="49"/>
      <c r="E19" s="49" t="s">
        <v>45</v>
      </c>
      <c r="F19" s="49"/>
      <c r="G19" s="49"/>
      <c r="H19" s="50">
        <v>1</v>
      </c>
      <c r="I19" s="50">
        <f>VLOOKUP(B19,РАБОТА!$B$5:$F$10,4,0)</f>
        <v>135000</v>
      </c>
      <c r="J19" s="50">
        <f>I19*H19</f>
        <v>135000</v>
      </c>
      <c r="K19" s="50" t="s">
        <v>117</v>
      </c>
    </row>
    <row r="20" spans="1:11" s="19" customFormat="1" ht="21" customHeight="1" outlineLevel="3">
      <c r="A20" s="14"/>
      <c r="B20" s="52" t="s">
        <v>9</v>
      </c>
      <c r="C20" s="15"/>
      <c r="D20" s="15"/>
      <c r="E20" s="15"/>
      <c r="F20" s="15"/>
      <c r="G20" s="15"/>
      <c r="H20" s="16"/>
      <c r="I20" s="16"/>
      <c r="J20" s="53">
        <f>SUM(J21:J26)</f>
        <v>319110</v>
      </c>
      <c r="K20" s="53"/>
    </row>
    <row r="21" spans="1:11" s="19" customFormat="1" ht="33.75" customHeight="1" outlineLevel="3">
      <c r="A21" s="14"/>
      <c r="B21" s="18" t="s">
        <v>37</v>
      </c>
      <c r="C21" s="15"/>
      <c r="D21" s="15"/>
      <c r="E21" s="15" t="s">
        <v>14</v>
      </c>
      <c r="F21" s="15"/>
      <c r="G21" s="15"/>
      <c r="H21" s="16">
        <v>324</v>
      </c>
      <c r="I21" s="16">
        <f>VLOOKUP(B21,МАТЕРИАЛ!$B$5:$F$53,4,0)</f>
        <v>592</v>
      </c>
      <c r="J21" s="16">
        <f>H21*I21</f>
        <v>191808</v>
      </c>
      <c r="K21" s="16"/>
    </row>
    <row r="22" spans="1:11" s="19" customFormat="1" ht="22.5" customHeight="1" outlineLevel="3">
      <c r="A22" s="14"/>
      <c r="B22" s="18" t="s">
        <v>31</v>
      </c>
      <c r="C22" s="15"/>
      <c r="D22" s="15"/>
      <c r="E22" s="15" t="s">
        <v>32</v>
      </c>
      <c r="F22" s="15"/>
      <c r="G22" s="15"/>
      <c r="H22" s="16">
        <v>6</v>
      </c>
      <c r="I22" s="16">
        <f>VLOOKUP(B22,МАТЕРИАЛ!$B$5:$F$53,4,0)</f>
        <v>2750</v>
      </c>
      <c r="J22" s="16">
        <f t="shared" ref="J22:J25" si="0">H22*I22</f>
        <v>16500</v>
      </c>
      <c r="K22" s="16"/>
    </row>
    <row r="23" spans="1:11" s="19" customFormat="1" ht="22.5" customHeight="1" outlineLevel="3">
      <c r="A23" s="14"/>
      <c r="B23" s="18" t="s">
        <v>33</v>
      </c>
      <c r="C23" s="15"/>
      <c r="D23" s="15"/>
      <c r="E23" s="15" t="s">
        <v>32</v>
      </c>
      <c r="F23" s="15"/>
      <c r="G23" s="15"/>
      <c r="H23" s="16">
        <v>6</v>
      </c>
      <c r="I23" s="16">
        <f>VLOOKUP(B23,МАТЕРИАЛ!$B$5:$F$53,4,0)</f>
        <v>2750</v>
      </c>
      <c r="J23" s="16">
        <f t="shared" si="0"/>
        <v>16500</v>
      </c>
      <c r="K23" s="16"/>
    </row>
    <row r="24" spans="1:11" s="19" customFormat="1" ht="22.5" customHeight="1" outlineLevel="3">
      <c r="A24" s="14"/>
      <c r="B24" s="18" t="s">
        <v>34</v>
      </c>
      <c r="C24" s="15"/>
      <c r="D24" s="15"/>
      <c r="E24" s="15" t="s">
        <v>32</v>
      </c>
      <c r="F24" s="15"/>
      <c r="G24" s="15"/>
      <c r="H24" s="16">
        <v>6</v>
      </c>
      <c r="I24" s="16">
        <f>VLOOKUP(B24,МАТЕРИАЛ!$B$5:$F$53,4,0)</f>
        <v>2650</v>
      </c>
      <c r="J24" s="16">
        <f t="shared" si="0"/>
        <v>15900</v>
      </c>
      <c r="K24" s="16"/>
    </row>
    <row r="25" spans="1:11" s="19" customFormat="1" ht="22.5" customHeight="1" outlineLevel="3">
      <c r="A25" s="14"/>
      <c r="B25" s="18" t="s">
        <v>36</v>
      </c>
      <c r="C25" s="15"/>
      <c r="D25" s="15"/>
      <c r="E25" s="15" t="s">
        <v>35</v>
      </c>
      <c r="F25" s="15"/>
      <c r="G25" s="15"/>
      <c r="H25" s="16">
        <v>6</v>
      </c>
      <c r="I25" s="16">
        <f>VLOOKUP(B25,МАТЕРИАЛ!$B$5:$F$53,4,0)</f>
        <v>9300</v>
      </c>
      <c r="J25" s="16">
        <f t="shared" si="0"/>
        <v>55800</v>
      </c>
      <c r="K25" s="16"/>
    </row>
    <row r="26" spans="1:11" s="19" customFormat="1" ht="42" customHeight="1" outlineLevel="3">
      <c r="A26" s="17"/>
      <c r="B26" s="79" t="s">
        <v>118</v>
      </c>
      <c r="C26" s="82"/>
      <c r="D26" s="82"/>
      <c r="E26" s="82" t="s">
        <v>119</v>
      </c>
      <c r="F26" s="82"/>
      <c r="G26" s="82"/>
      <c r="H26" s="83">
        <v>16.75</v>
      </c>
      <c r="I26" s="83"/>
      <c r="J26" s="83">
        <f>J19*$H$26%-10.5</f>
        <v>22602</v>
      </c>
      <c r="K26" s="83"/>
    </row>
    <row r="27" spans="1:11" s="19" customFormat="1" outlineLevel="1">
      <c r="A27" s="88" t="s">
        <v>108</v>
      </c>
      <c r="B27" s="8" t="s">
        <v>106</v>
      </c>
      <c r="C27" s="9"/>
      <c r="D27" s="9"/>
      <c r="E27" s="9"/>
      <c r="F27" s="9"/>
      <c r="G27" s="9"/>
      <c r="H27" s="9"/>
      <c r="I27" s="40"/>
      <c r="J27" s="10"/>
      <c r="K27" s="41"/>
    </row>
    <row r="28" spans="1:11" s="19" customFormat="1" outlineLevel="2">
      <c r="A28" s="87" t="s">
        <v>109</v>
      </c>
      <c r="B28" s="13" t="s">
        <v>106</v>
      </c>
      <c r="C28" s="11"/>
      <c r="D28" s="11"/>
      <c r="E28" s="11"/>
      <c r="F28" s="11"/>
      <c r="G28" s="11"/>
      <c r="H28" s="11"/>
      <c r="I28" s="42"/>
      <c r="J28" s="12">
        <f>J29+J31</f>
        <v>5000</v>
      </c>
      <c r="K28" s="43"/>
    </row>
    <row r="29" spans="1:11" s="19" customFormat="1" outlineLevel="3">
      <c r="A29" s="45"/>
      <c r="B29" s="46" t="s">
        <v>8</v>
      </c>
      <c r="C29" s="38"/>
      <c r="D29" s="38"/>
      <c r="E29" s="38"/>
      <c r="F29" s="38"/>
      <c r="G29" s="38"/>
      <c r="H29" s="47"/>
      <c r="I29" s="47"/>
      <c r="J29" s="47">
        <f>J30</f>
        <v>5000</v>
      </c>
      <c r="K29" s="47"/>
    </row>
    <row r="30" spans="1:11" s="19" customFormat="1" ht="21" customHeight="1">
      <c r="A30" s="36"/>
      <c r="B30" s="58" t="s">
        <v>97</v>
      </c>
      <c r="C30" s="49"/>
      <c r="D30" s="49"/>
      <c r="E30" s="49" t="s">
        <v>45</v>
      </c>
      <c r="F30" s="49"/>
      <c r="G30" s="49"/>
      <c r="H30" s="50">
        <v>1</v>
      </c>
      <c r="I30" s="50">
        <f>VLOOKUP(B30,РАБОТА!$B$5:$F$10,4,0)</f>
        <v>5000</v>
      </c>
      <c r="J30" s="50">
        <f>I30*H30</f>
        <v>5000</v>
      </c>
      <c r="K30" s="39"/>
    </row>
    <row r="31" spans="1:11" s="19" customFormat="1" ht="21" customHeight="1" outlineLevel="3">
      <c r="A31" s="51"/>
      <c r="B31" s="52" t="s">
        <v>9</v>
      </c>
      <c r="C31" s="15"/>
      <c r="D31" s="15"/>
      <c r="E31" s="15"/>
      <c r="F31" s="15"/>
      <c r="G31" s="15"/>
      <c r="H31" s="16"/>
      <c r="I31" s="16"/>
      <c r="J31" s="53">
        <f>SUM(J32)</f>
        <v>0</v>
      </c>
      <c r="K31" s="53"/>
    </row>
    <row r="32" spans="1:11" s="19" customFormat="1" ht="21" customHeight="1" outlineLevel="3">
      <c r="A32" s="51"/>
      <c r="B32" s="18" t="s">
        <v>107</v>
      </c>
      <c r="C32" s="15"/>
      <c r="D32" s="15"/>
      <c r="E32" s="15"/>
      <c r="F32" s="15"/>
      <c r="G32" s="15"/>
      <c r="H32" s="16"/>
      <c r="I32" s="16"/>
      <c r="J32" s="16"/>
      <c r="K32" s="16"/>
    </row>
    <row r="33" spans="1:11" s="19" customFormat="1">
      <c r="A33" s="86" t="s">
        <v>116</v>
      </c>
      <c r="B33" s="37" t="s">
        <v>44</v>
      </c>
      <c r="C33" s="38"/>
      <c r="D33" s="38"/>
      <c r="E33" s="38"/>
      <c r="F33" s="38"/>
      <c r="G33" s="38"/>
      <c r="H33" s="38"/>
      <c r="I33" s="37"/>
      <c r="J33" s="39"/>
      <c r="K33" s="39"/>
    </row>
    <row r="34" spans="1:11" s="2" customFormat="1" ht="17.25" customHeight="1" outlineLevel="1">
      <c r="A34" s="88" t="s">
        <v>104</v>
      </c>
      <c r="B34" s="8" t="s">
        <v>44</v>
      </c>
      <c r="C34" s="9"/>
      <c r="D34" s="9"/>
      <c r="E34" s="9"/>
      <c r="F34" s="9"/>
      <c r="G34" s="9"/>
      <c r="H34" s="9"/>
      <c r="I34" s="40"/>
      <c r="J34" s="10"/>
      <c r="K34" s="41"/>
    </row>
    <row r="35" spans="1:11" s="2" customFormat="1" ht="18.75" customHeight="1" outlineLevel="2">
      <c r="A35" s="89" t="s">
        <v>105</v>
      </c>
      <c r="B35" s="13" t="s">
        <v>44</v>
      </c>
      <c r="C35" s="11"/>
      <c r="D35" s="11"/>
      <c r="E35" s="11"/>
      <c r="F35" s="11"/>
      <c r="G35" s="11"/>
      <c r="H35" s="11"/>
      <c r="I35" s="42"/>
      <c r="J35" s="12">
        <f>J36+J38</f>
        <v>6074262.96</v>
      </c>
      <c r="K35" s="43"/>
    </row>
    <row r="36" spans="1:11" outlineLevel="3">
      <c r="A36" s="44"/>
      <c r="B36" s="46" t="s">
        <v>8</v>
      </c>
      <c r="C36" s="38"/>
      <c r="D36" s="38"/>
      <c r="E36" s="38"/>
      <c r="F36" s="38"/>
      <c r="G36" s="38"/>
      <c r="H36" s="47"/>
      <c r="I36" s="47"/>
      <c r="J36" s="47">
        <f>SUM(J37:J37)</f>
        <v>1103800</v>
      </c>
      <c r="K36" s="47"/>
    </row>
    <row r="37" spans="1:11" ht="51.75" customHeight="1" outlineLevel="3">
      <c r="A37" s="44"/>
      <c r="B37" s="48" t="s">
        <v>101</v>
      </c>
      <c r="C37" s="49"/>
      <c r="D37" s="49"/>
      <c r="E37" s="49" t="s">
        <v>45</v>
      </c>
      <c r="F37" s="38"/>
      <c r="G37" s="38"/>
      <c r="H37" s="65">
        <v>1</v>
      </c>
      <c r="I37" s="50">
        <f>VLOOKUP(B37,РАБОТА!$B$5:$F$10,4,0)</f>
        <v>1103800</v>
      </c>
      <c r="J37" s="50">
        <f>I37*H37</f>
        <v>1103800</v>
      </c>
      <c r="K37" s="50"/>
    </row>
    <row r="38" spans="1:11" outlineLevel="3">
      <c r="A38" s="52"/>
      <c r="B38" s="52" t="s">
        <v>9</v>
      </c>
      <c r="C38" s="54"/>
      <c r="D38" s="54"/>
      <c r="E38" s="54"/>
      <c r="F38" s="54"/>
      <c r="G38" s="54"/>
      <c r="H38" s="54"/>
      <c r="I38" s="55"/>
      <c r="J38" s="53">
        <f>SUM(J39:J47)</f>
        <v>4970462.96</v>
      </c>
      <c r="K38" s="53"/>
    </row>
    <row r="39" spans="1:11" ht="31.5" outlineLevel="3">
      <c r="A39" s="14"/>
      <c r="B39" s="79" t="s">
        <v>46</v>
      </c>
      <c r="C39" s="15"/>
      <c r="D39" s="15"/>
      <c r="E39" s="15" t="s">
        <v>47</v>
      </c>
      <c r="F39" s="57"/>
      <c r="G39" s="57"/>
      <c r="H39" s="57">
        <v>1.17</v>
      </c>
      <c r="I39" s="16">
        <f>VLOOKUP(B39,МАТЕРИАЛ!$B$5:$F$53,4,0)</f>
        <v>698690</v>
      </c>
      <c r="J39" s="16">
        <f>H39*I39</f>
        <v>817467.3</v>
      </c>
      <c r="K39" s="53"/>
    </row>
    <row r="40" spans="1:11" ht="31.5" outlineLevel="3">
      <c r="A40" s="14"/>
      <c r="B40" s="79" t="s">
        <v>48</v>
      </c>
      <c r="C40" s="15"/>
      <c r="D40" s="15"/>
      <c r="E40" s="15" t="s">
        <v>47</v>
      </c>
      <c r="F40" s="57"/>
      <c r="G40" s="57"/>
      <c r="H40" s="57">
        <v>1</v>
      </c>
      <c r="I40" s="16">
        <f>VLOOKUP(B40,МАТЕРИАЛ!$B$5:$F$53,4,0)</f>
        <v>1049150</v>
      </c>
      <c r="J40" s="16">
        <f t="shared" ref="J40:J46" si="1">H40*I40</f>
        <v>1049150</v>
      </c>
      <c r="K40" s="53"/>
    </row>
    <row r="41" spans="1:11" ht="31.5" outlineLevel="3">
      <c r="A41" s="14"/>
      <c r="B41" s="79" t="s">
        <v>49</v>
      </c>
      <c r="C41" s="15"/>
      <c r="D41" s="15"/>
      <c r="E41" s="15" t="s">
        <v>47</v>
      </c>
      <c r="F41" s="57"/>
      <c r="G41" s="57"/>
      <c r="H41" s="57">
        <v>1.82</v>
      </c>
      <c r="I41" s="16">
        <f>VLOOKUP(B41,МАТЕРИАЛ!$B$5:$F$53,4,0)</f>
        <v>1353510</v>
      </c>
      <c r="J41" s="16">
        <f t="shared" si="1"/>
        <v>2463388.2000000002</v>
      </c>
      <c r="K41" s="53"/>
    </row>
    <row r="42" spans="1:11" ht="21" customHeight="1" outlineLevel="3">
      <c r="A42" s="14"/>
      <c r="B42" s="79" t="s">
        <v>50</v>
      </c>
      <c r="C42" s="15"/>
      <c r="D42" s="15"/>
      <c r="E42" s="15" t="s">
        <v>32</v>
      </c>
      <c r="F42" s="57"/>
      <c r="G42" s="57"/>
      <c r="H42" s="56">
        <v>12</v>
      </c>
      <c r="I42" s="16">
        <f>VLOOKUP(B42,МАТЕРИАЛ!$B$5:$F$53,4,0)</f>
        <v>1850.93</v>
      </c>
      <c r="J42" s="16">
        <f t="shared" si="1"/>
        <v>22211.16</v>
      </c>
      <c r="K42" s="53"/>
    </row>
    <row r="43" spans="1:11" ht="21" customHeight="1" outlineLevel="3">
      <c r="A43" s="14"/>
      <c r="B43" s="79" t="s">
        <v>51</v>
      </c>
      <c r="C43" s="15"/>
      <c r="D43" s="15"/>
      <c r="E43" s="15" t="s">
        <v>32</v>
      </c>
      <c r="F43" s="57"/>
      <c r="G43" s="57"/>
      <c r="H43" s="66">
        <v>16</v>
      </c>
      <c r="I43" s="16">
        <f>VLOOKUP(B43,МАТЕРИАЛ!$B$5:$F$53,4,0)</f>
        <v>2654.7</v>
      </c>
      <c r="J43" s="16">
        <f t="shared" si="1"/>
        <v>42475.199999999997</v>
      </c>
      <c r="K43" s="53"/>
    </row>
    <row r="44" spans="1:11" ht="21" customHeight="1" outlineLevel="3">
      <c r="A44" s="14"/>
      <c r="B44" s="79" t="s">
        <v>52</v>
      </c>
      <c r="C44" s="15"/>
      <c r="D44" s="15"/>
      <c r="E44" s="15" t="s">
        <v>32</v>
      </c>
      <c r="F44" s="57"/>
      <c r="G44" s="57"/>
      <c r="H44" s="66">
        <v>20</v>
      </c>
      <c r="I44" s="16">
        <f>VLOOKUP(B44,МАТЕРИАЛ!$B$5:$F$53,4,0)</f>
        <v>2654.7</v>
      </c>
      <c r="J44" s="16">
        <f t="shared" si="1"/>
        <v>53094</v>
      </c>
      <c r="K44" s="53"/>
    </row>
    <row r="45" spans="1:11" s="2" customFormat="1" ht="21" customHeight="1" outlineLevel="3">
      <c r="A45" s="17"/>
      <c r="B45" s="79" t="s">
        <v>53</v>
      </c>
      <c r="C45" s="82"/>
      <c r="D45" s="82"/>
      <c r="E45" s="82" t="s">
        <v>32</v>
      </c>
      <c r="F45" s="96"/>
      <c r="G45" s="96"/>
      <c r="H45" s="97">
        <v>23</v>
      </c>
      <c r="I45" s="83">
        <f>VLOOKUP(B45,МАТЕРИАЛ!$B$5:$F$53,4,0)</f>
        <v>4495.8</v>
      </c>
      <c r="J45" s="83">
        <f t="shared" si="1"/>
        <v>103403.4</v>
      </c>
      <c r="K45" s="98"/>
    </row>
    <row r="46" spans="1:11" ht="21" customHeight="1" outlineLevel="3">
      <c r="A46" s="14"/>
      <c r="B46" s="79" t="s">
        <v>56</v>
      </c>
      <c r="C46" s="15"/>
      <c r="D46" s="15"/>
      <c r="E46" s="15" t="s">
        <v>14</v>
      </c>
      <c r="F46" s="57"/>
      <c r="G46" s="57"/>
      <c r="H46" s="66">
        <v>1690</v>
      </c>
      <c r="I46" s="16">
        <f>VLOOKUP(B46,МАТЕРИАЛ!$B$5:$F$53,4,0)</f>
        <v>202.73</v>
      </c>
      <c r="J46" s="16">
        <f t="shared" si="1"/>
        <v>342613.7</v>
      </c>
      <c r="K46" s="53"/>
    </row>
    <row r="47" spans="1:11" s="2" customFormat="1" ht="57.75" customHeight="1" outlineLevel="3">
      <c r="A47" s="17"/>
      <c r="B47" s="79" t="s">
        <v>123</v>
      </c>
      <c r="C47" s="82"/>
      <c r="D47" s="82"/>
      <c r="E47" s="82" t="s">
        <v>119</v>
      </c>
      <c r="F47" s="96"/>
      <c r="G47" s="96"/>
      <c r="H47" s="97">
        <v>6.94</v>
      </c>
      <c r="I47" s="83"/>
      <c r="J47" s="83">
        <f>J37*$H$47%+56.28</f>
        <v>76660</v>
      </c>
      <c r="K47" s="83"/>
    </row>
    <row r="48" spans="1:11" s="19" customFormat="1" outlineLevel="1">
      <c r="A48" s="88" t="s">
        <v>102</v>
      </c>
      <c r="B48" s="8" t="s">
        <v>106</v>
      </c>
      <c r="C48" s="9"/>
      <c r="D48" s="9"/>
      <c r="E48" s="9"/>
      <c r="F48" s="9"/>
      <c r="G48" s="9"/>
      <c r="H48" s="9"/>
      <c r="I48" s="40"/>
      <c r="J48" s="10"/>
      <c r="K48" s="41"/>
    </row>
    <row r="49" spans="1:11" s="19" customFormat="1" outlineLevel="2">
      <c r="A49" s="87" t="s">
        <v>103</v>
      </c>
      <c r="B49" s="13" t="s">
        <v>106</v>
      </c>
      <c r="C49" s="11"/>
      <c r="D49" s="11"/>
      <c r="E49" s="11"/>
      <c r="F49" s="11"/>
      <c r="G49" s="11"/>
      <c r="H49" s="11"/>
      <c r="I49" s="42"/>
      <c r="J49" s="12">
        <f>J50+J52</f>
        <v>50000</v>
      </c>
      <c r="K49" s="43"/>
    </row>
    <row r="50" spans="1:11" s="19" customFormat="1" outlineLevel="3">
      <c r="A50" s="44"/>
      <c r="B50" s="46" t="s">
        <v>8</v>
      </c>
      <c r="C50" s="38"/>
      <c r="D50" s="38"/>
      <c r="E50" s="38"/>
      <c r="F50" s="38"/>
      <c r="G50" s="38"/>
      <c r="H50" s="47"/>
      <c r="I50" s="47"/>
      <c r="J50" s="47">
        <f>J51</f>
        <v>50000</v>
      </c>
      <c r="K50" s="47"/>
    </row>
    <row r="51" spans="1:11" s="19" customFormat="1" ht="21" customHeight="1">
      <c r="A51" s="36"/>
      <c r="B51" s="58" t="s">
        <v>110</v>
      </c>
      <c r="C51" s="49"/>
      <c r="D51" s="49"/>
      <c r="E51" s="49" t="s">
        <v>45</v>
      </c>
      <c r="F51" s="49"/>
      <c r="G51" s="49"/>
      <c r="H51" s="50">
        <v>1</v>
      </c>
      <c r="I51" s="50">
        <f>VLOOKUP(B51,РАБОТА!$B$5:$F$10,4,0)</f>
        <v>50000</v>
      </c>
      <c r="J51" s="50">
        <f>I51*H51</f>
        <v>50000</v>
      </c>
      <c r="K51" s="39"/>
    </row>
    <row r="52" spans="1:11" s="19" customFormat="1" ht="21" customHeight="1" outlineLevel="3">
      <c r="A52" s="14"/>
      <c r="B52" s="52" t="s">
        <v>9</v>
      </c>
      <c r="C52" s="15"/>
      <c r="D52" s="15"/>
      <c r="E52" s="15"/>
      <c r="F52" s="15"/>
      <c r="G52" s="15"/>
      <c r="H52" s="16"/>
      <c r="I52" s="16"/>
      <c r="J52" s="53">
        <f>SUM(J53)</f>
        <v>0</v>
      </c>
      <c r="K52" s="53"/>
    </row>
    <row r="53" spans="1:11" s="19" customFormat="1" ht="21" customHeight="1" outlineLevel="3">
      <c r="A53" s="14"/>
      <c r="B53" s="18" t="s">
        <v>107</v>
      </c>
      <c r="C53" s="15"/>
      <c r="D53" s="15"/>
      <c r="E53" s="15"/>
      <c r="F53" s="15"/>
      <c r="G53" s="15"/>
      <c r="H53" s="16"/>
      <c r="I53" s="16"/>
      <c r="J53" s="16"/>
      <c r="K53" s="16"/>
    </row>
    <row r="54" spans="1:11" s="19" customFormat="1">
      <c r="A54" s="86" t="s">
        <v>60</v>
      </c>
      <c r="B54" s="37" t="s">
        <v>44</v>
      </c>
      <c r="C54" s="38"/>
      <c r="D54" s="38"/>
      <c r="E54" s="38"/>
      <c r="F54" s="38"/>
      <c r="G54" s="38"/>
      <c r="H54" s="38"/>
      <c r="I54" s="37"/>
      <c r="J54" s="39"/>
      <c r="K54" s="39"/>
    </row>
    <row r="55" spans="1:11" ht="26.25" customHeight="1" outlineLevel="1">
      <c r="A55" s="88" t="s">
        <v>113</v>
      </c>
      <c r="B55" s="8" t="s">
        <v>59</v>
      </c>
      <c r="C55" s="9"/>
      <c r="D55" s="9"/>
      <c r="E55" s="9"/>
      <c r="F55" s="9"/>
      <c r="G55" s="9"/>
      <c r="H55" s="9"/>
      <c r="I55" s="40"/>
      <c r="J55" s="10"/>
      <c r="K55" s="41"/>
    </row>
    <row r="56" spans="1:11" ht="16.5" customHeight="1" outlineLevel="2">
      <c r="A56" s="89" t="s">
        <v>114</v>
      </c>
      <c r="B56" s="13" t="s">
        <v>59</v>
      </c>
      <c r="C56" s="11"/>
      <c r="D56" s="11"/>
      <c r="E56" s="11"/>
      <c r="F56" s="11"/>
      <c r="G56" s="11"/>
      <c r="H56" s="11"/>
      <c r="I56" s="42"/>
      <c r="J56" s="12">
        <f>J57+J59</f>
        <v>10903053.74</v>
      </c>
      <c r="K56" s="43"/>
    </row>
    <row r="57" spans="1:11" outlineLevel="3">
      <c r="A57" s="44"/>
      <c r="B57" s="46" t="s">
        <v>8</v>
      </c>
      <c r="C57" s="38"/>
      <c r="D57" s="38"/>
      <c r="E57" s="38"/>
      <c r="F57" s="38"/>
      <c r="G57" s="38"/>
      <c r="H57" s="47"/>
      <c r="I57" s="47"/>
      <c r="J57" s="47">
        <f>SUM(J58)</f>
        <v>1792000</v>
      </c>
      <c r="K57" s="47"/>
    </row>
    <row r="58" spans="1:11" ht="28.5" customHeight="1" outlineLevel="3">
      <c r="A58" s="36"/>
      <c r="B58" s="58" t="s">
        <v>61</v>
      </c>
      <c r="C58" s="49"/>
      <c r="D58" s="49"/>
      <c r="E58" s="49" t="s">
        <v>45</v>
      </c>
      <c r="F58" s="49"/>
      <c r="G58" s="49"/>
      <c r="H58" s="67">
        <v>1</v>
      </c>
      <c r="I58" s="50">
        <f>VLOOKUP(B58,РАБОТА!$B$5:$F$10,4,0)</f>
        <v>1792000</v>
      </c>
      <c r="J58" s="50">
        <f>I58*H58</f>
        <v>1792000</v>
      </c>
      <c r="K58" s="50"/>
    </row>
    <row r="59" spans="1:11" outlineLevel="3">
      <c r="A59" s="14"/>
      <c r="B59" s="52" t="s">
        <v>9</v>
      </c>
      <c r="C59" s="54"/>
      <c r="D59" s="54"/>
      <c r="E59" s="54"/>
      <c r="F59" s="54"/>
      <c r="G59" s="54"/>
      <c r="H59" s="53"/>
      <c r="I59" s="53"/>
      <c r="J59" s="53">
        <f>SUM(J60:J76)</f>
        <v>9111053.7400000002</v>
      </c>
      <c r="K59" s="53"/>
    </row>
    <row r="60" spans="1:11" ht="31.5" outlineLevel="3">
      <c r="A60" s="17"/>
      <c r="B60" s="100" t="s">
        <v>62</v>
      </c>
      <c r="C60" s="15"/>
      <c r="D60" s="15"/>
      <c r="E60" s="15" t="s">
        <v>63</v>
      </c>
      <c r="F60" s="15"/>
      <c r="G60" s="15"/>
      <c r="H60" s="16">
        <v>1</v>
      </c>
      <c r="I60" s="16">
        <f>VLOOKUP(B60,МАТЕРИАЛ!$B$5:$F$53,4,0)</f>
        <v>50160</v>
      </c>
      <c r="J60" s="16">
        <f>H60*I60</f>
        <v>50160</v>
      </c>
      <c r="K60" s="16" t="s">
        <v>64</v>
      </c>
    </row>
    <row r="61" spans="1:11" ht="31.5" outlineLevel="3">
      <c r="A61" s="17"/>
      <c r="B61" s="99" t="s">
        <v>68</v>
      </c>
      <c r="C61" s="15"/>
      <c r="D61" s="15"/>
      <c r="E61" s="15" t="s">
        <v>14</v>
      </c>
      <c r="F61" s="15"/>
      <c r="G61" s="15"/>
      <c r="H61" s="16">
        <v>2590</v>
      </c>
      <c r="I61" s="16">
        <f>VLOOKUP(B61,МАТЕРИАЛ!$B$5:$F$53,4,0)</f>
        <v>135.12</v>
      </c>
      <c r="J61" s="16">
        <f t="shared" ref="J61" si="2">H61*I61</f>
        <v>349960.8</v>
      </c>
      <c r="K61" s="16"/>
    </row>
    <row r="62" spans="1:11" ht="31.5" outlineLevel="3">
      <c r="A62" s="14"/>
      <c r="B62" s="99" t="s">
        <v>69</v>
      </c>
      <c r="C62" s="15"/>
      <c r="D62" s="15"/>
      <c r="E62" s="15" t="s">
        <v>14</v>
      </c>
      <c r="F62" s="15"/>
      <c r="G62" s="15"/>
      <c r="H62" s="56">
        <v>790</v>
      </c>
      <c r="I62" s="16">
        <f>VLOOKUP(B62,МАТЕРИАЛ!$B$5:$F$53,4,0)</f>
        <v>28.72</v>
      </c>
      <c r="J62" s="16">
        <f>H62*I62</f>
        <v>22688.799999999999</v>
      </c>
      <c r="K62" s="16"/>
    </row>
    <row r="63" spans="1:11" ht="31.5" outlineLevel="3">
      <c r="A63" s="14"/>
      <c r="B63" s="99" t="s">
        <v>70</v>
      </c>
      <c r="C63" s="15"/>
      <c r="D63" s="15"/>
      <c r="E63" s="15" t="s">
        <v>14</v>
      </c>
      <c r="F63" s="15"/>
      <c r="G63" s="15"/>
      <c r="H63" s="56">
        <v>100</v>
      </c>
      <c r="I63" s="16">
        <f>VLOOKUP(B63,МАТЕРИАЛ!$B$5:$F$53,4,0)</f>
        <v>55.2</v>
      </c>
      <c r="J63" s="16">
        <f>H63*I63</f>
        <v>5520</v>
      </c>
      <c r="K63" s="16"/>
    </row>
    <row r="64" spans="1:11" ht="20.25" customHeight="1" outlineLevel="3">
      <c r="A64" s="14"/>
      <c r="B64" s="99" t="s">
        <v>71</v>
      </c>
      <c r="C64" s="15"/>
      <c r="D64" s="15"/>
      <c r="E64" s="15" t="s">
        <v>14</v>
      </c>
      <c r="F64" s="15"/>
      <c r="G64" s="15"/>
      <c r="H64" s="56">
        <v>2410</v>
      </c>
      <c r="I64" s="16">
        <f>VLOOKUP(B64,МАТЕРИАЛ!$B$5:$F$53,4,0)</f>
        <v>79.91</v>
      </c>
      <c r="J64" s="16">
        <f t="shared" ref="J64:J71" si="3">H64*I64</f>
        <v>192583.1</v>
      </c>
      <c r="K64" s="16"/>
    </row>
    <row r="65" spans="1:13" ht="20.25" customHeight="1" outlineLevel="3">
      <c r="A65" s="14"/>
      <c r="B65" s="99" t="s">
        <v>72</v>
      </c>
      <c r="C65" s="15"/>
      <c r="D65" s="15"/>
      <c r="E65" s="15" t="s">
        <v>14</v>
      </c>
      <c r="F65" s="15"/>
      <c r="G65" s="15"/>
      <c r="H65" s="56">
        <v>790</v>
      </c>
      <c r="I65" s="16">
        <f>VLOOKUP(B65,МАТЕРИАЛ!$B$5:$F$53,4,0)</f>
        <v>60.58</v>
      </c>
      <c r="J65" s="16">
        <f t="shared" si="3"/>
        <v>47858.2</v>
      </c>
      <c r="K65" s="16"/>
    </row>
    <row r="66" spans="1:13" ht="31.5" outlineLevel="3">
      <c r="A66" s="14"/>
      <c r="B66" s="100" t="s">
        <v>75</v>
      </c>
      <c r="C66" s="15"/>
      <c r="D66" s="15"/>
      <c r="E66" s="15" t="s">
        <v>32</v>
      </c>
      <c r="F66" s="15"/>
      <c r="G66" s="15"/>
      <c r="H66" s="56">
        <v>21</v>
      </c>
      <c r="I66" s="16">
        <f>VLOOKUP(B66,МАТЕРИАЛ!$B$5:$F$53,4,0)</f>
        <v>69680</v>
      </c>
      <c r="J66" s="16">
        <f t="shared" si="3"/>
        <v>1463280</v>
      </c>
      <c r="K66" s="16"/>
    </row>
    <row r="67" spans="1:13" ht="31.5" outlineLevel="3">
      <c r="A67" s="14"/>
      <c r="B67" s="100" t="s">
        <v>76</v>
      </c>
      <c r="C67" s="15"/>
      <c r="D67" s="15"/>
      <c r="E67" s="15" t="s">
        <v>32</v>
      </c>
      <c r="F67" s="15"/>
      <c r="G67" s="15"/>
      <c r="H67" s="56">
        <v>4</v>
      </c>
      <c r="I67" s="16">
        <f>VLOOKUP(B67,МАТЕРИАЛ!$B$5:$F$53,4,0)</f>
        <v>88630</v>
      </c>
      <c r="J67" s="16">
        <f t="shared" si="3"/>
        <v>354520</v>
      </c>
      <c r="K67" s="16"/>
    </row>
    <row r="68" spans="1:13" ht="31.5" outlineLevel="3">
      <c r="A68" s="14"/>
      <c r="B68" s="100" t="s">
        <v>77</v>
      </c>
      <c r="C68" s="15"/>
      <c r="D68" s="15"/>
      <c r="E68" s="15" t="s">
        <v>32</v>
      </c>
      <c r="F68" s="15"/>
      <c r="G68" s="15"/>
      <c r="H68" s="56">
        <v>17</v>
      </c>
      <c r="I68" s="16">
        <f>VLOOKUP(B68,МАТЕРИАЛ!$B$5:$F$53,4,0)</f>
        <v>85680</v>
      </c>
      <c r="J68" s="16">
        <f t="shared" si="3"/>
        <v>1456560</v>
      </c>
      <c r="K68" s="16"/>
    </row>
    <row r="69" spans="1:13" ht="31.5" outlineLevel="3">
      <c r="A69" s="14"/>
      <c r="B69" s="100" t="s">
        <v>78</v>
      </c>
      <c r="C69" s="15"/>
      <c r="D69" s="15"/>
      <c r="E69" s="15" t="s">
        <v>32</v>
      </c>
      <c r="F69" s="15"/>
      <c r="G69" s="15"/>
      <c r="H69" s="56">
        <v>47</v>
      </c>
      <c r="I69" s="16">
        <f>VLOOKUP(B69,МАТЕРИАЛ!$B$5:$F$53,4,0)</f>
        <v>64730</v>
      </c>
      <c r="J69" s="16">
        <f t="shared" si="3"/>
        <v>3042310</v>
      </c>
      <c r="K69" s="16"/>
    </row>
    <row r="70" spans="1:13" ht="22.5" customHeight="1" outlineLevel="3">
      <c r="A70" s="14"/>
      <c r="B70" s="100" t="s">
        <v>79</v>
      </c>
      <c r="C70" s="15"/>
      <c r="D70" s="15"/>
      <c r="E70" s="15" t="s">
        <v>32</v>
      </c>
      <c r="F70" s="15"/>
      <c r="G70" s="15"/>
      <c r="H70" s="56">
        <v>9</v>
      </c>
      <c r="I70" s="16">
        <f>VLOOKUP(B70,МАТЕРИАЛ!$B$5:$F$53,4,0)</f>
        <v>75180</v>
      </c>
      <c r="J70" s="16">
        <f t="shared" si="3"/>
        <v>676620</v>
      </c>
      <c r="K70" s="16"/>
    </row>
    <row r="71" spans="1:13" outlineLevel="3">
      <c r="A71" s="14"/>
      <c r="B71" s="100" t="s">
        <v>80</v>
      </c>
      <c r="C71" s="15"/>
      <c r="D71" s="15"/>
      <c r="E71" s="15" t="s">
        <v>32</v>
      </c>
      <c r="F71" s="15"/>
      <c r="G71" s="15"/>
      <c r="H71" s="56">
        <v>23</v>
      </c>
      <c r="I71" s="16">
        <f>VLOOKUP(B71,МАТЕРИАЛ!$B$5:$F$53,4,0)</f>
        <v>28070</v>
      </c>
      <c r="J71" s="16">
        <f t="shared" si="3"/>
        <v>645610</v>
      </c>
      <c r="K71" s="16"/>
    </row>
    <row r="72" spans="1:13" ht="31.5" outlineLevel="3">
      <c r="A72" s="14"/>
      <c r="B72" s="100" t="s">
        <v>81</v>
      </c>
      <c r="C72" s="15"/>
      <c r="D72" s="15"/>
      <c r="E72" s="15" t="s">
        <v>32</v>
      </c>
      <c r="F72" s="15"/>
      <c r="G72" s="15"/>
      <c r="H72" s="56">
        <v>19</v>
      </c>
      <c r="I72" s="16">
        <f>VLOOKUP(B72,МАТЕРИАЛ!$B$5:$F$53,4,0)</f>
        <v>10654.56</v>
      </c>
      <c r="J72" s="16">
        <f>H72*I72</f>
        <v>202436.64</v>
      </c>
      <c r="K72" s="16"/>
    </row>
    <row r="73" spans="1:13" ht="23.25" customHeight="1" outlineLevel="3">
      <c r="A73" s="14"/>
      <c r="B73" s="100" t="s">
        <v>82</v>
      </c>
      <c r="C73" s="15"/>
      <c r="D73" s="15"/>
      <c r="E73" s="15" t="s">
        <v>32</v>
      </c>
      <c r="F73" s="15"/>
      <c r="G73" s="15"/>
      <c r="H73" s="56">
        <v>40</v>
      </c>
      <c r="I73" s="16">
        <f>VLOOKUP(B73,МАТЕРИАЛ!$B$5:$F$53,4,0)</f>
        <v>6157.13</v>
      </c>
      <c r="J73" s="16">
        <f t="shared" ref="J73:J75" si="4">H73*I73</f>
        <v>246285.2</v>
      </c>
      <c r="K73" s="16"/>
    </row>
    <row r="74" spans="1:13" s="2" customFormat="1" ht="23.25" customHeight="1" outlineLevel="3">
      <c r="A74" s="17"/>
      <c r="B74" s="79" t="s">
        <v>83</v>
      </c>
      <c r="C74" s="82"/>
      <c r="D74" s="82"/>
      <c r="E74" s="82" t="s">
        <v>7</v>
      </c>
      <c r="F74" s="82"/>
      <c r="G74" s="82"/>
      <c r="H74" s="95">
        <v>31.95</v>
      </c>
      <c r="I74" s="83">
        <f>VLOOKUP(B74,МАТЕРИАЛ!$B$5:$F$53,4,0)</f>
        <v>6500</v>
      </c>
      <c r="J74" s="83">
        <f t="shared" si="4"/>
        <v>207675</v>
      </c>
      <c r="K74" s="83"/>
    </row>
    <row r="75" spans="1:13" s="2" customFormat="1" ht="23.25" customHeight="1" outlineLevel="3">
      <c r="A75" s="17"/>
      <c r="B75" s="79" t="s">
        <v>57</v>
      </c>
      <c r="C75" s="82"/>
      <c r="D75" s="82"/>
      <c r="E75" s="82" t="s">
        <v>7</v>
      </c>
      <c r="F75" s="82"/>
      <c r="G75" s="82"/>
      <c r="H75" s="95">
        <v>144.47999999999999</v>
      </c>
      <c r="I75" s="83">
        <f>VLOOKUP(B75,МАТЕРИАЛ!$B$5:$F$53,4,0)</f>
        <v>550</v>
      </c>
      <c r="J75" s="83">
        <f t="shared" si="4"/>
        <v>79464</v>
      </c>
      <c r="K75" s="83"/>
    </row>
    <row r="76" spans="1:13" s="2" customFormat="1" ht="138.75" customHeight="1" outlineLevel="3">
      <c r="A76" s="17"/>
      <c r="B76" s="79" t="s">
        <v>120</v>
      </c>
      <c r="C76" s="82"/>
      <c r="D76" s="82"/>
      <c r="E76" s="82" t="s">
        <v>119</v>
      </c>
      <c r="F76" s="82"/>
      <c r="G76" s="82"/>
      <c r="H76" s="95">
        <v>3.77</v>
      </c>
      <c r="I76" s="83"/>
      <c r="J76" s="83">
        <f>J58*$H$76%-36.4</f>
        <v>67522</v>
      </c>
      <c r="K76" s="83"/>
      <c r="M76" s="94"/>
    </row>
    <row r="77" spans="1:13" s="19" customFormat="1" outlineLevel="1">
      <c r="A77" s="88" t="s">
        <v>111</v>
      </c>
      <c r="B77" s="8" t="s">
        <v>106</v>
      </c>
      <c r="C77" s="9"/>
      <c r="D77" s="9"/>
      <c r="E77" s="9"/>
      <c r="F77" s="9"/>
      <c r="G77" s="9"/>
      <c r="H77" s="9"/>
      <c r="I77" s="40"/>
      <c r="J77" s="10"/>
      <c r="K77" s="41"/>
      <c r="M77" s="94"/>
    </row>
    <row r="78" spans="1:13" s="19" customFormat="1" outlineLevel="2">
      <c r="A78" s="87" t="s">
        <v>112</v>
      </c>
      <c r="B78" s="13" t="s">
        <v>106</v>
      </c>
      <c r="C78" s="11"/>
      <c r="D78" s="11"/>
      <c r="E78" s="11"/>
      <c r="F78" s="11"/>
      <c r="G78" s="11"/>
      <c r="H78" s="11"/>
      <c r="I78" s="42"/>
      <c r="J78" s="12">
        <f>J79+J81</f>
        <v>50000</v>
      </c>
      <c r="K78" s="43"/>
      <c r="M78" s="94"/>
    </row>
    <row r="79" spans="1:13" s="19" customFormat="1" outlineLevel="3">
      <c r="A79" s="44"/>
      <c r="B79" s="46" t="s">
        <v>8</v>
      </c>
      <c r="C79" s="38"/>
      <c r="D79" s="38"/>
      <c r="E79" s="38"/>
      <c r="F79" s="38"/>
      <c r="G79" s="38"/>
      <c r="H79" s="47"/>
      <c r="I79" s="47"/>
      <c r="J79" s="47">
        <f>J80</f>
        <v>50000</v>
      </c>
      <c r="K79" s="47"/>
      <c r="M79" s="94"/>
    </row>
    <row r="80" spans="1:13" s="19" customFormat="1" ht="21" customHeight="1">
      <c r="A80" s="36"/>
      <c r="B80" s="58" t="s">
        <v>115</v>
      </c>
      <c r="C80" s="49"/>
      <c r="D80" s="49"/>
      <c r="E80" s="49" t="s">
        <v>45</v>
      </c>
      <c r="F80" s="49"/>
      <c r="G80" s="49"/>
      <c r="H80" s="50">
        <v>1</v>
      </c>
      <c r="I80" s="50">
        <f>VLOOKUP(B80,РАБОТА!$B$5:$F$10,4,0)</f>
        <v>50000</v>
      </c>
      <c r="J80" s="50">
        <f>I80*H80</f>
        <v>50000</v>
      </c>
      <c r="K80" s="39"/>
    </row>
    <row r="81" spans="1:11" s="19" customFormat="1" ht="21" customHeight="1" outlineLevel="3">
      <c r="A81" s="14"/>
      <c r="B81" s="52" t="s">
        <v>9</v>
      </c>
      <c r="C81" s="15"/>
      <c r="D81" s="15"/>
      <c r="E81" s="15"/>
      <c r="F81" s="15"/>
      <c r="G81" s="15"/>
      <c r="H81" s="16"/>
      <c r="I81" s="16"/>
      <c r="J81" s="53">
        <f>SUM(J82)</f>
        <v>0</v>
      </c>
      <c r="K81" s="53"/>
    </row>
    <row r="82" spans="1:11" s="19" customFormat="1" ht="21" customHeight="1" outlineLevel="3">
      <c r="A82" s="14"/>
      <c r="B82" s="18" t="s">
        <v>107</v>
      </c>
      <c r="C82" s="15"/>
      <c r="D82" s="15"/>
      <c r="E82" s="15"/>
      <c r="F82" s="15"/>
      <c r="G82" s="15"/>
      <c r="H82" s="16"/>
      <c r="I82" s="16"/>
      <c r="J82" s="16"/>
      <c r="K82" s="16"/>
    </row>
    <row r="83" spans="1:11">
      <c r="A83" s="59"/>
      <c r="B83" s="221" t="s">
        <v>121</v>
      </c>
      <c r="C83" s="222"/>
      <c r="D83" s="222"/>
      <c r="E83" s="222"/>
      <c r="F83" s="222"/>
      <c r="G83" s="222"/>
      <c r="H83" s="222"/>
      <c r="I83" s="223"/>
      <c r="J83" s="60">
        <f>J56+J35+J17+J28+J49+J78</f>
        <v>17536426.699999999</v>
      </c>
      <c r="K83" s="61"/>
    </row>
    <row r="84" spans="1:11">
      <c r="A84" s="62"/>
      <c r="B84" s="224" t="s">
        <v>10</v>
      </c>
      <c r="C84" s="225"/>
      <c r="D84" s="225"/>
      <c r="E84" s="225"/>
      <c r="F84" s="225"/>
      <c r="G84" s="225"/>
      <c r="H84" s="225"/>
      <c r="I84" s="226"/>
      <c r="J84" s="63">
        <f>J57+J18+J36+J79+J29+J50</f>
        <v>3135800</v>
      </c>
      <c r="K84" s="63"/>
    </row>
    <row r="85" spans="1:11">
      <c r="A85" s="62"/>
      <c r="B85" s="224" t="s">
        <v>11</v>
      </c>
      <c r="C85" s="225"/>
      <c r="D85" s="225"/>
      <c r="E85" s="225"/>
      <c r="F85" s="225"/>
      <c r="G85" s="225"/>
      <c r="H85" s="225"/>
      <c r="I85" s="226"/>
      <c r="J85" s="63">
        <f>J59+J38+J20+J81+J52+J31</f>
        <v>14400626.699999999</v>
      </c>
      <c r="K85" s="63"/>
    </row>
    <row r="86" spans="1:11">
      <c r="A86" s="62"/>
      <c r="B86" s="224" t="s">
        <v>93</v>
      </c>
      <c r="C86" s="225"/>
      <c r="D86" s="225"/>
      <c r="E86" s="225"/>
      <c r="F86" s="225"/>
      <c r="G86" s="225"/>
      <c r="H86" s="225"/>
      <c r="I86" s="226"/>
      <c r="J86" s="63" t="s">
        <v>122</v>
      </c>
      <c r="K86" s="63"/>
    </row>
    <row r="87" spans="1:11" ht="15.75" customHeight="1">
      <c r="A87" s="20"/>
    </row>
    <row r="88" spans="1:11" ht="24.75" customHeight="1">
      <c r="A88" s="68"/>
    </row>
    <row r="89" spans="1:11" ht="35.25" customHeight="1">
      <c r="A89" s="68"/>
    </row>
    <row r="92" spans="1:11" ht="36.75" customHeight="1"/>
    <row r="93" spans="1:11" ht="36.75" customHeight="1">
      <c r="A93" s="241" t="s">
        <v>30</v>
      </c>
      <c r="B93" s="241"/>
      <c r="C93" s="241"/>
      <c r="D93" s="241"/>
      <c r="E93" s="241"/>
      <c r="F93" s="241"/>
      <c r="G93" s="241"/>
      <c r="H93" s="241"/>
      <c r="I93" s="241"/>
      <c r="J93" s="241"/>
    </row>
    <row r="94" spans="1:11">
      <c r="A94" s="218" t="s">
        <v>42</v>
      </c>
      <c r="B94" s="218"/>
      <c r="C94" s="218"/>
      <c r="D94" s="218"/>
      <c r="E94" s="218"/>
      <c r="F94" s="218"/>
      <c r="G94" s="218"/>
      <c r="H94" s="218"/>
      <c r="I94" s="218"/>
      <c r="J94" s="218"/>
    </row>
    <row r="95" spans="1:11">
      <c r="A95" s="239" t="s">
        <v>43</v>
      </c>
      <c r="B95" s="239"/>
      <c r="C95" s="239"/>
      <c r="D95" s="239"/>
      <c r="E95" s="239"/>
      <c r="F95" s="239"/>
      <c r="G95" s="239"/>
      <c r="H95" s="239"/>
      <c r="I95" s="239"/>
      <c r="J95" s="239"/>
    </row>
  </sheetData>
  <mergeCells count="8">
    <mergeCell ref="A94:J94"/>
    <mergeCell ref="A95:J95"/>
    <mergeCell ref="A11:K11"/>
    <mergeCell ref="B83:I83"/>
    <mergeCell ref="B84:I84"/>
    <mergeCell ref="B85:I85"/>
    <mergeCell ref="B86:I86"/>
    <mergeCell ref="A93:J93"/>
  </mergeCells>
  <pageMargins left="0.7" right="0.7" top="0.75" bottom="0.75" header="0.3" footer="0.3"/>
  <pageSetup scale="33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CC715-7775-4C33-819C-524D950C93B3}">
  <dimension ref="A1:F12"/>
  <sheetViews>
    <sheetView view="pageBreakPreview" zoomScale="80" zoomScaleNormal="70" zoomScaleSheetLayoutView="80" workbookViewId="0">
      <selection activeCell="H19" sqref="H19"/>
    </sheetView>
  </sheetViews>
  <sheetFormatPr defaultColWidth="9.140625" defaultRowHeight="15.75" outlineLevelRow="3"/>
  <cols>
    <col min="1" max="1" width="7.28515625" style="1" customWidth="1"/>
    <col min="2" max="2" width="67.5703125" style="2" customWidth="1"/>
    <col min="3" max="3" width="12.5703125" style="3" customWidth="1"/>
    <col min="4" max="4" width="16.7109375" style="3" customWidth="1"/>
    <col min="5" max="5" width="18.42578125" style="3" customWidth="1"/>
    <col min="6" max="6" width="22.7109375" style="3" customWidth="1"/>
    <col min="7" max="7" width="18.42578125" style="20" customWidth="1"/>
    <col min="8" max="8" width="14.85546875" style="20" bestFit="1" customWidth="1"/>
    <col min="9" max="11" width="9.140625" style="20"/>
    <col min="12" max="12" width="22.42578125" style="20" customWidth="1"/>
    <col min="13" max="16384" width="9.140625" style="20"/>
  </cols>
  <sheetData>
    <row r="1" spans="1:6">
      <c r="A1" s="242" t="s">
        <v>23</v>
      </c>
      <c r="B1" s="242"/>
      <c r="C1" s="242"/>
      <c r="D1" s="242"/>
      <c r="E1" s="242"/>
      <c r="F1" s="242"/>
    </row>
    <row r="3" spans="1:6" s="19" customFormat="1" ht="27" customHeight="1">
      <c r="A3" s="64" t="s">
        <v>0</v>
      </c>
      <c r="B3" s="7" t="s">
        <v>1</v>
      </c>
      <c r="C3" s="7" t="s">
        <v>2</v>
      </c>
      <c r="D3" s="7" t="s">
        <v>13</v>
      </c>
      <c r="E3" s="7" t="s">
        <v>4</v>
      </c>
      <c r="F3" s="7" t="s">
        <v>5</v>
      </c>
    </row>
    <row r="4" spans="1:6" s="19" customFormat="1">
      <c r="A4" s="64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</row>
    <row r="5" spans="1:6" s="19" customFormat="1" ht="55.5" customHeight="1" outlineLevel="3">
      <c r="A5" s="17">
        <v>1</v>
      </c>
      <c r="B5" s="79" t="s">
        <v>98</v>
      </c>
      <c r="C5" s="82" t="s">
        <v>45</v>
      </c>
      <c r="D5" s="83">
        <f>SUMIF(ЛСР!$B$14:$B$71,VLOOKUP($B5,$B$5:$B$10,1,0),ЛСР!$H$14:$H$71)</f>
        <v>0</v>
      </c>
      <c r="E5" s="85">
        <v>135000</v>
      </c>
      <c r="F5" s="83">
        <f>E5*D5</f>
        <v>0</v>
      </c>
    </row>
    <row r="6" spans="1:6" s="19" customFormat="1" ht="25.5" customHeight="1" outlineLevel="3">
      <c r="A6" s="17">
        <v>2</v>
      </c>
      <c r="B6" s="79" t="s">
        <v>97</v>
      </c>
      <c r="C6" s="82" t="s">
        <v>45</v>
      </c>
      <c r="D6" s="83">
        <f>SUMIF(ЛСР!$B$14:$B$71,VLOOKUP($B6,$B$5:$B$10,1,0),ЛСР!$H$14:$H$71)</f>
        <v>0</v>
      </c>
      <c r="E6" s="85">
        <v>5000</v>
      </c>
      <c r="F6" s="83">
        <f>E6*D6</f>
        <v>0</v>
      </c>
    </row>
    <row r="7" spans="1:6" ht="48" customHeight="1" outlineLevel="3">
      <c r="A7" s="17">
        <v>3</v>
      </c>
      <c r="B7" s="79" t="s">
        <v>101</v>
      </c>
      <c r="C7" s="82" t="s">
        <v>45</v>
      </c>
      <c r="D7" s="83">
        <f>SUMIF(ЛСР!$B$14:$B$71,VLOOKUP($B7,$B$5:$B$10,1,0),ЛСР!$H$14:$H$71)</f>
        <v>0</v>
      </c>
      <c r="E7" s="85">
        <v>1103800</v>
      </c>
      <c r="F7" s="83">
        <f>E7*D7</f>
        <v>0</v>
      </c>
    </row>
    <row r="8" spans="1:6" ht="19.5" customHeight="1" outlineLevel="3">
      <c r="A8" s="17">
        <v>4</v>
      </c>
      <c r="B8" s="84" t="s">
        <v>110</v>
      </c>
      <c r="C8" s="82" t="s">
        <v>45</v>
      </c>
      <c r="D8" s="83">
        <f>SUMIF(ЛСР!$B$14:$B$71,VLOOKUP($B8,$B$5:$B$10,1,0),ЛСР!$H$14:$H$71)</f>
        <v>0</v>
      </c>
      <c r="E8" s="85">
        <v>50000</v>
      </c>
      <c r="F8" s="83">
        <f>E8*D8</f>
        <v>0</v>
      </c>
    </row>
    <row r="9" spans="1:6" ht="21.75" customHeight="1" outlineLevel="3">
      <c r="A9" s="17">
        <v>5</v>
      </c>
      <c r="B9" s="84" t="s">
        <v>61</v>
      </c>
      <c r="C9" s="82" t="s">
        <v>45</v>
      </c>
      <c r="D9" s="83">
        <f>SUMIF(ЛСР!$B$14:$B$71,VLOOKUP($B9,$B$5:$B$10,1,0),ЛСР!$H$14:$H$71)</f>
        <v>0</v>
      </c>
      <c r="E9" s="85">
        <v>1792000</v>
      </c>
      <c r="F9" s="83">
        <f t="shared" ref="F9:F10" si="0">E9*D9</f>
        <v>0</v>
      </c>
    </row>
    <row r="10" spans="1:6" ht="21.75" customHeight="1" outlineLevel="3">
      <c r="A10" s="17">
        <v>6</v>
      </c>
      <c r="B10" s="92" t="s">
        <v>115</v>
      </c>
      <c r="C10" s="82" t="s">
        <v>45</v>
      </c>
      <c r="D10" s="83">
        <f>SUMIF(ЛСР!$B$14:$B$71,VLOOKUP($B10,$B$5:$B$10,1,0),ЛСР!$H$14:$H$71)</f>
        <v>1</v>
      </c>
      <c r="E10" s="85">
        <v>50000</v>
      </c>
      <c r="F10" s="83">
        <f t="shared" si="0"/>
        <v>50000</v>
      </c>
    </row>
    <row r="11" spans="1:6">
      <c r="A11" s="62"/>
      <c r="B11" s="224" t="s">
        <v>22</v>
      </c>
      <c r="C11" s="225"/>
      <c r="D11" s="225"/>
      <c r="E11" s="226"/>
      <c r="F11" s="63">
        <f>SUM(F5:F10)</f>
        <v>50000</v>
      </c>
    </row>
    <row r="12" spans="1:6">
      <c r="F12" s="78">
        <f>F11-ЛСР!J73</f>
        <v>50000</v>
      </c>
    </row>
  </sheetData>
  <mergeCells count="2">
    <mergeCell ref="A1:F1"/>
    <mergeCell ref="B11:E11"/>
  </mergeCells>
  <pageMargins left="0.7" right="0.7" top="0.75" bottom="0.75" header="0.3" footer="0.3"/>
  <pageSetup scale="41" orientation="portrait" horizontalDpi="4294967295" verticalDpi="4294967295" r:id="rId1"/>
  <colBreaks count="1" manualBreakCount="1">
    <brk id="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036B8-99B9-4DAF-8998-EB90BC445E44}">
  <dimension ref="A1:M56"/>
  <sheetViews>
    <sheetView view="pageBreakPreview" topLeftCell="A25" zoomScale="70" zoomScaleNormal="70" zoomScaleSheetLayoutView="70" workbookViewId="0">
      <selection activeCell="J39" sqref="J39"/>
    </sheetView>
  </sheetViews>
  <sheetFormatPr defaultColWidth="9.140625" defaultRowHeight="15.75" outlineLevelRow="3"/>
  <cols>
    <col min="1" max="1" width="7.28515625" style="1" customWidth="1"/>
    <col min="2" max="2" width="69.85546875" style="2" customWidth="1"/>
    <col min="3" max="3" width="12.5703125" style="3" customWidth="1"/>
    <col min="4" max="4" width="16.7109375" style="3" customWidth="1"/>
    <col min="5" max="5" width="18.42578125" style="3" customWidth="1"/>
    <col min="6" max="6" width="22.7109375" style="3" customWidth="1"/>
    <col min="7" max="7" width="31.7109375" style="20" customWidth="1"/>
    <col min="8" max="8" width="14.85546875" style="20" bestFit="1" customWidth="1"/>
    <col min="9" max="11" width="9.140625" style="20"/>
    <col min="12" max="12" width="22.42578125" style="20" customWidth="1"/>
    <col min="13" max="16384" width="9.140625" style="20"/>
  </cols>
  <sheetData>
    <row r="1" spans="1:7" ht="22.5" customHeight="1">
      <c r="A1" s="242" t="s">
        <v>24</v>
      </c>
      <c r="B1" s="242"/>
      <c r="C1" s="242"/>
      <c r="D1" s="242"/>
      <c r="E1" s="242"/>
      <c r="F1" s="242"/>
      <c r="G1" s="242"/>
    </row>
    <row r="2" spans="1:7" ht="30.75" customHeight="1">
      <c r="A2" s="245" t="s">
        <v>25</v>
      </c>
      <c r="B2" s="245"/>
      <c r="C2" s="245"/>
      <c r="D2" s="245"/>
      <c r="E2" s="245"/>
      <c r="F2" s="245"/>
      <c r="G2" s="245"/>
    </row>
    <row r="3" spans="1:7" s="19" customFormat="1">
      <c r="A3" s="64" t="s">
        <v>0</v>
      </c>
      <c r="B3" s="7" t="s">
        <v>1</v>
      </c>
      <c r="C3" s="7" t="s">
        <v>2</v>
      </c>
      <c r="D3" s="7" t="s">
        <v>13</v>
      </c>
      <c r="E3" s="7" t="s">
        <v>4</v>
      </c>
      <c r="F3" s="7" t="s">
        <v>5</v>
      </c>
      <c r="G3" s="7" t="s">
        <v>6</v>
      </c>
    </row>
    <row r="4" spans="1:7" outlineLevel="3">
      <c r="A4" s="80">
        <v>1</v>
      </c>
      <c r="B4" s="80">
        <v>2</v>
      </c>
      <c r="C4" s="81">
        <v>3</v>
      </c>
      <c r="D4" s="81">
        <v>4</v>
      </c>
      <c r="E4" s="81">
        <v>5</v>
      </c>
      <c r="F4" s="81">
        <v>6</v>
      </c>
      <c r="G4" s="81">
        <v>7</v>
      </c>
    </row>
    <row r="5" spans="1:7" ht="42.75" customHeight="1" outlineLevel="3">
      <c r="A5" s="14">
        <v>1</v>
      </c>
      <c r="B5" s="18" t="s">
        <v>37</v>
      </c>
      <c r="C5" s="15" t="s">
        <v>14</v>
      </c>
      <c r="D5" s="93">
        <f>SUMIF(ЛСР!$B$14:$B$71,VLOOKUP($B5,$B$5:$B$53,1,0),ЛСР!$H$14:$H$71)</f>
        <v>0</v>
      </c>
      <c r="E5" s="16">
        <v>592</v>
      </c>
      <c r="F5" s="16">
        <f>D5*E5</f>
        <v>0</v>
      </c>
      <c r="G5" s="91"/>
    </row>
    <row r="6" spans="1:7" ht="21.75" customHeight="1" outlineLevel="3">
      <c r="A6" s="14">
        <v>2</v>
      </c>
      <c r="B6" s="18" t="s">
        <v>31</v>
      </c>
      <c r="C6" s="15" t="s">
        <v>32</v>
      </c>
      <c r="D6" s="66">
        <f>SUMIF(ЛСР!$B$14:$B$71,VLOOKUP($B6,$B$5:$B$53,1,0),ЛСР!$H$14:$H$71)</f>
        <v>0</v>
      </c>
      <c r="E6" s="16">
        <v>2750</v>
      </c>
      <c r="F6" s="16">
        <f t="shared" ref="F6:F15" si="0">D6*E6</f>
        <v>0</v>
      </c>
      <c r="G6" s="91"/>
    </row>
    <row r="7" spans="1:7" ht="21.75" customHeight="1" outlineLevel="3">
      <c r="A7" s="14">
        <v>3</v>
      </c>
      <c r="B7" s="18" t="s">
        <v>33</v>
      </c>
      <c r="C7" s="15" t="s">
        <v>32</v>
      </c>
      <c r="D7" s="66">
        <f>SUMIF(ЛСР!$B$14:$B$71,VLOOKUP($B7,$B$5:$B$53,1,0),ЛСР!$H$14:$H$71)</f>
        <v>0</v>
      </c>
      <c r="E7" s="16">
        <v>2750</v>
      </c>
      <c r="F7" s="16">
        <f t="shared" si="0"/>
        <v>0</v>
      </c>
      <c r="G7" s="91"/>
    </row>
    <row r="8" spans="1:7" ht="21.75" customHeight="1" outlineLevel="3">
      <c r="A8" s="14">
        <v>4</v>
      </c>
      <c r="B8" s="18" t="s">
        <v>34</v>
      </c>
      <c r="C8" s="15" t="s">
        <v>32</v>
      </c>
      <c r="D8" s="66">
        <f>SUMIF(ЛСР!$B$14:$B$71,VLOOKUP($B8,$B$5:$B$53,1,0),ЛСР!$H$14:$H$71)</f>
        <v>0</v>
      </c>
      <c r="E8" s="16">
        <v>2650</v>
      </c>
      <c r="F8" s="16">
        <f t="shared" si="0"/>
        <v>0</v>
      </c>
      <c r="G8" s="91"/>
    </row>
    <row r="9" spans="1:7" ht="21.75" customHeight="1" outlineLevel="3">
      <c r="A9" s="14">
        <v>5</v>
      </c>
      <c r="B9" s="18" t="s">
        <v>36</v>
      </c>
      <c r="C9" s="15" t="s">
        <v>35</v>
      </c>
      <c r="D9" s="66">
        <f>SUMIF(ЛСР!$B$14:$B$71,VLOOKUP($B9,$B$5:$B$53,1,0),ЛСР!$H$14:$H$71)</f>
        <v>0</v>
      </c>
      <c r="E9" s="16">
        <v>9300</v>
      </c>
      <c r="F9" s="16">
        <f t="shared" si="0"/>
        <v>0</v>
      </c>
      <c r="G9" s="91"/>
    </row>
    <row r="10" spans="1:7" ht="21.75" customHeight="1" outlineLevel="3">
      <c r="A10" s="14">
        <v>6</v>
      </c>
      <c r="B10" s="18" t="s">
        <v>38</v>
      </c>
      <c r="C10" s="15" t="s">
        <v>32</v>
      </c>
      <c r="D10" s="66">
        <f>SUMIF(ЛСР!$B$14:$B$71,VLOOKUP($B10,$B$5:$B$53,1,0),ЛСР!$H$14:$H$71)</f>
        <v>0</v>
      </c>
      <c r="E10" s="16">
        <v>732</v>
      </c>
      <c r="F10" s="16">
        <f t="shared" si="0"/>
        <v>0</v>
      </c>
      <c r="G10" s="91"/>
    </row>
    <row r="11" spans="1:7" ht="42.75" customHeight="1" outlineLevel="3">
      <c r="A11" s="14">
        <v>7</v>
      </c>
      <c r="B11" s="79" t="s">
        <v>46</v>
      </c>
      <c r="C11" s="15" t="s">
        <v>47</v>
      </c>
      <c r="D11" s="66">
        <f>SUMIF(ЛСР!$B$14:$B$71,VLOOKUP($B11,$B$5:$B$53,1,0),ЛСР!$H$14:$H$71)</f>
        <v>0</v>
      </c>
      <c r="E11" s="16">
        <v>698690</v>
      </c>
      <c r="F11" s="16">
        <f t="shared" si="0"/>
        <v>0</v>
      </c>
      <c r="G11" s="91" t="s">
        <v>96</v>
      </c>
    </row>
    <row r="12" spans="1:7" ht="42.75" customHeight="1" outlineLevel="3">
      <c r="A12" s="14">
        <v>8</v>
      </c>
      <c r="B12" s="79" t="s">
        <v>48</v>
      </c>
      <c r="C12" s="15" t="s">
        <v>47</v>
      </c>
      <c r="D12" s="66">
        <f>SUMIF(ЛСР!$B$14:$B$71,VLOOKUP($B12,$B$5:$B$53,1,0),ЛСР!$H$14:$H$71)</f>
        <v>0</v>
      </c>
      <c r="E12" s="16">
        <v>1049150</v>
      </c>
      <c r="F12" s="16">
        <f t="shared" si="0"/>
        <v>0</v>
      </c>
      <c r="G12" s="84"/>
    </row>
    <row r="13" spans="1:7" ht="42.75" customHeight="1" outlineLevel="3">
      <c r="A13" s="14">
        <v>9</v>
      </c>
      <c r="B13" s="79" t="s">
        <v>49</v>
      </c>
      <c r="C13" s="15" t="s">
        <v>47</v>
      </c>
      <c r="D13" s="66">
        <f>SUMIF(ЛСР!$B$14:$B$71,VLOOKUP($B13,$B$5:$B$53,1,0),ЛСР!$H$14:$H$71)</f>
        <v>0</v>
      </c>
      <c r="E13" s="16">
        <v>1353510</v>
      </c>
      <c r="F13" s="16">
        <f>D13*E13</f>
        <v>0</v>
      </c>
      <c r="G13" s="84"/>
    </row>
    <row r="14" spans="1:7" ht="27" customHeight="1" outlineLevel="3">
      <c r="A14" s="14">
        <v>10</v>
      </c>
      <c r="B14" s="79" t="s">
        <v>50</v>
      </c>
      <c r="C14" s="15" t="s">
        <v>32</v>
      </c>
      <c r="D14" s="66">
        <f>SUMIF(ЛСР!$B$14:$B$71,VLOOKUP($B14,$B$5:$B$53,1,0),ЛСР!$H$14:$H$71)</f>
        <v>0</v>
      </c>
      <c r="E14" s="16">
        <v>1850.93</v>
      </c>
      <c r="F14" s="83">
        <f t="shared" si="0"/>
        <v>0</v>
      </c>
      <c r="G14" s="84"/>
    </row>
    <row r="15" spans="1:7" ht="24" customHeight="1" outlineLevel="3">
      <c r="A15" s="14">
        <v>11</v>
      </c>
      <c r="B15" s="79" t="s">
        <v>51</v>
      </c>
      <c r="C15" s="15" t="s">
        <v>32</v>
      </c>
      <c r="D15" s="66">
        <f>SUMIF(ЛСР!$B$14:$B$71,VLOOKUP($B15,$B$5:$B$53,1,0),ЛСР!$H$14:$H$71)</f>
        <v>0</v>
      </c>
      <c r="E15" s="16">
        <v>2654.7</v>
      </c>
      <c r="F15" s="83">
        <f t="shared" si="0"/>
        <v>0</v>
      </c>
      <c r="G15" s="84"/>
    </row>
    <row r="16" spans="1:7" ht="23.25" customHeight="1" outlineLevel="3">
      <c r="A16" s="14">
        <v>12</v>
      </c>
      <c r="B16" s="79" t="s">
        <v>52</v>
      </c>
      <c r="C16" s="15" t="s">
        <v>32</v>
      </c>
      <c r="D16" s="66">
        <f>SUMIF(ЛСР!$B$14:$B$71,VLOOKUP($B16,$B$5:$B$53,1,0),ЛСР!$H$14:$H$71)</f>
        <v>0</v>
      </c>
      <c r="E16" s="16">
        <v>2654.7</v>
      </c>
      <c r="F16" s="83">
        <f>D16*E16</f>
        <v>0</v>
      </c>
      <c r="G16" s="84"/>
    </row>
    <row r="17" spans="1:13" ht="19.5" customHeight="1" outlineLevel="3">
      <c r="A17" s="14">
        <v>13</v>
      </c>
      <c r="B17" s="79" t="s">
        <v>53</v>
      </c>
      <c r="C17" s="15" t="s">
        <v>32</v>
      </c>
      <c r="D17" s="66">
        <f>SUMIF(ЛСР!$B$14:$B$71,VLOOKUP($B17,$B$5:$B$53,1,0),ЛСР!$H$14:$H$71)</f>
        <v>0</v>
      </c>
      <c r="E17" s="16">
        <v>4495.8</v>
      </c>
      <c r="F17" s="83">
        <f>D17*E17</f>
        <v>0</v>
      </c>
      <c r="G17" s="84"/>
    </row>
    <row r="18" spans="1:13" ht="27" customHeight="1" outlineLevel="3">
      <c r="A18" s="14">
        <v>14</v>
      </c>
      <c r="B18" s="79" t="s">
        <v>54</v>
      </c>
      <c r="C18" s="15" t="s">
        <v>32</v>
      </c>
      <c r="D18" s="66">
        <f>SUMIF(ЛСР!$B$14:$B$71,VLOOKUP($B18,$B$5:$B$53,1,0),ЛСР!$H$14:$H$71)</f>
        <v>0</v>
      </c>
      <c r="E18" s="16">
        <v>92</v>
      </c>
      <c r="F18" s="83">
        <f>D18*E18</f>
        <v>0</v>
      </c>
      <c r="G18" s="84"/>
    </row>
    <row r="19" spans="1:13" outlineLevel="3">
      <c r="A19" s="14">
        <v>15</v>
      </c>
      <c r="B19" s="79" t="s">
        <v>55</v>
      </c>
      <c r="C19" s="15" t="s">
        <v>32</v>
      </c>
      <c r="D19" s="66">
        <f>SUMIF(ЛСР!$B$14:$B$71,VLOOKUP($B19,$B$5:$B$53,1,0),ЛСР!$H$14:$H$71)</f>
        <v>0</v>
      </c>
      <c r="E19" s="16">
        <v>580</v>
      </c>
      <c r="F19" s="83">
        <f>D19*E19</f>
        <v>0</v>
      </c>
      <c r="G19" s="84"/>
    </row>
    <row r="20" spans="1:13" outlineLevel="3">
      <c r="A20" s="14">
        <v>16</v>
      </c>
      <c r="B20" s="79" t="s">
        <v>56</v>
      </c>
      <c r="C20" s="15" t="s">
        <v>14</v>
      </c>
      <c r="D20" s="93">
        <f>SUMIF(ЛСР!$B$14:$B$71,VLOOKUP($B20,$B$5:$B$53,1,0),ЛСР!$H$14:$H$71)</f>
        <v>0</v>
      </c>
      <c r="E20" s="16">
        <v>202.73</v>
      </c>
      <c r="F20" s="83">
        <f t="shared" ref="F20:F53" si="1">D20*E20</f>
        <v>0</v>
      </c>
      <c r="G20" s="84"/>
    </row>
    <row r="21" spans="1:13" outlineLevel="3">
      <c r="A21" s="14">
        <v>17</v>
      </c>
      <c r="B21" s="79" t="s">
        <v>58</v>
      </c>
      <c r="C21" s="15" t="s">
        <v>14</v>
      </c>
      <c r="D21" s="93">
        <f>SUMIF(ЛСР!$B$14:$B$71,VLOOKUP($B21,$B$5:$B$53,1,0),ЛСР!$H$14:$H$71)</f>
        <v>0</v>
      </c>
      <c r="E21" s="16">
        <v>51</v>
      </c>
      <c r="F21" s="83">
        <f t="shared" si="1"/>
        <v>0</v>
      </c>
      <c r="G21" s="84"/>
    </row>
    <row r="22" spans="1:13" outlineLevel="3">
      <c r="A22" s="14">
        <v>18</v>
      </c>
      <c r="B22" s="18" t="s">
        <v>39</v>
      </c>
      <c r="C22" s="15" t="s">
        <v>15</v>
      </c>
      <c r="D22" s="66">
        <f>SUMIF(ЛСР!$B$14:$B$71,VLOOKUP($B22,$B$5:$B$53,1,0),ЛСР!$H$14:$H$71)</f>
        <v>0</v>
      </c>
      <c r="E22" s="16">
        <v>100</v>
      </c>
      <c r="F22" s="83">
        <f t="shared" si="1"/>
        <v>0</v>
      </c>
      <c r="G22" s="84"/>
    </row>
    <row r="23" spans="1:13" outlineLevel="3">
      <c r="A23" s="14">
        <v>19</v>
      </c>
      <c r="B23" s="18" t="s">
        <v>40</v>
      </c>
      <c r="C23" s="15" t="s">
        <v>41</v>
      </c>
      <c r="D23" s="66">
        <f>SUMIF(ЛСР!$B$14:$B$71,VLOOKUP($B23,$B$5:$B$53,1,0),ЛСР!$H$14:$H$71)</f>
        <v>0</v>
      </c>
      <c r="E23" s="16">
        <v>11.4</v>
      </c>
      <c r="F23" s="83">
        <f t="shared" si="1"/>
        <v>0</v>
      </c>
      <c r="G23" s="84"/>
    </row>
    <row r="24" spans="1:13" ht="63" customHeight="1" outlineLevel="3">
      <c r="A24" s="14">
        <v>20</v>
      </c>
      <c r="B24" s="18" t="s">
        <v>62</v>
      </c>
      <c r="C24" s="15" t="s">
        <v>63</v>
      </c>
      <c r="D24" s="66">
        <f>SUMIF(ЛСР!$B$14:$B$71,VLOOKUP($B24,$B$5:$B$53,1,0),ЛСР!$H$14:$H$71)</f>
        <v>0</v>
      </c>
      <c r="E24" s="16">
        <v>50160</v>
      </c>
      <c r="F24" s="83">
        <f t="shared" si="1"/>
        <v>0</v>
      </c>
      <c r="G24" s="84" t="s">
        <v>95</v>
      </c>
      <c r="H24" s="243" t="s">
        <v>94</v>
      </c>
      <c r="I24" s="244"/>
      <c r="J24" s="244"/>
      <c r="K24" s="244"/>
      <c r="L24" s="244"/>
      <c r="M24" s="244"/>
    </row>
    <row r="25" spans="1:13" outlineLevel="3">
      <c r="A25" s="14">
        <v>21</v>
      </c>
      <c r="B25" s="18" t="s">
        <v>65</v>
      </c>
      <c r="C25" s="15" t="s">
        <v>32</v>
      </c>
      <c r="D25" s="66">
        <f>SUMIF(ЛСР!$B$14:$B$71,VLOOKUP($B25,$B$5:$B$53,1,0),ЛСР!$H$14:$H$71)</f>
        <v>0</v>
      </c>
      <c r="E25" s="16">
        <v>121.64</v>
      </c>
      <c r="F25" s="83">
        <f t="shared" si="1"/>
        <v>0</v>
      </c>
      <c r="G25" s="84"/>
    </row>
    <row r="26" spans="1:13" outlineLevel="3">
      <c r="A26" s="14">
        <v>22</v>
      </c>
      <c r="B26" s="18" t="s">
        <v>66</v>
      </c>
      <c r="C26" s="15" t="s">
        <v>32</v>
      </c>
      <c r="D26" s="66">
        <f>SUMIF(ЛСР!$B$14:$B$71,VLOOKUP($B26,$B$5:$B$53,1,0),ЛСР!$H$14:$H$71)</f>
        <v>0</v>
      </c>
      <c r="E26" s="16">
        <v>26.88</v>
      </c>
      <c r="F26" s="83">
        <f t="shared" si="1"/>
        <v>0</v>
      </c>
      <c r="G26" s="84"/>
    </row>
    <row r="27" spans="1:13" outlineLevel="3">
      <c r="A27" s="14">
        <v>23</v>
      </c>
      <c r="B27" s="18" t="s">
        <v>67</v>
      </c>
      <c r="C27" s="15" t="s">
        <v>32</v>
      </c>
      <c r="D27" s="66">
        <f>SUMIF(ЛСР!$B$14:$B$71,VLOOKUP($B27,$B$5:$B$53,1,0),ЛСР!$H$14:$H$71)</f>
        <v>0</v>
      </c>
      <c r="E27" s="16">
        <v>138</v>
      </c>
      <c r="F27" s="83">
        <f t="shared" si="1"/>
        <v>0</v>
      </c>
      <c r="G27" s="84"/>
    </row>
    <row r="28" spans="1:13" ht="31.5" outlineLevel="3">
      <c r="A28" s="14">
        <v>24</v>
      </c>
      <c r="B28" s="18" t="s">
        <v>68</v>
      </c>
      <c r="C28" s="15" t="s">
        <v>14</v>
      </c>
      <c r="D28" s="93">
        <f>SUMIF(ЛСР!$B$14:$B$71,VLOOKUP($B28,$B$5:$B$53,1,0),ЛСР!$H$14:$H$71)</f>
        <v>0</v>
      </c>
      <c r="E28" s="16">
        <v>135.12</v>
      </c>
      <c r="F28" s="83">
        <f t="shared" si="1"/>
        <v>0</v>
      </c>
      <c r="G28" s="84"/>
    </row>
    <row r="29" spans="1:13" ht="31.5" outlineLevel="3">
      <c r="A29" s="14">
        <v>25</v>
      </c>
      <c r="B29" s="18" t="s">
        <v>69</v>
      </c>
      <c r="C29" s="15" t="s">
        <v>14</v>
      </c>
      <c r="D29" s="93">
        <f>SUMIF(ЛСР!$B$14:$B$71,VLOOKUP($B29,$B$5:$B$53,1,0),ЛСР!$H$14:$H$71)</f>
        <v>0</v>
      </c>
      <c r="E29" s="16">
        <v>28.72</v>
      </c>
      <c r="F29" s="83">
        <f t="shared" si="1"/>
        <v>0</v>
      </c>
      <c r="G29" s="84"/>
    </row>
    <row r="30" spans="1:13" ht="31.5" outlineLevel="3">
      <c r="A30" s="14">
        <v>26</v>
      </c>
      <c r="B30" s="18" t="s">
        <v>70</v>
      </c>
      <c r="C30" s="15" t="s">
        <v>14</v>
      </c>
      <c r="D30" s="93">
        <f>SUMIF(ЛСР!$B$14:$B$71,VLOOKUP($B30,$B$5:$B$53,1,0),ЛСР!$H$14:$H$71)</f>
        <v>0</v>
      </c>
      <c r="E30" s="16">
        <v>55.2</v>
      </c>
      <c r="F30" s="83">
        <f t="shared" si="1"/>
        <v>0</v>
      </c>
      <c r="G30" s="84"/>
    </row>
    <row r="31" spans="1:13" outlineLevel="3">
      <c r="A31" s="14">
        <v>27</v>
      </c>
      <c r="B31" s="18" t="s">
        <v>71</v>
      </c>
      <c r="C31" s="15" t="s">
        <v>14</v>
      </c>
      <c r="D31" s="93">
        <f>SUMIF(ЛСР!$B$14:$B$71,VLOOKUP($B31,$B$5:$B$53,1,0),ЛСР!$H$14:$H$71)</f>
        <v>0</v>
      </c>
      <c r="E31" s="16">
        <v>79.91</v>
      </c>
      <c r="F31" s="83">
        <f t="shared" si="1"/>
        <v>0</v>
      </c>
      <c r="G31" s="84"/>
    </row>
    <row r="32" spans="1:13" outlineLevel="3">
      <c r="A32" s="14">
        <v>28</v>
      </c>
      <c r="B32" s="18" t="s">
        <v>72</v>
      </c>
      <c r="C32" s="15" t="s">
        <v>14</v>
      </c>
      <c r="D32" s="93">
        <f>SUMIF(ЛСР!$B$14:$B$71,VLOOKUP($B32,$B$5:$B$53,1,0),ЛСР!$H$14:$H$71)</f>
        <v>0</v>
      </c>
      <c r="E32" s="16">
        <v>60.58</v>
      </c>
      <c r="F32" s="83">
        <f t="shared" si="1"/>
        <v>0</v>
      </c>
      <c r="G32" s="84"/>
    </row>
    <row r="33" spans="1:7" outlineLevel="3">
      <c r="A33" s="14">
        <v>29</v>
      </c>
      <c r="B33" s="18" t="s">
        <v>73</v>
      </c>
      <c r="C33" s="15" t="s">
        <v>14</v>
      </c>
      <c r="D33" s="93">
        <f>SUMIF(ЛСР!$B$14:$B$71,VLOOKUP($B33,$B$5:$B$53,1,0),ЛСР!$H$14:$H$71)</f>
        <v>0</v>
      </c>
      <c r="E33" s="16">
        <v>14.02</v>
      </c>
      <c r="F33" s="83">
        <f t="shared" si="1"/>
        <v>0</v>
      </c>
      <c r="G33" s="84"/>
    </row>
    <row r="34" spans="1:7" outlineLevel="3">
      <c r="A34" s="14">
        <v>30</v>
      </c>
      <c r="B34" s="18" t="s">
        <v>74</v>
      </c>
      <c r="C34" s="15" t="s">
        <v>14</v>
      </c>
      <c r="D34" s="93">
        <f>SUMIF(ЛСР!$B$14:$B$71,VLOOKUP($B34,$B$5:$B$53,1,0),ЛСР!$H$14:$H$71)</f>
        <v>0</v>
      </c>
      <c r="E34" s="16">
        <v>103.3</v>
      </c>
      <c r="F34" s="83">
        <f t="shared" si="1"/>
        <v>0</v>
      </c>
      <c r="G34" s="84"/>
    </row>
    <row r="35" spans="1:7" ht="31.5" outlineLevel="3">
      <c r="A35" s="14">
        <v>31</v>
      </c>
      <c r="B35" s="18" t="s">
        <v>75</v>
      </c>
      <c r="C35" s="15" t="s">
        <v>32</v>
      </c>
      <c r="D35" s="66">
        <f>SUMIF(ЛСР!$B$14:$B$71,VLOOKUP($B35,$B$5:$B$53,1,0),ЛСР!$H$14:$H$71)</f>
        <v>0</v>
      </c>
      <c r="E35" s="16">
        <v>69680</v>
      </c>
      <c r="F35" s="83">
        <f t="shared" si="1"/>
        <v>0</v>
      </c>
      <c r="G35" s="84"/>
    </row>
    <row r="36" spans="1:7" ht="31.5" outlineLevel="3">
      <c r="A36" s="14">
        <v>32</v>
      </c>
      <c r="B36" s="18" t="s">
        <v>76</v>
      </c>
      <c r="C36" s="15" t="s">
        <v>32</v>
      </c>
      <c r="D36" s="66">
        <f>SUMIF(ЛСР!$B$14:$B$71,VLOOKUP($B36,$B$5:$B$53,1,0),ЛСР!$H$14:$H$71)</f>
        <v>0</v>
      </c>
      <c r="E36" s="16">
        <v>88630</v>
      </c>
      <c r="F36" s="83">
        <f t="shared" si="1"/>
        <v>0</v>
      </c>
      <c r="G36" s="84"/>
    </row>
    <row r="37" spans="1:7" ht="31.5" outlineLevel="3">
      <c r="A37" s="14">
        <v>33</v>
      </c>
      <c r="B37" s="18" t="s">
        <v>77</v>
      </c>
      <c r="C37" s="15" t="s">
        <v>32</v>
      </c>
      <c r="D37" s="66">
        <f>SUMIF(ЛСР!$B$14:$B$71,VLOOKUP($B37,$B$5:$B$53,1,0),ЛСР!$H$14:$H$71)</f>
        <v>0</v>
      </c>
      <c r="E37" s="16">
        <v>85680</v>
      </c>
      <c r="F37" s="83">
        <f t="shared" si="1"/>
        <v>0</v>
      </c>
      <c r="G37" s="84"/>
    </row>
    <row r="38" spans="1:7" ht="31.5" outlineLevel="3">
      <c r="A38" s="14">
        <v>34</v>
      </c>
      <c r="B38" s="18" t="s">
        <v>78</v>
      </c>
      <c r="C38" s="15" t="s">
        <v>32</v>
      </c>
      <c r="D38" s="66">
        <f>SUMIF(ЛСР!$B$14:$B$71,VLOOKUP($B38,$B$5:$B$53,1,0),ЛСР!$H$14:$H$71)</f>
        <v>0</v>
      </c>
      <c r="E38" s="16">
        <v>64730</v>
      </c>
      <c r="F38" s="83">
        <f t="shared" si="1"/>
        <v>0</v>
      </c>
      <c r="G38" s="84"/>
    </row>
    <row r="39" spans="1:7" outlineLevel="3">
      <c r="A39" s="14">
        <v>35</v>
      </c>
      <c r="B39" s="18" t="s">
        <v>79</v>
      </c>
      <c r="C39" s="15" t="s">
        <v>32</v>
      </c>
      <c r="D39" s="66">
        <f>SUMIF(ЛСР!$B$14:$B$71,VLOOKUP($B39,$B$5:$B$53,1,0),ЛСР!$H$14:$H$71)</f>
        <v>0</v>
      </c>
      <c r="E39" s="16">
        <v>75180</v>
      </c>
      <c r="F39" s="83">
        <f t="shared" si="1"/>
        <v>0</v>
      </c>
      <c r="G39" s="84"/>
    </row>
    <row r="40" spans="1:7" outlineLevel="3">
      <c r="A40" s="14">
        <v>36</v>
      </c>
      <c r="B40" s="18" t="s">
        <v>80</v>
      </c>
      <c r="C40" s="15" t="s">
        <v>32</v>
      </c>
      <c r="D40" s="66">
        <f>SUMIF(ЛСР!$B$14:$B$71,VLOOKUP($B40,$B$5:$B$53,1,0),ЛСР!$H$14:$H$71)</f>
        <v>0</v>
      </c>
      <c r="E40" s="16">
        <v>28070</v>
      </c>
      <c r="F40" s="83">
        <f t="shared" si="1"/>
        <v>0</v>
      </c>
      <c r="G40" s="84"/>
    </row>
    <row r="41" spans="1:7" ht="31.5" outlineLevel="3">
      <c r="A41" s="14">
        <v>37</v>
      </c>
      <c r="B41" s="18" t="s">
        <v>81</v>
      </c>
      <c r="C41" s="15" t="s">
        <v>32</v>
      </c>
      <c r="D41" s="66">
        <f>SUMIF(ЛСР!$B$14:$B$71,VLOOKUP($B41,$B$5:$B$53,1,0),ЛСР!$H$14:$H$71)</f>
        <v>0</v>
      </c>
      <c r="E41" s="16">
        <v>10654.56</v>
      </c>
      <c r="F41" s="83">
        <f t="shared" si="1"/>
        <v>0</v>
      </c>
      <c r="G41" s="84"/>
    </row>
    <row r="42" spans="1:7" outlineLevel="3">
      <c r="A42" s="14">
        <v>38</v>
      </c>
      <c r="B42" s="18" t="s">
        <v>82</v>
      </c>
      <c r="C42" s="15" t="s">
        <v>32</v>
      </c>
      <c r="D42" s="66">
        <f>SUMIF(ЛСР!$B$14:$B$71,VLOOKUP($B42,$B$5:$B$53,1,0),ЛСР!$H$14:$H$71)</f>
        <v>0</v>
      </c>
      <c r="E42" s="16">
        <v>6157.13</v>
      </c>
      <c r="F42" s="83">
        <f t="shared" si="1"/>
        <v>0</v>
      </c>
      <c r="G42" s="84"/>
    </row>
    <row r="43" spans="1:7" outlineLevel="3">
      <c r="A43" s="14">
        <v>39</v>
      </c>
      <c r="B43" s="18" t="s">
        <v>83</v>
      </c>
      <c r="C43" s="15" t="s">
        <v>7</v>
      </c>
      <c r="D43" s="93">
        <f>SUMIF(ЛСР!$B$14:$B$71,VLOOKUP($B43,$B$5:$B$53,1,0),ЛСР!$H$14:$H$71)</f>
        <v>2.04</v>
      </c>
      <c r="E43" s="16">
        <v>6500</v>
      </c>
      <c r="F43" s="83">
        <f t="shared" si="1"/>
        <v>13260</v>
      </c>
      <c r="G43" s="84"/>
    </row>
    <row r="44" spans="1:7" outlineLevel="3">
      <c r="A44" s="14">
        <v>40</v>
      </c>
      <c r="B44" s="18" t="s">
        <v>84</v>
      </c>
      <c r="C44" s="15" t="s">
        <v>7</v>
      </c>
      <c r="D44" s="93">
        <f>SUMIF(ЛСР!$B$14:$B$71,VLOOKUP($B44,$B$5:$B$53,1,0),ЛСР!$H$14:$H$71)</f>
        <v>0</v>
      </c>
      <c r="E44" s="16">
        <v>2050</v>
      </c>
      <c r="F44" s="83">
        <f t="shared" si="1"/>
        <v>0</v>
      </c>
      <c r="G44" s="84"/>
    </row>
    <row r="45" spans="1:7" outlineLevel="3">
      <c r="A45" s="14">
        <v>41</v>
      </c>
      <c r="B45" s="18" t="s">
        <v>57</v>
      </c>
      <c r="C45" s="15" t="s">
        <v>7</v>
      </c>
      <c r="D45" s="93">
        <f>SUMIF(ЛСР!$B$14:$B$71,VLOOKUP($B45,$B$5:$B$53,1,0),ЛСР!$H$14:$H$71)</f>
        <v>32.58</v>
      </c>
      <c r="E45" s="16">
        <v>550</v>
      </c>
      <c r="F45" s="83">
        <f t="shared" si="1"/>
        <v>17919</v>
      </c>
      <c r="G45" s="84"/>
    </row>
    <row r="46" spans="1:7" outlineLevel="3">
      <c r="A46" s="14">
        <v>42</v>
      </c>
      <c r="B46" s="18" t="s">
        <v>85</v>
      </c>
      <c r="C46" s="15" t="s">
        <v>32</v>
      </c>
      <c r="D46" s="66">
        <f>SUMIF(ЛСР!$B$14:$B$71,VLOOKUP($B46,$B$5:$B$53,1,0),ЛСР!$H$14:$H$71)</f>
        <v>0</v>
      </c>
      <c r="E46" s="16">
        <v>1200</v>
      </c>
      <c r="F46" s="83">
        <f t="shared" si="1"/>
        <v>0</v>
      </c>
      <c r="G46" s="84"/>
    </row>
    <row r="47" spans="1:7" outlineLevel="3">
      <c r="A47" s="14">
        <v>43</v>
      </c>
      <c r="B47" s="18" t="s">
        <v>86</v>
      </c>
      <c r="C47" s="15" t="s">
        <v>32</v>
      </c>
      <c r="D47" s="66">
        <f>SUMIF(ЛСР!$B$14:$B$71,VLOOKUP($B47,$B$5:$B$53,1,0),ЛСР!$H$14:$H$71)</f>
        <v>0</v>
      </c>
      <c r="E47" s="16">
        <v>800</v>
      </c>
      <c r="F47" s="83">
        <f t="shared" si="1"/>
        <v>0</v>
      </c>
      <c r="G47" s="84"/>
    </row>
    <row r="48" spans="1:7" outlineLevel="3">
      <c r="A48" s="14">
        <v>44</v>
      </c>
      <c r="B48" s="18" t="s">
        <v>87</v>
      </c>
      <c r="C48" s="15" t="s">
        <v>32</v>
      </c>
      <c r="D48" s="66">
        <f>SUMIF(ЛСР!$B$14:$B$71,VLOOKUP($B48,$B$5:$B$53,1,0),ЛСР!$H$14:$H$71)</f>
        <v>0</v>
      </c>
      <c r="E48" s="16">
        <v>700</v>
      </c>
      <c r="F48" s="83">
        <f t="shared" si="1"/>
        <v>0</v>
      </c>
      <c r="G48" s="84"/>
    </row>
    <row r="49" spans="1:7" outlineLevel="3">
      <c r="A49" s="14">
        <v>45</v>
      </c>
      <c r="B49" s="18" t="s">
        <v>88</v>
      </c>
      <c r="C49" s="15" t="s">
        <v>32</v>
      </c>
      <c r="D49" s="66">
        <f>SUMIF(ЛСР!$B$14:$B$71,VLOOKUP($B49,$B$5:$B$53,1,0),ЛСР!$H$14:$H$71)</f>
        <v>0</v>
      </c>
      <c r="E49" s="16">
        <v>800</v>
      </c>
      <c r="F49" s="83">
        <f t="shared" si="1"/>
        <v>0</v>
      </c>
      <c r="G49" s="84"/>
    </row>
    <row r="50" spans="1:7" outlineLevel="3">
      <c r="A50" s="14">
        <v>46</v>
      </c>
      <c r="B50" s="18" t="s">
        <v>89</v>
      </c>
      <c r="C50" s="15" t="s">
        <v>32</v>
      </c>
      <c r="D50" s="66">
        <f>SUMIF(ЛСР!$B$14:$B$71,VLOOKUP($B50,$B$5:$B$53,1,0),ЛСР!$H$14:$H$71)</f>
        <v>0</v>
      </c>
      <c r="E50" s="16">
        <v>6</v>
      </c>
      <c r="F50" s="83">
        <f t="shared" si="1"/>
        <v>0</v>
      </c>
      <c r="G50" s="84"/>
    </row>
    <row r="51" spans="1:7" outlineLevel="3">
      <c r="A51" s="14">
        <v>47</v>
      </c>
      <c r="B51" s="18" t="s">
        <v>90</v>
      </c>
      <c r="C51" s="15" t="s">
        <v>32</v>
      </c>
      <c r="D51" s="66">
        <f>SUMIF(ЛСР!$B$14:$B$71,VLOOKUP($B51,$B$5:$B$53,1,0),ЛСР!$H$14:$H$71)</f>
        <v>0</v>
      </c>
      <c r="E51" s="16">
        <v>3</v>
      </c>
      <c r="F51" s="83">
        <f t="shared" si="1"/>
        <v>0</v>
      </c>
      <c r="G51" s="84"/>
    </row>
    <row r="52" spans="1:7" outlineLevel="3">
      <c r="A52" s="14">
        <v>48</v>
      </c>
      <c r="B52" s="18" t="s">
        <v>91</v>
      </c>
      <c r="C52" s="15" t="s">
        <v>32</v>
      </c>
      <c r="D52" s="66">
        <f>SUMIF(ЛСР!$B$14:$B$71,VLOOKUP($B52,$B$5:$B$53,1,0),ЛСР!$H$14:$H$71)</f>
        <v>0</v>
      </c>
      <c r="E52" s="16">
        <v>2</v>
      </c>
      <c r="F52" s="83">
        <f t="shared" si="1"/>
        <v>0</v>
      </c>
      <c r="G52" s="84"/>
    </row>
    <row r="53" spans="1:7" outlineLevel="3">
      <c r="A53" s="14">
        <v>49</v>
      </c>
      <c r="B53" s="18" t="s">
        <v>92</v>
      </c>
      <c r="C53" s="15" t="s">
        <v>14</v>
      </c>
      <c r="D53" s="93">
        <f>SUMIF(ЛСР!$B$14:$B$71,VLOOKUP($B53,$B$5:$B$53,1,0),ЛСР!$H$14:$H$71)</f>
        <v>0</v>
      </c>
      <c r="E53" s="16">
        <v>9</v>
      </c>
      <c r="F53" s="83">
        <f t="shared" si="1"/>
        <v>0</v>
      </c>
      <c r="G53" s="84"/>
    </row>
    <row r="54" spans="1:7">
      <c r="A54" s="62"/>
      <c r="B54" s="224" t="s">
        <v>11</v>
      </c>
      <c r="C54" s="225"/>
      <c r="D54" s="225"/>
      <c r="E54" s="226"/>
      <c r="F54" s="90">
        <f>SUM(F5:F53)</f>
        <v>31179</v>
      </c>
      <c r="G54" s="90"/>
    </row>
    <row r="55" spans="1:7">
      <c r="F55" s="78">
        <f>F54-ЛСР!J74</f>
        <v>31179</v>
      </c>
      <c r="G55" s="2"/>
    </row>
    <row r="56" spans="1:7">
      <c r="G56" s="2"/>
    </row>
  </sheetData>
  <autoFilter ref="A3:M55" xr:uid="{624036B8-99B9-4DAF-8998-EB90BC445E44}"/>
  <mergeCells count="4">
    <mergeCell ref="B54:E54"/>
    <mergeCell ref="H24:M24"/>
    <mergeCell ref="A2:G2"/>
    <mergeCell ref="A1:G1"/>
  </mergeCells>
  <pageMargins left="0.7" right="0.7" top="0.75" bottom="0.75" header="0.3" footer="0.3"/>
  <pageSetup scale="41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ЛСР</vt:lpstr>
      <vt:lpstr>смр</vt:lpstr>
      <vt:lpstr>мат</vt:lpstr>
      <vt:lpstr>ЛСР (2)</vt:lpstr>
      <vt:lpstr>РАБОТА</vt:lpstr>
      <vt:lpstr>МАТЕРИАЛ</vt:lpstr>
      <vt:lpstr>ЛСР!Область_печати</vt:lpstr>
      <vt:lpstr>'ЛСР (2)'!Область_печати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Великоборец Александра Михайловна</cp:lastModifiedBy>
  <dcterms:created xsi:type="dcterms:W3CDTF">2015-06-05T18:19:34Z</dcterms:created>
  <dcterms:modified xsi:type="dcterms:W3CDTF">2026-05-21T05:19:14Z</dcterms:modified>
</cp:coreProperties>
</file>