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Кладка\Тендер\"/>
    </mc:Choice>
  </mc:AlternateContent>
  <xr:revisionPtr revIDLastSave="0" documentId="8_{610468A6-73AD-490A-8428-F75B9E297866}" xr6:coauthVersionLast="47" xr6:coauthVersionMax="47" xr10:uidLastSave="{00000000-0000-0000-0000-000000000000}"/>
  <bookViews>
    <workbookView xWindow="-28920" yWindow="-120" windowWidth="29040" windowHeight="16440" firstSheet="2" activeTab="2" xr2:uid="{00000000-000D-0000-FFFF-FFFF00000000}"/>
  </bookViews>
  <sheets>
    <sheet name="ГП-101" sheetId="2" state="hidden" r:id="rId1"/>
    <sheet name="ГП-103 с.1,2,3" sheetId="3" state="hidden" r:id="rId2"/>
    <sheet name="ГП-107" sheetId="5" r:id="rId3"/>
    <sheet name="работы" sheetId="6" r:id="rId4"/>
    <sheet name="материал" sheetId="7" r:id="rId5"/>
  </sheets>
  <definedNames>
    <definedName name="_xlnm._FilterDatabase" localSheetId="0" hidden="1">'ГП-101'!$B$1:$B$1135</definedName>
    <definedName name="_xlnm._FilterDatabase" localSheetId="1" hidden="1">'ГП-103 с.1,2,3'!$B$1:$B$929</definedName>
    <definedName name="_xlnm._FilterDatabase" localSheetId="2" hidden="1">'ГП-107'!$A$7:$M$864</definedName>
    <definedName name="_xlnm._FilterDatabase" localSheetId="4" hidden="1">материал!$E$1:$E$69</definedName>
    <definedName name="_xlnm._FilterDatabase" localSheetId="3" hidden="1">работы!$A$4:$F$20</definedName>
    <definedName name="_xlnm.Print_Area" localSheetId="0">'ГП-101'!$A$1:$L$1134</definedName>
    <definedName name="_xlnm.Print_Area" localSheetId="1">'ГП-103 с.1,2,3'!$A$1:$N$928</definedName>
    <definedName name="_xlnm.Print_Area" localSheetId="4">материал!$A$1:$H$69</definedName>
    <definedName name="_xlnm.Print_Area" localSheetId="3">работы!$A$1:$F$20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0" i="5" l="1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220" i="5"/>
  <c r="M219" i="5"/>
  <c r="M218" i="5"/>
  <c r="M217" i="5"/>
  <c r="M216" i="5"/>
  <c r="M215" i="5"/>
  <c r="M214" i="5"/>
  <c r="M213" i="5"/>
  <c r="M212" i="5"/>
  <c r="M211" i="5"/>
  <c r="M210" i="5"/>
  <c r="M209" i="5"/>
  <c r="M208" i="5"/>
  <c r="M207" i="5"/>
  <c r="M206" i="5"/>
  <c r="M205" i="5"/>
  <c r="M204" i="5"/>
  <c r="M203" i="5"/>
  <c r="M202" i="5"/>
  <c r="M201" i="5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270" i="5"/>
  <c r="M269" i="5"/>
  <c r="M268" i="5"/>
  <c r="M267" i="5"/>
  <c r="M266" i="5"/>
  <c r="M265" i="5"/>
  <c r="M264" i="5"/>
  <c r="M263" i="5"/>
  <c r="M262" i="5"/>
  <c r="M261" i="5"/>
  <c r="M260" i="5"/>
  <c r="M259" i="5"/>
  <c r="M258" i="5"/>
  <c r="M257" i="5"/>
  <c r="M256" i="5"/>
  <c r="M255" i="5"/>
  <c r="M254" i="5"/>
  <c r="M253" i="5"/>
  <c r="M252" i="5"/>
  <c r="M251" i="5"/>
  <c r="M250" i="5"/>
  <c r="M249" i="5"/>
  <c r="M248" i="5"/>
  <c r="M247" i="5"/>
  <c r="M246" i="5"/>
  <c r="M245" i="5"/>
  <c r="M244" i="5"/>
  <c r="M243" i="5"/>
  <c r="M242" i="5"/>
  <c r="M241" i="5"/>
  <c r="M240" i="5"/>
  <c r="M239" i="5"/>
  <c r="M238" i="5"/>
  <c r="M237" i="5"/>
  <c r="M236" i="5"/>
  <c r="M235" i="5"/>
  <c r="M234" i="5"/>
  <c r="M233" i="5"/>
  <c r="M232" i="5"/>
  <c r="M231" i="5"/>
  <c r="M230" i="5"/>
  <c r="M229" i="5"/>
  <c r="M228" i="5"/>
  <c r="M227" i="5"/>
  <c r="M226" i="5"/>
  <c r="M225" i="5"/>
  <c r="M224" i="5"/>
  <c r="M223" i="5"/>
  <c r="M222" i="5"/>
  <c r="M320" i="5"/>
  <c r="M319" i="5"/>
  <c r="M318" i="5"/>
  <c r="M317" i="5"/>
  <c r="M316" i="5"/>
  <c r="M315" i="5"/>
  <c r="M314" i="5"/>
  <c r="M313" i="5"/>
  <c r="M312" i="5"/>
  <c r="M311" i="5"/>
  <c r="M310" i="5"/>
  <c r="M309" i="5"/>
  <c r="M308" i="5"/>
  <c r="M307" i="5"/>
  <c r="M306" i="5"/>
  <c r="M305" i="5"/>
  <c r="M304" i="5"/>
  <c r="M303" i="5"/>
  <c r="M302" i="5"/>
  <c r="M301" i="5"/>
  <c r="M300" i="5"/>
  <c r="M299" i="5"/>
  <c r="M298" i="5"/>
  <c r="M297" i="5"/>
  <c r="M296" i="5"/>
  <c r="M295" i="5"/>
  <c r="M294" i="5"/>
  <c r="M293" i="5"/>
  <c r="M292" i="5"/>
  <c r="M291" i="5"/>
  <c r="M290" i="5"/>
  <c r="M289" i="5"/>
  <c r="M288" i="5"/>
  <c r="M287" i="5"/>
  <c r="M286" i="5"/>
  <c r="M285" i="5"/>
  <c r="M284" i="5"/>
  <c r="M283" i="5"/>
  <c r="M282" i="5"/>
  <c r="M281" i="5"/>
  <c r="M280" i="5"/>
  <c r="M279" i="5"/>
  <c r="M278" i="5"/>
  <c r="M277" i="5"/>
  <c r="M276" i="5"/>
  <c r="M275" i="5"/>
  <c r="M274" i="5"/>
  <c r="M273" i="5"/>
  <c r="M272" i="5"/>
  <c r="M370" i="5"/>
  <c r="M369" i="5"/>
  <c r="M368" i="5"/>
  <c r="M367" i="5"/>
  <c r="M366" i="5"/>
  <c r="M365" i="5"/>
  <c r="M364" i="5"/>
  <c r="M363" i="5"/>
  <c r="M362" i="5"/>
  <c r="M361" i="5"/>
  <c r="M360" i="5"/>
  <c r="M359" i="5"/>
  <c r="M358" i="5"/>
  <c r="M357" i="5"/>
  <c r="M356" i="5"/>
  <c r="M355" i="5"/>
  <c r="M354" i="5"/>
  <c r="M353" i="5"/>
  <c r="M352" i="5"/>
  <c r="M351" i="5"/>
  <c r="M350" i="5"/>
  <c r="M349" i="5"/>
  <c r="M348" i="5"/>
  <c r="M347" i="5"/>
  <c r="M346" i="5"/>
  <c r="M345" i="5"/>
  <c r="M344" i="5"/>
  <c r="M343" i="5"/>
  <c r="M342" i="5"/>
  <c r="M341" i="5"/>
  <c r="M340" i="5"/>
  <c r="M339" i="5"/>
  <c r="M338" i="5"/>
  <c r="M337" i="5"/>
  <c r="M336" i="5"/>
  <c r="M335" i="5"/>
  <c r="M334" i="5"/>
  <c r="M333" i="5"/>
  <c r="M332" i="5"/>
  <c r="M331" i="5"/>
  <c r="M330" i="5"/>
  <c r="M329" i="5"/>
  <c r="M328" i="5"/>
  <c r="M327" i="5"/>
  <c r="M326" i="5"/>
  <c r="M325" i="5"/>
  <c r="M324" i="5"/>
  <c r="M323" i="5"/>
  <c r="M322" i="5"/>
  <c r="M420" i="5"/>
  <c r="M419" i="5"/>
  <c r="M418" i="5"/>
  <c r="M417" i="5"/>
  <c r="M416" i="5"/>
  <c r="M415" i="5"/>
  <c r="M414" i="5"/>
  <c r="M413" i="5"/>
  <c r="M412" i="5"/>
  <c r="M411" i="5"/>
  <c r="M410" i="5"/>
  <c r="M409" i="5"/>
  <c r="M408" i="5"/>
  <c r="M407" i="5"/>
  <c r="M406" i="5"/>
  <c r="M405" i="5"/>
  <c r="M404" i="5"/>
  <c r="M403" i="5"/>
  <c r="M402" i="5"/>
  <c r="M401" i="5"/>
  <c r="M400" i="5"/>
  <c r="M399" i="5"/>
  <c r="M398" i="5"/>
  <c r="M397" i="5"/>
  <c r="M396" i="5"/>
  <c r="M395" i="5"/>
  <c r="M394" i="5"/>
  <c r="M393" i="5"/>
  <c r="M392" i="5"/>
  <c r="M391" i="5"/>
  <c r="M390" i="5"/>
  <c r="M389" i="5"/>
  <c r="M388" i="5"/>
  <c r="M387" i="5"/>
  <c r="M386" i="5"/>
  <c r="M385" i="5"/>
  <c r="M384" i="5"/>
  <c r="M383" i="5"/>
  <c r="M382" i="5"/>
  <c r="M381" i="5"/>
  <c r="M380" i="5"/>
  <c r="M379" i="5"/>
  <c r="M378" i="5"/>
  <c r="M377" i="5"/>
  <c r="M376" i="5"/>
  <c r="M375" i="5"/>
  <c r="M374" i="5"/>
  <c r="M373" i="5"/>
  <c r="M372" i="5"/>
  <c r="M470" i="5"/>
  <c r="M469" i="5"/>
  <c r="M468" i="5"/>
  <c r="M467" i="5"/>
  <c r="M466" i="5"/>
  <c r="M465" i="5"/>
  <c r="M464" i="5"/>
  <c r="M463" i="5"/>
  <c r="M462" i="5"/>
  <c r="M461" i="5"/>
  <c r="M460" i="5"/>
  <c r="M459" i="5"/>
  <c r="M458" i="5"/>
  <c r="M457" i="5"/>
  <c r="M456" i="5"/>
  <c r="M455" i="5"/>
  <c r="M454" i="5"/>
  <c r="M453" i="5"/>
  <c r="M452" i="5"/>
  <c r="M451" i="5"/>
  <c r="M450" i="5"/>
  <c r="M449" i="5"/>
  <c r="M448" i="5"/>
  <c r="M447" i="5"/>
  <c r="M446" i="5"/>
  <c r="M445" i="5"/>
  <c r="M444" i="5"/>
  <c r="M443" i="5"/>
  <c r="M442" i="5"/>
  <c r="M441" i="5"/>
  <c r="M440" i="5"/>
  <c r="M439" i="5"/>
  <c r="M438" i="5"/>
  <c r="M437" i="5"/>
  <c r="M436" i="5"/>
  <c r="M435" i="5"/>
  <c r="M434" i="5"/>
  <c r="M433" i="5"/>
  <c r="M432" i="5"/>
  <c r="M431" i="5"/>
  <c r="M430" i="5"/>
  <c r="M429" i="5"/>
  <c r="M428" i="5"/>
  <c r="M427" i="5"/>
  <c r="M426" i="5"/>
  <c r="M425" i="5"/>
  <c r="M424" i="5"/>
  <c r="M423" i="5"/>
  <c r="M422" i="5"/>
  <c r="M520" i="5"/>
  <c r="M519" i="5"/>
  <c r="M518" i="5"/>
  <c r="M517" i="5"/>
  <c r="M516" i="5"/>
  <c r="M515" i="5"/>
  <c r="M514" i="5"/>
  <c r="M513" i="5"/>
  <c r="M512" i="5"/>
  <c r="M511" i="5"/>
  <c r="M510" i="5"/>
  <c r="M509" i="5"/>
  <c r="M508" i="5"/>
  <c r="M507" i="5"/>
  <c r="M506" i="5"/>
  <c r="M505" i="5"/>
  <c r="M504" i="5"/>
  <c r="M503" i="5"/>
  <c r="M502" i="5"/>
  <c r="M501" i="5"/>
  <c r="M500" i="5"/>
  <c r="M499" i="5"/>
  <c r="M498" i="5"/>
  <c r="M497" i="5"/>
  <c r="M496" i="5"/>
  <c r="M495" i="5"/>
  <c r="M494" i="5"/>
  <c r="M493" i="5"/>
  <c r="M492" i="5"/>
  <c r="M491" i="5"/>
  <c r="M490" i="5"/>
  <c r="M489" i="5"/>
  <c r="M488" i="5"/>
  <c r="M487" i="5"/>
  <c r="M486" i="5"/>
  <c r="M485" i="5"/>
  <c r="M484" i="5"/>
  <c r="M483" i="5"/>
  <c r="M482" i="5"/>
  <c r="M481" i="5"/>
  <c r="M480" i="5"/>
  <c r="M479" i="5"/>
  <c r="M478" i="5"/>
  <c r="M477" i="5"/>
  <c r="M476" i="5"/>
  <c r="M475" i="5"/>
  <c r="M474" i="5"/>
  <c r="M473" i="5"/>
  <c r="M472" i="5"/>
  <c r="M570" i="5"/>
  <c r="M569" i="5"/>
  <c r="M568" i="5"/>
  <c r="M567" i="5"/>
  <c r="M566" i="5"/>
  <c r="M565" i="5"/>
  <c r="M564" i="5"/>
  <c r="M563" i="5"/>
  <c r="M562" i="5"/>
  <c r="M561" i="5"/>
  <c r="M560" i="5"/>
  <c r="M559" i="5"/>
  <c r="M558" i="5"/>
  <c r="M557" i="5"/>
  <c r="M556" i="5"/>
  <c r="M555" i="5"/>
  <c r="M554" i="5"/>
  <c r="M553" i="5"/>
  <c r="M552" i="5"/>
  <c r="M551" i="5"/>
  <c r="M550" i="5"/>
  <c r="M549" i="5"/>
  <c r="M548" i="5"/>
  <c r="M547" i="5"/>
  <c r="M546" i="5"/>
  <c r="M545" i="5"/>
  <c r="M544" i="5"/>
  <c r="M543" i="5"/>
  <c r="M542" i="5"/>
  <c r="M541" i="5"/>
  <c r="M540" i="5"/>
  <c r="M539" i="5"/>
  <c r="M538" i="5"/>
  <c r="M537" i="5"/>
  <c r="M536" i="5"/>
  <c r="M535" i="5"/>
  <c r="M534" i="5"/>
  <c r="M533" i="5"/>
  <c r="M532" i="5"/>
  <c r="M531" i="5"/>
  <c r="M530" i="5"/>
  <c r="M529" i="5"/>
  <c r="M528" i="5"/>
  <c r="M527" i="5"/>
  <c r="M526" i="5"/>
  <c r="M525" i="5"/>
  <c r="M524" i="5"/>
  <c r="M523" i="5"/>
  <c r="M522" i="5"/>
  <c r="M620" i="5"/>
  <c r="M619" i="5"/>
  <c r="M618" i="5"/>
  <c r="M617" i="5"/>
  <c r="M616" i="5"/>
  <c r="M615" i="5"/>
  <c r="M614" i="5"/>
  <c r="M613" i="5"/>
  <c r="M612" i="5"/>
  <c r="M611" i="5"/>
  <c r="M610" i="5"/>
  <c r="M609" i="5"/>
  <c r="M608" i="5"/>
  <c r="M607" i="5"/>
  <c r="M606" i="5"/>
  <c r="M605" i="5"/>
  <c r="M604" i="5"/>
  <c r="M603" i="5"/>
  <c r="M602" i="5"/>
  <c r="M601" i="5"/>
  <c r="M600" i="5"/>
  <c r="M599" i="5"/>
  <c r="M598" i="5"/>
  <c r="M597" i="5"/>
  <c r="M596" i="5"/>
  <c r="M595" i="5"/>
  <c r="M594" i="5"/>
  <c r="M593" i="5"/>
  <c r="M592" i="5"/>
  <c r="M591" i="5"/>
  <c r="M590" i="5"/>
  <c r="M589" i="5"/>
  <c r="M588" i="5"/>
  <c r="M587" i="5"/>
  <c r="M586" i="5"/>
  <c r="M585" i="5"/>
  <c r="M584" i="5"/>
  <c r="M583" i="5"/>
  <c r="M582" i="5"/>
  <c r="M581" i="5"/>
  <c r="M580" i="5"/>
  <c r="M579" i="5"/>
  <c r="M578" i="5"/>
  <c r="M577" i="5"/>
  <c r="M576" i="5"/>
  <c r="M575" i="5"/>
  <c r="M574" i="5"/>
  <c r="M573" i="5"/>
  <c r="M572" i="5"/>
  <c r="M670" i="5"/>
  <c r="M669" i="5"/>
  <c r="M668" i="5"/>
  <c r="M667" i="5"/>
  <c r="M666" i="5"/>
  <c r="M665" i="5"/>
  <c r="M664" i="5"/>
  <c r="M663" i="5"/>
  <c r="M662" i="5"/>
  <c r="M661" i="5"/>
  <c r="M660" i="5"/>
  <c r="M659" i="5"/>
  <c r="M658" i="5"/>
  <c r="M657" i="5"/>
  <c r="M656" i="5"/>
  <c r="M655" i="5"/>
  <c r="M654" i="5"/>
  <c r="M653" i="5"/>
  <c r="M652" i="5"/>
  <c r="M651" i="5"/>
  <c r="M650" i="5"/>
  <c r="M649" i="5"/>
  <c r="M648" i="5"/>
  <c r="M647" i="5"/>
  <c r="M646" i="5"/>
  <c r="M645" i="5"/>
  <c r="M644" i="5"/>
  <c r="M643" i="5"/>
  <c r="M642" i="5"/>
  <c r="M641" i="5"/>
  <c r="M640" i="5"/>
  <c r="M639" i="5"/>
  <c r="M638" i="5"/>
  <c r="M637" i="5"/>
  <c r="M636" i="5"/>
  <c r="M635" i="5"/>
  <c r="M634" i="5"/>
  <c r="M633" i="5"/>
  <c r="M632" i="5"/>
  <c r="M631" i="5"/>
  <c r="M630" i="5"/>
  <c r="M629" i="5"/>
  <c r="M628" i="5"/>
  <c r="M627" i="5"/>
  <c r="M626" i="5"/>
  <c r="M625" i="5"/>
  <c r="M624" i="5"/>
  <c r="M623" i="5"/>
  <c r="M622" i="5"/>
  <c r="M720" i="5"/>
  <c r="M719" i="5"/>
  <c r="M718" i="5"/>
  <c r="M717" i="5"/>
  <c r="M716" i="5"/>
  <c r="M715" i="5"/>
  <c r="M714" i="5"/>
  <c r="M713" i="5"/>
  <c r="M712" i="5"/>
  <c r="M711" i="5"/>
  <c r="M710" i="5"/>
  <c r="M709" i="5"/>
  <c r="M708" i="5"/>
  <c r="M707" i="5"/>
  <c r="M706" i="5"/>
  <c r="M705" i="5"/>
  <c r="M704" i="5"/>
  <c r="M703" i="5"/>
  <c r="M702" i="5"/>
  <c r="M701" i="5"/>
  <c r="M700" i="5"/>
  <c r="M699" i="5"/>
  <c r="M698" i="5"/>
  <c r="M697" i="5"/>
  <c r="M696" i="5"/>
  <c r="M695" i="5"/>
  <c r="M694" i="5"/>
  <c r="M693" i="5"/>
  <c r="M692" i="5"/>
  <c r="M691" i="5"/>
  <c r="M690" i="5"/>
  <c r="M689" i="5"/>
  <c r="M688" i="5"/>
  <c r="M687" i="5"/>
  <c r="M686" i="5"/>
  <c r="M685" i="5"/>
  <c r="M684" i="5"/>
  <c r="M683" i="5"/>
  <c r="M682" i="5"/>
  <c r="M681" i="5"/>
  <c r="M680" i="5"/>
  <c r="M679" i="5"/>
  <c r="M678" i="5"/>
  <c r="M677" i="5"/>
  <c r="M676" i="5"/>
  <c r="M675" i="5"/>
  <c r="M674" i="5"/>
  <c r="M673" i="5"/>
  <c r="M672" i="5"/>
  <c r="M758" i="5"/>
  <c r="M757" i="5"/>
  <c r="M756" i="5"/>
  <c r="M755" i="5"/>
  <c r="M754" i="5"/>
  <c r="M753" i="5"/>
  <c r="M752" i="5"/>
  <c r="M751" i="5"/>
  <c r="M750" i="5"/>
  <c r="M749" i="5"/>
  <c r="M748" i="5"/>
  <c r="M747" i="5"/>
  <c r="M746" i="5"/>
  <c r="M745" i="5"/>
  <c r="M744" i="5"/>
  <c r="M743" i="5"/>
  <c r="M742" i="5"/>
  <c r="M741" i="5"/>
  <c r="M740" i="5"/>
  <c r="M739" i="5"/>
  <c r="M738" i="5"/>
  <c r="M737" i="5"/>
  <c r="M736" i="5"/>
  <c r="M735" i="5"/>
  <c r="M734" i="5"/>
  <c r="M733" i="5"/>
  <c r="M732" i="5"/>
  <c r="M731" i="5"/>
  <c r="M730" i="5"/>
  <c r="M729" i="5"/>
  <c r="M728" i="5"/>
  <c r="M727" i="5"/>
  <c r="M726" i="5"/>
  <c r="M725" i="5"/>
  <c r="M724" i="5"/>
  <c r="M723" i="5"/>
  <c r="M722" i="5"/>
  <c r="M791" i="5"/>
  <c r="M790" i="5"/>
  <c r="M789" i="5"/>
  <c r="M788" i="5"/>
  <c r="M787" i="5"/>
  <c r="M786" i="5"/>
  <c r="M785" i="5"/>
  <c r="M784" i="5"/>
  <c r="M783" i="5"/>
  <c r="M782" i="5"/>
  <c r="M781" i="5"/>
  <c r="M780" i="5"/>
  <c r="M779" i="5"/>
  <c r="M778" i="5"/>
  <c r="M777" i="5"/>
  <c r="M776" i="5"/>
  <c r="M775" i="5"/>
  <c r="M774" i="5"/>
  <c r="M773" i="5"/>
  <c r="M772" i="5"/>
  <c r="M771" i="5"/>
  <c r="M770" i="5"/>
  <c r="M769" i="5"/>
  <c r="M768" i="5"/>
  <c r="M767" i="5"/>
  <c r="M766" i="5"/>
  <c r="M765" i="5"/>
  <c r="M764" i="5"/>
  <c r="M763" i="5"/>
  <c r="M762" i="5"/>
  <c r="M761" i="5"/>
  <c r="M760" i="5"/>
  <c r="M806" i="5"/>
  <c r="M805" i="5"/>
  <c r="M804" i="5"/>
  <c r="M803" i="5"/>
  <c r="M802" i="5"/>
  <c r="M801" i="5"/>
  <c r="M800" i="5"/>
  <c r="M799" i="5"/>
  <c r="M798" i="5"/>
  <c r="M797" i="5"/>
  <c r="M796" i="5"/>
  <c r="M795" i="5"/>
  <c r="M794" i="5"/>
  <c r="M793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J23" i="5"/>
  <c r="J15" i="5" l="1"/>
  <c r="I695" i="5"/>
  <c r="E62" i="7"/>
  <c r="G62" i="7" s="1"/>
  <c r="J777" i="5"/>
  <c r="J776" i="5"/>
  <c r="J805" i="5"/>
  <c r="J804" i="5"/>
  <c r="J803" i="5"/>
  <c r="J802" i="5"/>
  <c r="J801" i="5"/>
  <c r="J800" i="5"/>
  <c r="J799" i="5"/>
  <c r="J798" i="5"/>
  <c r="J797" i="5"/>
  <c r="J796" i="5"/>
  <c r="J795" i="5"/>
  <c r="J794" i="5"/>
  <c r="J793" i="5"/>
  <c r="J781" i="5"/>
  <c r="J780" i="5"/>
  <c r="J779" i="5"/>
  <c r="J778" i="5"/>
  <c r="J775" i="5"/>
  <c r="J774" i="5"/>
  <c r="J773" i="5"/>
  <c r="J772" i="5"/>
  <c r="J771" i="5"/>
  <c r="J770" i="5"/>
  <c r="J769" i="5"/>
  <c r="J768" i="5"/>
  <c r="J767" i="5"/>
  <c r="J766" i="5"/>
  <c r="J765" i="5"/>
  <c r="J764" i="5"/>
  <c r="J763" i="5"/>
  <c r="J762" i="5"/>
  <c r="J761" i="5"/>
  <c r="J760" i="5"/>
  <c r="J743" i="5"/>
  <c r="J742" i="5"/>
  <c r="J741" i="5"/>
  <c r="J740" i="5"/>
  <c r="J739" i="5"/>
  <c r="J738" i="5"/>
  <c r="J737" i="5"/>
  <c r="J736" i="5"/>
  <c r="J735" i="5"/>
  <c r="J734" i="5"/>
  <c r="J733" i="5"/>
  <c r="J732" i="5"/>
  <c r="J731" i="5"/>
  <c r="J730" i="5"/>
  <c r="J729" i="5"/>
  <c r="J728" i="5"/>
  <c r="J727" i="5"/>
  <c r="J726" i="5"/>
  <c r="J725" i="5"/>
  <c r="J724" i="5"/>
  <c r="J723" i="5"/>
  <c r="J722" i="5"/>
  <c r="J705" i="5"/>
  <c r="J704" i="5"/>
  <c r="J703" i="5"/>
  <c r="J702" i="5"/>
  <c r="J701" i="5"/>
  <c r="J700" i="5"/>
  <c r="J699" i="5"/>
  <c r="J698" i="5"/>
  <c r="J697" i="5"/>
  <c r="J696" i="5"/>
  <c r="J695" i="5"/>
  <c r="J694" i="5"/>
  <c r="J693" i="5"/>
  <c r="J692" i="5"/>
  <c r="J691" i="5"/>
  <c r="J690" i="5"/>
  <c r="J689" i="5"/>
  <c r="J688" i="5"/>
  <c r="J687" i="5"/>
  <c r="J686" i="5"/>
  <c r="J685" i="5"/>
  <c r="J684" i="5"/>
  <c r="J683" i="5"/>
  <c r="J682" i="5"/>
  <c r="J681" i="5"/>
  <c r="J680" i="5"/>
  <c r="J679" i="5"/>
  <c r="J678" i="5"/>
  <c r="J677" i="5"/>
  <c r="J676" i="5"/>
  <c r="J675" i="5"/>
  <c r="J674" i="5"/>
  <c r="J673" i="5"/>
  <c r="J672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709" i="5"/>
  <c r="J710" i="5"/>
  <c r="J711" i="5"/>
  <c r="J712" i="5"/>
  <c r="J713" i="5"/>
  <c r="J714" i="5"/>
  <c r="J715" i="5"/>
  <c r="J716" i="5"/>
  <c r="J717" i="5"/>
  <c r="J718" i="5"/>
  <c r="J719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785" i="5"/>
  <c r="J786" i="5"/>
  <c r="J787" i="5"/>
  <c r="J788" i="5"/>
  <c r="J789" i="5"/>
  <c r="J790" i="5"/>
  <c r="J747" i="5"/>
  <c r="J748" i="5"/>
  <c r="J749" i="5"/>
  <c r="J750" i="5"/>
  <c r="J751" i="5"/>
  <c r="J752" i="5"/>
  <c r="J753" i="5"/>
  <c r="J754" i="5"/>
  <c r="J755" i="5"/>
  <c r="J756" i="5"/>
  <c r="J757" i="5"/>
  <c r="J669" i="5"/>
  <c r="J668" i="5"/>
  <c r="J667" i="5"/>
  <c r="J666" i="5"/>
  <c r="J665" i="5"/>
  <c r="J664" i="5"/>
  <c r="J663" i="5"/>
  <c r="J662" i="5"/>
  <c r="J661" i="5"/>
  <c r="J660" i="5"/>
  <c r="J659" i="5"/>
  <c r="J619" i="5"/>
  <c r="J618" i="5"/>
  <c r="J617" i="5"/>
  <c r="J616" i="5"/>
  <c r="J615" i="5"/>
  <c r="J614" i="5"/>
  <c r="J613" i="5"/>
  <c r="J612" i="5"/>
  <c r="J611" i="5"/>
  <c r="J610" i="5"/>
  <c r="J609" i="5"/>
  <c r="J569" i="5"/>
  <c r="J568" i="5"/>
  <c r="J567" i="5"/>
  <c r="J566" i="5"/>
  <c r="J565" i="5"/>
  <c r="J564" i="5"/>
  <c r="J563" i="5"/>
  <c r="J562" i="5"/>
  <c r="J561" i="5"/>
  <c r="J560" i="5"/>
  <c r="J559" i="5"/>
  <c r="J519" i="5"/>
  <c r="J518" i="5"/>
  <c r="J517" i="5"/>
  <c r="J516" i="5"/>
  <c r="J515" i="5"/>
  <c r="J514" i="5"/>
  <c r="J513" i="5"/>
  <c r="J512" i="5"/>
  <c r="J511" i="5"/>
  <c r="J510" i="5"/>
  <c r="J509" i="5"/>
  <c r="J469" i="5"/>
  <c r="J468" i="5"/>
  <c r="J467" i="5"/>
  <c r="J466" i="5"/>
  <c r="J465" i="5"/>
  <c r="J464" i="5"/>
  <c r="J463" i="5"/>
  <c r="J462" i="5"/>
  <c r="J461" i="5"/>
  <c r="J460" i="5"/>
  <c r="J459" i="5"/>
  <c r="J419" i="5"/>
  <c r="J418" i="5"/>
  <c r="J417" i="5"/>
  <c r="J416" i="5"/>
  <c r="J415" i="5"/>
  <c r="J414" i="5"/>
  <c r="J413" i="5"/>
  <c r="J412" i="5"/>
  <c r="J411" i="5"/>
  <c r="J410" i="5"/>
  <c r="J409" i="5"/>
  <c r="J369" i="5"/>
  <c r="J368" i="5"/>
  <c r="J367" i="5"/>
  <c r="J366" i="5"/>
  <c r="J365" i="5"/>
  <c r="J364" i="5"/>
  <c r="J363" i="5"/>
  <c r="J362" i="5"/>
  <c r="J361" i="5"/>
  <c r="J360" i="5"/>
  <c r="J359" i="5"/>
  <c r="J319" i="5"/>
  <c r="J318" i="5"/>
  <c r="J317" i="5"/>
  <c r="J316" i="5"/>
  <c r="J315" i="5"/>
  <c r="J314" i="5"/>
  <c r="J313" i="5"/>
  <c r="J312" i="5"/>
  <c r="J311" i="5"/>
  <c r="J310" i="5"/>
  <c r="J309" i="5"/>
  <c r="J269" i="5"/>
  <c r="J268" i="5"/>
  <c r="J267" i="5"/>
  <c r="J266" i="5"/>
  <c r="J265" i="5"/>
  <c r="J264" i="5"/>
  <c r="J263" i="5"/>
  <c r="J262" i="5"/>
  <c r="J261" i="5"/>
  <c r="J260" i="5"/>
  <c r="J259" i="5"/>
  <c r="J219" i="5"/>
  <c r="J218" i="5"/>
  <c r="J217" i="5"/>
  <c r="J216" i="5"/>
  <c r="J215" i="5"/>
  <c r="J214" i="5"/>
  <c r="J213" i="5"/>
  <c r="J212" i="5"/>
  <c r="J211" i="5"/>
  <c r="J210" i="5"/>
  <c r="J209" i="5"/>
  <c r="J169" i="5"/>
  <c r="J168" i="5"/>
  <c r="J167" i="5"/>
  <c r="J166" i="5"/>
  <c r="J165" i="5"/>
  <c r="J164" i="5"/>
  <c r="J163" i="5"/>
  <c r="J162" i="5"/>
  <c r="J161" i="5"/>
  <c r="J160" i="5"/>
  <c r="J159" i="5"/>
  <c r="J119" i="5"/>
  <c r="J118" i="5"/>
  <c r="J117" i="5"/>
  <c r="J116" i="5"/>
  <c r="J115" i="5"/>
  <c r="J114" i="5"/>
  <c r="J113" i="5"/>
  <c r="J112" i="5"/>
  <c r="J111" i="5"/>
  <c r="J110" i="5"/>
  <c r="J109" i="5"/>
  <c r="J69" i="5"/>
  <c r="J68" i="5"/>
  <c r="J67" i="5"/>
  <c r="J66" i="5"/>
  <c r="J65" i="5"/>
  <c r="J64" i="5"/>
  <c r="J63" i="5"/>
  <c r="J62" i="5"/>
  <c r="J61" i="5"/>
  <c r="J60" i="5"/>
  <c r="J59" i="5"/>
  <c r="J20" i="5"/>
  <c r="J19" i="5"/>
  <c r="J18" i="5"/>
  <c r="J17" i="5"/>
  <c r="J16" i="5"/>
  <c r="J14" i="5"/>
  <c r="J13" i="5"/>
  <c r="J12" i="5"/>
  <c r="K757" i="5" l="1"/>
  <c r="K719" i="5"/>
  <c r="K669" i="5"/>
  <c r="H752" i="5" l="1"/>
  <c r="H764" i="5" s="1"/>
  <c r="I764" i="5" s="1"/>
  <c r="K764" i="5" s="1"/>
  <c r="H750" i="5"/>
  <c r="H749" i="5"/>
  <c r="H747" i="5"/>
  <c r="H760" i="5" s="1"/>
  <c r="I760" i="5" s="1"/>
  <c r="K760" i="5" s="1"/>
  <c r="H781" i="5"/>
  <c r="I781" i="5" s="1"/>
  <c r="K781" i="5" s="1"/>
  <c r="H780" i="5"/>
  <c r="I780" i="5" s="1"/>
  <c r="K780" i="5" s="1"/>
  <c r="H778" i="5"/>
  <c r="I778" i="5" s="1"/>
  <c r="K778" i="5" s="1"/>
  <c r="H771" i="5"/>
  <c r="I771" i="5" s="1"/>
  <c r="K771" i="5" s="1"/>
  <c r="H770" i="5"/>
  <c r="I770" i="5" s="1"/>
  <c r="K770" i="5" s="1"/>
  <c r="H769" i="5"/>
  <c r="I769" i="5" s="1"/>
  <c r="K769" i="5" s="1"/>
  <c r="H768" i="5"/>
  <c r="I768" i="5" s="1"/>
  <c r="K768" i="5" s="1"/>
  <c r="H767" i="5"/>
  <c r="I767" i="5" s="1"/>
  <c r="K767" i="5" s="1"/>
  <c r="H766" i="5"/>
  <c r="I766" i="5" s="1"/>
  <c r="K766" i="5" s="1"/>
  <c r="H765" i="5"/>
  <c r="I765" i="5" s="1"/>
  <c r="K765" i="5" s="1"/>
  <c r="H763" i="5"/>
  <c r="I763" i="5" s="1"/>
  <c r="K763" i="5" s="1"/>
  <c r="H762" i="5"/>
  <c r="I762" i="5" s="1"/>
  <c r="K762" i="5" s="1"/>
  <c r="H761" i="5"/>
  <c r="H741" i="5"/>
  <c r="H740" i="5"/>
  <c r="H733" i="5"/>
  <c r="I733" i="5" s="1"/>
  <c r="K733" i="5" s="1"/>
  <c r="H732" i="5"/>
  <c r="I732" i="5" s="1"/>
  <c r="K732" i="5" s="1"/>
  <c r="H731" i="5"/>
  <c r="I731" i="5" s="1"/>
  <c r="K731" i="5" s="1"/>
  <c r="H730" i="5"/>
  <c r="I730" i="5" s="1"/>
  <c r="K730" i="5" s="1"/>
  <c r="H729" i="5"/>
  <c r="I729" i="5" s="1"/>
  <c r="K729" i="5" s="1"/>
  <c r="H728" i="5"/>
  <c r="I728" i="5" s="1"/>
  <c r="K728" i="5" s="1"/>
  <c r="H727" i="5"/>
  <c r="I727" i="5" s="1"/>
  <c r="K727" i="5" s="1"/>
  <c r="H726" i="5"/>
  <c r="I726" i="5" s="1"/>
  <c r="K726" i="5" s="1"/>
  <c r="H725" i="5"/>
  <c r="I725" i="5" s="1"/>
  <c r="K725" i="5" s="1"/>
  <c r="H724" i="5"/>
  <c r="I724" i="5" s="1"/>
  <c r="K724" i="5" s="1"/>
  <c r="H723" i="5"/>
  <c r="I723" i="5" s="1"/>
  <c r="K723" i="5" s="1"/>
  <c r="H722" i="5"/>
  <c r="I722" i="5" s="1"/>
  <c r="K722" i="5" s="1"/>
  <c r="H742" i="5"/>
  <c r="I742" i="5" s="1"/>
  <c r="K742" i="5" s="1"/>
  <c r="H743" i="5"/>
  <c r="I743" i="5" s="1"/>
  <c r="K743" i="5" s="1"/>
  <c r="H701" i="5"/>
  <c r="I701" i="5" s="1"/>
  <c r="K701" i="5" s="1"/>
  <c r="H700" i="5"/>
  <c r="H699" i="5"/>
  <c r="H683" i="5"/>
  <c r="H682" i="5"/>
  <c r="H681" i="5"/>
  <c r="H680" i="5"/>
  <c r="H679" i="5"/>
  <c r="H678" i="5"/>
  <c r="H677" i="5"/>
  <c r="H676" i="5"/>
  <c r="H675" i="5"/>
  <c r="H674" i="5"/>
  <c r="H673" i="5"/>
  <c r="H672" i="5"/>
  <c r="I777" i="5"/>
  <c r="K777" i="5" s="1"/>
  <c r="I776" i="5"/>
  <c r="K776" i="5" s="1"/>
  <c r="I775" i="5"/>
  <c r="K775" i="5" s="1"/>
  <c r="I774" i="5"/>
  <c r="K774" i="5" s="1"/>
  <c r="I773" i="5"/>
  <c r="K773" i="5" s="1"/>
  <c r="I772" i="5"/>
  <c r="K772" i="5" s="1"/>
  <c r="I761" i="5"/>
  <c r="K761" i="5" s="1"/>
  <c r="I758" i="5"/>
  <c r="I756" i="5"/>
  <c r="K756" i="5" s="1"/>
  <c r="I755" i="5"/>
  <c r="K755" i="5" s="1"/>
  <c r="I754" i="5"/>
  <c r="K754" i="5" s="1"/>
  <c r="I753" i="5"/>
  <c r="K753" i="5" s="1"/>
  <c r="I752" i="5"/>
  <c r="K752" i="5" s="1"/>
  <c r="I751" i="5"/>
  <c r="K751" i="5" s="1"/>
  <c r="I750" i="5"/>
  <c r="K750" i="5" s="1"/>
  <c r="I749" i="5"/>
  <c r="K749" i="5" s="1"/>
  <c r="I748" i="5"/>
  <c r="K748" i="5" s="1"/>
  <c r="I747" i="5"/>
  <c r="K747" i="5" s="1"/>
  <c r="I741" i="5"/>
  <c r="K741" i="5" s="1"/>
  <c r="I740" i="5"/>
  <c r="K740" i="5" s="1"/>
  <c r="I739" i="5"/>
  <c r="K739" i="5" s="1"/>
  <c r="I738" i="5"/>
  <c r="K738" i="5" s="1"/>
  <c r="I737" i="5"/>
  <c r="K737" i="5" s="1"/>
  <c r="I736" i="5"/>
  <c r="K736" i="5" s="1"/>
  <c r="I735" i="5"/>
  <c r="K735" i="5" s="1"/>
  <c r="I734" i="5"/>
  <c r="K734" i="5" s="1"/>
  <c r="I720" i="5"/>
  <c r="I718" i="5"/>
  <c r="K718" i="5" s="1"/>
  <c r="I717" i="5"/>
  <c r="K717" i="5" s="1"/>
  <c r="I716" i="5"/>
  <c r="K716" i="5" s="1"/>
  <c r="I715" i="5"/>
  <c r="K715" i="5" s="1"/>
  <c r="I714" i="5"/>
  <c r="K714" i="5" s="1"/>
  <c r="I713" i="5"/>
  <c r="K713" i="5" s="1"/>
  <c r="I712" i="5"/>
  <c r="K712" i="5" s="1"/>
  <c r="I711" i="5"/>
  <c r="K711" i="5" s="1"/>
  <c r="I710" i="5"/>
  <c r="K710" i="5" s="1"/>
  <c r="I709" i="5"/>
  <c r="K709" i="5" s="1"/>
  <c r="G790" i="5"/>
  <c r="I790" i="5" s="1"/>
  <c r="K790" i="5" s="1"/>
  <c r="G804" i="5"/>
  <c r="H804" i="5"/>
  <c r="H803" i="5"/>
  <c r="I803" i="5" s="1"/>
  <c r="K803" i="5" s="1"/>
  <c r="G802" i="5"/>
  <c r="H802" i="5"/>
  <c r="G801" i="5"/>
  <c r="H801" i="5"/>
  <c r="I800" i="5"/>
  <c r="I799" i="5"/>
  <c r="K799" i="5" s="1"/>
  <c r="I798" i="5"/>
  <c r="K798" i="5" s="1"/>
  <c r="G797" i="5"/>
  <c r="H797" i="5"/>
  <c r="G796" i="5"/>
  <c r="I796" i="5" s="1"/>
  <c r="K796" i="5" s="1"/>
  <c r="G791" i="5"/>
  <c r="G795" i="5" s="1"/>
  <c r="H791" i="5"/>
  <c r="H795" i="5" s="1"/>
  <c r="G794" i="5"/>
  <c r="H794" i="5"/>
  <c r="G793" i="5"/>
  <c r="H793" i="5"/>
  <c r="I789" i="5"/>
  <c r="K789" i="5" s="1"/>
  <c r="I788" i="5"/>
  <c r="K788" i="5" s="1"/>
  <c r="I787" i="5"/>
  <c r="K787" i="5" s="1"/>
  <c r="I786" i="5"/>
  <c r="D19" i="6" s="1"/>
  <c r="I785" i="5"/>
  <c r="G702" i="5"/>
  <c r="I702" i="5" s="1"/>
  <c r="K702" i="5" s="1"/>
  <c r="G703" i="5"/>
  <c r="I703" i="5" s="1"/>
  <c r="K703" i="5" s="1"/>
  <c r="H704" i="5"/>
  <c r="I704" i="5" s="1"/>
  <c r="K704" i="5" s="1"/>
  <c r="I692" i="5"/>
  <c r="I693" i="5"/>
  <c r="I694" i="5"/>
  <c r="K695" i="5"/>
  <c r="I696" i="5"/>
  <c r="G673" i="5"/>
  <c r="G674" i="5"/>
  <c r="G675" i="5"/>
  <c r="G676" i="5"/>
  <c r="G677" i="5"/>
  <c r="G678" i="5"/>
  <c r="G679" i="5"/>
  <c r="G680" i="5"/>
  <c r="G681" i="5"/>
  <c r="G670" i="5"/>
  <c r="I670" i="5" s="1"/>
  <c r="G683" i="5"/>
  <c r="G684" i="5"/>
  <c r="I684" i="5" s="1"/>
  <c r="K684" i="5" s="1"/>
  <c r="I685" i="5"/>
  <c r="K685" i="5" s="1"/>
  <c r="I686" i="5"/>
  <c r="K686" i="5" s="1"/>
  <c r="I687" i="5"/>
  <c r="K687" i="5" s="1"/>
  <c r="I688" i="5"/>
  <c r="K688" i="5" s="1"/>
  <c r="I689" i="5"/>
  <c r="K689" i="5" s="1"/>
  <c r="I690" i="5"/>
  <c r="K690" i="5" s="1"/>
  <c r="I691" i="5"/>
  <c r="K691" i="5" s="1"/>
  <c r="I697" i="5"/>
  <c r="I698" i="5"/>
  <c r="E65" i="7" s="1"/>
  <c r="G699" i="5"/>
  <c r="G700" i="5"/>
  <c r="I700" i="5" s="1"/>
  <c r="K700" i="5" s="1"/>
  <c r="G705" i="5"/>
  <c r="I705" i="5" s="1"/>
  <c r="K705" i="5" s="1"/>
  <c r="G672" i="5"/>
  <c r="I668" i="5"/>
  <c r="K668" i="5" s="1"/>
  <c r="I667" i="5"/>
  <c r="K667" i="5" s="1"/>
  <c r="I666" i="5"/>
  <c r="K666" i="5" s="1"/>
  <c r="I665" i="5"/>
  <c r="K665" i="5" s="1"/>
  <c r="I664" i="5"/>
  <c r="K664" i="5" s="1"/>
  <c r="I663" i="5"/>
  <c r="K663" i="5" s="1"/>
  <c r="I662" i="5"/>
  <c r="K662" i="5" s="1"/>
  <c r="I661" i="5"/>
  <c r="K661" i="5" s="1"/>
  <c r="I660" i="5"/>
  <c r="K660" i="5" s="1"/>
  <c r="I659" i="5"/>
  <c r="K659" i="5" s="1"/>
  <c r="G619" i="5"/>
  <c r="I619" i="5" s="1"/>
  <c r="K619" i="5" s="1"/>
  <c r="H655" i="5"/>
  <c r="G654" i="5"/>
  <c r="H654" i="5"/>
  <c r="G653" i="5"/>
  <c r="H653" i="5"/>
  <c r="G652" i="5"/>
  <c r="H652" i="5"/>
  <c r="G651" i="5"/>
  <c r="H651" i="5"/>
  <c r="G650" i="5"/>
  <c r="H650" i="5"/>
  <c r="G649" i="5"/>
  <c r="H649" i="5"/>
  <c r="I648" i="5"/>
  <c r="K648" i="5" s="1"/>
  <c r="I647" i="5"/>
  <c r="K647" i="5" s="1"/>
  <c r="I646" i="5"/>
  <c r="K646" i="5" s="1"/>
  <c r="I645" i="5"/>
  <c r="K645" i="5" s="1"/>
  <c r="I644" i="5"/>
  <c r="K644" i="5" s="1"/>
  <c r="I643" i="5"/>
  <c r="K643" i="5" s="1"/>
  <c r="I642" i="5"/>
  <c r="K642" i="5" s="1"/>
  <c r="I641" i="5"/>
  <c r="K641" i="5" s="1"/>
  <c r="I640" i="5"/>
  <c r="K640" i="5" s="1"/>
  <c r="I639" i="5"/>
  <c r="K639" i="5" s="1"/>
  <c r="I638" i="5"/>
  <c r="K638" i="5" s="1"/>
  <c r="I637" i="5"/>
  <c r="K637" i="5" s="1"/>
  <c r="I636" i="5"/>
  <c r="K636" i="5" s="1"/>
  <c r="I635" i="5"/>
  <c r="K635" i="5" s="1"/>
  <c r="I634" i="5"/>
  <c r="K634" i="5" s="1"/>
  <c r="G633" i="5"/>
  <c r="H633" i="5"/>
  <c r="G620" i="5"/>
  <c r="H620" i="5"/>
  <c r="H632" i="5" s="1"/>
  <c r="G631" i="5"/>
  <c r="H631" i="5"/>
  <c r="G630" i="5"/>
  <c r="H630" i="5"/>
  <c r="G629" i="5"/>
  <c r="H629" i="5"/>
  <c r="G628" i="5"/>
  <c r="H628" i="5"/>
  <c r="G627" i="5"/>
  <c r="H627" i="5"/>
  <c r="G626" i="5"/>
  <c r="H626" i="5"/>
  <c r="G625" i="5"/>
  <c r="H625" i="5"/>
  <c r="G624" i="5"/>
  <c r="H624" i="5"/>
  <c r="G623" i="5"/>
  <c r="H623" i="5"/>
  <c r="G622" i="5"/>
  <c r="H622" i="5"/>
  <c r="I618" i="5"/>
  <c r="K618" i="5" s="1"/>
  <c r="I617" i="5"/>
  <c r="K617" i="5" s="1"/>
  <c r="I616" i="5"/>
  <c r="K616" i="5" s="1"/>
  <c r="I615" i="5"/>
  <c r="K615" i="5" s="1"/>
  <c r="I614" i="5"/>
  <c r="K614" i="5" s="1"/>
  <c r="I613" i="5"/>
  <c r="K613" i="5" s="1"/>
  <c r="I612" i="5"/>
  <c r="K612" i="5" s="1"/>
  <c r="I611" i="5"/>
  <c r="K611" i="5" s="1"/>
  <c r="I610" i="5"/>
  <c r="K610" i="5" s="1"/>
  <c r="I609" i="5"/>
  <c r="K609" i="5" s="1"/>
  <c r="G569" i="5"/>
  <c r="G605" i="5" s="1"/>
  <c r="H605" i="5"/>
  <c r="G604" i="5"/>
  <c r="H604" i="5"/>
  <c r="G603" i="5"/>
  <c r="H603" i="5"/>
  <c r="G602" i="5"/>
  <c r="H602" i="5"/>
  <c r="G601" i="5"/>
  <c r="H601" i="5"/>
  <c r="G600" i="5"/>
  <c r="H600" i="5"/>
  <c r="G599" i="5"/>
  <c r="H599" i="5"/>
  <c r="I598" i="5"/>
  <c r="K598" i="5" s="1"/>
  <c r="I597" i="5"/>
  <c r="K597" i="5" s="1"/>
  <c r="I596" i="5"/>
  <c r="K596" i="5" s="1"/>
  <c r="I595" i="5"/>
  <c r="K595" i="5" s="1"/>
  <c r="I594" i="5"/>
  <c r="K594" i="5" s="1"/>
  <c r="I593" i="5"/>
  <c r="K593" i="5" s="1"/>
  <c r="I592" i="5"/>
  <c r="K592" i="5" s="1"/>
  <c r="I591" i="5"/>
  <c r="K591" i="5" s="1"/>
  <c r="I590" i="5"/>
  <c r="K590" i="5" s="1"/>
  <c r="I589" i="5"/>
  <c r="K589" i="5" s="1"/>
  <c r="I588" i="5"/>
  <c r="K588" i="5" s="1"/>
  <c r="I587" i="5"/>
  <c r="K587" i="5" s="1"/>
  <c r="I586" i="5"/>
  <c r="K586" i="5" s="1"/>
  <c r="I585" i="5"/>
  <c r="K585" i="5" s="1"/>
  <c r="I584" i="5"/>
  <c r="K584" i="5" s="1"/>
  <c r="G583" i="5"/>
  <c r="H583" i="5"/>
  <c r="G570" i="5"/>
  <c r="G582" i="5" s="1"/>
  <c r="H570" i="5"/>
  <c r="G581" i="5"/>
  <c r="H581" i="5"/>
  <c r="G580" i="5"/>
  <c r="H580" i="5"/>
  <c r="G579" i="5"/>
  <c r="H579" i="5"/>
  <c r="G578" i="5"/>
  <c r="H578" i="5"/>
  <c r="G577" i="5"/>
  <c r="H577" i="5"/>
  <c r="G576" i="5"/>
  <c r="H576" i="5"/>
  <c r="G575" i="5"/>
  <c r="H575" i="5"/>
  <c r="G574" i="5"/>
  <c r="H574" i="5"/>
  <c r="G573" i="5"/>
  <c r="H573" i="5"/>
  <c r="G572" i="5"/>
  <c r="H572" i="5"/>
  <c r="I568" i="5"/>
  <c r="K568" i="5" s="1"/>
  <c r="I567" i="5"/>
  <c r="K567" i="5" s="1"/>
  <c r="I566" i="5"/>
  <c r="K566" i="5" s="1"/>
  <c r="I565" i="5"/>
  <c r="K565" i="5" s="1"/>
  <c r="I564" i="5"/>
  <c r="K564" i="5" s="1"/>
  <c r="I563" i="5"/>
  <c r="K563" i="5" s="1"/>
  <c r="I562" i="5"/>
  <c r="K562" i="5" s="1"/>
  <c r="I561" i="5"/>
  <c r="K561" i="5" s="1"/>
  <c r="I560" i="5"/>
  <c r="K560" i="5" s="1"/>
  <c r="I559" i="5"/>
  <c r="K559" i="5" s="1"/>
  <c r="G519" i="5"/>
  <c r="I519" i="5" s="1"/>
  <c r="K519" i="5" s="1"/>
  <c r="H555" i="5"/>
  <c r="G554" i="5"/>
  <c r="H554" i="5"/>
  <c r="G553" i="5"/>
  <c r="H553" i="5"/>
  <c r="G552" i="5"/>
  <c r="H552" i="5"/>
  <c r="G551" i="5"/>
  <c r="H551" i="5"/>
  <c r="G550" i="5"/>
  <c r="H550" i="5"/>
  <c r="G549" i="5"/>
  <c r="H549" i="5"/>
  <c r="I548" i="5"/>
  <c r="K548" i="5" s="1"/>
  <c r="I547" i="5"/>
  <c r="K547" i="5" s="1"/>
  <c r="I546" i="5"/>
  <c r="K546" i="5" s="1"/>
  <c r="I545" i="5"/>
  <c r="K545" i="5" s="1"/>
  <c r="I544" i="5"/>
  <c r="K544" i="5" s="1"/>
  <c r="I543" i="5"/>
  <c r="K543" i="5" s="1"/>
  <c r="I542" i="5"/>
  <c r="K542" i="5" s="1"/>
  <c r="I541" i="5"/>
  <c r="K541" i="5" s="1"/>
  <c r="I540" i="5"/>
  <c r="K540" i="5" s="1"/>
  <c r="I539" i="5"/>
  <c r="K539" i="5" s="1"/>
  <c r="I538" i="5"/>
  <c r="K538" i="5" s="1"/>
  <c r="I537" i="5"/>
  <c r="K537" i="5" s="1"/>
  <c r="I536" i="5"/>
  <c r="K536" i="5" s="1"/>
  <c r="I535" i="5"/>
  <c r="K535" i="5" s="1"/>
  <c r="I534" i="5"/>
  <c r="K534" i="5" s="1"/>
  <c r="G533" i="5"/>
  <c r="H533" i="5"/>
  <c r="G520" i="5"/>
  <c r="G532" i="5" s="1"/>
  <c r="H520" i="5"/>
  <c r="H532" i="5" s="1"/>
  <c r="G531" i="5"/>
  <c r="H531" i="5"/>
  <c r="G530" i="5"/>
  <c r="H530" i="5"/>
  <c r="G529" i="5"/>
  <c r="H529" i="5"/>
  <c r="G528" i="5"/>
  <c r="H528" i="5"/>
  <c r="G527" i="5"/>
  <c r="H527" i="5"/>
  <c r="G526" i="5"/>
  <c r="H526" i="5"/>
  <c r="G525" i="5"/>
  <c r="H525" i="5"/>
  <c r="G524" i="5"/>
  <c r="H524" i="5"/>
  <c r="G523" i="5"/>
  <c r="H523" i="5"/>
  <c r="G522" i="5"/>
  <c r="H522" i="5"/>
  <c r="I518" i="5"/>
  <c r="K518" i="5" s="1"/>
  <c r="I517" i="5"/>
  <c r="K517" i="5" s="1"/>
  <c r="I516" i="5"/>
  <c r="K516" i="5" s="1"/>
  <c r="I515" i="5"/>
  <c r="K515" i="5" s="1"/>
  <c r="I514" i="5"/>
  <c r="K514" i="5" s="1"/>
  <c r="I513" i="5"/>
  <c r="K513" i="5" s="1"/>
  <c r="I512" i="5"/>
  <c r="K512" i="5" s="1"/>
  <c r="I511" i="5"/>
  <c r="K511" i="5" s="1"/>
  <c r="I510" i="5"/>
  <c r="K510" i="5" s="1"/>
  <c r="I509" i="5"/>
  <c r="K509" i="5" s="1"/>
  <c r="G469" i="5"/>
  <c r="G505" i="5" s="1"/>
  <c r="H505" i="5"/>
  <c r="G504" i="5"/>
  <c r="H504" i="5"/>
  <c r="G503" i="5"/>
  <c r="H503" i="5"/>
  <c r="G502" i="5"/>
  <c r="H502" i="5"/>
  <c r="G501" i="5"/>
  <c r="H501" i="5"/>
  <c r="G500" i="5"/>
  <c r="H500" i="5"/>
  <c r="G499" i="5"/>
  <c r="H499" i="5"/>
  <c r="I498" i="5"/>
  <c r="K498" i="5" s="1"/>
  <c r="I497" i="5"/>
  <c r="K497" i="5" s="1"/>
  <c r="I496" i="5"/>
  <c r="K496" i="5" s="1"/>
  <c r="I495" i="5"/>
  <c r="K495" i="5" s="1"/>
  <c r="I494" i="5"/>
  <c r="K494" i="5" s="1"/>
  <c r="I493" i="5"/>
  <c r="K493" i="5" s="1"/>
  <c r="I492" i="5"/>
  <c r="K492" i="5" s="1"/>
  <c r="I491" i="5"/>
  <c r="K491" i="5" s="1"/>
  <c r="I490" i="5"/>
  <c r="K490" i="5" s="1"/>
  <c r="I489" i="5"/>
  <c r="K489" i="5" s="1"/>
  <c r="I488" i="5"/>
  <c r="K488" i="5" s="1"/>
  <c r="I487" i="5"/>
  <c r="K487" i="5" s="1"/>
  <c r="I486" i="5"/>
  <c r="K486" i="5" s="1"/>
  <c r="I485" i="5"/>
  <c r="K485" i="5" s="1"/>
  <c r="I484" i="5"/>
  <c r="K484" i="5" s="1"/>
  <c r="G483" i="5"/>
  <c r="H483" i="5"/>
  <c r="G470" i="5"/>
  <c r="G482" i="5" s="1"/>
  <c r="H470" i="5"/>
  <c r="H482" i="5" s="1"/>
  <c r="G481" i="5"/>
  <c r="H481" i="5"/>
  <c r="G480" i="5"/>
  <c r="H480" i="5"/>
  <c r="G479" i="5"/>
  <c r="H479" i="5"/>
  <c r="G478" i="5"/>
  <c r="H478" i="5"/>
  <c r="G477" i="5"/>
  <c r="H477" i="5"/>
  <c r="G476" i="5"/>
  <c r="H476" i="5"/>
  <c r="G475" i="5"/>
  <c r="H475" i="5"/>
  <c r="G474" i="5"/>
  <c r="H474" i="5"/>
  <c r="G473" i="5"/>
  <c r="H473" i="5"/>
  <c r="G472" i="5"/>
  <c r="H472" i="5"/>
  <c r="I468" i="5"/>
  <c r="K468" i="5" s="1"/>
  <c r="I467" i="5"/>
  <c r="K467" i="5" s="1"/>
  <c r="I466" i="5"/>
  <c r="K466" i="5" s="1"/>
  <c r="I465" i="5"/>
  <c r="K465" i="5" s="1"/>
  <c r="I464" i="5"/>
  <c r="K464" i="5" s="1"/>
  <c r="I463" i="5"/>
  <c r="K463" i="5" s="1"/>
  <c r="I462" i="5"/>
  <c r="K462" i="5" s="1"/>
  <c r="I461" i="5"/>
  <c r="K461" i="5" s="1"/>
  <c r="I460" i="5"/>
  <c r="K460" i="5" s="1"/>
  <c r="I459" i="5"/>
  <c r="K459" i="5" s="1"/>
  <c r="G419" i="5"/>
  <c r="G455" i="5" s="1"/>
  <c r="H455" i="5"/>
  <c r="G454" i="5"/>
  <c r="H454" i="5"/>
  <c r="G453" i="5"/>
  <c r="H453" i="5"/>
  <c r="G452" i="5"/>
  <c r="H452" i="5"/>
  <c r="G451" i="5"/>
  <c r="H451" i="5"/>
  <c r="G450" i="5"/>
  <c r="H450" i="5"/>
  <c r="G449" i="5"/>
  <c r="H449" i="5"/>
  <c r="I448" i="5"/>
  <c r="K448" i="5" s="1"/>
  <c r="I447" i="5"/>
  <c r="K447" i="5" s="1"/>
  <c r="I446" i="5"/>
  <c r="K446" i="5" s="1"/>
  <c r="I445" i="5"/>
  <c r="K445" i="5" s="1"/>
  <c r="I444" i="5"/>
  <c r="K444" i="5" s="1"/>
  <c r="I443" i="5"/>
  <c r="K443" i="5" s="1"/>
  <c r="I442" i="5"/>
  <c r="K442" i="5" s="1"/>
  <c r="I441" i="5"/>
  <c r="K441" i="5" s="1"/>
  <c r="I440" i="5"/>
  <c r="K440" i="5" s="1"/>
  <c r="I439" i="5"/>
  <c r="K439" i="5" s="1"/>
  <c r="I438" i="5"/>
  <c r="K438" i="5" s="1"/>
  <c r="I437" i="5"/>
  <c r="K437" i="5" s="1"/>
  <c r="I436" i="5"/>
  <c r="K436" i="5" s="1"/>
  <c r="I435" i="5"/>
  <c r="K435" i="5" s="1"/>
  <c r="I434" i="5"/>
  <c r="K434" i="5" s="1"/>
  <c r="G433" i="5"/>
  <c r="H433" i="5"/>
  <c r="G420" i="5"/>
  <c r="G432" i="5" s="1"/>
  <c r="H420" i="5"/>
  <c r="H432" i="5" s="1"/>
  <c r="G431" i="5"/>
  <c r="H431" i="5"/>
  <c r="G430" i="5"/>
  <c r="H430" i="5"/>
  <c r="G429" i="5"/>
  <c r="H429" i="5"/>
  <c r="G428" i="5"/>
  <c r="H428" i="5"/>
  <c r="G427" i="5"/>
  <c r="H427" i="5"/>
  <c r="G426" i="5"/>
  <c r="H426" i="5"/>
  <c r="G425" i="5"/>
  <c r="H425" i="5"/>
  <c r="G424" i="5"/>
  <c r="H424" i="5"/>
  <c r="G423" i="5"/>
  <c r="H423" i="5"/>
  <c r="G422" i="5"/>
  <c r="H422" i="5"/>
  <c r="I418" i="5"/>
  <c r="K418" i="5" s="1"/>
  <c r="I417" i="5"/>
  <c r="K417" i="5" s="1"/>
  <c r="I416" i="5"/>
  <c r="K416" i="5" s="1"/>
  <c r="I415" i="5"/>
  <c r="K415" i="5" s="1"/>
  <c r="I414" i="5"/>
  <c r="K414" i="5" s="1"/>
  <c r="I413" i="5"/>
  <c r="K413" i="5" s="1"/>
  <c r="I412" i="5"/>
  <c r="K412" i="5" s="1"/>
  <c r="I411" i="5"/>
  <c r="K411" i="5" s="1"/>
  <c r="I410" i="5"/>
  <c r="K410" i="5" s="1"/>
  <c r="I409" i="5"/>
  <c r="K409" i="5" s="1"/>
  <c r="G369" i="5"/>
  <c r="G405" i="5" s="1"/>
  <c r="H405" i="5"/>
  <c r="G404" i="5"/>
  <c r="H404" i="5"/>
  <c r="G403" i="5"/>
  <c r="H403" i="5"/>
  <c r="G402" i="5"/>
  <c r="H402" i="5"/>
  <c r="G401" i="5"/>
  <c r="H401" i="5"/>
  <c r="G400" i="5"/>
  <c r="H400" i="5"/>
  <c r="G399" i="5"/>
  <c r="H399" i="5"/>
  <c r="I398" i="5"/>
  <c r="K398" i="5" s="1"/>
  <c r="I397" i="5"/>
  <c r="K397" i="5" s="1"/>
  <c r="I396" i="5"/>
  <c r="K396" i="5" s="1"/>
  <c r="I395" i="5"/>
  <c r="K395" i="5" s="1"/>
  <c r="I394" i="5"/>
  <c r="K394" i="5" s="1"/>
  <c r="I393" i="5"/>
  <c r="K393" i="5" s="1"/>
  <c r="I392" i="5"/>
  <c r="K392" i="5" s="1"/>
  <c r="I391" i="5"/>
  <c r="K391" i="5" s="1"/>
  <c r="I390" i="5"/>
  <c r="K390" i="5" s="1"/>
  <c r="I389" i="5"/>
  <c r="K389" i="5" s="1"/>
  <c r="I388" i="5"/>
  <c r="K388" i="5" s="1"/>
  <c r="I387" i="5"/>
  <c r="K387" i="5" s="1"/>
  <c r="I386" i="5"/>
  <c r="K386" i="5" s="1"/>
  <c r="I385" i="5"/>
  <c r="K385" i="5" s="1"/>
  <c r="I384" i="5"/>
  <c r="K384" i="5" s="1"/>
  <c r="G383" i="5"/>
  <c r="H383" i="5"/>
  <c r="G370" i="5"/>
  <c r="G382" i="5" s="1"/>
  <c r="H370" i="5"/>
  <c r="H382" i="5" s="1"/>
  <c r="G381" i="5"/>
  <c r="H381" i="5"/>
  <c r="G380" i="5"/>
  <c r="H380" i="5"/>
  <c r="G379" i="5"/>
  <c r="H379" i="5"/>
  <c r="G378" i="5"/>
  <c r="H378" i="5"/>
  <c r="G377" i="5"/>
  <c r="H377" i="5"/>
  <c r="G376" i="5"/>
  <c r="H376" i="5"/>
  <c r="G375" i="5"/>
  <c r="H375" i="5"/>
  <c r="G374" i="5"/>
  <c r="H374" i="5"/>
  <c r="G373" i="5"/>
  <c r="H373" i="5"/>
  <c r="G372" i="5"/>
  <c r="H372" i="5"/>
  <c r="I368" i="5"/>
  <c r="K368" i="5" s="1"/>
  <c r="I367" i="5"/>
  <c r="K367" i="5" s="1"/>
  <c r="I366" i="5"/>
  <c r="K366" i="5" s="1"/>
  <c r="I365" i="5"/>
  <c r="K365" i="5" s="1"/>
  <c r="I364" i="5"/>
  <c r="K364" i="5" s="1"/>
  <c r="I363" i="5"/>
  <c r="K363" i="5" s="1"/>
  <c r="I362" i="5"/>
  <c r="K362" i="5" s="1"/>
  <c r="I361" i="5"/>
  <c r="K361" i="5" s="1"/>
  <c r="I360" i="5"/>
  <c r="K360" i="5" s="1"/>
  <c r="I359" i="5"/>
  <c r="K359" i="5" s="1"/>
  <c r="G319" i="5"/>
  <c r="I319" i="5" s="1"/>
  <c r="K319" i="5" s="1"/>
  <c r="H355" i="5"/>
  <c r="G354" i="5"/>
  <c r="H354" i="5"/>
  <c r="G353" i="5"/>
  <c r="H353" i="5"/>
  <c r="G352" i="5"/>
  <c r="H352" i="5"/>
  <c r="G351" i="5"/>
  <c r="H351" i="5"/>
  <c r="G350" i="5"/>
  <c r="H350" i="5"/>
  <c r="G349" i="5"/>
  <c r="H349" i="5"/>
  <c r="I348" i="5"/>
  <c r="K348" i="5" s="1"/>
  <c r="I347" i="5"/>
  <c r="K347" i="5" s="1"/>
  <c r="I346" i="5"/>
  <c r="K346" i="5" s="1"/>
  <c r="I345" i="5"/>
  <c r="K345" i="5" s="1"/>
  <c r="I344" i="5"/>
  <c r="K344" i="5" s="1"/>
  <c r="I343" i="5"/>
  <c r="K343" i="5" s="1"/>
  <c r="I342" i="5"/>
  <c r="K342" i="5" s="1"/>
  <c r="I341" i="5"/>
  <c r="K341" i="5" s="1"/>
  <c r="I340" i="5"/>
  <c r="K340" i="5" s="1"/>
  <c r="I339" i="5"/>
  <c r="K339" i="5" s="1"/>
  <c r="I338" i="5"/>
  <c r="K338" i="5" s="1"/>
  <c r="I337" i="5"/>
  <c r="K337" i="5" s="1"/>
  <c r="I336" i="5"/>
  <c r="K336" i="5" s="1"/>
  <c r="I335" i="5"/>
  <c r="K335" i="5" s="1"/>
  <c r="I334" i="5"/>
  <c r="K334" i="5" s="1"/>
  <c r="G333" i="5"/>
  <c r="H333" i="5"/>
  <c r="G320" i="5"/>
  <c r="G332" i="5" s="1"/>
  <c r="H320" i="5"/>
  <c r="H332" i="5" s="1"/>
  <c r="G331" i="5"/>
  <c r="H331" i="5"/>
  <c r="G330" i="5"/>
  <c r="H330" i="5"/>
  <c r="G329" i="5"/>
  <c r="H329" i="5"/>
  <c r="G328" i="5"/>
  <c r="H328" i="5"/>
  <c r="G327" i="5"/>
  <c r="H327" i="5"/>
  <c r="G326" i="5"/>
  <c r="H326" i="5"/>
  <c r="G325" i="5"/>
  <c r="H325" i="5"/>
  <c r="G324" i="5"/>
  <c r="H324" i="5"/>
  <c r="G323" i="5"/>
  <c r="H323" i="5"/>
  <c r="G322" i="5"/>
  <c r="H322" i="5"/>
  <c r="I318" i="5"/>
  <c r="K318" i="5" s="1"/>
  <c r="I317" i="5"/>
  <c r="K317" i="5" s="1"/>
  <c r="I316" i="5"/>
  <c r="K316" i="5" s="1"/>
  <c r="I315" i="5"/>
  <c r="K315" i="5" s="1"/>
  <c r="I314" i="5"/>
  <c r="K314" i="5" s="1"/>
  <c r="I313" i="5"/>
  <c r="K313" i="5" s="1"/>
  <c r="I312" i="5"/>
  <c r="K312" i="5" s="1"/>
  <c r="I311" i="5"/>
  <c r="K311" i="5" s="1"/>
  <c r="I310" i="5"/>
  <c r="K310" i="5" s="1"/>
  <c r="I309" i="5"/>
  <c r="K309" i="5" s="1"/>
  <c r="G269" i="5"/>
  <c r="I269" i="5" s="1"/>
  <c r="K269" i="5" s="1"/>
  <c r="H305" i="5"/>
  <c r="G304" i="5"/>
  <c r="H304" i="5"/>
  <c r="G303" i="5"/>
  <c r="H303" i="5"/>
  <c r="G302" i="5"/>
  <c r="H302" i="5"/>
  <c r="G301" i="5"/>
  <c r="H301" i="5"/>
  <c r="G300" i="5"/>
  <c r="H300" i="5"/>
  <c r="G299" i="5"/>
  <c r="H299" i="5"/>
  <c r="I298" i="5"/>
  <c r="K298" i="5" s="1"/>
  <c r="I297" i="5"/>
  <c r="K297" i="5" s="1"/>
  <c r="I296" i="5"/>
  <c r="K296" i="5" s="1"/>
  <c r="I295" i="5"/>
  <c r="K295" i="5" s="1"/>
  <c r="I294" i="5"/>
  <c r="K294" i="5" s="1"/>
  <c r="I293" i="5"/>
  <c r="K293" i="5" s="1"/>
  <c r="I292" i="5"/>
  <c r="K292" i="5" s="1"/>
  <c r="I291" i="5"/>
  <c r="K291" i="5" s="1"/>
  <c r="I290" i="5"/>
  <c r="K290" i="5" s="1"/>
  <c r="I289" i="5"/>
  <c r="K289" i="5" s="1"/>
  <c r="I288" i="5"/>
  <c r="K288" i="5" s="1"/>
  <c r="I287" i="5"/>
  <c r="K287" i="5" s="1"/>
  <c r="I286" i="5"/>
  <c r="K286" i="5" s="1"/>
  <c r="I285" i="5"/>
  <c r="K285" i="5" s="1"/>
  <c r="I284" i="5"/>
  <c r="K284" i="5" s="1"/>
  <c r="G283" i="5"/>
  <c r="H283" i="5"/>
  <c r="G270" i="5"/>
  <c r="G282" i="5" s="1"/>
  <c r="H270" i="5"/>
  <c r="G281" i="5"/>
  <c r="H281" i="5"/>
  <c r="G280" i="5"/>
  <c r="H280" i="5"/>
  <c r="G279" i="5"/>
  <c r="H279" i="5"/>
  <c r="G278" i="5"/>
  <c r="H278" i="5"/>
  <c r="G277" i="5"/>
  <c r="H277" i="5"/>
  <c r="G276" i="5"/>
  <c r="H276" i="5"/>
  <c r="G275" i="5"/>
  <c r="H275" i="5"/>
  <c r="G274" i="5"/>
  <c r="H274" i="5"/>
  <c r="G273" i="5"/>
  <c r="H273" i="5"/>
  <c r="G272" i="5"/>
  <c r="H272" i="5"/>
  <c r="I268" i="5"/>
  <c r="K268" i="5" s="1"/>
  <c r="I267" i="5"/>
  <c r="K267" i="5" s="1"/>
  <c r="I266" i="5"/>
  <c r="K266" i="5" s="1"/>
  <c r="I265" i="5"/>
  <c r="K265" i="5" s="1"/>
  <c r="I264" i="5"/>
  <c r="K264" i="5" s="1"/>
  <c r="I263" i="5"/>
  <c r="K263" i="5" s="1"/>
  <c r="I262" i="5"/>
  <c r="K262" i="5" s="1"/>
  <c r="I261" i="5"/>
  <c r="K261" i="5" s="1"/>
  <c r="I260" i="5"/>
  <c r="K260" i="5" s="1"/>
  <c r="I259" i="5"/>
  <c r="K259" i="5" s="1"/>
  <c r="G219" i="5"/>
  <c r="G255" i="5" s="1"/>
  <c r="H255" i="5"/>
  <c r="G254" i="5"/>
  <c r="H254" i="5"/>
  <c r="G253" i="5"/>
  <c r="H253" i="5"/>
  <c r="G252" i="5"/>
  <c r="H252" i="5"/>
  <c r="G251" i="5"/>
  <c r="H251" i="5"/>
  <c r="G250" i="5"/>
  <c r="H250" i="5"/>
  <c r="G249" i="5"/>
  <c r="H249" i="5"/>
  <c r="I248" i="5"/>
  <c r="K248" i="5" s="1"/>
  <c r="I247" i="5"/>
  <c r="K247" i="5" s="1"/>
  <c r="I246" i="5"/>
  <c r="K246" i="5" s="1"/>
  <c r="I245" i="5"/>
  <c r="K245" i="5" s="1"/>
  <c r="I244" i="5"/>
  <c r="K244" i="5" s="1"/>
  <c r="I243" i="5"/>
  <c r="K243" i="5" s="1"/>
  <c r="I242" i="5"/>
  <c r="K242" i="5" s="1"/>
  <c r="I241" i="5"/>
  <c r="K241" i="5" s="1"/>
  <c r="I240" i="5"/>
  <c r="K240" i="5" s="1"/>
  <c r="I239" i="5"/>
  <c r="K239" i="5" s="1"/>
  <c r="I238" i="5"/>
  <c r="K238" i="5" s="1"/>
  <c r="I237" i="5"/>
  <c r="K237" i="5" s="1"/>
  <c r="I236" i="5"/>
  <c r="K236" i="5" s="1"/>
  <c r="I235" i="5"/>
  <c r="K235" i="5" s="1"/>
  <c r="I234" i="5"/>
  <c r="K234" i="5" s="1"/>
  <c r="G233" i="5"/>
  <c r="H233" i="5"/>
  <c r="G220" i="5"/>
  <c r="G232" i="5" s="1"/>
  <c r="H220" i="5"/>
  <c r="H232" i="5" s="1"/>
  <c r="G231" i="5"/>
  <c r="H231" i="5"/>
  <c r="G230" i="5"/>
  <c r="H230" i="5"/>
  <c r="G229" i="5"/>
  <c r="H229" i="5"/>
  <c r="G228" i="5"/>
  <c r="H228" i="5"/>
  <c r="G227" i="5"/>
  <c r="H227" i="5"/>
  <c r="G226" i="5"/>
  <c r="H226" i="5"/>
  <c r="G225" i="5"/>
  <c r="H225" i="5"/>
  <c r="G224" i="5"/>
  <c r="H224" i="5"/>
  <c r="G223" i="5"/>
  <c r="H223" i="5"/>
  <c r="G222" i="5"/>
  <c r="H222" i="5"/>
  <c r="I218" i="5"/>
  <c r="K218" i="5" s="1"/>
  <c r="I217" i="5"/>
  <c r="K217" i="5" s="1"/>
  <c r="I216" i="5"/>
  <c r="K216" i="5" s="1"/>
  <c r="I215" i="5"/>
  <c r="K215" i="5" s="1"/>
  <c r="I214" i="5"/>
  <c r="K214" i="5" s="1"/>
  <c r="I213" i="5"/>
  <c r="K213" i="5" s="1"/>
  <c r="I212" i="5"/>
  <c r="K212" i="5" s="1"/>
  <c r="I211" i="5"/>
  <c r="K211" i="5" s="1"/>
  <c r="I210" i="5"/>
  <c r="K210" i="5" s="1"/>
  <c r="I209" i="5"/>
  <c r="K209" i="5" s="1"/>
  <c r="G23" i="5"/>
  <c r="H23" i="5"/>
  <c r="G24" i="5"/>
  <c r="H24" i="5"/>
  <c r="G25" i="5"/>
  <c r="H25" i="5"/>
  <c r="G26" i="5"/>
  <c r="H26" i="5"/>
  <c r="G20" i="5"/>
  <c r="G55" i="5" s="1"/>
  <c r="H55" i="5"/>
  <c r="G54" i="5"/>
  <c r="H54" i="5"/>
  <c r="G53" i="5"/>
  <c r="H53" i="5"/>
  <c r="G52" i="5"/>
  <c r="H52" i="5"/>
  <c r="G51" i="5"/>
  <c r="H51" i="5"/>
  <c r="G50" i="5"/>
  <c r="H50" i="5"/>
  <c r="G49" i="5"/>
  <c r="H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G18" i="5"/>
  <c r="G31" i="5" s="1"/>
  <c r="H18" i="5"/>
  <c r="H31" i="5" s="1"/>
  <c r="G21" i="5"/>
  <c r="G30" i="5" s="1"/>
  <c r="H21" i="5"/>
  <c r="G29" i="5"/>
  <c r="H29" i="5"/>
  <c r="G28" i="5"/>
  <c r="H28" i="5"/>
  <c r="G27" i="5"/>
  <c r="H27" i="5"/>
  <c r="G72" i="5"/>
  <c r="H72" i="5"/>
  <c r="G73" i="5"/>
  <c r="H73" i="5"/>
  <c r="G74" i="5"/>
  <c r="H74" i="5"/>
  <c r="G75" i="5"/>
  <c r="H75" i="5"/>
  <c r="G69" i="5"/>
  <c r="G105" i="5" s="1"/>
  <c r="H105" i="5"/>
  <c r="G104" i="5"/>
  <c r="H104" i="5"/>
  <c r="G103" i="5"/>
  <c r="H103" i="5"/>
  <c r="G102" i="5"/>
  <c r="H102" i="5"/>
  <c r="G101" i="5"/>
  <c r="H101" i="5"/>
  <c r="G100" i="5"/>
  <c r="H100" i="5"/>
  <c r="G99" i="5"/>
  <c r="H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K85" i="5" s="1"/>
  <c r="I84" i="5"/>
  <c r="K84" i="5" s="1"/>
  <c r="G83" i="5"/>
  <c r="H83" i="5"/>
  <c r="G70" i="5"/>
  <c r="G82" i="5" s="1"/>
  <c r="H70" i="5"/>
  <c r="H82" i="5" s="1"/>
  <c r="G81" i="5"/>
  <c r="H81" i="5"/>
  <c r="G80" i="5"/>
  <c r="H80" i="5"/>
  <c r="G79" i="5"/>
  <c r="H79" i="5"/>
  <c r="G78" i="5"/>
  <c r="H78" i="5"/>
  <c r="G77" i="5"/>
  <c r="H77" i="5"/>
  <c r="G76" i="5"/>
  <c r="H76" i="5"/>
  <c r="G122" i="5"/>
  <c r="H122" i="5"/>
  <c r="G123" i="5"/>
  <c r="H123" i="5"/>
  <c r="G124" i="5"/>
  <c r="H124" i="5"/>
  <c r="G125" i="5"/>
  <c r="H125" i="5"/>
  <c r="G119" i="5"/>
  <c r="G155" i="5" s="1"/>
  <c r="H155" i="5"/>
  <c r="G154" i="5"/>
  <c r="H154" i="5"/>
  <c r="G153" i="5"/>
  <c r="H153" i="5"/>
  <c r="G152" i="5"/>
  <c r="H152" i="5"/>
  <c r="G151" i="5"/>
  <c r="H151" i="5"/>
  <c r="G150" i="5"/>
  <c r="H150" i="5"/>
  <c r="G149" i="5"/>
  <c r="H149" i="5"/>
  <c r="I148" i="5"/>
  <c r="K148" i="5" s="1"/>
  <c r="I147" i="5"/>
  <c r="K147" i="5" s="1"/>
  <c r="I146" i="5"/>
  <c r="K146" i="5" s="1"/>
  <c r="I145" i="5"/>
  <c r="K145" i="5" s="1"/>
  <c r="I144" i="5"/>
  <c r="K144" i="5" s="1"/>
  <c r="I143" i="5"/>
  <c r="K143" i="5" s="1"/>
  <c r="I142" i="5"/>
  <c r="K142" i="5" s="1"/>
  <c r="I141" i="5"/>
  <c r="K141" i="5" s="1"/>
  <c r="I140" i="5"/>
  <c r="K140" i="5" s="1"/>
  <c r="I139" i="5"/>
  <c r="K139" i="5" s="1"/>
  <c r="I138" i="5"/>
  <c r="K138" i="5" s="1"/>
  <c r="I137" i="5"/>
  <c r="K137" i="5" s="1"/>
  <c r="I136" i="5"/>
  <c r="K136" i="5" s="1"/>
  <c r="I135" i="5"/>
  <c r="K135" i="5" s="1"/>
  <c r="I134" i="5"/>
  <c r="K134" i="5" s="1"/>
  <c r="G133" i="5"/>
  <c r="H133" i="5"/>
  <c r="G120" i="5"/>
  <c r="G132" i="5" s="1"/>
  <c r="H120" i="5"/>
  <c r="H132" i="5" s="1"/>
  <c r="G131" i="5"/>
  <c r="H131" i="5"/>
  <c r="G130" i="5"/>
  <c r="H130" i="5"/>
  <c r="G129" i="5"/>
  <c r="H129" i="5"/>
  <c r="G128" i="5"/>
  <c r="H128" i="5"/>
  <c r="G127" i="5"/>
  <c r="H127" i="5"/>
  <c r="G126" i="5"/>
  <c r="H126" i="5"/>
  <c r="G172" i="5"/>
  <c r="H172" i="5"/>
  <c r="G173" i="5"/>
  <c r="H173" i="5"/>
  <c r="G174" i="5"/>
  <c r="H174" i="5"/>
  <c r="G175" i="5"/>
  <c r="H175" i="5"/>
  <c r="G169" i="5"/>
  <c r="G205" i="5" s="1"/>
  <c r="H205" i="5"/>
  <c r="G204" i="5"/>
  <c r="H204" i="5"/>
  <c r="G203" i="5"/>
  <c r="H203" i="5"/>
  <c r="G202" i="5"/>
  <c r="H202" i="5"/>
  <c r="G201" i="5"/>
  <c r="H201" i="5"/>
  <c r="G200" i="5"/>
  <c r="H200" i="5"/>
  <c r="G199" i="5"/>
  <c r="H199" i="5"/>
  <c r="I198" i="5"/>
  <c r="K198" i="5" s="1"/>
  <c r="I197" i="5"/>
  <c r="K197" i="5" s="1"/>
  <c r="I196" i="5"/>
  <c r="K196" i="5" s="1"/>
  <c r="I195" i="5"/>
  <c r="K195" i="5" s="1"/>
  <c r="I194" i="5"/>
  <c r="K194" i="5" s="1"/>
  <c r="I193" i="5"/>
  <c r="K193" i="5" s="1"/>
  <c r="I192" i="5"/>
  <c r="K192" i="5" s="1"/>
  <c r="I191" i="5"/>
  <c r="K191" i="5" s="1"/>
  <c r="I190" i="5"/>
  <c r="K190" i="5" s="1"/>
  <c r="I189" i="5"/>
  <c r="K189" i="5" s="1"/>
  <c r="I188" i="5"/>
  <c r="K188" i="5" s="1"/>
  <c r="I187" i="5"/>
  <c r="K187" i="5" s="1"/>
  <c r="I186" i="5"/>
  <c r="K186" i="5" s="1"/>
  <c r="I185" i="5"/>
  <c r="K185" i="5" s="1"/>
  <c r="I184" i="5"/>
  <c r="K184" i="5" s="1"/>
  <c r="G183" i="5"/>
  <c r="H183" i="5"/>
  <c r="G170" i="5"/>
  <c r="G182" i="5" s="1"/>
  <c r="H170" i="5"/>
  <c r="H182" i="5" s="1"/>
  <c r="G181" i="5"/>
  <c r="H181" i="5"/>
  <c r="G180" i="5"/>
  <c r="H180" i="5"/>
  <c r="G179" i="5"/>
  <c r="H179" i="5"/>
  <c r="G178" i="5"/>
  <c r="H178" i="5"/>
  <c r="G177" i="5"/>
  <c r="H177" i="5"/>
  <c r="G176" i="5"/>
  <c r="H176" i="5"/>
  <c r="I12" i="5"/>
  <c r="I13" i="5"/>
  <c r="I14" i="5"/>
  <c r="I15" i="5"/>
  <c r="I19" i="5"/>
  <c r="I17" i="5"/>
  <c r="I16" i="5"/>
  <c r="I59" i="5"/>
  <c r="K59" i="5" s="1"/>
  <c r="I60" i="5"/>
  <c r="K60" i="5" s="1"/>
  <c r="I61" i="5"/>
  <c r="K61" i="5" s="1"/>
  <c r="I62" i="5"/>
  <c r="K62" i="5" s="1"/>
  <c r="I68" i="5"/>
  <c r="K68" i="5" s="1"/>
  <c r="I67" i="5"/>
  <c r="K67" i="5" s="1"/>
  <c r="I66" i="5"/>
  <c r="K66" i="5" s="1"/>
  <c r="I65" i="5"/>
  <c r="K65" i="5" s="1"/>
  <c r="I64" i="5"/>
  <c r="I63" i="5"/>
  <c r="I109" i="5"/>
  <c r="K109" i="5" s="1"/>
  <c r="I110" i="5"/>
  <c r="K110" i="5" s="1"/>
  <c r="I111" i="5"/>
  <c r="K111" i="5" s="1"/>
  <c r="I112" i="5"/>
  <c r="K112" i="5" s="1"/>
  <c r="I118" i="5"/>
  <c r="K118" i="5" s="1"/>
  <c r="I117" i="5"/>
  <c r="K117" i="5" s="1"/>
  <c r="I116" i="5"/>
  <c r="K116" i="5" s="1"/>
  <c r="I115" i="5"/>
  <c r="K115" i="5" s="1"/>
  <c r="I114" i="5"/>
  <c r="K114" i="5" s="1"/>
  <c r="I113" i="5"/>
  <c r="K113" i="5" s="1"/>
  <c r="I159" i="5"/>
  <c r="K159" i="5" s="1"/>
  <c r="I160" i="5"/>
  <c r="K160" i="5" s="1"/>
  <c r="I161" i="5"/>
  <c r="K161" i="5" s="1"/>
  <c r="I162" i="5"/>
  <c r="K162" i="5" s="1"/>
  <c r="I168" i="5"/>
  <c r="K168" i="5" s="1"/>
  <c r="I167" i="5"/>
  <c r="K167" i="5" s="1"/>
  <c r="I166" i="5"/>
  <c r="K166" i="5" s="1"/>
  <c r="I165" i="5"/>
  <c r="K165" i="5" s="1"/>
  <c r="I164" i="5"/>
  <c r="K164" i="5" s="1"/>
  <c r="I163" i="5"/>
  <c r="K163" i="5" s="1"/>
  <c r="J791" i="3"/>
  <c r="J542" i="3"/>
  <c r="J490" i="3"/>
  <c r="J439" i="3"/>
  <c r="J388" i="3"/>
  <c r="J337" i="3"/>
  <c r="J286" i="3"/>
  <c r="J235" i="3"/>
  <c r="J185" i="3"/>
  <c r="J135" i="3"/>
  <c r="G853" i="3"/>
  <c r="J853" i="3"/>
  <c r="L853" i="3"/>
  <c r="I852" i="3"/>
  <c r="H852" i="3"/>
  <c r="I851" i="3"/>
  <c r="H851" i="3"/>
  <c r="G851" i="3"/>
  <c r="I850" i="3"/>
  <c r="H850" i="3"/>
  <c r="G850" i="3"/>
  <c r="I849" i="3"/>
  <c r="H849" i="3"/>
  <c r="G849" i="3"/>
  <c r="J848" i="3"/>
  <c r="J847" i="3"/>
  <c r="J846" i="3"/>
  <c r="L846" i="3"/>
  <c r="J845" i="3"/>
  <c r="L845" i="3"/>
  <c r="J844" i="3"/>
  <c r="J843" i="3"/>
  <c r="J842" i="3"/>
  <c r="L842" i="3"/>
  <c r="J841" i="3"/>
  <c r="L841" i="3"/>
  <c r="I840" i="3"/>
  <c r="G840" i="3"/>
  <c r="I838" i="3"/>
  <c r="H838" i="3"/>
  <c r="G838" i="3"/>
  <c r="I837" i="3"/>
  <c r="H837" i="3"/>
  <c r="G837" i="3"/>
  <c r="I835" i="3"/>
  <c r="I839" i="3"/>
  <c r="H835" i="3"/>
  <c r="H839" i="3"/>
  <c r="G835" i="3"/>
  <c r="G839" i="3"/>
  <c r="J834" i="3"/>
  <c r="L834" i="3"/>
  <c r="J833" i="3"/>
  <c r="L833" i="3"/>
  <c r="I832" i="3"/>
  <c r="H832" i="3"/>
  <c r="J831" i="3"/>
  <c r="L831" i="3"/>
  <c r="J830" i="3"/>
  <c r="L830" i="3"/>
  <c r="J829" i="3"/>
  <c r="L829" i="3"/>
  <c r="H825" i="3"/>
  <c r="J825" i="3"/>
  <c r="H824" i="3"/>
  <c r="J824" i="3"/>
  <c r="L824" i="3"/>
  <c r="H823" i="3"/>
  <c r="J823" i="3"/>
  <c r="H822" i="3"/>
  <c r="J822" i="3"/>
  <c r="L822" i="3"/>
  <c r="H821" i="3"/>
  <c r="J821" i="3"/>
  <c r="H820" i="3"/>
  <c r="J820" i="3"/>
  <c r="L820" i="3"/>
  <c r="J819" i="3"/>
  <c r="L819" i="3"/>
  <c r="J818" i="3"/>
  <c r="J817" i="3"/>
  <c r="L817" i="3"/>
  <c r="J816" i="3"/>
  <c r="L816" i="3"/>
  <c r="J815" i="3"/>
  <c r="L815" i="3"/>
  <c r="J814" i="3"/>
  <c r="J813" i="3"/>
  <c r="J812" i="3"/>
  <c r="L812" i="3"/>
  <c r="J811" i="3"/>
  <c r="L811" i="3"/>
  <c r="J810" i="3"/>
  <c r="L810" i="3"/>
  <c r="J809" i="3"/>
  <c r="J808" i="3"/>
  <c r="L808" i="3"/>
  <c r="J807" i="3"/>
  <c r="L807" i="3"/>
  <c r="H806" i="3"/>
  <c r="J806" i="3"/>
  <c r="H804" i="3"/>
  <c r="J804" i="3"/>
  <c r="H803" i="3"/>
  <c r="J803" i="3"/>
  <c r="L803" i="3"/>
  <c r="H802" i="3"/>
  <c r="J802" i="3"/>
  <c r="H801" i="3"/>
  <c r="J801" i="3"/>
  <c r="H800" i="3"/>
  <c r="J800" i="3"/>
  <c r="L800" i="3"/>
  <c r="H799" i="3"/>
  <c r="J799" i="3"/>
  <c r="L799" i="3"/>
  <c r="H798" i="3"/>
  <c r="J798" i="3"/>
  <c r="H797" i="3"/>
  <c r="J797" i="3"/>
  <c r="L797" i="3"/>
  <c r="H796" i="3"/>
  <c r="J796" i="3"/>
  <c r="L796" i="3"/>
  <c r="H795" i="3"/>
  <c r="J795" i="3"/>
  <c r="H793" i="3"/>
  <c r="H805" i="3"/>
  <c r="J805" i="3"/>
  <c r="J792" i="3"/>
  <c r="L792" i="3"/>
  <c r="L791" i="3"/>
  <c r="J790" i="3"/>
  <c r="L790" i="3"/>
  <c r="J789" i="3"/>
  <c r="J788" i="3"/>
  <c r="J787" i="3"/>
  <c r="L787" i="3"/>
  <c r="J786" i="3"/>
  <c r="L786" i="3"/>
  <c r="J785" i="3"/>
  <c r="J784" i="3"/>
  <c r="L784" i="3"/>
  <c r="J783" i="3"/>
  <c r="L783" i="3"/>
  <c r="H779" i="3"/>
  <c r="J779" i="3"/>
  <c r="L779" i="3"/>
  <c r="H778" i="3"/>
  <c r="J778" i="3"/>
  <c r="L778" i="3"/>
  <c r="H777" i="3"/>
  <c r="J777" i="3"/>
  <c r="L777" i="3"/>
  <c r="H776" i="3"/>
  <c r="J776" i="3"/>
  <c r="H775" i="3"/>
  <c r="J775" i="3"/>
  <c r="H774" i="3"/>
  <c r="J774" i="3"/>
  <c r="L774" i="3"/>
  <c r="J773" i="3"/>
  <c r="L773" i="3"/>
  <c r="J772" i="3"/>
  <c r="L772" i="3"/>
  <c r="J771" i="3"/>
  <c r="L771" i="3"/>
  <c r="J770" i="3"/>
  <c r="L770" i="3"/>
  <c r="J769" i="3"/>
  <c r="L769" i="3"/>
  <c r="J768" i="3"/>
  <c r="J767" i="3"/>
  <c r="J766" i="3"/>
  <c r="L766" i="3"/>
  <c r="J765" i="3"/>
  <c r="L765" i="3"/>
  <c r="J764" i="3"/>
  <c r="J763" i="3"/>
  <c r="L763" i="3"/>
  <c r="J762" i="3"/>
  <c r="L762" i="3"/>
  <c r="J761" i="3"/>
  <c r="L761" i="3"/>
  <c r="H760" i="3"/>
  <c r="J760" i="3"/>
  <c r="L760" i="3"/>
  <c r="H758" i="3"/>
  <c r="J758" i="3"/>
  <c r="H757" i="3"/>
  <c r="J757" i="3"/>
  <c r="L757" i="3"/>
  <c r="H756" i="3"/>
  <c r="J756" i="3"/>
  <c r="H755" i="3"/>
  <c r="J755" i="3"/>
  <c r="H754" i="3"/>
  <c r="J754" i="3"/>
  <c r="L754" i="3"/>
  <c r="H753" i="3"/>
  <c r="J753" i="3"/>
  <c r="L753" i="3"/>
  <c r="H752" i="3"/>
  <c r="J752" i="3"/>
  <c r="L752" i="3"/>
  <c r="H751" i="3"/>
  <c r="J751" i="3"/>
  <c r="H750" i="3"/>
  <c r="J750" i="3"/>
  <c r="H749" i="3"/>
  <c r="J749" i="3"/>
  <c r="L749" i="3"/>
  <c r="H747" i="3"/>
  <c r="H759" i="3"/>
  <c r="J759" i="3"/>
  <c r="J746" i="3"/>
  <c r="L746" i="3"/>
  <c r="J745" i="3"/>
  <c r="J744" i="3"/>
  <c r="L744" i="3"/>
  <c r="J743" i="3"/>
  <c r="L743" i="3"/>
  <c r="J742" i="3"/>
  <c r="L742" i="3"/>
  <c r="J741" i="3"/>
  <c r="L741" i="3"/>
  <c r="J740" i="3"/>
  <c r="L740" i="3"/>
  <c r="J739" i="3"/>
  <c r="L739" i="3"/>
  <c r="J738" i="3"/>
  <c r="J737" i="3"/>
  <c r="L737" i="3"/>
  <c r="G733" i="3"/>
  <c r="J733" i="3"/>
  <c r="L733" i="3"/>
  <c r="H732" i="3"/>
  <c r="J732" i="3"/>
  <c r="I731" i="3"/>
  <c r="H731" i="3"/>
  <c r="G731" i="3"/>
  <c r="H730" i="3"/>
  <c r="G730" i="3"/>
  <c r="H729" i="3"/>
  <c r="J729" i="3"/>
  <c r="L729" i="3"/>
  <c r="I728" i="3"/>
  <c r="H728" i="3"/>
  <c r="G728" i="3"/>
  <c r="I727" i="3"/>
  <c r="H727" i="3"/>
  <c r="G727" i="3"/>
  <c r="J726" i="3"/>
  <c r="J725" i="3"/>
  <c r="L725" i="3"/>
  <c r="J724" i="3"/>
  <c r="L724" i="3"/>
  <c r="J723" i="3"/>
  <c r="J722" i="3"/>
  <c r="L722" i="3"/>
  <c r="J721" i="3"/>
  <c r="L721" i="3"/>
  <c r="J720" i="3"/>
  <c r="L720" i="3"/>
  <c r="J719" i="3"/>
  <c r="J718" i="3"/>
  <c r="L718" i="3"/>
  <c r="J717" i="3"/>
  <c r="L717" i="3"/>
  <c r="J716" i="3"/>
  <c r="L716" i="3"/>
  <c r="J715" i="3"/>
  <c r="L715" i="3"/>
  <c r="J714" i="3"/>
  <c r="J713" i="3"/>
  <c r="L713" i="3"/>
  <c r="J712" i="3"/>
  <c r="L712" i="3"/>
  <c r="I711" i="3"/>
  <c r="H711" i="3"/>
  <c r="G711" i="3"/>
  <c r="I709" i="3"/>
  <c r="H709" i="3"/>
  <c r="G709" i="3"/>
  <c r="I708" i="3"/>
  <c r="H708" i="3"/>
  <c r="G708" i="3"/>
  <c r="I707" i="3"/>
  <c r="H707" i="3"/>
  <c r="G707" i="3"/>
  <c r="I706" i="3"/>
  <c r="H706" i="3"/>
  <c r="G706" i="3"/>
  <c r="I705" i="3"/>
  <c r="H705" i="3"/>
  <c r="G705" i="3"/>
  <c r="I704" i="3"/>
  <c r="H704" i="3"/>
  <c r="G704" i="3"/>
  <c r="I703" i="3"/>
  <c r="H703" i="3"/>
  <c r="G703" i="3"/>
  <c r="I702" i="3"/>
  <c r="H702" i="3"/>
  <c r="G702" i="3"/>
  <c r="I701" i="3"/>
  <c r="H701" i="3"/>
  <c r="G701" i="3"/>
  <c r="I700" i="3"/>
  <c r="H700" i="3"/>
  <c r="G700" i="3"/>
  <c r="I698" i="3"/>
  <c r="I710" i="3"/>
  <c r="H698" i="3"/>
  <c r="H710" i="3"/>
  <c r="G698" i="3"/>
  <c r="G710" i="3"/>
  <c r="J697" i="3"/>
  <c r="L697" i="3"/>
  <c r="J696" i="3"/>
  <c r="L696" i="3"/>
  <c r="J695" i="3"/>
  <c r="J694" i="3"/>
  <c r="L694" i="3"/>
  <c r="J693" i="3"/>
  <c r="L693" i="3"/>
  <c r="J692" i="3"/>
  <c r="J691" i="3"/>
  <c r="L691" i="3"/>
  <c r="J690" i="3"/>
  <c r="L690" i="3"/>
  <c r="J689" i="3"/>
  <c r="L689" i="3"/>
  <c r="J688" i="3"/>
  <c r="L688" i="3"/>
  <c r="J687" i="3"/>
  <c r="L687" i="3"/>
  <c r="G683" i="3"/>
  <c r="J683" i="3"/>
  <c r="L683" i="3"/>
  <c r="H682" i="3"/>
  <c r="J682" i="3"/>
  <c r="I681" i="3"/>
  <c r="H681" i="3"/>
  <c r="G681" i="3"/>
  <c r="H680" i="3"/>
  <c r="G680" i="3"/>
  <c r="H679" i="3"/>
  <c r="J679" i="3"/>
  <c r="I678" i="3"/>
  <c r="H678" i="3"/>
  <c r="G678" i="3"/>
  <c r="I677" i="3"/>
  <c r="H677" i="3"/>
  <c r="G677" i="3"/>
  <c r="J676" i="3"/>
  <c r="L676" i="3"/>
  <c r="J675" i="3"/>
  <c r="J674" i="3"/>
  <c r="J673" i="3"/>
  <c r="L673" i="3"/>
  <c r="J672" i="3"/>
  <c r="L672" i="3"/>
  <c r="J671" i="3"/>
  <c r="J670" i="3"/>
  <c r="L670" i="3"/>
  <c r="J669" i="3"/>
  <c r="L669" i="3"/>
  <c r="J668" i="3"/>
  <c r="L668" i="3"/>
  <c r="J667" i="3"/>
  <c r="L667" i="3"/>
  <c r="J666" i="3"/>
  <c r="J665" i="3"/>
  <c r="L665" i="3"/>
  <c r="J664" i="3"/>
  <c r="L664" i="3"/>
  <c r="J663" i="3"/>
  <c r="J662" i="3"/>
  <c r="L662" i="3"/>
  <c r="J661" i="3"/>
  <c r="L661" i="3"/>
  <c r="I660" i="3"/>
  <c r="H660" i="3"/>
  <c r="G660" i="3"/>
  <c r="I658" i="3"/>
  <c r="H658" i="3"/>
  <c r="G658" i="3"/>
  <c r="I657" i="3"/>
  <c r="H657" i="3"/>
  <c r="G657" i="3"/>
  <c r="I656" i="3"/>
  <c r="H656" i="3"/>
  <c r="G656" i="3"/>
  <c r="I655" i="3"/>
  <c r="H655" i="3"/>
  <c r="G655" i="3"/>
  <c r="I654" i="3"/>
  <c r="H654" i="3"/>
  <c r="G654" i="3"/>
  <c r="I653" i="3"/>
  <c r="H653" i="3"/>
  <c r="G653" i="3"/>
  <c r="I652" i="3"/>
  <c r="H652" i="3"/>
  <c r="G652" i="3"/>
  <c r="I651" i="3"/>
  <c r="H651" i="3"/>
  <c r="G651" i="3"/>
  <c r="I650" i="3"/>
  <c r="H650" i="3"/>
  <c r="G650" i="3"/>
  <c r="I649" i="3"/>
  <c r="H649" i="3"/>
  <c r="G649" i="3"/>
  <c r="I647" i="3"/>
  <c r="I659" i="3"/>
  <c r="H647" i="3"/>
  <c r="H659" i="3"/>
  <c r="G647" i="3"/>
  <c r="J646" i="3"/>
  <c r="L646" i="3"/>
  <c r="J645" i="3"/>
  <c r="J644" i="3"/>
  <c r="J643" i="3"/>
  <c r="L643" i="3"/>
  <c r="J642" i="3"/>
  <c r="L642" i="3"/>
  <c r="J641" i="3"/>
  <c r="J640" i="3"/>
  <c r="L640" i="3"/>
  <c r="J639" i="3"/>
  <c r="L639" i="3"/>
  <c r="J638" i="3"/>
  <c r="L638" i="3"/>
  <c r="J637" i="3"/>
  <c r="L637" i="3"/>
  <c r="J636" i="3"/>
  <c r="L636" i="3"/>
  <c r="G632" i="3"/>
  <c r="J632" i="3"/>
  <c r="I631" i="3"/>
  <c r="H631" i="3"/>
  <c r="G631" i="3"/>
  <c r="I630" i="3"/>
  <c r="H630" i="3"/>
  <c r="G630" i="3"/>
  <c r="H629" i="3"/>
  <c r="G629" i="3"/>
  <c r="I628" i="3"/>
  <c r="H628" i="3"/>
  <c r="G628" i="3"/>
  <c r="I627" i="3"/>
  <c r="H627" i="3"/>
  <c r="G627" i="3"/>
  <c r="I626" i="3"/>
  <c r="H626" i="3"/>
  <c r="G626" i="3"/>
  <c r="J625" i="3"/>
  <c r="L625" i="3"/>
  <c r="J624" i="3"/>
  <c r="J623" i="3"/>
  <c r="J622" i="3"/>
  <c r="L622" i="3"/>
  <c r="J621" i="3"/>
  <c r="L621" i="3"/>
  <c r="J620" i="3"/>
  <c r="L620" i="3"/>
  <c r="J619" i="3"/>
  <c r="J618" i="3"/>
  <c r="L618" i="3"/>
  <c r="J617" i="3"/>
  <c r="L617" i="3"/>
  <c r="J616" i="3"/>
  <c r="J615" i="3"/>
  <c r="L615" i="3"/>
  <c r="J614" i="3"/>
  <c r="L614" i="3"/>
  <c r="J613" i="3"/>
  <c r="L613" i="3"/>
  <c r="J612" i="3"/>
  <c r="J611" i="3"/>
  <c r="I610" i="3"/>
  <c r="H610" i="3"/>
  <c r="G610" i="3"/>
  <c r="I608" i="3"/>
  <c r="H608" i="3"/>
  <c r="G608" i="3"/>
  <c r="I607" i="3"/>
  <c r="H607" i="3"/>
  <c r="G607" i="3"/>
  <c r="I606" i="3"/>
  <c r="H606" i="3"/>
  <c r="G606" i="3"/>
  <c r="I605" i="3"/>
  <c r="H605" i="3"/>
  <c r="G605" i="3"/>
  <c r="I604" i="3"/>
  <c r="H604" i="3"/>
  <c r="G604" i="3"/>
  <c r="I603" i="3"/>
  <c r="H603" i="3"/>
  <c r="G603" i="3"/>
  <c r="I602" i="3"/>
  <c r="H602" i="3"/>
  <c r="G602" i="3"/>
  <c r="I601" i="3"/>
  <c r="H601" i="3"/>
  <c r="G601" i="3"/>
  <c r="I600" i="3"/>
  <c r="H600" i="3"/>
  <c r="G600" i="3"/>
  <c r="I599" i="3"/>
  <c r="H599" i="3"/>
  <c r="G599" i="3"/>
  <c r="I597" i="3"/>
  <c r="I609" i="3"/>
  <c r="H597" i="3"/>
  <c r="H609" i="3"/>
  <c r="G597" i="3"/>
  <c r="G609" i="3"/>
  <c r="J596" i="3"/>
  <c r="L596" i="3"/>
  <c r="J595" i="3"/>
  <c r="L595" i="3"/>
  <c r="J594" i="3"/>
  <c r="J593" i="3"/>
  <c r="J592" i="3"/>
  <c r="L592" i="3"/>
  <c r="J591" i="3"/>
  <c r="J590" i="3"/>
  <c r="L590" i="3"/>
  <c r="J589" i="3"/>
  <c r="L589" i="3"/>
  <c r="J588" i="3"/>
  <c r="L588" i="3"/>
  <c r="J587" i="3"/>
  <c r="L587" i="3"/>
  <c r="J586" i="3"/>
  <c r="L586" i="3"/>
  <c r="G582" i="3"/>
  <c r="J582" i="3"/>
  <c r="I581" i="3"/>
  <c r="H581" i="3"/>
  <c r="G581" i="3"/>
  <c r="I580" i="3"/>
  <c r="H580" i="3"/>
  <c r="G580" i="3"/>
  <c r="H579" i="3"/>
  <c r="G579" i="3"/>
  <c r="I578" i="3"/>
  <c r="H578" i="3"/>
  <c r="G578" i="3"/>
  <c r="I577" i="3"/>
  <c r="H577" i="3"/>
  <c r="G577" i="3"/>
  <c r="I576" i="3"/>
  <c r="H576" i="3"/>
  <c r="G576" i="3"/>
  <c r="J575" i="3"/>
  <c r="L575" i="3"/>
  <c r="J574" i="3"/>
  <c r="L574" i="3"/>
  <c r="J573" i="3"/>
  <c r="L573" i="3"/>
  <c r="J572" i="3"/>
  <c r="L572" i="3"/>
  <c r="J571" i="3"/>
  <c r="L571" i="3"/>
  <c r="J570" i="3"/>
  <c r="L570" i="3"/>
  <c r="J569" i="3"/>
  <c r="J568" i="3"/>
  <c r="L568" i="3"/>
  <c r="J567" i="3"/>
  <c r="L567" i="3"/>
  <c r="J566" i="3"/>
  <c r="L566" i="3"/>
  <c r="J565" i="3"/>
  <c r="J564" i="3"/>
  <c r="L564" i="3"/>
  <c r="J563" i="3"/>
  <c r="L563" i="3"/>
  <c r="J562" i="3"/>
  <c r="L562" i="3"/>
  <c r="J561" i="3"/>
  <c r="L561" i="3"/>
  <c r="J560" i="3"/>
  <c r="J559" i="3"/>
  <c r="L559" i="3"/>
  <c r="I558" i="3"/>
  <c r="H558" i="3"/>
  <c r="G558" i="3"/>
  <c r="I556" i="3"/>
  <c r="H556" i="3"/>
  <c r="G556" i="3"/>
  <c r="I555" i="3"/>
  <c r="H555" i="3"/>
  <c r="G555" i="3"/>
  <c r="I554" i="3"/>
  <c r="H554" i="3"/>
  <c r="G554" i="3"/>
  <c r="I553" i="3"/>
  <c r="H553" i="3"/>
  <c r="G553" i="3"/>
  <c r="I552" i="3"/>
  <c r="H552" i="3"/>
  <c r="G552" i="3"/>
  <c r="I551" i="3"/>
  <c r="H551" i="3"/>
  <c r="G551" i="3"/>
  <c r="I550" i="3"/>
  <c r="H550" i="3"/>
  <c r="G550" i="3"/>
  <c r="I549" i="3"/>
  <c r="H549" i="3"/>
  <c r="G549" i="3"/>
  <c r="I548" i="3"/>
  <c r="H548" i="3"/>
  <c r="G548" i="3"/>
  <c r="I547" i="3"/>
  <c r="H547" i="3"/>
  <c r="G547" i="3"/>
  <c r="I545" i="3"/>
  <c r="I557" i="3"/>
  <c r="H545" i="3"/>
  <c r="H557" i="3"/>
  <c r="G545" i="3"/>
  <c r="J544" i="3"/>
  <c r="L544" i="3"/>
  <c r="J543" i="3"/>
  <c r="L542" i="3"/>
  <c r="J541" i="3"/>
  <c r="L541" i="3"/>
  <c r="J540" i="3"/>
  <c r="L540" i="3"/>
  <c r="J539" i="3"/>
  <c r="L539" i="3"/>
  <c r="J538" i="3"/>
  <c r="L538" i="3"/>
  <c r="J537" i="3"/>
  <c r="L537" i="3"/>
  <c r="J536" i="3"/>
  <c r="L536" i="3"/>
  <c r="J535" i="3"/>
  <c r="J534" i="3"/>
  <c r="L534" i="3"/>
  <c r="G530" i="3"/>
  <c r="J530" i="3"/>
  <c r="I529" i="3"/>
  <c r="H529" i="3"/>
  <c r="G529" i="3"/>
  <c r="I528" i="3"/>
  <c r="H528" i="3"/>
  <c r="G528" i="3"/>
  <c r="H527" i="3"/>
  <c r="G527" i="3"/>
  <c r="I526" i="3"/>
  <c r="H526" i="3"/>
  <c r="G526" i="3"/>
  <c r="I525" i="3"/>
  <c r="H525" i="3"/>
  <c r="G525" i="3"/>
  <c r="I524" i="3"/>
  <c r="H524" i="3"/>
  <c r="G524" i="3"/>
  <c r="J523" i="3"/>
  <c r="L523" i="3"/>
  <c r="J522" i="3"/>
  <c r="J521" i="3"/>
  <c r="J520" i="3"/>
  <c r="L520" i="3"/>
  <c r="J519" i="3"/>
  <c r="L519" i="3"/>
  <c r="J518" i="3"/>
  <c r="J517" i="3"/>
  <c r="J516" i="3"/>
  <c r="L516" i="3"/>
  <c r="J515" i="3"/>
  <c r="L515" i="3"/>
  <c r="J514" i="3"/>
  <c r="L514" i="3"/>
  <c r="J513" i="3"/>
  <c r="J512" i="3"/>
  <c r="L512" i="3"/>
  <c r="J511" i="3"/>
  <c r="L511" i="3"/>
  <c r="J510" i="3"/>
  <c r="J509" i="3"/>
  <c r="L509" i="3"/>
  <c r="J508" i="3"/>
  <c r="L508" i="3"/>
  <c r="J507" i="3"/>
  <c r="L507" i="3"/>
  <c r="I506" i="3"/>
  <c r="H506" i="3"/>
  <c r="G506" i="3"/>
  <c r="I504" i="3"/>
  <c r="H504" i="3"/>
  <c r="G504" i="3"/>
  <c r="I503" i="3"/>
  <c r="H503" i="3"/>
  <c r="G503" i="3"/>
  <c r="I502" i="3"/>
  <c r="H502" i="3"/>
  <c r="G502" i="3"/>
  <c r="I501" i="3"/>
  <c r="H501" i="3"/>
  <c r="G501" i="3"/>
  <c r="I500" i="3"/>
  <c r="H500" i="3"/>
  <c r="G500" i="3"/>
  <c r="I499" i="3"/>
  <c r="H499" i="3"/>
  <c r="G499" i="3"/>
  <c r="I498" i="3"/>
  <c r="H498" i="3"/>
  <c r="G498" i="3"/>
  <c r="I497" i="3"/>
  <c r="H497" i="3"/>
  <c r="G497" i="3"/>
  <c r="I496" i="3"/>
  <c r="H496" i="3"/>
  <c r="G496" i="3"/>
  <c r="I495" i="3"/>
  <c r="H495" i="3"/>
  <c r="G495" i="3"/>
  <c r="I493" i="3"/>
  <c r="I505" i="3"/>
  <c r="H493" i="3"/>
  <c r="H505" i="3"/>
  <c r="G493" i="3"/>
  <c r="J492" i="3"/>
  <c r="L492" i="3"/>
  <c r="J491" i="3"/>
  <c r="L491" i="3"/>
  <c r="L490" i="3"/>
  <c r="J489" i="3"/>
  <c r="L489" i="3"/>
  <c r="J488" i="3"/>
  <c r="L488" i="3"/>
  <c r="J487" i="3"/>
  <c r="J486" i="3"/>
  <c r="J485" i="3"/>
  <c r="J484" i="3"/>
  <c r="L484" i="3"/>
  <c r="J483" i="3"/>
  <c r="L483" i="3"/>
  <c r="J482" i="3"/>
  <c r="L482" i="3"/>
  <c r="I478" i="3"/>
  <c r="H478" i="3"/>
  <c r="G478" i="3"/>
  <c r="I477" i="3"/>
  <c r="H477" i="3"/>
  <c r="G477" i="3"/>
  <c r="I476" i="3"/>
  <c r="H476" i="3"/>
  <c r="G476" i="3"/>
  <c r="H475" i="3"/>
  <c r="G475" i="3"/>
  <c r="I474" i="3"/>
  <c r="H474" i="3"/>
  <c r="G474" i="3"/>
  <c r="I473" i="3"/>
  <c r="H473" i="3"/>
  <c r="G473" i="3"/>
  <c r="I472" i="3"/>
  <c r="H472" i="3"/>
  <c r="G472" i="3"/>
  <c r="J471" i="3"/>
  <c r="L471" i="3"/>
  <c r="J470" i="3"/>
  <c r="L470" i="3"/>
  <c r="J469" i="3"/>
  <c r="L469" i="3"/>
  <c r="J468" i="3"/>
  <c r="J467" i="3"/>
  <c r="L467" i="3"/>
  <c r="J466" i="3"/>
  <c r="L466" i="3"/>
  <c r="J465" i="3"/>
  <c r="J464" i="3"/>
  <c r="L464" i="3"/>
  <c r="J463" i="3"/>
  <c r="L463" i="3"/>
  <c r="J462" i="3"/>
  <c r="L462" i="3"/>
  <c r="J461" i="3"/>
  <c r="J460" i="3"/>
  <c r="J459" i="3"/>
  <c r="L459" i="3"/>
  <c r="J458" i="3"/>
  <c r="L458" i="3"/>
  <c r="J457" i="3"/>
  <c r="J456" i="3"/>
  <c r="I455" i="3"/>
  <c r="H455" i="3"/>
  <c r="G455" i="3"/>
  <c r="I453" i="3"/>
  <c r="H453" i="3"/>
  <c r="G453" i="3"/>
  <c r="I452" i="3"/>
  <c r="H452" i="3"/>
  <c r="G452" i="3"/>
  <c r="I451" i="3"/>
  <c r="H451" i="3"/>
  <c r="G451" i="3"/>
  <c r="I450" i="3"/>
  <c r="H450" i="3"/>
  <c r="G450" i="3"/>
  <c r="I449" i="3"/>
  <c r="H449" i="3"/>
  <c r="G449" i="3"/>
  <c r="I448" i="3"/>
  <c r="H448" i="3"/>
  <c r="G448" i="3"/>
  <c r="I447" i="3"/>
  <c r="H447" i="3"/>
  <c r="G447" i="3"/>
  <c r="I446" i="3"/>
  <c r="H446" i="3"/>
  <c r="G446" i="3"/>
  <c r="I445" i="3"/>
  <c r="H445" i="3"/>
  <c r="G445" i="3"/>
  <c r="I444" i="3"/>
  <c r="H444" i="3"/>
  <c r="G444" i="3"/>
  <c r="I442" i="3"/>
  <c r="I454" i="3"/>
  <c r="H442" i="3"/>
  <c r="H454" i="3"/>
  <c r="G442" i="3"/>
  <c r="G454" i="3"/>
  <c r="J441" i="3"/>
  <c r="L441" i="3"/>
  <c r="J440" i="3"/>
  <c r="J438" i="3"/>
  <c r="L438" i="3"/>
  <c r="J437" i="3"/>
  <c r="L437" i="3"/>
  <c r="J436" i="3"/>
  <c r="J435" i="3"/>
  <c r="L435" i="3"/>
  <c r="J434" i="3"/>
  <c r="J433" i="3"/>
  <c r="L433" i="3"/>
  <c r="J432" i="3"/>
  <c r="L432" i="3"/>
  <c r="J431" i="3"/>
  <c r="L431" i="3"/>
  <c r="I427" i="3"/>
  <c r="H427" i="3"/>
  <c r="G427" i="3"/>
  <c r="I426" i="3"/>
  <c r="H426" i="3"/>
  <c r="G426" i="3"/>
  <c r="I425" i="3"/>
  <c r="H425" i="3"/>
  <c r="G425" i="3"/>
  <c r="H424" i="3"/>
  <c r="G424" i="3"/>
  <c r="I423" i="3"/>
  <c r="H423" i="3"/>
  <c r="G423" i="3"/>
  <c r="I422" i="3"/>
  <c r="H422" i="3"/>
  <c r="G422" i="3"/>
  <c r="I421" i="3"/>
  <c r="H421" i="3"/>
  <c r="G421" i="3"/>
  <c r="J420" i="3"/>
  <c r="J419" i="3"/>
  <c r="L419" i="3"/>
  <c r="J418" i="3"/>
  <c r="L418" i="3"/>
  <c r="J417" i="3"/>
  <c r="J416" i="3"/>
  <c r="J415" i="3"/>
  <c r="L415" i="3"/>
  <c r="J414" i="3"/>
  <c r="L414" i="3"/>
  <c r="J413" i="3"/>
  <c r="L413" i="3"/>
  <c r="J412" i="3"/>
  <c r="J411" i="3"/>
  <c r="L411" i="3"/>
  <c r="J410" i="3"/>
  <c r="L410" i="3"/>
  <c r="J409" i="3"/>
  <c r="J408" i="3"/>
  <c r="L408" i="3"/>
  <c r="J407" i="3"/>
  <c r="L407" i="3"/>
  <c r="J406" i="3"/>
  <c r="L406" i="3"/>
  <c r="J405" i="3"/>
  <c r="I404" i="3"/>
  <c r="H404" i="3"/>
  <c r="G404" i="3"/>
  <c r="I402" i="3"/>
  <c r="H402" i="3"/>
  <c r="G402" i="3"/>
  <c r="I401" i="3"/>
  <c r="H401" i="3"/>
  <c r="G401" i="3"/>
  <c r="I400" i="3"/>
  <c r="H400" i="3"/>
  <c r="G400" i="3"/>
  <c r="I399" i="3"/>
  <c r="H399" i="3"/>
  <c r="G399" i="3"/>
  <c r="I398" i="3"/>
  <c r="H398" i="3"/>
  <c r="G398" i="3"/>
  <c r="I397" i="3"/>
  <c r="H397" i="3"/>
  <c r="G397" i="3"/>
  <c r="I396" i="3"/>
  <c r="H396" i="3"/>
  <c r="G396" i="3"/>
  <c r="I395" i="3"/>
  <c r="H395" i="3"/>
  <c r="G395" i="3"/>
  <c r="I394" i="3"/>
  <c r="H394" i="3"/>
  <c r="G394" i="3"/>
  <c r="I393" i="3"/>
  <c r="H393" i="3"/>
  <c r="G393" i="3"/>
  <c r="I391" i="3"/>
  <c r="I403" i="3"/>
  <c r="H391" i="3"/>
  <c r="H403" i="3"/>
  <c r="G391" i="3"/>
  <c r="G403" i="3"/>
  <c r="J390" i="3"/>
  <c r="L390" i="3"/>
  <c r="J389" i="3"/>
  <c r="L389" i="3"/>
  <c r="L388" i="3"/>
  <c r="J387" i="3"/>
  <c r="L387" i="3"/>
  <c r="J386" i="3"/>
  <c r="L386" i="3"/>
  <c r="J385" i="3"/>
  <c r="L385" i="3"/>
  <c r="J384" i="3"/>
  <c r="L384" i="3"/>
  <c r="J383" i="3"/>
  <c r="L383" i="3"/>
  <c r="J382" i="3"/>
  <c r="L382" i="3"/>
  <c r="J381" i="3"/>
  <c r="J380" i="3"/>
  <c r="I376" i="3"/>
  <c r="H376" i="3"/>
  <c r="G376" i="3"/>
  <c r="I375" i="3"/>
  <c r="H375" i="3"/>
  <c r="G375" i="3"/>
  <c r="I374" i="3"/>
  <c r="H374" i="3"/>
  <c r="G374" i="3"/>
  <c r="H373" i="3"/>
  <c r="G373" i="3"/>
  <c r="I372" i="3"/>
  <c r="H372" i="3"/>
  <c r="G372" i="3"/>
  <c r="I371" i="3"/>
  <c r="H371" i="3"/>
  <c r="G371" i="3"/>
  <c r="I370" i="3"/>
  <c r="H370" i="3"/>
  <c r="G370" i="3"/>
  <c r="J369" i="3"/>
  <c r="J368" i="3"/>
  <c r="L368" i="3"/>
  <c r="J367" i="3"/>
  <c r="L367" i="3"/>
  <c r="J366" i="3"/>
  <c r="L366" i="3"/>
  <c r="J365" i="3"/>
  <c r="L365" i="3"/>
  <c r="J364" i="3"/>
  <c r="L364" i="3"/>
  <c r="J363" i="3"/>
  <c r="J362" i="3"/>
  <c r="L362" i="3"/>
  <c r="J361" i="3"/>
  <c r="L361" i="3"/>
  <c r="J360" i="3"/>
  <c r="L360" i="3"/>
  <c r="J359" i="3"/>
  <c r="L359" i="3"/>
  <c r="J358" i="3"/>
  <c r="L358" i="3"/>
  <c r="J357" i="3"/>
  <c r="L357" i="3"/>
  <c r="J356" i="3"/>
  <c r="L356" i="3"/>
  <c r="J355" i="3"/>
  <c r="L355" i="3"/>
  <c r="J354" i="3"/>
  <c r="L354" i="3"/>
  <c r="I353" i="3"/>
  <c r="H353" i="3"/>
  <c r="G353" i="3"/>
  <c r="I351" i="3"/>
  <c r="H351" i="3"/>
  <c r="G351" i="3"/>
  <c r="I350" i="3"/>
  <c r="H350" i="3"/>
  <c r="G350" i="3"/>
  <c r="I349" i="3"/>
  <c r="H349" i="3"/>
  <c r="G349" i="3"/>
  <c r="I348" i="3"/>
  <c r="H348" i="3"/>
  <c r="G348" i="3"/>
  <c r="I347" i="3"/>
  <c r="H347" i="3"/>
  <c r="G347" i="3"/>
  <c r="I346" i="3"/>
  <c r="H346" i="3"/>
  <c r="G346" i="3"/>
  <c r="I345" i="3"/>
  <c r="H345" i="3"/>
  <c r="G345" i="3"/>
  <c r="I344" i="3"/>
  <c r="H344" i="3"/>
  <c r="G344" i="3"/>
  <c r="I343" i="3"/>
  <c r="H343" i="3"/>
  <c r="G343" i="3"/>
  <c r="I342" i="3"/>
  <c r="H342" i="3"/>
  <c r="G342" i="3"/>
  <c r="I340" i="3"/>
  <c r="H340" i="3"/>
  <c r="H352" i="3"/>
  <c r="G340" i="3"/>
  <c r="G352" i="3"/>
  <c r="J339" i="3"/>
  <c r="L339" i="3"/>
  <c r="J338" i="3"/>
  <c r="L338" i="3"/>
  <c r="L337" i="3"/>
  <c r="J336" i="3"/>
  <c r="L336" i="3"/>
  <c r="J335" i="3"/>
  <c r="L335" i="3"/>
  <c r="J334" i="3"/>
  <c r="L334" i="3"/>
  <c r="J333" i="3"/>
  <c r="L333" i="3"/>
  <c r="J332" i="3"/>
  <c r="L332" i="3"/>
  <c r="J331" i="3"/>
  <c r="L331" i="3"/>
  <c r="J330" i="3"/>
  <c r="L330" i="3"/>
  <c r="J329" i="3"/>
  <c r="L329" i="3"/>
  <c r="I325" i="3"/>
  <c r="H325" i="3"/>
  <c r="G325" i="3"/>
  <c r="I324" i="3"/>
  <c r="H324" i="3"/>
  <c r="G324" i="3"/>
  <c r="I323" i="3"/>
  <c r="H323" i="3"/>
  <c r="G323" i="3"/>
  <c r="H322" i="3"/>
  <c r="G322" i="3"/>
  <c r="I321" i="3"/>
  <c r="H321" i="3"/>
  <c r="G321" i="3"/>
  <c r="I320" i="3"/>
  <c r="H320" i="3"/>
  <c r="G320" i="3"/>
  <c r="I319" i="3"/>
  <c r="H319" i="3"/>
  <c r="G319" i="3"/>
  <c r="J318" i="3"/>
  <c r="L318" i="3"/>
  <c r="J317" i="3"/>
  <c r="L317" i="3"/>
  <c r="J316" i="3"/>
  <c r="J315" i="3"/>
  <c r="J314" i="3"/>
  <c r="L314" i="3"/>
  <c r="J313" i="3"/>
  <c r="J312" i="3"/>
  <c r="L312" i="3"/>
  <c r="J311" i="3"/>
  <c r="J310" i="3"/>
  <c r="L310" i="3"/>
  <c r="J309" i="3"/>
  <c r="L309" i="3"/>
  <c r="J308" i="3"/>
  <c r="L308" i="3"/>
  <c r="J307" i="3"/>
  <c r="J306" i="3"/>
  <c r="L306" i="3"/>
  <c r="J305" i="3"/>
  <c r="L305" i="3"/>
  <c r="J304" i="3"/>
  <c r="L304" i="3"/>
  <c r="J303" i="3"/>
  <c r="I302" i="3"/>
  <c r="H302" i="3"/>
  <c r="G302" i="3"/>
  <c r="I300" i="3"/>
  <c r="H300" i="3"/>
  <c r="G300" i="3"/>
  <c r="I299" i="3"/>
  <c r="H299" i="3"/>
  <c r="G299" i="3"/>
  <c r="I298" i="3"/>
  <c r="H298" i="3"/>
  <c r="G298" i="3"/>
  <c r="I297" i="3"/>
  <c r="H297" i="3"/>
  <c r="G297" i="3"/>
  <c r="I296" i="3"/>
  <c r="H296" i="3"/>
  <c r="G296" i="3"/>
  <c r="I295" i="3"/>
  <c r="H295" i="3"/>
  <c r="G295" i="3"/>
  <c r="I294" i="3"/>
  <c r="H294" i="3"/>
  <c r="G294" i="3"/>
  <c r="I293" i="3"/>
  <c r="H293" i="3"/>
  <c r="G293" i="3"/>
  <c r="I292" i="3"/>
  <c r="H292" i="3"/>
  <c r="G292" i="3"/>
  <c r="I291" i="3"/>
  <c r="H291" i="3"/>
  <c r="G291" i="3"/>
  <c r="I289" i="3"/>
  <c r="I301" i="3"/>
  <c r="H289" i="3"/>
  <c r="H301" i="3"/>
  <c r="G289" i="3"/>
  <c r="G301" i="3"/>
  <c r="J288" i="3"/>
  <c r="L288" i="3"/>
  <c r="J287" i="3"/>
  <c r="L287" i="3"/>
  <c r="L286" i="3"/>
  <c r="J285" i="3"/>
  <c r="J284" i="3"/>
  <c r="L284" i="3"/>
  <c r="J283" i="3"/>
  <c r="L283" i="3"/>
  <c r="J282" i="3"/>
  <c r="L282" i="3"/>
  <c r="J281" i="3"/>
  <c r="L281" i="3"/>
  <c r="J280" i="3"/>
  <c r="L280" i="3"/>
  <c r="J279" i="3"/>
  <c r="L279" i="3"/>
  <c r="J278" i="3"/>
  <c r="L278" i="3"/>
  <c r="I274" i="3"/>
  <c r="H274" i="3"/>
  <c r="G274" i="3"/>
  <c r="I273" i="3"/>
  <c r="H273" i="3"/>
  <c r="G273" i="3"/>
  <c r="I272" i="3"/>
  <c r="H272" i="3"/>
  <c r="G272" i="3"/>
  <c r="H271" i="3"/>
  <c r="G271" i="3"/>
  <c r="I270" i="3"/>
  <c r="H270" i="3"/>
  <c r="G270" i="3"/>
  <c r="I269" i="3"/>
  <c r="H269" i="3"/>
  <c r="G269" i="3"/>
  <c r="I268" i="3"/>
  <c r="H268" i="3"/>
  <c r="G268" i="3"/>
  <c r="J267" i="3"/>
  <c r="L267" i="3"/>
  <c r="J266" i="3"/>
  <c r="L266" i="3"/>
  <c r="J265" i="3"/>
  <c r="L265" i="3"/>
  <c r="J264" i="3"/>
  <c r="L264" i="3"/>
  <c r="J263" i="3"/>
  <c r="L263" i="3"/>
  <c r="J262" i="3"/>
  <c r="J261" i="3"/>
  <c r="L261" i="3"/>
  <c r="J260" i="3"/>
  <c r="L260" i="3"/>
  <c r="J259" i="3"/>
  <c r="J258" i="3"/>
  <c r="J257" i="3"/>
  <c r="L257" i="3"/>
  <c r="J256" i="3"/>
  <c r="L256" i="3"/>
  <c r="J255" i="3"/>
  <c r="J254" i="3"/>
  <c r="L254" i="3"/>
  <c r="J253" i="3"/>
  <c r="L253" i="3"/>
  <c r="J252" i="3"/>
  <c r="L252" i="3"/>
  <c r="I251" i="3"/>
  <c r="H251" i="3"/>
  <c r="G251" i="3"/>
  <c r="I249" i="3"/>
  <c r="H249" i="3"/>
  <c r="G249" i="3"/>
  <c r="I248" i="3"/>
  <c r="H248" i="3"/>
  <c r="G248" i="3"/>
  <c r="I247" i="3"/>
  <c r="H247" i="3"/>
  <c r="G247" i="3"/>
  <c r="I246" i="3"/>
  <c r="H246" i="3"/>
  <c r="G246" i="3"/>
  <c r="I245" i="3"/>
  <c r="H245" i="3"/>
  <c r="G245" i="3"/>
  <c r="I244" i="3"/>
  <c r="H244" i="3"/>
  <c r="G244" i="3"/>
  <c r="I243" i="3"/>
  <c r="H243" i="3"/>
  <c r="G243" i="3"/>
  <c r="I242" i="3"/>
  <c r="H242" i="3"/>
  <c r="G242" i="3"/>
  <c r="I241" i="3"/>
  <c r="H241" i="3"/>
  <c r="G241" i="3"/>
  <c r="I240" i="3"/>
  <c r="H240" i="3"/>
  <c r="G240" i="3"/>
  <c r="I238" i="3"/>
  <c r="I250" i="3"/>
  <c r="H238" i="3"/>
  <c r="H250" i="3"/>
  <c r="G238" i="3"/>
  <c r="J237" i="3"/>
  <c r="L237" i="3"/>
  <c r="J236" i="3"/>
  <c r="L236" i="3"/>
  <c r="L235" i="3"/>
  <c r="J234" i="3"/>
  <c r="L234" i="3"/>
  <c r="J233" i="3"/>
  <c r="L233" i="3"/>
  <c r="J232" i="3"/>
  <c r="L232" i="3"/>
  <c r="J231" i="3"/>
  <c r="L231" i="3"/>
  <c r="J230" i="3"/>
  <c r="L230" i="3"/>
  <c r="J229" i="3"/>
  <c r="L229" i="3"/>
  <c r="J228" i="3"/>
  <c r="J227" i="3"/>
  <c r="L227" i="3"/>
  <c r="I223" i="3"/>
  <c r="H223" i="3"/>
  <c r="G223" i="3"/>
  <c r="I222" i="3"/>
  <c r="H222" i="3"/>
  <c r="G222" i="3"/>
  <c r="I221" i="3"/>
  <c r="H221" i="3"/>
  <c r="G221" i="3"/>
  <c r="H220" i="3"/>
  <c r="G220" i="3"/>
  <c r="I219" i="3"/>
  <c r="H219" i="3"/>
  <c r="G219" i="3"/>
  <c r="I218" i="3"/>
  <c r="H218" i="3"/>
  <c r="G218" i="3"/>
  <c r="I217" i="3"/>
  <c r="H217" i="3"/>
  <c r="G217" i="3"/>
  <c r="J216" i="3"/>
  <c r="J215" i="3"/>
  <c r="L215" i="3"/>
  <c r="J214" i="3"/>
  <c r="J213" i="3"/>
  <c r="L213" i="3"/>
  <c r="J212" i="3"/>
  <c r="L212" i="3"/>
  <c r="J211" i="3"/>
  <c r="L211" i="3"/>
  <c r="J210" i="3"/>
  <c r="L210" i="3"/>
  <c r="J209" i="3"/>
  <c r="L209" i="3"/>
  <c r="J208" i="3"/>
  <c r="L208" i="3"/>
  <c r="J207" i="3"/>
  <c r="L207" i="3"/>
  <c r="J206" i="3"/>
  <c r="L206" i="3"/>
  <c r="J205" i="3"/>
  <c r="L205" i="3"/>
  <c r="J204" i="3"/>
  <c r="L204" i="3"/>
  <c r="J203" i="3"/>
  <c r="L203" i="3"/>
  <c r="J202" i="3"/>
  <c r="I201" i="3"/>
  <c r="H201" i="3"/>
  <c r="G201" i="3"/>
  <c r="I199" i="3"/>
  <c r="H199" i="3"/>
  <c r="G199" i="3"/>
  <c r="I198" i="3"/>
  <c r="H198" i="3"/>
  <c r="G198" i="3"/>
  <c r="I197" i="3"/>
  <c r="H197" i="3"/>
  <c r="G197" i="3"/>
  <c r="I196" i="3"/>
  <c r="H196" i="3"/>
  <c r="G196" i="3"/>
  <c r="I195" i="3"/>
  <c r="H195" i="3"/>
  <c r="G195" i="3"/>
  <c r="I194" i="3"/>
  <c r="H194" i="3"/>
  <c r="G194" i="3"/>
  <c r="I193" i="3"/>
  <c r="H193" i="3"/>
  <c r="G193" i="3"/>
  <c r="I192" i="3"/>
  <c r="H192" i="3"/>
  <c r="G192" i="3"/>
  <c r="I191" i="3"/>
  <c r="H191" i="3"/>
  <c r="G191" i="3"/>
  <c r="I190" i="3"/>
  <c r="H190" i="3"/>
  <c r="G190" i="3"/>
  <c r="I188" i="3"/>
  <c r="I200" i="3"/>
  <c r="H188" i="3"/>
  <c r="H200" i="3"/>
  <c r="G188" i="3"/>
  <c r="G200" i="3"/>
  <c r="J187" i="3"/>
  <c r="L187" i="3"/>
  <c r="J186" i="3"/>
  <c r="L186" i="3"/>
  <c r="L185" i="3"/>
  <c r="J184" i="3"/>
  <c r="L184" i="3"/>
  <c r="J183" i="3"/>
  <c r="L183" i="3"/>
  <c r="J182" i="3"/>
  <c r="L182" i="3"/>
  <c r="J181" i="3"/>
  <c r="L181" i="3"/>
  <c r="J180" i="3"/>
  <c r="L180" i="3"/>
  <c r="J179" i="3"/>
  <c r="L179" i="3"/>
  <c r="J178" i="3"/>
  <c r="L178" i="3"/>
  <c r="J177" i="3"/>
  <c r="L177" i="3"/>
  <c r="I173" i="3"/>
  <c r="H173" i="3"/>
  <c r="G173" i="3"/>
  <c r="I172" i="3"/>
  <c r="H172" i="3"/>
  <c r="G172" i="3"/>
  <c r="I171" i="3"/>
  <c r="H171" i="3"/>
  <c r="G171" i="3"/>
  <c r="H170" i="3"/>
  <c r="G170" i="3"/>
  <c r="I169" i="3"/>
  <c r="H169" i="3"/>
  <c r="G169" i="3"/>
  <c r="I168" i="3"/>
  <c r="H168" i="3"/>
  <c r="G168" i="3"/>
  <c r="I167" i="3"/>
  <c r="H167" i="3"/>
  <c r="G167" i="3"/>
  <c r="J166" i="3"/>
  <c r="J165" i="3"/>
  <c r="J164" i="3"/>
  <c r="L164" i="3"/>
  <c r="J163" i="3"/>
  <c r="L163" i="3"/>
  <c r="J162" i="3"/>
  <c r="L162" i="3"/>
  <c r="J161" i="3"/>
  <c r="L161" i="3"/>
  <c r="J160" i="3"/>
  <c r="L160" i="3"/>
  <c r="J159" i="3"/>
  <c r="L159" i="3"/>
  <c r="J158" i="3"/>
  <c r="J157" i="3"/>
  <c r="L157" i="3"/>
  <c r="J156" i="3"/>
  <c r="L156" i="3"/>
  <c r="J155" i="3"/>
  <c r="J154" i="3"/>
  <c r="L154" i="3"/>
  <c r="J153" i="3"/>
  <c r="J152" i="3"/>
  <c r="L152" i="3"/>
  <c r="I151" i="3"/>
  <c r="H151" i="3"/>
  <c r="G151" i="3"/>
  <c r="I149" i="3"/>
  <c r="H149" i="3"/>
  <c r="G149" i="3"/>
  <c r="I148" i="3"/>
  <c r="H148" i="3"/>
  <c r="G148" i="3"/>
  <c r="I147" i="3"/>
  <c r="H147" i="3"/>
  <c r="G147" i="3"/>
  <c r="I146" i="3"/>
  <c r="H146" i="3"/>
  <c r="G146" i="3"/>
  <c r="I145" i="3"/>
  <c r="H145" i="3"/>
  <c r="G145" i="3"/>
  <c r="I144" i="3"/>
  <c r="H144" i="3"/>
  <c r="G144" i="3"/>
  <c r="I143" i="3"/>
  <c r="H143" i="3"/>
  <c r="G143" i="3"/>
  <c r="I142" i="3"/>
  <c r="H142" i="3"/>
  <c r="G142" i="3"/>
  <c r="I141" i="3"/>
  <c r="H141" i="3"/>
  <c r="G141" i="3"/>
  <c r="I140" i="3"/>
  <c r="H140" i="3"/>
  <c r="G140" i="3"/>
  <c r="I138" i="3"/>
  <c r="I150" i="3"/>
  <c r="H138" i="3"/>
  <c r="H150" i="3"/>
  <c r="G138" i="3"/>
  <c r="J137" i="3"/>
  <c r="L137" i="3"/>
  <c r="J136" i="3"/>
  <c r="L135" i="3"/>
  <c r="J134" i="3"/>
  <c r="J133" i="3"/>
  <c r="L133" i="3"/>
  <c r="J132" i="3"/>
  <c r="L132" i="3"/>
  <c r="J131" i="3"/>
  <c r="L131" i="3"/>
  <c r="J130" i="3"/>
  <c r="L130" i="3"/>
  <c r="J129" i="3"/>
  <c r="L129" i="3"/>
  <c r="J128" i="3"/>
  <c r="L128" i="3"/>
  <c r="J127" i="3"/>
  <c r="L127" i="3"/>
  <c r="I123" i="3"/>
  <c r="H123" i="3"/>
  <c r="G123" i="3"/>
  <c r="I122" i="3"/>
  <c r="H122" i="3"/>
  <c r="G122" i="3"/>
  <c r="I121" i="3"/>
  <c r="H121" i="3"/>
  <c r="G121" i="3"/>
  <c r="H120" i="3"/>
  <c r="G120" i="3"/>
  <c r="I119" i="3"/>
  <c r="H119" i="3"/>
  <c r="G119" i="3"/>
  <c r="I118" i="3"/>
  <c r="H118" i="3"/>
  <c r="G118" i="3"/>
  <c r="I117" i="3"/>
  <c r="H117" i="3"/>
  <c r="G117" i="3"/>
  <c r="J116" i="3"/>
  <c r="L116" i="3"/>
  <c r="J115" i="3"/>
  <c r="J114" i="3"/>
  <c r="L114" i="3"/>
  <c r="J113" i="3"/>
  <c r="L113" i="3"/>
  <c r="J112" i="3"/>
  <c r="L112" i="3"/>
  <c r="J111" i="3"/>
  <c r="L111" i="3"/>
  <c r="J110" i="3"/>
  <c r="L110" i="3"/>
  <c r="J109" i="3"/>
  <c r="L109" i="3"/>
  <c r="J108" i="3"/>
  <c r="L108" i="3"/>
  <c r="J107" i="3"/>
  <c r="J106" i="3"/>
  <c r="L106" i="3"/>
  <c r="J105" i="3"/>
  <c r="J104" i="3"/>
  <c r="L104" i="3"/>
  <c r="J103" i="3"/>
  <c r="L103" i="3"/>
  <c r="J102" i="3"/>
  <c r="L102" i="3"/>
  <c r="I101" i="3"/>
  <c r="H101" i="3"/>
  <c r="G101" i="3"/>
  <c r="I99" i="3"/>
  <c r="H99" i="3"/>
  <c r="G99" i="3"/>
  <c r="I98" i="3"/>
  <c r="H98" i="3"/>
  <c r="G98" i="3"/>
  <c r="I97" i="3"/>
  <c r="H97" i="3"/>
  <c r="G97" i="3"/>
  <c r="I96" i="3"/>
  <c r="H96" i="3"/>
  <c r="G96" i="3"/>
  <c r="I95" i="3"/>
  <c r="H95" i="3"/>
  <c r="G95" i="3"/>
  <c r="I94" i="3"/>
  <c r="H94" i="3"/>
  <c r="G94" i="3"/>
  <c r="I93" i="3"/>
  <c r="H93" i="3"/>
  <c r="G93" i="3"/>
  <c r="I92" i="3"/>
  <c r="H92" i="3"/>
  <c r="G92" i="3"/>
  <c r="I91" i="3"/>
  <c r="H91" i="3"/>
  <c r="G91" i="3"/>
  <c r="I90" i="3"/>
  <c r="H90" i="3"/>
  <c r="G90" i="3"/>
  <c r="I88" i="3"/>
  <c r="H88" i="3"/>
  <c r="H100" i="3"/>
  <c r="G88" i="3"/>
  <c r="G100" i="3"/>
  <c r="J87" i="3"/>
  <c r="L87" i="3"/>
  <c r="J86" i="3"/>
  <c r="L86" i="3"/>
  <c r="J85" i="3"/>
  <c r="J84" i="3"/>
  <c r="L84" i="3"/>
  <c r="J83" i="3"/>
  <c r="L83" i="3"/>
  <c r="J82" i="3"/>
  <c r="L82" i="3"/>
  <c r="J81" i="3"/>
  <c r="L81" i="3"/>
  <c r="J80" i="3"/>
  <c r="J79" i="3"/>
  <c r="L79" i="3"/>
  <c r="J78" i="3"/>
  <c r="L78" i="3"/>
  <c r="J77" i="3"/>
  <c r="L77" i="3"/>
  <c r="I73" i="3"/>
  <c r="H73" i="3"/>
  <c r="G73" i="3"/>
  <c r="I72" i="3"/>
  <c r="H72" i="3"/>
  <c r="G72" i="3"/>
  <c r="I71" i="3"/>
  <c r="H71" i="3"/>
  <c r="I70" i="3"/>
  <c r="H70" i="3"/>
  <c r="I69" i="3"/>
  <c r="H69" i="3"/>
  <c r="G69" i="3"/>
  <c r="G68" i="3"/>
  <c r="J68" i="3"/>
  <c r="L68" i="3"/>
  <c r="I67" i="3"/>
  <c r="H67" i="3"/>
  <c r="G67" i="3"/>
  <c r="I66" i="3"/>
  <c r="H66" i="3"/>
  <c r="G66" i="3"/>
  <c r="J65" i="3"/>
  <c r="L65" i="3"/>
  <c r="J64" i="3"/>
  <c r="L64" i="3"/>
  <c r="J63" i="3"/>
  <c r="J62" i="3"/>
  <c r="L62" i="3"/>
  <c r="J61" i="3"/>
  <c r="J60" i="3"/>
  <c r="L60" i="3"/>
  <c r="J59" i="3"/>
  <c r="L59" i="3"/>
  <c r="J58" i="3"/>
  <c r="L58" i="3"/>
  <c r="J57" i="3"/>
  <c r="L57" i="3"/>
  <c r="J56" i="3"/>
  <c r="J55" i="3"/>
  <c r="L55" i="3"/>
  <c r="J54" i="3"/>
  <c r="L54" i="3"/>
  <c r="J53" i="3"/>
  <c r="J52" i="3"/>
  <c r="L52" i="3"/>
  <c r="J51" i="3"/>
  <c r="L51" i="3"/>
  <c r="J50" i="3"/>
  <c r="L50" i="3"/>
  <c r="J49" i="3"/>
  <c r="L49" i="3"/>
  <c r="G48" i="3"/>
  <c r="I46" i="3"/>
  <c r="H46" i="3"/>
  <c r="G46" i="3"/>
  <c r="I45" i="3"/>
  <c r="H45" i="3"/>
  <c r="G45" i="3"/>
  <c r="I44" i="3"/>
  <c r="H44" i="3"/>
  <c r="G44" i="3"/>
  <c r="I43" i="3"/>
  <c r="H43" i="3"/>
  <c r="G43" i="3"/>
  <c r="I42" i="3"/>
  <c r="H42" i="3"/>
  <c r="G42" i="3"/>
  <c r="I41" i="3"/>
  <c r="H41" i="3"/>
  <c r="G41" i="3"/>
  <c r="I40" i="3"/>
  <c r="H40" i="3"/>
  <c r="G40" i="3"/>
  <c r="I39" i="3"/>
  <c r="H39" i="3"/>
  <c r="G39" i="3"/>
  <c r="I37" i="3"/>
  <c r="I47" i="3"/>
  <c r="H37" i="3"/>
  <c r="H47" i="3"/>
  <c r="G37" i="3"/>
  <c r="G47" i="3"/>
  <c r="J36" i="3"/>
  <c r="J35" i="3"/>
  <c r="J34" i="3"/>
  <c r="L34" i="3"/>
  <c r="I33" i="3"/>
  <c r="I48" i="3"/>
  <c r="H33" i="3"/>
  <c r="J32" i="3"/>
  <c r="L32" i="3"/>
  <c r="J31" i="3"/>
  <c r="L31" i="3"/>
  <c r="J30" i="3"/>
  <c r="L30" i="3"/>
  <c r="J29" i="3"/>
  <c r="L29" i="3"/>
  <c r="J28" i="3"/>
  <c r="L28" i="3"/>
  <c r="J27" i="3"/>
  <c r="L27" i="3"/>
  <c r="L21" i="3"/>
  <c r="L20" i="3"/>
  <c r="L695" i="3"/>
  <c r="L644" i="3"/>
  <c r="L594" i="3"/>
  <c r="L85" i="3"/>
  <c r="J426" i="3"/>
  <c r="J220" i="3"/>
  <c r="J33" i="3"/>
  <c r="L33" i="3"/>
  <c r="J450" i="3"/>
  <c r="L450" i="3"/>
  <c r="J120" i="3"/>
  <c r="L120" i="3"/>
  <c r="J747" i="3"/>
  <c r="J70" i="3"/>
  <c r="L70" i="3"/>
  <c r="J422" i="3"/>
  <c r="L422" i="3"/>
  <c r="J238" i="3"/>
  <c r="J146" i="3"/>
  <c r="L146" i="3"/>
  <c r="J610" i="3"/>
  <c r="L610" i="3"/>
  <c r="J680" i="3"/>
  <c r="L680" i="3"/>
  <c r="J274" i="3"/>
  <c r="L274" i="3"/>
  <c r="J702" i="3"/>
  <c r="L702" i="3"/>
  <c r="J294" i="3"/>
  <c r="L294" i="3"/>
  <c r="J322" i="3"/>
  <c r="L322" i="3"/>
  <c r="J248" i="3"/>
  <c r="L248" i="3"/>
  <c r="J295" i="3"/>
  <c r="L295" i="3"/>
  <c r="J348" i="3"/>
  <c r="L348" i="3"/>
  <c r="J477" i="3"/>
  <c r="L477" i="3"/>
  <c r="J503" i="3"/>
  <c r="L503" i="3"/>
  <c r="J526" i="3"/>
  <c r="L526" i="3"/>
  <c r="J630" i="3"/>
  <c r="L630" i="3"/>
  <c r="J421" i="3"/>
  <c r="L421" i="3"/>
  <c r="J495" i="3"/>
  <c r="L495" i="3"/>
  <c r="J839" i="3"/>
  <c r="J376" i="3"/>
  <c r="L376" i="3"/>
  <c r="J497" i="3"/>
  <c r="J472" i="3"/>
  <c r="L472" i="3"/>
  <c r="J272" i="3"/>
  <c r="L272" i="3"/>
  <c r="J527" i="3"/>
  <c r="L527" i="3"/>
  <c r="J351" i="3"/>
  <c r="L351" i="3"/>
  <c r="J493" i="3"/>
  <c r="J199" i="3"/>
  <c r="L199" i="3"/>
  <c r="J545" i="3"/>
  <c r="J347" i="3"/>
  <c r="L347" i="3"/>
  <c r="J423" i="3"/>
  <c r="L423" i="3"/>
  <c r="J192" i="3"/>
  <c r="L192" i="3"/>
  <c r="J371" i="3"/>
  <c r="L371" i="3"/>
  <c r="J401" i="3"/>
  <c r="L401" i="3"/>
  <c r="J88" i="3"/>
  <c r="J345" i="3"/>
  <c r="L345" i="3"/>
  <c r="J705" i="3"/>
  <c r="L705" i="3"/>
  <c r="J90" i="3"/>
  <c r="L90" i="3"/>
  <c r="J151" i="3"/>
  <c r="L151" i="3"/>
  <c r="J556" i="3"/>
  <c r="L556" i="3"/>
  <c r="J474" i="3"/>
  <c r="L474" i="3"/>
  <c r="J117" i="3"/>
  <c r="L117" i="3"/>
  <c r="G505" i="3"/>
  <c r="J558" i="3"/>
  <c r="L558" i="3"/>
  <c r="J599" i="3"/>
  <c r="L599" i="3"/>
  <c r="J198" i="3"/>
  <c r="L198" i="3"/>
  <c r="J340" i="3"/>
  <c r="J46" i="3"/>
  <c r="L46" i="3"/>
  <c r="J193" i="3"/>
  <c r="L193" i="3"/>
  <c r="J323" i="3"/>
  <c r="L323" i="3"/>
  <c r="J547" i="3"/>
  <c r="L547" i="3"/>
  <c r="J553" i="3"/>
  <c r="L553" i="3"/>
  <c r="J852" i="3"/>
  <c r="L852" i="3"/>
  <c r="J219" i="3"/>
  <c r="L219" i="3"/>
  <c r="I352" i="3"/>
  <c r="J352" i="3"/>
  <c r="L352" i="3"/>
  <c r="G250" i="3"/>
  <c r="J250" i="3"/>
  <c r="L250" i="3"/>
  <c r="J342" i="3"/>
  <c r="L342" i="3"/>
  <c r="J398" i="3"/>
  <c r="L398" i="3"/>
  <c r="J581" i="3"/>
  <c r="L581" i="3"/>
  <c r="J647" i="3"/>
  <c r="J445" i="3"/>
  <c r="L445" i="3"/>
  <c r="G659" i="3"/>
  <c r="J728" i="3"/>
  <c r="L728" i="3"/>
  <c r="J793" i="3"/>
  <c r="J138" i="3"/>
  <c r="J649" i="3"/>
  <c r="L649" i="3"/>
  <c r="J375" i="3"/>
  <c r="L375" i="3"/>
  <c r="J145" i="3"/>
  <c r="L145" i="3"/>
  <c r="J190" i="3"/>
  <c r="L190" i="3"/>
  <c r="J298" i="3"/>
  <c r="L298" i="3"/>
  <c r="J525" i="3"/>
  <c r="L525" i="3"/>
  <c r="J650" i="3"/>
  <c r="L650" i="3"/>
  <c r="J698" i="3"/>
  <c r="J730" i="3"/>
  <c r="L730" i="3"/>
  <c r="J73" i="3"/>
  <c r="L73" i="3"/>
  <c r="J123" i="3"/>
  <c r="L123" i="3"/>
  <c r="J141" i="3"/>
  <c r="L141" i="3"/>
  <c r="J167" i="3"/>
  <c r="L167" i="3"/>
  <c r="J444" i="3"/>
  <c r="L444" i="3"/>
  <c r="J476" i="3"/>
  <c r="J506" i="3"/>
  <c r="L506" i="3"/>
  <c r="J97" i="3"/>
  <c r="L97" i="3"/>
  <c r="J196" i="3"/>
  <c r="L196" i="3"/>
  <c r="J251" i="3"/>
  <c r="L251" i="3"/>
  <c r="J271" i="3"/>
  <c r="L271" i="3"/>
  <c r="J300" i="3"/>
  <c r="L300" i="3"/>
  <c r="J350" i="3"/>
  <c r="L350" i="3"/>
  <c r="J681" i="3"/>
  <c r="L681" i="3"/>
  <c r="J67" i="3"/>
  <c r="L67" i="3"/>
  <c r="J147" i="3"/>
  <c r="L147" i="3"/>
  <c r="J222" i="3"/>
  <c r="L222" i="3"/>
  <c r="J245" i="3"/>
  <c r="L245" i="3"/>
  <c r="J603" i="3"/>
  <c r="L603" i="3"/>
  <c r="J706" i="3"/>
  <c r="L706" i="3"/>
  <c r="J851" i="3"/>
  <c r="L851" i="3"/>
  <c r="J241" i="3"/>
  <c r="L241" i="3"/>
  <c r="J346" i="3"/>
  <c r="L346" i="3"/>
  <c r="J528" i="3"/>
  <c r="L528" i="3"/>
  <c r="J655" i="3"/>
  <c r="L655" i="3"/>
  <c r="J446" i="3"/>
  <c r="L446" i="3"/>
  <c r="J94" i="3"/>
  <c r="L94" i="3"/>
  <c r="J605" i="3"/>
  <c r="L605" i="3"/>
  <c r="J41" i="3"/>
  <c r="L41" i="3"/>
  <c r="J242" i="3"/>
  <c r="L242" i="3"/>
  <c r="J268" i="3"/>
  <c r="L268" i="3"/>
  <c r="J548" i="3"/>
  <c r="L548" i="3"/>
  <c r="J631" i="3"/>
  <c r="L631" i="3"/>
  <c r="J144" i="3"/>
  <c r="L144" i="3"/>
  <c r="J170" i="3"/>
  <c r="L170" i="3"/>
  <c r="J651" i="3"/>
  <c r="L651" i="3"/>
  <c r="J499" i="3"/>
  <c r="L499" i="3"/>
  <c r="J549" i="3"/>
  <c r="L549" i="3"/>
  <c r="J576" i="3"/>
  <c r="L576" i="3"/>
  <c r="J96" i="3"/>
  <c r="L96" i="3"/>
  <c r="J269" i="3"/>
  <c r="L269" i="3"/>
  <c r="J353" i="3"/>
  <c r="L353" i="3"/>
  <c r="J652" i="3"/>
  <c r="L652" i="3"/>
  <c r="J72" i="3"/>
  <c r="L72" i="3"/>
  <c r="J91" i="3"/>
  <c r="L91" i="3"/>
  <c r="J140" i="3"/>
  <c r="L140" i="3"/>
  <c r="J249" i="3"/>
  <c r="L249" i="3"/>
  <c r="J555" i="3"/>
  <c r="L555" i="3"/>
  <c r="J849" i="3"/>
  <c r="L849" i="3"/>
  <c r="J172" i="3"/>
  <c r="L172" i="3"/>
  <c r="J244" i="3"/>
  <c r="L244" i="3"/>
  <c r="J299" i="3"/>
  <c r="L299" i="3"/>
  <c r="J550" i="3"/>
  <c r="L550" i="3"/>
  <c r="J602" i="3"/>
  <c r="L602" i="3"/>
  <c r="J658" i="3"/>
  <c r="L658" i="3"/>
  <c r="J710" i="3"/>
  <c r="L710" i="3"/>
  <c r="J39" i="3"/>
  <c r="L39" i="3"/>
  <c r="J66" i="3"/>
  <c r="L66" i="3"/>
  <c r="J293" i="3"/>
  <c r="L293" i="3"/>
  <c r="J400" i="3"/>
  <c r="L400" i="3"/>
  <c r="J552" i="3"/>
  <c r="L552" i="3"/>
  <c r="J660" i="3"/>
  <c r="L660" i="3"/>
  <c r="J850" i="3"/>
  <c r="L850" i="3"/>
  <c r="J44" i="3"/>
  <c r="L44" i="3"/>
  <c r="J95" i="3"/>
  <c r="L95" i="3"/>
  <c r="J118" i="3"/>
  <c r="L118" i="3"/>
  <c r="J171" i="3"/>
  <c r="L171" i="3"/>
  <c r="J197" i="3"/>
  <c r="L197" i="3"/>
  <c r="J319" i="3"/>
  <c r="L319" i="3"/>
  <c r="J324" i="3"/>
  <c r="L324" i="3"/>
  <c r="J373" i="3"/>
  <c r="L373" i="3"/>
  <c r="J395" i="3"/>
  <c r="L395" i="3"/>
  <c r="J501" i="3"/>
  <c r="L501" i="3"/>
  <c r="J604" i="3"/>
  <c r="L604" i="3"/>
  <c r="J628" i="3"/>
  <c r="L628" i="3"/>
  <c r="J707" i="3"/>
  <c r="L707" i="3"/>
  <c r="J40" i="3"/>
  <c r="L40" i="3"/>
  <c r="J45" i="3"/>
  <c r="L45" i="3"/>
  <c r="J101" i="3"/>
  <c r="L101" i="3"/>
  <c r="J221" i="3"/>
  <c r="L221" i="3"/>
  <c r="J325" i="3"/>
  <c r="L325" i="3"/>
  <c r="J374" i="3"/>
  <c r="L374" i="3"/>
  <c r="J119" i="3"/>
  <c r="L119" i="3"/>
  <c r="J273" i="3"/>
  <c r="L273" i="3"/>
  <c r="J424" i="3"/>
  <c r="L424" i="3"/>
  <c r="J475" i="3"/>
  <c r="L475" i="3"/>
  <c r="J577" i="3"/>
  <c r="L577" i="3"/>
  <c r="J600" i="3"/>
  <c r="L600" i="3"/>
  <c r="J629" i="3"/>
  <c r="L629" i="3"/>
  <c r="J656" i="3"/>
  <c r="L656" i="3"/>
  <c r="J703" i="3"/>
  <c r="L703" i="3"/>
  <c r="J731" i="3"/>
  <c r="L731" i="3"/>
  <c r="J142" i="3"/>
  <c r="L142" i="3"/>
  <c r="J320" i="3"/>
  <c r="L320" i="3"/>
  <c r="J578" i="3"/>
  <c r="L578" i="3"/>
  <c r="J708" i="3"/>
  <c r="L708" i="3"/>
  <c r="J217" i="3"/>
  <c r="L217" i="3"/>
  <c r="J321" i="3"/>
  <c r="L321" i="3"/>
  <c r="J447" i="3"/>
  <c r="L447" i="3"/>
  <c r="J498" i="3"/>
  <c r="L498" i="3"/>
  <c r="J657" i="3"/>
  <c r="L657" i="3"/>
  <c r="J704" i="3"/>
  <c r="L704" i="3"/>
  <c r="J727" i="3"/>
  <c r="L727" i="3"/>
  <c r="J69" i="3"/>
  <c r="L69" i="3"/>
  <c r="J92" i="3"/>
  <c r="L92" i="3"/>
  <c r="J143" i="3"/>
  <c r="L143" i="3"/>
  <c r="J148" i="3"/>
  <c r="L148" i="3"/>
  <c r="J173" i="3"/>
  <c r="L173" i="3"/>
  <c r="J200" i="3"/>
  <c r="L200" i="3"/>
  <c r="J194" i="3"/>
  <c r="L194" i="3"/>
  <c r="J370" i="3"/>
  <c r="L370" i="3"/>
  <c r="J403" i="3"/>
  <c r="L403" i="3"/>
  <c r="J397" i="3"/>
  <c r="L397" i="3"/>
  <c r="J579" i="3"/>
  <c r="L579" i="3"/>
  <c r="J606" i="3"/>
  <c r="L606" i="3"/>
  <c r="J709" i="3"/>
  <c r="L709" i="3"/>
  <c r="J838" i="3"/>
  <c r="L838" i="3"/>
  <c r="J42" i="3"/>
  <c r="L42" i="3"/>
  <c r="J168" i="3"/>
  <c r="L168" i="3"/>
  <c r="J218" i="3"/>
  <c r="L218" i="3"/>
  <c r="J223" i="3"/>
  <c r="L223" i="3"/>
  <c r="J240" i="3"/>
  <c r="L240" i="3"/>
  <c r="J291" i="3"/>
  <c r="L291" i="3"/>
  <c r="J302" i="3"/>
  <c r="L302" i="3"/>
  <c r="J452" i="3"/>
  <c r="L452" i="3"/>
  <c r="J653" i="3"/>
  <c r="L653" i="3"/>
  <c r="J700" i="3"/>
  <c r="L700" i="3"/>
  <c r="J93" i="3"/>
  <c r="L93" i="3"/>
  <c r="J98" i="3"/>
  <c r="L98" i="3"/>
  <c r="J121" i="3"/>
  <c r="L121" i="3"/>
  <c r="J149" i="3"/>
  <c r="L149" i="3"/>
  <c r="J195" i="3"/>
  <c r="L195" i="3"/>
  <c r="J343" i="3"/>
  <c r="L343" i="3"/>
  <c r="J393" i="3"/>
  <c r="L393" i="3"/>
  <c r="J448" i="3"/>
  <c r="L448" i="3"/>
  <c r="J659" i="3"/>
  <c r="L659" i="3"/>
  <c r="J246" i="3"/>
  <c r="L246" i="3"/>
  <c r="J270" i="3"/>
  <c r="L270" i="3"/>
  <c r="J292" i="3"/>
  <c r="L292" i="3"/>
  <c r="J404" i="3"/>
  <c r="L404" i="3"/>
  <c r="J607" i="3"/>
  <c r="L607" i="3"/>
  <c r="J626" i="3"/>
  <c r="L626" i="3"/>
  <c r="J677" i="3"/>
  <c r="L677" i="3"/>
  <c r="J122" i="3"/>
  <c r="L122" i="3"/>
  <c r="J169" i="3"/>
  <c r="L169" i="3"/>
  <c r="J201" i="3"/>
  <c r="L201" i="3"/>
  <c r="J399" i="3"/>
  <c r="L399" i="3"/>
  <c r="J427" i="3"/>
  <c r="L427" i="3"/>
  <c r="J449" i="3"/>
  <c r="L449" i="3"/>
  <c r="J500" i="3"/>
  <c r="L500" i="3"/>
  <c r="J505" i="3"/>
  <c r="L505" i="3"/>
  <c r="J524" i="3"/>
  <c r="L524" i="3"/>
  <c r="J529" i="3"/>
  <c r="L529" i="3"/>
  <c r="J551" i="3"/>
  <c r="L551" i="3"/>
  <c r="J654" i="3"/>
  <c r="L654" i="3"/>
  <c r="J701" i="3"/>
  <c r="L701" i="3"/>
  <c r="J711" i="3"/>
  <c r="L711" i="3"/>
  <c r="J840" i="3"/>
  <c r="L840" i="3"/>
  <c r="J43" i="3"/>
  <c r="L43" i="3"/>
  <c r="J71" i="3"/>
  <c r="L71" i="3"/>
  <c r="J99" i="3"/>
  <c r="L99" i="3"/>
  <c r="J191" i="3"/>
  <c r="L191" i="3"/>
  <c r="J247" i="3"/>
  <c r="L247" i="3"/>
  <c r="J297" i="3"/>
  <c r="L297" i="3"/>
  <c r="J344" i="3"/>
  <c r="L344" i="3"/>
  <c r="J372" i="3"/>
  <c r="L372" i="3"/>
  <c r="J394" i="3"/>
  <c r="L394" i="3"/>
  <c r="J473" i="3"/>
  <c r="L473" i="3"/>
  <c r="J608" i="3"/>
  <c r="L608" i="3"/>
  <c r="J627" i="3"/>
  <c r="L627" i="3"/>
  <c r="J678" i="3"/>
  <c r="L678" i="3"/>
  <c r="L61" i="3"/>
  <c r="L105" i="3"/>
  <c r="L115" i="3"/>
  <c r="L158" i="3"/>
  <c r="L259" i="3"/>
  <c r="L436" i="3"/>
  <c r="L457" i="3"/>
  <c r="L593" i="3"/>
  <c r="L619" i="3"/>
  <c r="L624" i="3"/>
  <c r="L775" i="3"/>
  <c r="L802" i="3"/>
  <c r="L153" i="3"/>
  <c r="L214" i="3"/>
  <c r="L316" i="3"/>
  <c r="L535" i="3"/>
  <c r="L666" i="3"/>
  <c r="L671" i="3"/>
  <c r="L714" i="3"/>
  <c r="L719" i="3"/>
  <c r="L228" i="3"/>
  <c r="L226" i="3"/>
  <c r="L255" i="3"/>
  <c r="L285" i="3"/>
  <c r="L277" i="3"/>
  <c r="J326" i="3"/>
  <c r="L311" i="3"/>
  <c r="L468" i="3"/>
  <c r="L510" i="3"/>
  <c r="L543" i="3"/>
  <c r="L641" i="3"/>
  <c r="L813" i="3"/>
  <c r="L818" i="3"/>
  <c r="L56" i="3"/>
  <c r="L732" i="3"/>
  <c r="L758" i="3"/>
  <c r="L767" i="3"/>
  <c r="L776" i="3"/>
  <c r="L785" i="3"/>
  <c r="L798" i="3"/>
  <c r="L521" i="3"/>
  <c r="L847" i="3"/>
  <c r="L165" i="3"/>
  <c r="L632" i="3"/>
  <c r="L805" i="3"/>
  <c r="L814" i="3"/>
  <c r="L823" i="3"/>
  <c r="L63" i="3"/>
  <c r="L107" i="3"/>
  <c r="L726" i="3"/>
  <c r="L768" i="3"/>
  <c r="L809" i="3"/>
  <c r="L80" i="3"/>
  <c r="L134" i="3"/>
  <c r="L155" i="3"/>
  <c r="L381" i="3"/>
  <c r="L485" i="3"/>
  <c r="L522" i="3"/>
  <c r="L616" i="3"/>
  <c r="L663" i="3"/>
  <c r="L759" i="3"/>
  <c r="L848" i="3"/>
  <c r="L35" i="3"/>
  <c r="L26" i="3"/>
  <c r="L53" i="3"/>
  <c r="L166" i="3"/>
  <c r="L202" i="3"/>
  <c r="L216" i="3"/>
  <c r="L303" i="3"/>
  <c r="L313" i="3"/>
  <c r="L363" i="3"/>
  <c r="L409" i="3"/>
  <c r="L465" i="3"/>
  <c r="L517" i="3"/>
  <c r="L611" i="3"/>
  <c r="L750" i="3"/>
  <c r="L755" i="3"/>
  <c r="L764" i="3"/>
  <c r="L795" i="3"/>
  <c r="L804" i="3"/>
  <c r="L843" i="3"/>
  <c r="L440" i="3"/>
  <c r="L460" i="3"/>
  <c r="L497" i="3"/>
  <c r="L674" i="3"/>
  <c r="L136" i="3"/>
  <c r="L262" i="3"/>
  <c r="L434" i="3"/>
  <c r="L487" i="3"/>
  <c r="L513" i="3"/>
  <c r="L612" i="3"/>
  <c r="L645" i="3"/>
  <c r="L682" i="3"/>
  <c r="L692" i="3"/>
  <c r="L686" i="3"/>
  <c r="L751" i="3"/>
  <c r="L756" i="3"/>
  <c r="L839" i="3"/>
  <c r="L844" i="3"/>
  <c r="L405" i="3"/>
  <c r="L530" i="3"/>
  <c r="L560" i="3"/>
  <c r="L591" i="3"/>
  <c r="L745" i="3"/>
  <c r="L789" i="3"/>
  <c r="L825" i="3"/>
  <c r="L220" i="3"/>
  <c r="L258" i="3"/>
  <c r="L369" i="3"/>
  <c r="L416" i="3"/>
  <c r="L426" i="3"/>
  <c r="L623" i="3"/>
  <c r="L675" i="3"/>
  <c r="L679" i="3"/>
  <c r="L723" i="3"/>
  <c r="L801" i="3"/>
  <c r="L806" i="3"/>
  <c r="L821" i="3"/>
  <c r="L176" i="3"/>
  <c r="L328" i="3"/>
  <c r="J47" i="3"/>
  <c r="L47" i="3"/>
  <c r="J301" i="3"/>
  <c r="L301" i="3"/>
  <c r="J454" i="3"/>
  <c r="L454" i="3"/>
  <c r="G150" i="3"/>
  <c r="J150" i="3"/>
  <c r="L150" i="3"/>
  <c r="J554" i="3"/>
  <c r="L554" i="3"/>
  <c r="J502" i="3"/>
  <c r="L502" i="3"/>
  <c r="J597" i="3"/>
  <c r="J289" i="3"/>
  <c r="L315" i="3"/>
  <c r="L380" i="3"/>
  <c r="J391" i="3"/>
  <c r="J425" i="3"/>
  <c r="L425" i="3"/>
  <c r="J478" i="3"/>
  <c r="L478" i="3"/>
  <c r="L518" i="3"/>
  <c r="L582" i="3"/>
  <c r="H48" i="3"/>
  <c r="J48" i="3"/>
  <c r="L48" i="3"/>
  <c r="I100" i="3"/>
  <c r="J100" i="3"/>
  <c r="L100" i="3"/>
  <c r="L307" i="3"/>
  <c r="L420" i="3"/>
  <c r="L439" i="3"/>
  <c r="J455" i="3"/>
  <c r="L455" i="3"/>
  <c r="L486" i="3"/>
  <c r="L738" i="3"/>
  <c r="J832" i="3"/>
  <c r="L832" i="3"/>
  <c r="L828" i="3"/>
  <c r="J188" i="3"/>
  <c r="L476" i="3"/>
  <c r="J580" i="3"/>
  <c r="L580" i="3"/>
  <c r="J37" i="3"/>
  <c r="J296" i="3"/>
  <c r="L296" i="3"/>
  <c r="L788" i="3"/>
  <c r="J396" i="3"/>
  <c r="L396" i="3"/>
  <c r="L412" i="3"/>
  <c r="L417" i="3"/>
  <c r="J453" i="3"/>
  <c r="L453" i="3"/>
  <c r="L456" i="3"/>
  <c r="L461" i="3"/>
  <c r="L569" i="3"/>
  <c r="J243" i="3"/>
  <c r="L243" i="3"/>
  <c r="J442" i="3"/>
  <c r="J451" i="3"/>
  <c r="L451" i="3"/>
  <c r="L565" i="3"/>
  <c r="J601" i="3"/>
  <c r="L601" i="3"/>
  <c r="J349" i="3"/>
  <c r="L349" i="3"/>
  <c r="J402" i="3"/>
  <c r="L402" i="3"/>
  <c r="J496" i="3"/>
  <c r="L496" i="3"/>
  <c r="J504" i="3"/>
  <c r="L504" i="3"/>
  <c r="J609" i="3"/>
  <c r="L609" i="3"/>
  <c r="J837" i="3"/>
  <c r="L837" i="3"/>
  <c r="G557" i="3"/>
  <c r="J557" i="3"/>
  <c r="L557" i="3"/>
  <c r="J835" i="3"/>
  <c r="L76" i="3"/>
  <c r="L126" i="3"/>
  <c r="J174" i="3"/>
  <c r="L585" i="3"/>
  <c r="L430" i="3"/>
  <c r="L635" i="3"/>
  <c r="J684" i="3"/>
  <c r="L290" i="3"/>
  <c r="L276" i="3"/>
  <c r="L533" i="3"/>
  <c r="L648" i="3"/>
  <c r="L699" i="3"/>
  <c r="L685" i="3"/>
  <c r="L443" i="3"/>
  <c r="L794" i="3"/>
  <c r="J224" i="3"/>
  <c r="L598" i="3"/>
  <c r="L584" i="3"/>
  <c r="J377" i="3"/>
  <c r="L89" i="3"/>
  <c r="L75" i="3"/>
  <c r="L782" i="3"/>
  <c r="J826" i="3"/>
  <c r="L748" i="3"/>
  <c r="L139" i="3"/>
  <c r="L125" i="3"/>
  <c r="L546" i="3"/>
  <c r="J734" i="3"/>
  <c r="L836" i="3"/>
  <c r="L827" i="3"/>
  <c r="L736" i="3"/>
  <c r="J275" i="3"/>
  <c r="L481" i="3"/>
  <c r="L494" i="3"/>
  <c r="L341" i="3"/>
  <c r="L327" i="3"/>
  <c r="L379" i="3"/>
  <c r="J428" i="3"/>
  <c r="L38" i="3"/>
  <c r="L25" i="3"/>
  <c r="L392" i="3"/>
  <c r="J479" i="3"/>
  <c r="J124" i="3"/>
  <c r="J583" i="3"/>
  <c r="J74" i="3"/>
  <c r="J854" i="3"/>
  <c r="L189" i="3"/>
  <c r="L175" i="3"/>
  <c r="L634" i="3"/>
  <c r="L532" i="3"/>
  <c r="L781" i="3"/>
  <c r="J633" i="3"/>
  <c r="L378" i="3"/>
  <c r="L480" i="3"/>
  <c r="L735" i="3"/>
  <c r="J531" i="3"/>
  <c r="L239" i="3"/>
  <c r="L225" i="3"/>
  <c r="L856" i="3"/>
  <c r="J780" i="3"/>
  <c r="L429" i="3"/>
  <c r="L855" i="3"/>
  <c r="L857" i="3"/>
  <c r="G1059" i="2"/>
  <c r="H1059" i="2"/>
  <c r="J1059" i="2"/>
  <c r="G1058" i="2"/>
  <c r="H1058" i="2"/>
  <c r="G1057" i="2"/>
  <c r="H1057" i="2"/>
  <c r="G1056" i="2"/>
  <c r="H1056" i="2"/>
  <c r="H1055" i="2"/>
  <c r="J1055" i="2"/>
  <c r="H1054" i="2"/>
  <c r="G1052" i="2"/>
  <c r="H1052" i="2"/>
  <c r="J1052" i="2"/>
  <c r="G1051" i="2"/>
  <c r="H1051" i="2"/>
  <c r="G1049" i="2"/>
  <c r="G1053" i="2"/>
  <c r="H1053" i="2"/>
  <c r="J1053" i="2"/>
  <c r="H1048" i="2"/>
  <c r="J1048" i="2"/>
  <c r="H1047" i="2"/>
  <c r="J1047" i="2"/>
  <c r="H1046" i="2"/>
  <c r="J1046" i="2"/>
  <c r="H1045" i="2"/>
  <c r="J1045" i="2"/>
  <c r="G1041" i="2"/>
  <c r="H1041" i="2"/>
  <c r="J1041" i="2"/>
  <c r="G1040" i="2"/>
  <c r="H1040" i="2"/>
  <c r="G1039" i="2"/>
  <c r="H1039" i="2"/>
  <c r="G1038" i="2"/>
  <c r="H1038" i="2"/>
  <c r="G1037" i="2"/>
  <c r="H1037" i="2"/>
  <c r="H1036" i="2"/>
  <c r="J1036" i="2"/>
  <c r="H1035" i="2"/>
  <c r="J1035" i="2"/>
  <c r="H1034" i="2"/>
  <c r="J1034" i="2"/>
  <c r="H1033" i="2"/>
  <c r="H1032" i="2"/>
  <c r="J1032" i="2"/>
  <c r="H1031" i="2"/>
  <c r="J1031" i="2"/>
  <c r="H1030" i="2"/>
  <c r="H1029" i="2"/>
  <c r="H1028" i="2"/>
  <c r="J1028" i="2"/>
  <c r="H1027" i="2"/>
  <c r="J1027" i="2"/>
  <c r="H1026" i="2"/>
  <c r="G1025" i="2"/>
  <c r="H1025" i="2"/>
  <c r="G1023" i="2"/>
  <c r="H1023" i="2"/>
  <c r="G1022" i="2"/>
  <c r="H1022" i="2"/>
  <c r="J1022" i="2"/>
  <c r="G1021" i="2"/>
  <c r="H1021" i="2"/>
  <c r="G1020" i="2"/>
  <c r="H1020" i="2"/>
  <c r="G1019" i="2"/>
  <c r="H1019" i="2"/>
  <c r="G1018" i="2"/>
  <c r="H1018" i="2"/>
  <c r="J1018" i="2"/>
  <c r="G1017" i="2"/>
  <c r="H1017" i="2"/>
  <c r="G1016" i="2"/>
  <c r="H1016" i="2"/>
  <c r="J1016" i="2"/>
  <c r="G1015" i="2"/>
  <c r="H1015" i="2"/>
  <c r="J1015" i="2"/>
  <c r="G1014" i="2"/>
  <c r="H1014" i="2"/>
  <c r="G1012" i="2"/>
  <c r="G1024" i="2"/>
  <c r="H1024" i="2"/>
  <c r="J1024" i="2"/>
  <c r="H1011" i="2"/>
  <c r="J1011" i="2"/>
  <c r="H1010" i="2"/>
  <c r="J1010" i="2"/>
  <c r="H1009" i="2"/>
  <c r="J1009" i="2"/>
  <c r="H1008" i="2"/>
  <c r="J1008" i="2"/>
  <c r="H1007" i="2"/>
  <c r="J1007" i="2"/>
  <c r="H1006" i="2"/>
  <c r="J1006" i="2"/>
  <c r="H1005" i="2"/>
  <c r="J1005" i="2"/>
  <c r="H1004" i="2"/>
  <c r="J1004" i="2"/>
  <c r="H1003" i="2"/>
  <c r="J1003" i="2"/>
  <c r="H1002" i="2"/>
  <c r="J1002" i="2"/>
  <c r="G998" i="2"/>
  <c r="H998" i="2"/>
  <c r="J998" i="2"/>
  <c r="G997" i="2"/>
  <c r="H997" i="2"/>
  <c r="J997" i="2"/>
  <c r="G996" i="2"/>
  <c r="H996" i="2"/>
  <c r="G995" i="2"/>
  <c r="H995" i="2"/>
  <c r="J995" i="2"/>
  <c r="G994" i="2"/>
  <c r="H994" i="2"/>
  <c r="J994" i="2"/>
  <c r="H993" i="2"/>
  <c r="J993" i="2"/>
  <c r="H992" i="2"/>
  <c r="H991" i="2"/>
  <c r="J991" i="2"/>
  <c r="H990" i="2"/>
  <c r="H989" i="2"/>
  <c r="J989" i="2"/>
  <c r="H988" i="2"/>
  <c r="H987" i="2"/>
  <c r="H986" i="2"/>
  <c r="J986" i="2"/>
  <c r="H985" i="2"/>
  <c r="J985" i="2"/>
  <c r="H984" i="2"/>
  <c r="H983" i="2"/>
  <c r="G982" i="2"/>
  <c r="H982" i="2"/>
  <c r="G980" i="2"/>
  <c r="H980" i="2"/>
  <c r="J980" i="2"/>
  <c r="G979" i="2"/>
  <c r="H979" i="2"/>
  <c r="J979" i="2"/>
  <c r="G978" i="2"/>
  <c r="H978" i="2"/>
  <c r="J978" i="2"/>
  <c r="G977" i="2"/>
  <c r="H977" i="2"/>
  <c r="J977" i="2"/>
  <c r="G976" i="2"/>
  <c r="H976" i="2"/>
  <c r="J976" i="2"/>
  <c r="G975" i="2"/>
  <c r="H975" i="2"/>
  <c r="J975" i="2"/>
  <c r="G974" i="2"/>
  <c r="H974" i="2"/>
  <c r="G973" i="2"/>
  <c r="H973" i="2"/>
  <c r="G972" i="2"/>
  <c r="H972" i="2"/>
  <c r="J972" i="2"/>
  <c r="G971" i="2"/>
  <c r="H971" i="2"/>
  <c r="G969" i="2"/>
  <c r="H969" i="2"/>
  <c r="H968" i="2"/>
  <c r="J968" i="2"/>
  <c r="H967" i="2"/>
  <c r="J967" i="2"/>
  <c r="H966" i="2"/>
  <c r="J966" i="2"/>
  <c r="H965" i="2"/>
  <c r="J965" i="2"/>
  <c r="H964" i="2"/>
  <c r="J964" i="2"/>
  <c r="H963" i="2"/>
  <c r="J963" i="2"/>
  <c r="H962" i="2"/>
  <c r="J962" i="2"/>
  <c r="H961" i="2"/>
  <c r="J961" i="2"/>
  <c r="H960" i="2"/>
  <c r="J960" i="2"/>
  <c r="H959" i="2"/>
  <c r="J959" i="2"/>
  <c r="G955" i="2"/>
  <c r="H955" i="2"/>
  <c r="J955" i="2"/>
  <c r="G954" i="2"/>
  <c r="H954" i="2"/>
  <c r="J954" i="2"/>
  <c r="G953" i="2"/>
  <c r="H953" i="2"/>
  <c r="J953" i="2"/>
  <c r="G952" i="2"/>
  <c r="H952" i="2"/>
  <c r="G951" i="2"/>
  <c r="H951" i="2"/>
  <c r="J951" i="2"/>
  <c r="H950" i="2"/>
  <c r="J950" i="2"/>
  <c r="H949" i="2"/>
  <c r="J949" i="2"/>
  <c r="H948" i="2"/>
  <c r="J948" i="2"/>
  <c r="H947" i="2"/>
  <c r="J947" i="2"/>
  <c r="H946" i="2"/>
  <c r="J946" i="2"/>
  <c r="H945" i="2"/>
  <c r="J945" i="2"/>
  <c r="H944" i="2"/>
  <c r="J944" i="2"/>
  <c r="H943" i="2"/>
  <c r="J943" i="2"/>
  <c r="H942" i="2"/>
  <c r="J942" i="2"/>
  <c r="H941" i="2"/>
  <c r="J941" i="2"/>
  <c r="H940" i="2"/>
  <c r="J940" i="2"/>
  <c r="G939" i="2"/>
  <c r="H939" i="2"/>
  <c r="G937" i="2"/>
  <c r="H937" i="2"/>
  <c r="G936" i="2"/>
  <c r="H936" i="2"/>
  <c r="G935" i="2"/>
  <c r="H935" i="2"/>
  <c r="J935" i="2"/>
  <c r="G934" i="2"/>
  <c r="H934" i="2"/>
  <c r="J934" i="2"/>
  <c r="G933" i="2"/>
  <c r="H933" i="2"/>
  <c r="J933" i="2"/>
  <c r="G932" i="2"/>
  <c r="H932" i="2"/>
  <c r="G931" i="2"/>
  <c r="H931" i="2"/>
  <c r="G930" i="2"/>
  <c r="H930" i="2"/>
  <c r="J930" i="2"/>
  <c r="G929" i="2"/>
  <c r="H929" i="2"/>
  <c r="G928" i="2"/>
  <c r="H928" i="2"/>
  <c r="G926" i="2"/>
  <c r="H926" i="2"/>
  <c r="H925" i="2"/>
  <c r="J925" i="2"/>
  <c r="H924" i="2"/>
  <c r="J924" i="2"/>
  <c r="H923" i="2"/>
  <c r="J923" i="2"/>
  <c r="H922" i="2"/>
  <c r="J922" i="2"/>
  <c r="H921" i="2"/>
  <c r="J921" i="2"/>
  <c r="H920" i="2"/>
  <c r="J920" i="2"/>
  <c r="H919" i="2"/>
  <c r="J919" i="2"/>
  <c r="H918" i="2"/>
  <c r="J918" i="2"/>
  <c r="H917" i="2"/>
  <c r="J917" i="2"/>
  <c r="H916" i="2"/>
  <c r="J916" i="2"/>
  <c r="G912" i="2"/>
  <c r="H912" i="2"/>
  <c r="G911" i="2"/>
  <c r="H911" i="2"/>
  <c r="J911" i="2"/>
  <c r="G910" i="2"/>
  <c r="H910" i="2"/>
  <c r="J910" i="2"/>
  <c r="G909" i="2"/>
  <c r="H909" i="2"/>
  <c r="G908" i="2"/>
  <c r="H908" i="2"/>
  <c r="H907" i="2"/>
  <c r="H906" i="2"/>
  <c r="J906" i="2"/>
  <c r="H905" i="2"/>
  <c r="J905" i="2"/>
  <c r="H904" i="2"/>
  <c r="J904" i="2"/>
  <c r="H903" i="2"/>
  <c r="H902" i="2"/>
  <c r="J902" i="2"/>
  <c r="H901" i="2"/>
  <c r="J901" i="2"/>
  <c r="H900" i="2"/>
  <c r="J900" i="2"/>
  <c r="H899" i="2"/>
  <c r="J899" i="2"/>
  <c r="H898" i="2"/>
  <c r="J898" i="2"/>
  <c r="H897" i="2"/>
  <c r="J897" i="2"/>
  <c r="G896" i="2"/>
  <c r="H896" i="2"/>
  <c r="J896" i="2"/>
  <c r="G894" i="2"/>
  <c r="H894" i="2"/>
  <c r="G893" i="2"/>
  <c r="H893" i="2"/>
  <c r="G892" i="2"/>
  <c r="H892" i="2"/>
  <c r="G891" i="2"/>
  <c r="H891" i="2"/>
  <c r="G890" i="2"/>
  <c r="H890" i="2"/>
  <c r="J890" i="2"/>
  <c r="G889" i="2"/>
  <c r="H889" i="2"/>
  <c r="J889" i="2"/>
  <c r="G888" i="2"/>
  <c r="H888" i="2"/>
  <c r="J888" i="2"/>
  <c r="G887" i="2"/>
  <c r="H887" i="2"/>
  <c r="G886" i="2"/>
  <c r="H886" i="2"/>
  <c r="J886" i="2"/>
  <c r="G885" i="2"/>
  <c r="H885" i="2"/>
  <c r="G883" i="2"/>
  <c r="H883" i="2"/>
  <c r="H882" i="2"/>
  <c r="J882" i="2"/>
  <c r="H881" i="2"/>
  <c r="J881" i="2"/>
  <c r="H880" i="2"/>
  <c r="J880" i="2"/>
  <c r="H879" i="2"/>
  <c r="J879" i="2"/>
  <c r="H878" i="2"/>
  <c r="J878" i="2"/>
  <c r="H877" i="2"/>
  <c r="J877" i="2"/>
  <c r="H876" i="2"/>
  <c r="J876" i="2"/>
  <c r="H875" i="2"/>
  <c r="J875" i="2"/>
  <c r="H874" i="2"/>
  <c r="J874" i="2"/>
  <c r="H873" i="2"/>
  <c r="J873" i="2"/>
  <c r="G869" i="2"/>
  <c r="H869" i="2"/>
  <c r="J869" i="2"/>
  <c r="G868" i="2"/>
  <c r="H868" i="2"/>
  <c r="G867" i="2"/>
  <c r="H867" i="2"/>
  <c r="J867" i="2"/>
  <c r="G866" i="2"/>
  <c r="H866" i="2"/>
  <c r="G865" i="2"/>
  <c r="H865" i="2"/>
  <c r="J865" i="2"/>
  <c r="H864" i="2"/>
  <c r="H863" i="2"/>
  <c r="J863" i="2"/>
  <c r="H862" i="2"/>
  <c r="J862" i="2"/>
  <c r="H861" i="2"/>
  <c r="J861" i="2"/>
  <c r="H860" i="2"/>
  <c r="H859" i="2"/>
  <c r="H858" i="2"/>
  <c r="J858" i="2"/>
  <c r="H857" i="2"/>
  <c r="J857" i="2"/>
  <c r="H856" i="2"/>
  <c r="J856" i="2"/>
  <c r="H855" i="2"/>
  <c r="H854" i="2"/>
  <c r="G853" i="2"/>
  <c r="H853" i="2"/>
  <c r="J853" i="2"/>
  <c r="G851" i="2"/>
  <c r="H851" i="2"/>
  <c r="J851" i="2"/>
  <c r="G850" i="2"/>
  <c r="H850" i="2"/>
  <c r="G849" i="2"/>
  <c r="H849" i="2"/>
  <c r="G848" i="2"/>
  <c r="H848" i="2"/>
  <c r="J848" i="2"/>
  <c r="G847" i="2"/>
  <c r="H847" i="2"/>
  <c r="G846" i="2"/>
  <c r="H846" i="2"/>
  <c r="J846" i="2"/>
  <c r="G845" i="2"/>
  <c r="H845" i="2"/>
  <c r="G844" i="2"/>
  <c r="H844" i="2"/>
  <c r="G843" i="2"/>
  <c r="H843" i="2"/>
  <c r="J843" i="2"/>
  <c r="G842" i="2"/>
  <c r="H842" i="2"/>
  <c r="J842" i="2"/>
  <c r="G840" i="2"/>
  <c r="G852" i="2"/>
  <c r="H852" i="2"/>
  <c r="J852" i="2"/>
  <c r="H839" i="2"/>
  <c r="J839" i="2"/>
  <c r="H838" i="2"/>
  <c r="H837" i="2"/>
  <c r="J837" i="2"/>
  <c r="H836" i="2"/>
  <c r="J836" i="2"/>
  <c r="H835" i="2"/>
  <c r="J835" i="2"/>
  <c r="H834" i="2"/>
  <c r="J834" i="2"/>
  <c r="H833" i="2"/>
  <c r="J833" i="2"/>
  <c r="H832" i="2"/>
  <c r="J832" i="2"/>
  <c r="H831" i="2"/>
  <c r="J831" i="2"/>
  <c r="H830" i="2"/>
  <c r="J830" i="2"/>
  <c r="G826" i="2"/>
  <c r="H826" i="2"/>
  <c r="J826" i="2"/>
  <c r="G825" i="2"/>
  <c r="H825" i="2"/>
  <c r="J825" i="2"/>
  <c r="G824" i="2"/>
  <c r="H824" i="2"/>
  <c r="G823" i="2"/>
  <c r="H823" i="2"/>
  <c r="G822" i="2"/>
  <c r="H822" i="2"/>
  <c r="H821" i="2"/>
  <c r="H820" i="2"/>
  <c r="J820" i="2"/>
  <c r="H819" i="2"/>
  <c r="J819" i="2"/>
  <c r="H818" i="2"/>
  <c r="J818" i="2"/>
  <c r="H817" i="2"/>
  <c r="J817" i="2"/>
  <c r="H816" i="2"/>
  <c r="H815" i="2"/>
  <c r="J815" i="2"/>
  <c r="H814" i="2"/>
  <c r="J814" i="2"/>
  <c r="H813" i="2"/>
  <c r="H812" i="2"/>
  <c r="J812" i="2"/>
  <c r="H811" i="2"/>
  <c r="G810" i="2"/>
  <c r="H810" i="2"/>
  <c r="J810" i="2"/>
  <c r="G808" i="2"/>
  <c r="H808" i="2"/>
  <c r="J808" i="2"/>
  <c r="G807" i="2"/>
  <c r="H807" i="2"/>
  <c r="G806" i="2"/>
  <c r="H806" i="2"/>
  <c r="G805" i="2"/>
  <c r="H805" i="2"/>
  <c r="J805" i="2"/>
  <c r="G804" i="2"/>
  <c r="H804" i="2"/>
  <c r="J804" i="2"/>
  <c r="G803" i="2"/>
  <c r="H803" i="2"/>
  <c r="J803" i="2"/>
  <c r="G802" i="2"/>
  <c r="H802" i="2"/>
  <c r="G801" i="2"/>
  <c r="H801" i="2"/>
  <c r="J801" i="2"/>
  <c r="G800" i="2"/>
  <c r="H800" i="2"/>
  <c r="G799" i="2"/>
  <c r="H799" i="2"/>
  <c r="J799" i="2"/>
  <c r="G797" i="2"/>
  <c r="H797" i="2"/>
  <c r="H796" i="2"/>
  <c r="J796" i="2"/>
  <c r="H795" i="2"/>
  <c r="J795" i="2"/>
  <c r="H794" i="2"/>
  <c r="J794" i="2"/>
  <c r="H793" i="2"/>
  <c r="J793" i="2"/>
  <c r="H792" i="2"/>
  <c r="J792" i="2"/>
  <c r="H791" i="2"/>
  <c r="J791" i="2"/>
  <c r="H790" i="2"/>
  <c r="J790" i="2"/>
  <c r="H789" i="2"/>
  <c r="J789" i="2"/>
  <c r="H788" i="2"/>
  <c r="J788" i="2"/>
  <c r="H787" i="2"/>
  <c r="J787" i="2"/>
  <c r="G783" i="2"/>
  <c r="H783" i="2"/>
  <c r="G782" i="2"/>
  <c r="H782" i="2"/>
  <c r="G781" i="2"/>
  <c r="H781" i="2"/>
  <c r="J781" i="2"/>
  <c r="G780" i="2"/>
  <c r="H780" i="2"/>
  <c r="J780" i="2"/>
  <c r="G779" i="2"/>
  <c r="H779" i="2"/>
  <c r="J779" i="2"/>
  <c r="H778" i="2"/>
  <c r="J778" i="2"/>
  <c r="H777" i="2"/>
  <c r="J777" i="2"/>
  <c r="H776" i="2"/>
  <c r="J776" i="2"/>
  <c r="H775" i="2"/>
  <c r="J775" i="2"/>
  <c r="H774" i="2"/>
  <c r="J774" i="2"/>
  <c r="H773" i="2"/>
  <c r="J773" i="2"/>
  <c r="H772" i="2"/>
  <c r="H771" i="2"/>
  <c r="J771" i="2"/>
  <c r="H770" i="2"/>
  <c r="J770" i="2"/>
  <c r="H769" i="2"/>
  <c r="J769" i="2"/>
  <c r="H768" i="2"/>
  <c r="G767" i="2"/>
  <c r="H767" i="2"/>
  <c r="G765" i="2"/>
  <c r="H765" i="2"/>
  <c r="G764" i="2"/>
  <c r="H764" i="2"/>
  <c r="G763" i="2"/>
  <c r="H763" i="2"/>
  <c r="G762" i="2"/>
  <c r="H762" i="2"/>
  <c r="G761" i="2"/>
  <c r="H761" i="2"/>
  <c r="G760" i="2"/>
  <c r="H760" i="2"/>
  <c r="J760" i="2"/>
  <c r="G759" i="2"/>
  <c r="H759" i="2"/>
  <c r="J759" i="2"/>
  <c r="G758" i="2"/>
  <c r="H758" i="2"/>
  <c r="G757" i="2"/>
  <c r="H757" i="2"/>
  <c r="G756" i="2"/>
  <c r="H756" i="2"/>
  <c r="J756" i="2"/>
  <c r="G754" i="2"/>
  <c r="G766" i="2"/>
  <c r="H766" i="2"/>
  <c r="H753" i="2"/>
  <c r="J753" i="2"/>
  <c r="H752" i="2"/>
  <c r="J752" i="2"/>
  <c r="H751" i="2"/>
  <c r="J751" i="2"/>
  <c r="H750" i="2"/>
  <c r="J750" i="2"/>
  <c r="H749" i="2"/>
  <c r="J749" i="2"/>
  <c r="H748" i="2"/>
  <c r="J748" i="2"/>
  <c r="H747" i="2"/>
  <c r="J747" i="2"/>
  <c r="H746" i="2"/>
  <c r="J746" i="2"/>
  <c r="H745" i="2"/>
  <c r="J745" i="2"/>
  <c r="H744" i="2"/>
  <c r="J744" i="2"/>
  <c r="G740" i="2"/>
  <c r="H740" i="2"/>
  <c r="J740" i="2"/>
  <c r="G739" i="2"/>
  <c r="H739" i="2"/>
  <c r="G738" i="2"/>
  <c r="H738" i="2"/>
  <c r="G737" i="2"/>
  <c r="H737" i="2"/>
  <c r="J737" i="2"/>
  <c r="G736" i="2"/>
  <c r="H736" i="2"/>
  <c r="J736" i="2"/>
  <c r="H735" i="2"/>
  <c r="H734" i="2"/>
  <c r="J734" i="2"/>
  <c r="H733" i="2"/>
  <c r="J733" i="2"/>
  <c r="H732" i="2"/>
  <c r="H731" i="2"/>
  <c r="H730" i="2"/>
  <c r="J730" i="2"/>
  <c r="H729" i="2"/>
  <c r="J729" i="2"/>
  <c r="H728" i="2"/>
  <c r="J728" i="2"/>
  <c r="H727" i="2"/>
  <c r="H726" i="2"/>
  <c r="J726" i="2"/>
  <c r="H725" i="2"/>
  <c r="J725" i="2"/>
  <c r="G724" i="2"/>
  <c r="H724" i="2"/>
  <c r="G722" i="2"/>
  <c r="H722" i="2"/>
  <c r="G721" i="2"/>
  <c r="H721" i="2"/>
  <c r="G720" i="2"/>
  <c r="H720" i="2"/>
  <c r="J720" i="2"/>
  <c r="G719" i="2"/>
  <c r="H719" i="2"/>
  <c r="J719" i="2"/>
  <c r="G718" i="2"/>
  <c r="H718" i="2"/>
  <c r="J718" i="2"/>
  <c r="G717" i="2"/>
  <c r="H717" i="2"/>
  <c r="J717" i="2"/>
  <c r="G716" i="2"/>
  <c r="H716" i="2"/>
  <c r="J716" i="2"/>
  <c r="G715" i="2"/>
  <c r="H715" i="2"/>
  <c r="J715" i="2"/>
  <c r="G714" i="2"/>
  <c r="H714" i="2"/>
  <c r="G713" i="2"/>
  <c r="H713" i="2"/>
  <c r="G711" i="2"/>
  <c r="H711" i="2"/>
  <c r="H710" i="2"/>
  <c r="J710" i="2"/>
  <c r="H709" i="2"/>
  <c r="J709" i="2"/>
  <c r="H708" i="2"/>
  <c r="J708" i="2"/>
  <c r="H707" i="2"/>
  <c r="J707" i="2"/>
  <c r="H706" i="2"/>
  <c r="J706" i="2"/>
  <c r="H705" i="2"/>
  <c r="J705" i="2"/>
  <c r="H704" i="2"/>
  <c r="H703" i="2"/>
  <c r="H702" i="2"/>
  <c r="H701" i="2"/>
  <c r="J701" i="2"/>
  <c r="G697" i="2"/>
  <c r="H697" i="2"/>
  <c r="G696" i="2"/>
  <c r="H696" i="2"/>
  <c r="G695" i="2"/>
  <c r="H695" i="2"/>
  <c r="J695" i="2"/>
  <c r="G694" i="2"/>
  <c r="H694" i="2"/>
  <c r="G693" i="2"/>
  <c r="H693" i="2"/>
  <c r="J693" i="2"/>
  <c r="H692" i="2"/>
  <c r="H691" i="2"/>
  <c r="J691" i="2"/>
  <c r="H690" i="2"/>
  <c r="J690" i="2"/>
  <c r="H689" i="2"/>
  <c r="H688" i="2"/>
  <c r="J688" i="2"/>
  <c r="H687" i="2"/>
  <c r="H686" i="2"/>
  <c r="J686" i="2"/>
  <c r="H685" i="2"/>
  <c r="J685" i="2"/>
  <c r="H684" i="2"/>
  <c r="H683" i="2"/>
  <c r="J683" i="2"/>
  <c r="H682" i="2"/>
  <c r="J682" i="2"/>
  <c r="G681" i="2"/>
  <c r="H681" i="2"/>
  <c r="G679" i="2"/>
  <c r="H679" i="2"/>
  <c r="J679" i="2"/>
  <c r="G678" i="2"/>
  <c r="H678" i="2"/>
  <c r="J678" i="2"/>
  <c r="G677" i="2"/>
  <c r="H677" i="2"/>
  <c r="G676" i="2"/>
  <c r="H676" i="2"/>
  <c r="G675" i="2"/>
  <c r="H675" i="2"/>
  <c r="G674" i="2"/>
  <c r="H674" i="2"/>
  <c r="J674" i="2"/>
  <c r="G673" i="2"/>
  <c r="H673" i="2"/>
  <c r="G672" i="2"/>
  <c r="H672" i="2"/>
  <c r="J672" i="2"/>
  <c r="G671" i="2"/>
  <c r="H671" i="2"/>
  <c r="J671" i="2"/>
  <c r="G670" i="2"/>
  <c r="H670" i="2"/>
  <c r="G668" i="2"/>
  <c r="G680" i="2"/>
  <c r="H680" i="2"/>
  <c r="J680" i="2"/>
  <c r="H667" i="2"/>
  <c r="J667" i="2"/>
  <c r="H666" i="2"/>
  <c r="J666" i="2"/>
  <c r="H665" i="2"/>
  <c r="J665" i="2"/>
  <c r="H664" i="2"/>
  <c r="J664" i="2"/>
  <c r="H663" i="2"/>
  <c r="H662" i="2"/>
  <c r="J662" i="2"/>
  <c r="H661" i="2"/>
  <c r="J661" i="2"/>
  <c r="H660" i="2"/>
  <c r="J660" i="2"/>
  <c r="H659" i="2"/>
  <c r="J659" i="2"/>
  <c r="H658" i="2"/>
  <c r="J658" i="2"/>
  <c r="G654" i="2"/>
  <c r="H654" i="2"/>
  <c r="J654" i="2"/>
  <c r="G653" i="2"/>
  <c r="H653" i="2"/>
  <c r="J653" i="2"/>
  <c r="G652" i="2"/>
  <c r="H652" i="2"/>
  <c r="G651" i="2"/>
  <c r="H651" i="2"/>
  <c r="J651" i="2"/>
  <c r="G650" i="2"/>
  <c r="H650" i="2"/>
  <c r="H649" i="2"/>
  <c r="J649" i="2"/>
  <c r="H648" i="2"/>
  <c r="H647" i="2"/>
  <c r="J647" i="2"/>
  <c r="H646" i="2"/>
  <c r="H645" i="2"/>
  <c r="J645" i="2"/>
  <c r="H644" i="2"/>
  <c r="J644" i="2"/>
  <c r="H643" i="2"/>
  <c r="J643" i="2"/>
  <c r="H642" i="2"/>
  <c r="J642" i="2"/>
  <c r="H641" i="2"/>
  <c r="H640" i="2"/>
  <c r="J640" i="2"/>
  <c r="H639" i="2"/>
  <c r="J639" i="2"/>
  <c r="G638" i="2"/>
  <c r="H638" i="2"/>
  <c r="G636" i="2"/>
  <c r="H636" i="2"/>
  <c r="J636" i="2"/>
  <c r="G635" i="2"/>
  <c r="H635" i="2"/>
  <c r="G634" i="2"/>
  <c r="H634" i="2"/>
  <c r="J634" i="2"/>
  <c r="G633" i="2"/>
  <c r="H633" i="2"/>
  <c r="J633" i="2"/>
  <c r="G632" i="2"/>
  <c r="H632" i="2"/>
  <c r="G631" i="2"/>
  <c r="H631" i="2"/>
  <c r="J631" i="2"/>
  <c r="G630" i="2"/>
  <c r="H630" i="2"/>
  <c r="J630" i="2"/>
  <c r="G629" i="2"/>
  <c r="H629" i="2"/>
  <c r="G628" i="2"/>
  <c r="H628" i="2"/>
  <c r="J628" i="2"/>
  <c r="G627" i="2"/>
  <c r="H627" i="2"/>
  <c r="G625" i="2"/>
  <c r="H625" i="2"/>
  <c r="H624" i="2"/>
  <c r="J624" i="2"/>
  <c r="H623" i="2"/>
  <c r="H622" i="2"/>
  <c r="J622" i="2"/>
  <c r="H621" i="2"/>
  <c r="J621" i="2"/>
  <c r="H620" i="2"/>
  <c r="J620" i="2"/>
  <c r="H619" i="2"/>
  <c r="J619" i="2"/>
  <c r="H618" i="2"/>
  <c r="H617" i="2"/>
  <c r="J617" i="2"/>
  <c r="H616" i="2"/>
  <c r="J616" i="2"/>
  <c r="H615" i="2"/>
  <c r="J615" i="2"/>
  <c r="G611" i="2"/>
  <c r="H611" i="2"/>
  <c r="G610" i="2"/>
  <c r="H610" i="2"/>
  <c r="J610" i="2"/>
  <c r="G609" i="2"/>
  <c r="H609" i="2"/>
  <c r="G608" i="2"/>
  <c r="H608" i="2"/>
  <c r="J608" i="2"/>
  <c r="G607" i="2"/>
  <c r="H607" i="2"/>
  <c r="H606" i="2"/>
  <c r="J606" i="2"/>
  <c r="H605" i="2"/>
  <c r="H604" i="2"/>
  <c r="J604" i="2"/>
  <c r="H603" i="2"/>
  <c r="J603" i="2"/>
  <c r="H602" i="2"/>
  <c r="J602" i="2"/>
  <c r="H601" i="2"/>
  <c r="H600" i="2"/>
  <c r="J600" i="2"/>
  <c r="H599" i="2"/>
  <c r="J599" i="2"/>
  <c r="H598" i="2"/>
  <c r="J598" i="2"/>
  <c r="H597" i="2"/>
  <c r="H596" i="2"/>
  <c r="J596" i="2"/>
  <c r="G595" i="2"/>
  <c r="H595" i="2"/>
  <c r="J595" i="2"/>
  <c r="G593" i="2"/>
  <c r="H593" i="2"/>
  <c r="J593" i="2"/>
  <c r="G592" i="2"/>
  <c r="H592" i="2"/>
  <c r="G591" i="2"/>
  <c r="H591" i="2"/>
  <c r="J591" i="2"/>
  <c r="G590" i="2"/>
  <c r="H590" i="2"/>
  <c r="G589" i="2"/>
  <c r="H589" i="2"/>
  <c r="J589" i="2"/>
  <c r="G588" i="2"/>
  <c r="H588" i="2"/>
  <c r="J588" i="2"/>
  <c r="G587" i="2"/>
  <c r="H587" i="2"/>
  <c r="J587" i="2"/>
  <c r="G586" i="2"/>
  <c r="H586" i="2"/>
  <c r="J586" i="2"/>
  <c r="G585" i="2"/>
  <c r="H585" i="2"/>
  <c r="G584" i="2"/>
  <c r="H584" i="2"/>
  <c r="G582" i="2"/>
  <c r="H581" i="2"/>
  <c r="H580" i="2"/>
  <c r="J580" i="2"/>
  <c r="H579" i="2"/>
  <c r="J579" i="2"/>
  <c r="H578" i="2"/>
  <c r="H577" i="2"/>
  <c r="J577" i="2"/>
  <c r="H576" i="2"/>
  <c r="J576" i="2"/>
  <c r="H575" i="2"/>
  <c r="J575" i="2"/>
  <c r="H574" i="2"/>
  <c r="J574" i="2"/>
  <c r="H573" i="2"/>
  <c r="J573" i="2"/>
  <c r="H572" i="2"/>
  <c r="J572" i="2"/>
  <c r="G568" i="2"/>
  <c r="H568" i="2"/>
  <c r="J568" i="2"/>
  <c r="G567" i="2"/>
  <c r="H567" i="2"/>
  <c r="J567" i="2"/>
  <c r="G566" i="2"/>
  <c r="H566" i="2"/>
  <c r="G565" i="2"/>
  <c r="H565" i="2"/>
  <c r="J565" i="2"/>
  <c r="G564" i="2"/>
  <c r="H564" i="2"/>
  <c r="H563" i="2"/>
  <c r="J563" i="2"/>
  <c r="H562" i="2"/>
  <c r="J562" i="2"/>
  <c r="H561" i="2"/>
  <c r="J561" i="2"/>
  <c r="H560" i="2"/>
  <c r="J560" i="2"/>
  <c r="H559" i="2"/>
  <c r="J559" i="2"/>
  <c r="H558" i="2"/>
  <c r="J558" i="2"/>
  <c r="H557" i="2"/>
  <c r="H556" i="2"/>
  <c r="J556" i="2"/>
  <c r="H555" i="2"/>
  <c r="J555" i="2"/>
  <c r="H554" i="2"/>
  <c r="J554" i="2"/>
  <c r="H553" i="2"/>
  <c r="J553" i="2"/>
  <c r="G552" i="2"/>
  <c r="H552" i="2"/>
  <c r="G550" i="2"/>
  <c r="H550" i="2"/>
  <c r="J550" i="2"/>
  <c r="G549" i="2"/>
  <c r="H549" i="2"/>
  <c r="J549" i="2"/>
  <c r="G548" i="2"/>
  <c r="H548" i="2"/>
  <c r="G547" i="2"/>
  <c r="H547" i="2"/>
  <c r="G546" i="2"/>
  <c r="H546" i="2"/>
  <c r="G545" i="2"/>
  <c r="H545" i="2"/>
  <c r="J545" i="2"/>
  <c r="G544" i="2"/>
  <c r="H544" i="2"/>
  <c r="J544" i="2"/>
  <c r="G543" i="2"/>
  <c r="H543" i="2"/>
  <c r="G542" i="2"/>
  <c r="H542" i="2"/>
  <c r="J542" i="2"/>
  <c r="G541" i="2"/>
  <c r="H541" i="2"/>
  <c r="J541" i="2"/>
  <c r="G539" i="2"/>
  <c r="H539" i="2"/>
  <c r="H538" i="2"/>
  <c r="J538" i="2"/>
  <c r="H537" i="2"/>
  <c r="J537" i="2"/>
  <c r="H536" i="2"/>
  <c r="J536" i="2"/>
  <c r="H535" i="2"/>
  <c r="J535" i="2"/>
  <c r="H534" i="2"/>
  <c r="J534" i="2"/>
  <c r="H533" i="2"/>
  <c r="J533" i="2"/>
  <c r="H532" i="2"/>
  <c r="J532" i="2"/>
  <c r="H531" i="2"/>
  <c r="J531" i="2"/>
  <c r="H530" i="2"/>
  <c r="H529" i="2"/>
  <c r="J529" i="2"/>
  <c r="G525" i="2"/>
  <c r="H525" i="2"/>
  <c r="J525" i="2"/>
  <c r="G524" i="2"/>
  <c r="H524" i="2"/>
  <c r="G523" i="2"/>
  <c r="H523" i="2"/>
  <c r="J523" i="2"/>
  <c r="G522" i="2"/>
  <c r="H522" i="2"/>
  <c r="G521" i="2"/>
  <c r="H521" i="2"/>
  <c r="J521" i="2"/>
  <c r="H520" i="2"/>
  <c r="H519" i="2"/>
  <c r="J519" i="2"/>
  <c r="H518" i="2"/>
  <c r="H517" i="2"/>
  <c r="J517" i="2"/>
  <c r="H516" i="2"/>
  <c r="H515" i="2"/>
  <c r="J515" i="2"/>
  <c r="H514" i="2"/>
  <c r="H513" i="2"/>
  <c r="H512" i="2"/>
  <c r="H511" i="2"/>
  <c r="J511" i="2"/>
  <c r="H510" i="2"/>
  <c r="G509" i="2"/>
  <c r="H509" i="2"/>
  <c r="G507" i="2"/>
  <c r="H507" i="2"/>
  <c r="G506" i="2"/>
  <c r="H506" i="2"/>
  <c r="J506" i="2"/>
  <c r="G505" i="2"/>
  <c r="H505" i="2"/>
  <c r="G504" i="2"/>
  <c r="H504" i="2"/>
  <c r="J504" i="2"/>
  <c r="G503" i="2"/>
  <c r="H503" i="2"/>
  <c r="J503" i="2"/>
  <c r="G502" i="2"/>
  <c r="H502" i="2"/>
  <c r="G501" i="2"/>
  <c r="H501" i="2"/>
  <c r="J501" i="2"/>
  <c r="G500" i="2"/>
  <c r="H500" i="2"/>
  <c r="G499" i="2"/>
  <c r="H499" i="2"/>
  <c r="G498" i="2"/>
  <c r="H498" i="2"/>
  <c r="J498" i="2"/>
  <c r="G496" i="2"/>
  <c r="H496" i="2"/>
  <c r="H495" i="2"/>
  <c r="J495" i="2"/>
  <c r="H494" i="2"/>
  <c r="J494" i="2"/>
  <c r="H493" i="2"/>
  <c r="J493" i="2"/>
  <c r="H492" i="2"/>
  <c r="J492" i="2"/>
  <c r="H491" i="2"/>
  <c r="J491" i="2"/>
  <c r="H490" i="2"/>
  <c r="H489" i="2"/>
  <c r="J489" i="2"/>
  <c r="H488" i="2"/>
  <c r="J488" i="2"/>
  <c r="H487" i="2"/>
  <c r="J487" i="2"/>
  <c r="H486" i="2"/>
  <c r="J486" i="2"/>
  <c r="G482" i="2"/>
  <c r="H482" i="2"/>
  <c r="G481" i="2"/>
  <c r="H481" i="2"/>
  <c r="J481" i="2"/>
  <c r="G480" i="2"/>
  <c r="H480" i="2"/>
  <c r="J480" i="2"/>
  <c r="G479" i="2"/>
  <c r="H479" i="2"/>
  <c r="G478" i="2"/>
  <c r="H478" i="2"/>
  <c r="H477" i="2"/>
  <c r="H476" i="2"/>
  <c r="J476" i="2"/>
  <c r="H475" i="2"/>
  <c r="J475" i="2"/>
  <c r="H474" i="2"/>
  <c r="J474" i="2"/>
  <c r="H473" i="2"/>
  <c r="H472" i="2"/>
  <c r="J472" i="2"/>
  <c r="H471" i="2"/>
  <c r="J471" i="2"/>
  <c r="H470" i="2"/>
  <c r="J470" i="2"/>
  <c r="H469" i="2"/>
  <c r="J469" i="2"/>
  <c r="H468" i="2"/>
  <c r="J468" i="2"/>
  <c r="H467" i="2"/>
  <c r="G466" i="2"/>
  <c r="H466" i="2"/>
  <c r="J466" i="2"/>
  <c r="G464" i="2"/>
  <c r="H464" i="2"/>
  <c r="G463" i="2"/>
  <c r="H463" i="2"/>
  <c r="G462" i="2"/>
  <c r="H462" i="2"/>
  <c r="G461" i="2"/>
  <c r="H461" i="2"/>
  <c r="G460" i="2"/>
  <c r="H460" i="2"/>
  <c r="J460" i="2"/>
  <c r="G459" i="2"/>
  <c r="H459" i="2"/>
  <c r="J459" i="2"/>
  <c r="G458" i="2"/>
  <c r="H458" i="2"/>
  <c r="J458" i="2"/>
  <c r="G457" i="2"/>
  <c r="H457" i="2"/>
  <c r="G456" i="2"/>
  <c r="H456" i="2"/>
  <c r="J456" i="2"/>
  <c r="G455" i="2"/>
  <c r="H455" i="2"/>
  <c r="G453" i="2"/>
  <c r="G465" i="2"/>
  <c r="H465" i="2"/>
  <c r="J465" i="2"/>
  <c r="H452" i="2"/>
  <c r="J452" i="2"/>
  <c r="H451" i="2"/>
  <c r="J451" i="2"/>
  <c r="H450" i="2"/>
  <c r="J450" i="2"/>
  <c r="H449" i="2"/>
  <c r="J449" i="2"/>
  <c r="H448" i="2"/>
  <c r="H447" i="2"/>
  <c r="J447" i="2"/>
  <c r="H446" i="2"/>
  <c r="J446" i="2"/>
  <c r="H445" i="2"/>
  <c r="J445" i="2"/>
  <c r="H444" i="2"/>
  <c r="J444" i="2"/>
  <c r="H443" i="2"/>
  <c r="J443" i="2"/>
  <c r="G439" i="2"/>
  <c r="H439" i="2"/>
  <c r="G438" i="2"/>
  <c r="H438" i="2"/>
  <c r="J438" i="2"/>
  <c r="G437" i="2"/>
  <c r="H437" i="2"/>
  <c r="G436" i="2"/>
  <c r="H436" i="2"/>
  <c r="J436" i="2"/>
  <c r="G435" i="2"/>
  <c r="H435" i="2"/>
  <c r="J435" i="2"/>
  <c r="H434" i="2"/>
  <c r="J434" i="2"/>
  <c r="H433" i="2"/>
  <c r="J433" i="2"/>
  <c r="H432" i="2"/>
  <c r="J432" i="2"/>
  <c r="H431" i="2"/>
  <c r="J431" i="2"/>
  <c r="H430" i="2"/>
  <c r="J430" i="2"/>
  <c r="H429" i="2"/>
  <c r="J429" i="2"/>
  <c r="H428" i="2"/>
  <c r="J428" i="2"/>
  <c r="H427" i="2"/>
  <c r="J427" i="2"/>
  <c r="H426" i="2"/>
  <c r="J426" i="2"/>
  <c r="H425" i="2"/>
  <c r="J425" i="2"/>
  <c r="H424" i="2"/>
  <c r="J424" i="2"/>
  <c r="G423" i="2"/>
  <c r="H423" i="2"/>
  <c r="J423" i="2"/>
  <c r="G421" i="2"/>
  <c r="H421" i="2"/>
  <c r="J421" i="2"/>
  <c r="G420" i="2"/>
  <c r="H420" i="2"/>
  <c r="J420" i="2"/>
  <c r="G419" i="2"/>
  <c r="H419" i="2"/>
  <c r="J419" i="2"/>
  <c r="G418" i="2"/>
  <c r="H418" i="2"/>
  <c r="J418" i="2"/>
  <c r="G417" i="2"/>
  <c r="H417" i="2"/>
  <c r="G416" i="2"/>
  <c r="H416" i="2"/>
  <c r="J416" i="2"/>
  <c r="G415" i="2"/>
  <c r="H415" i="2"/>
  <c r="J415" i="2"/>
  <c r="G414" i="2"/>
  <c r="H414" i="2"/>
  <c r="J414" i="2"/>
  <c r="G413" i="2"/>
  <c r="H413" i="2"/>
  <c r="J413" i="2"/>
  <c r="G412" i="2"/>
  <c r="H412" i="2"/>
  <c r="J412" i="2"/>
  <c r="G410" i="2"/>
  <c r="G422" i="2"/>
  <c r="H422" i="2"/>
  <c r="H409" i="2"/>
  <c r="J409" i="2"/>
  <c r="H408" i="2"/>
  <c r="H407" i="2"/>
  <c r="J407" i="2"/>
  <c r="H406" i="2"/>
  <c r="J406" i="2"/>
  <c r="H405" i="2"/>
  <c r="H404" i="2"/>
  <c r="J404" i="2"/>
  <c r="H403" i="2"/>
  <c r="J403" i="2"/>
  <c r="H402" i="2"/>
  <c r="J402" i="2"/>
  <c r="H401" i="2"/>
  <c r="J401" i="2"/>
  <c r="H400" i="2"/>
  <c r="J400" i="2"/>
  <c r="G396" i="2"/>
  <c r="H396" i="2"/>
  <c r="J396" i="2"/>
  <c r="G395" i="2"/>
  <c r="H395" i="2"/>
  <c r="G394" i="2"/>
  <c r="H394" i="2"/>
  <c r="J394" i="2"/>
  <c r="G393" i="2"/>
  <c r="H393" i="2"/>
  <c r="J393" i="2"/>
  <c r="G392" i="2"/>
  <c r="H392" i="2"/>
  <c r="J392" i="2"/>
  <c r="H391" i="2"/>
  <c r="J391" i="2"/>
  <c r="H390" i="2"/>
  <c r="J390" i="2"/>
  <c r="H389" i="2"/>
  <c r="J389" i="2"/>
  <c r="H388" i="2"/>
  <c r="J388" i="2"/>
  <c r="H387" i="2"/>
  <c r="J387" i="2"/>
  <c r="H386" i="2"/>
  <c r="J386" i="2"/>
  <c r="H385" i="2"/>
  <c r="J385" i="2"/>
  <c r="H384" i="2"/>
  <c r="J384" i="2"/>
  <c r="H383" i="2"/>
  <c r="J383" i="2"/>
  <c r="H382" i="2"/>
  <c r="J382" i="2"/>
  <c r="H381" i="2"/>
  <c r="J381" i="2"/>
  <c r="G380" i="2"/>
  <c r="H380" i="2"/>
  <c r="J380" i="2"/>
  <c r="G378" i="2"/>
  <c r="H378" i="2"/>
  <c r="J378" i="2"/>
  <c r="G377" i="2"/>
  <c r="H377" i="2"/>
  <c r="G376" i="2"/>
  <c r="H376" i="2"/>
  <c r="J376" i="2"/>
  <c r="G375" i="2"/>
  <c r="H375" i="2"/>
  <c r="G374" i="2"/>
  <c r="H374" i="2"/>
  <c r="J374" i="2"/>
  <c r="G373" i="2"/>
  <c r="H373" i="2"/>
  <c r="G372" i="2"/>
  <c r="H372" i="2"/>
  <c r="J372" i="2"/>
  <c r="G371" i="2"/>
  <c r="H371" i="2"/>
  <c r="J371" i="2"/>
  <c r="G370" i="2"/>
  <c r="H370" i="2"/>
  <c r="J370" i="2"/>
  <c r="G369" i="2"/>
  <c r="H369" i="2"/>
  <c r="G367" i="2"/>
  <c r="G379" i="2"/>
  <c r="H379" i="2"/>
  <c r="J379" i="2"/>
  <c r="H366" i="2"/>
  <c r="J366" i="2"/>
  <c r="H365" i="2"/>
  <c r="J365" i="2"/>
  <c r="H364" i="2"/>
  <c r="J364" i="2"/>
  <c r="H363" i="2"/>
  <c r="J363" i="2"/>
  <c r="H362" i="2"/>
  <c r="J362" i="2"/>
  <c r="H361" i="2"/>
  <c r="J361" i="2"/>
  <c r="H360" i="2"/>
  <c r="H359" i="2"/>
  <c r="J359" i="2"/>
  <c r="H358" i="2"/>
  <c r="J358" i="2"/>
  <c r="H357" i="2"/>
  <c r="G353" i="2"/>
  <c r="H353" i="2"/>
  <c r="J353" i="2"/>
  <c r="G352" i="2"/>
  <c r="H352" i="2"/>
  <c r="G351" i="2"/>
  <c r="H351" i="2"/>
  <c r="J351" i="2"/>
  <c r="G350" i="2"/>
  <c r="H350" i="2"/>
  <c r="J350" i="2"/>
  <c r="G349" i="2"/>
  <c r="H349" i="2"/>
  <c r="J349" i="2"/>
  <c r="H348" i="2"/>
  <c r="J348" i="2"/>
  <c r="H347" i="2"/>
  <c r="H346" i="2"/>
  <c r="J346" i="2"/>
  <c r="H345" i="2"/>
  <c r="J345" i="2"/>
  <c r="H344" i="2"/>
  <c r="J344" i="2"/>
  <c r="H343" i="2"/>
  <c r="H342" i="2"/>
  <c r="J342" i="2"/>
  <c r="H341" i="2"/>
  <c r="H340" i="2"/>
  <c r="J340" i="2"/>
  <c r="H339" i="2"/>
  <c r="H338" i="2"/>
  <c r="J338" i="2"/>
  <c r="G337" i="2"/>
  <c r="H337" i="2"/>
  <c r="G335" i="2"/>
  <c r="H335" i="2"/>
  <c r="J335" i="2"/>
  <c r="G334" i="2"/>
  <c r="H334" i="2"/>
  <c r="J334" i="2"/>
  <c r="G333" i="2"/>
  <c r="H333" i="2"/>
  <c r="J333" i="2"/>
  <c r="G332" i="2"/>
  <c r="H332" i="2"/>
  <c r="J332" i="2"/>
  <c r="G331" i="2"/>
  <c r="H331" i="2"/>
  <c r="G330" i="2"/>
  <c r="H330" i="2"/>
  <c r="J330" i="2"/>
  <c r="G329" i="2"/>
  <c r="H329" i="2"/>
  <c r="J329" i="2"/>
  <c r="G328" i="2"/>
  <c r="H328" i="2"/>
  <c r="J328" i="2"/>
  <c r="G327" i="2"/>
  <c r="H327" i="2"/>
  <c r="J327" i="2"/>
  <c r="G326" i="2"/>
  <c r="H326" i="2"/>
  <c r="G324" i="2"/>
  <c r="H323" i="2"/>
  <c r="J323" i="2"/>
  <c r="H322" i="2"/>
  <c r="J322" i="2"/>
  <c r="H321" i="2"/>
  <c r="J321" i="2"/>
  <c r="H320" i="2"/>
  <c r="J320" i="2"/>
  <c r="H319" i="2"/>
  <c r="J319" i="2"/>
  <c r="H318" i="2"/>
  <c r="J318" i="2"/>
  <c r="H317" i="2"/>
  <c r="J317" i="2"/>
  <c r="H316" i="2"/>
  <c r="J316" i="2"/>
  <c r="H315" i="2"/>
  <c r="J315" i="2"/>
  <c r="H314" i="2"/>
  <c r="J314" i="2"/>
  <c r="G310" i="2"/>
  <c r="H310" i="2"/>
  <c r="J310" i="2"/>
  <c r="G309" i="2"/>
  <c r="H309" i="2"/>
  <c r="G308" i="2"/>
  <c r="H308" i="2"/>
  <c r="G307" i="2"/>
  <c r="H307" i="2"/>
  <c r="J307" i="2"/>
  <c r="G306" i="2"/>
  <c r="H306" i="2"/>
  <c r="H305" i="2"/>
  <c r="J305" i="2"/>
  <c r="H304" i="2"/>
  <c r="J304" i="2"/>
  <c r="H303" i="2"/>
  <c r="J303" i="2"/>
  <c r="H302" i="2"/>
  <c r="J302" i="2"/>
  <c r="H301" i="2"/>
  <c r="J301" i="2"/>
  <c r="H300" i="2"/>
  <c r="J300" i="2"/>
  <c r="H299" i="2"/>
  <c r="J299" i="2"/>
  <c r="H298" i="2"/>
  <c r="J298" i="2"/>
  <c r="H297" i="2"/>
  <c r="J297" i="2"/>
  <c r="H296" i="2"/>
  <c r="J296" i="2"/>
  <c r="H295" i="2"/>
  <c r="J295" i="2"/>
  <c r="G294" i="2"/>
  <c r="H294" i="2"/>
  <c r="J294" i="2"/>
  <c r="G292" i="2"/>
  <c r="H292" i="2"/>
  <c r="J292" i="2"/>
  <c r="G291" i="2"/>
  <c r="H291" i="2"/>
  <c r="J291" i="2"/>
  <c r="G290" i="2"/>
  <c r="H290" i="2"/>
  <c r="J290" i="2"/>
  <c r="G289" i="2"/>
  <c r="H289" i="2"/>
  <c r="G288" i="2"/>
  <c r="H288" i="2"/>
  <c r="J288" i="2"/>
  <c r="G287" i="2"/>
  <c r="H287" i="2"/>
  <c r="G286" i="2"/>
  <c r="H286" i="2"/>
  <c r="J286" i="2"/>
  <c r="G285" i="2"/>
  <c r="H285" i="2"/>
  <c r="J285" i="2"/>
  <c r="G284" i="2"/>
  <c r="H284" i="2"/>
  <c r="J284" i="2"/>
  <c r="G283" i="2"/>
  <c r="H283" i="2"/>
  <c r="G281" i="2"/>
  <c r="G293" i="2"/>
  <c r="H293" i="2"/>
  <c r="J293" i="2"/>
  <c r="H280" i="2"/>
  <c r="J280" i="2"/>
  <c r="H279" i="2"/>
  <c r="J279" i="2"/>
  <c r="H278" i="2"/>
  <c r="J278" i="2"/>
  <c r="H277" i="2"/>
  <c r="H276" i="2"/>
  <c r="H275" i="2"/>
  <c r="J275" i="2"/>
  <c r="H274" i="2"/>
  <c r="J274" i="2"/>
  <c r="H273" i="2"/>
  <c r="H272" i="2"/>
  <c r="J272" i="2"/>
  <c r="H271" i="2"/>
  <c r="J271" i="2"/>
  <c r="G267" i="2"/>
  <c r="H267" i="2"/>
  <c r="J267" i="2"/>
  <c r="G266" i="2"/>
  <c r="H266" i="2"/>
  <c r="J266" i="2"/>
  <c r="G265" i="2"/>
  <c r="H265" i="2"/>
  <c r="J265" i="2"/>
  <c r="G264" i="2"/>
  <c r="H264" i="2"/>
  <c r="G263" i="2"/>
  <c r="H263" i="2"/>
  <c r="J263" i="2"/>
  <c r="H262" i="2"/>
  <c r="J262" i="2"/>
  <c r="H261" i="2"/>
  <c r="J261" i="2"/>
  <c r="H260" i="2"/>
  <c r="J260" i="2"/>
  <c r="H259" i="2"/>
  <c r="J259" i="2"/>
  <c r="H258" i="2"/>
  <c r="H257" i="2"/>
  <c r="J257" i="2"/>
  <c r="H256" i="2"/>
  <c r="J256" i="2"/>
  <c r="H255" i="2"/>
  <c r="J255" i="2"/>
  <c r="H254" i="2"/>
  <c r="J254" i="2"/>
  <c r="H253" i="2"/>
  <c r="J253" i="2"/>
  <c r="H252" i="2"/>
  <c r="J252" i="2"/>
  <c r="G251" i="2"/>
  <c r="H251" i="2"/>
  <c r="J251" i="2"/>
  <c r="G249" i="2"/>
  <c r="H249" i="2"/>
  <c r="G248" i="2"/>
  <c r="H248" i="2"/>
  <c r="G247" i="2"/>
  <c r="H247" i="2"/>
  <c r="G246" i="2"/>
  <c r="H246" i="2"/>
  <c r="J246" i="2"/>
  <c r="G245" i="2"/>
  <c r="H245" i="2"/>
  <c r="G244" i="2"/>
  <c r="H244" i="2"/>
  <c r="J244" i="2"/>
  <c r="G243" i="2"/>
  <c r="H243" i="2"/>
  <c r="G242" i="2"/>
  <c r="H242" i="2"/>
  <c r="J242" i="2"/>
  <c r="G241" i="2"/>
  <c r="H241" i="2"/>
  <c r="G240" i="2"/>
  <c r="H240" i="2"/>
  <c r="J240" i="2"/>
  <c r="G238" i="2"/>
  <c r="G250" i="2"/>
  <c r="H250" i="2"/>
  <c r="H237" i="2"/>
  <c r="J237" i="2"/>
  <c r="H236" i="2"/>
  <c r="J236" i="2"/>
  <c r="H235" i="2"/>
  <c r="J235" i="2"/>
  <c r="H234" i="2"/>
  <c r="J234" i="2"/>
  <c r="H233" i="2"/>
  <c r="H232" i="2"/>
  <c r="J232" i="2"/>
  <c r="H231" i="2"/>
  <c r="J231" i="2"/>
  <c r="H230" i="2"/>
  <c r="J230" i="2"/>
  <c r="H229" i="2"/>
  <c r="J229" i="2"/>
  <c r="H228" i="2"/>
  <c r="J228" i="2"/>
  <c r="G224" i="2"/>
  <c r="H224" i="2"/>
  <c r="G223" i="2"/>
  <c r="H223" i="2"/>
  <c r="G222" i="2"/>
  <c r="H222" i="2"/>
  <c r="J222" i="2"/>
  <c r="G221" i="2"/>
  <c r="H221" i="2"/>
  <c r="G220" i="2"/>
  <c r="H220" i="2"/>
  <c r="J220" i="2"/>
  <c r="H219" i="2"/>
  <c r="H218" i="2"/>
  <c r="J218" i="2"/>
  <c r="H217" i="2"/>
  <c r="H216" i="2"/>
  <c r="J216" i="2"/>
  <c r="H215" i="2"/>
  <c r="J215" i="2"/>
  <c r="H214" i="2"/>
  <c r="H213" i="2"/>
  <c r="J213" i="2"/>
  <c r="H212" i="2"/>
  <c r="J212" i="2"/>
  <c r="H211" i="2"/>
  <c r="G210" i="2"/>
  <c r="H210" i="2"/>
  <c r="J210" i="2"/>
  <c r="H209" i="2"/>
  <c r="J209" i="2"/>
  <c r="G208" i="2"/>
  <c r="H208" i="2"/>
  <c r="J208" i="2"/>
  <c r="G206" i="2"/>
  <c r="H206" i="2"/>
  <c r="G205" i="2"/>
  <c r="H205" i="2"/>
  <c r="G204" i="2"/>
  <c r="H204" i="2"/>
  <c r="J204" i="2"/>
  <c r="G203" i="2"/>
  <c r="H203" i="2"/>
  <c r="G202" i="2"/>
  <c r="H202" i="2"/>
  <c r="G201" i="2"/>
  <c r="H201" i="2"/>
  <c r="G200" i="2"/>
  <c r="H200" i="2"/>
  <c r="J200" i="2"/>
  <c r="G199" i="2"/>
  <c r="H199" i="2"/>
  <c r="G197" i="2"/>
  <c r="G207" i="2"/>
  <c r="H207" i="2"/>
  <c r="H196" i="2"/>
  <c r="J196" i="2"/>
  <c r="H195" i="2"/>
  <c r="J195" i="2"/>
  <c r="H194" i="2"/>
  <c r="H193" i="2"/>
  <c r="J193" i="2"/>
  <c r="H192" i="2"/>
  <c r="J192" i="2"/>
  <c r="H191" i="2"/>
  <c r="J191" i="2"/>
  <c r="H190" i="2"/>
  <c r="J190" i="2"/>
  <c r="H189" i="2"/>
  <c r="J189" i="2"/>
  <c r="H188" i="2"/>
  <c r="J188" i="2"/>
  <c r="G184" i="2"/>
  <c r="H184" i="2"/>
  <c r="G183" i="2"/>
  <c r="H183" i="2"/>
  <c r="G182" i="2"/>
  <c r="H182" i="2"/>
  <c r="J182" i="2"/>
  <c r="G181" i="2"/>
  <c r="H181" i="2"/>
  <c r="G180" i="2"/>
  <c r="H180" i="2"/>
  <c r="H179" i="2"/>
  <c r="H178" i="2"/>
  <c r="J178" i="2"/>
  <c r="H177" i="2"/>
  <c r="J177" i="2"/>
  <c r="H176" i="2"/>
  <c r="J176" i="2"/>
  <c r="H175" i="2"/>
  <c r="H174" i="2"/>
  <c r="J174" i="2"/>
  <c r="H173" i="2"/>
  <c r="J173" i="2"/>
  <c r="H172" i="2"/>
  <c r="J172" i="2"/>
  <c r="H171" i="2"/>
  <c r="J171" i="2"/>
  <c r="H170" i="2"/>
  <c r="J170" i="2"/>
  <c r="H169" i="2"/>
  <c r="J169" i="2"/>
  <c r="G168" i="2"/>
  <c r="H168" i="2"/>
  <c r="G166" i="2"/>
  <c r="H166" i="2"/>
  <c r="J166" i="2"/>
  <c r="G165" i="2"/>
  <c r="H165" i="2"/>
  <c r="J165" i="2"/>
  <c r="G164" i="2"/>
  <c r="H164" i="2"/>
  <c r="G163" i="2"/>
  <c r="H163" i="2"/>
  <c r="G162" i="2"/>
  <c r="H162" i="2"/>
  <c r="J162" i="2"/>
  <c r="G161" i="2"/>
  <c r="H161" i="2"/>
  <c r="G160" i="2"/>
  <c r="H160" i="2"/>
  <c r="G159" i="2"/>
  <c r="H159" i="2"/>
  <c r="J159" i="2"/>
  <c r="G158" i="2"/>
  <c r="H158" i="2"/>
  <c r="G157" i="2"/>
  <c r="H157" i="2"/>
  <c r="J157" i="2"/>
  <c r="G155" i="2"/>
  <c r="H155" i="2"/>
  <c r="H154" i="2"/>
  <c r="J154" i="2"/>
  <c r="H153" i="2"/>
  <c r="J153" i="2"/>
  <c r="H152" i="2"/>
  <c r="J152" i="2"/>
  <c r="H151" i="2"/>
  <c r="J151" i="2"/>
  <c r="H150" i="2"/>
  <c r="J150" i="2"/>
  <c r="H149" i="2"/>
  <c r="J149" i="2"/>
  <c r="H148" i="2"/>
  <c r="J148" i="2"/>
  <c r="H147" i="2"/>
  <c r="J147" i="2"/>
  <c r="H146" i="2"/>
  <c r="J146" i="2"/>
  <c r="H145" i="2"/>
  <c r="J145" i="2"/>
  <c r="G141" i="2"/>
  <c r="H141" i="2"/>
  <c r="G140" i="2"/>
  <c r="H140" i="2"/>
  <c r="G139" i="2"/>
  <c r="H139" i="2"/>
  <c r="J139" i="2"/>
  <c r="G138" i="2"/>
  <c r="H138" i="2"/>
  <c r="J138" i="2"/>
  <c r="G137" i="2"/>
  <c r="H137" i="2"/>
  <c r="H136" i="2"/>
  <c r="J136" i="2"/>
  <c r="H135" i="2"/>
  <c r="H134" i="2"/>
  <c r="J134" i="2"/>
  <c r="H133" i="2"/>
  <c r="J133" i="2"/>
  <c r="H132" i="2"/>
  <c r="H131" i="2"/>
  <c r="J131" i="2"/>
  <c r="H130" i="2"/>
  <c r="H129" i="2"/>
  <c r="J129" i="2"/>
  <c r="H128" i="2"/>
  <c r="J128" i="2"/>
  <c r="H127" i="2"/>
  <c r="H126" i="2"/>
  <c r="J126" i="2"/>
  <c r="G125" i="2"/>
  <c r="H125" i="2"/>
  <c r="G123" i="2"/>
  <c r="H123" i="2"/>
  <c r="J123" i="2"/>
  <c r="G122" i="2"/>
  <c r="H122" i="2"/>
  <c r="G121" i="2"/>
  <c r="H121" i="2"/>
  <c r="J121" i="2"/>
  <c r="G120" i="2"/>
  <c r="H120" i="2"/>
  <c r="G119" i="2"/>
  <c r="H119" i="2"/>
  <c r="J119" i="2"/>
  <c r="G118" i="2"/>
  <c r="H118" i="2"/>
  <c r="J118" i="2"/>
  <c r="G117" i="2"/>
  <c r="H117" i="2"/>
  <c r="G116" i="2"/>
  <c r="H116" i="2"/>
  <c r="G115" i="2"/>
  <c r="H115" i="2"/>
  <c r="G114" i="2"/>
  <c r="H114" i="2"/>
  <c r="G112" i="2"/>
  <c r="H112" i="2"/>
  <c r="H111" i="2"/>
  <c r="J111" i="2"/>
  <c r="H110" i="2"/>
  <c r="J110" i="2"/>
  <c r="H109" i="2"/>
  <c r="J109" i="2"/>
  <c r="H108" i="2"/>
  <c r="H107" i="2"/>
  <c r="J107" i="2"/>
  <c r="H106" i="2"/>
  <c r="J106" i="2"/>
  <c r="H105" i="2"/>
  <c r="J105" i="2"/>
  <c r="H104" i="2"/>
  <c r="J104" i="2"/>
  <c r="H103" i="2"/>
  <c r="J103" i="2"/>
  <c r="H102" i="2"/>
  <c r="J102" i="2"/>
  <c r="G98" i="2"/>
  <c r="H98" i="2"/>
  <c r="J98" i="2"/>
  <c r="G97" i="2"/>
  <c r="H97" i="2"/>
  <c r="G96" i="2"/>
  <c r="H96" i="2"/>
  <c r="J96" i="2"/>
  <c r="G95" i="2"/>
  <c r="H95" i="2"/>
  <c r="J95" i="2"/>
  <c r="G94" i="2"/>
  <c r="H94" i="2"/>
  <c r="H93" i="2"/>
  <c r="H92" i="2"/>
  <c r="J92" i="2"/>
  <c r="H91" i="2"/>
  <c r="J91" i="2"/>
  <c r="H90" i="2"/>
  <c r="J90" i="2"/>
  <c r="H89" i="2"/>
  <c r="H88" i="2"/>
  <c r="J88" i="2"/>
  <c r="H87" i="2"/>
  <c r="H86" i="2"/>
  <c r="J86" i="2"/>
  <c r="H85" i="2"/>
  <c r="H84" i="2"/>
  <c r="J84" i="2"/>
  <c r="H83" i="2"/>
  <c r="G82" i="2"/>
  <c r="H82" i="2"/>
  <c r="J82" i="2"/>
  <c r="G80" i="2"/>
  <c r="H80" i="2"/>
  <c r="J80" i="2"/>
  <c r="G79" i="2"/>
  <c r="H79" i="2"/>
  <c r="J79" i="2"/>
  <c r="G78" i="2"/>
  <c r="H78" i="2"/>
  <c r="J78" i="2"/>
  <c r="G77" i="2"/>
  <c r="H77" i="2"/>
  <c r="J77" i="2"/>
  <c r="G76" i="2"/>
  <c r="H76" i="2"/>
  <c r="J76" i="2"/>
  <c r="G75" i="2"/>
  <c r="H75" i="2"/>
  <c r="J75" i="2"/>
  <c r="G74" i="2"/>
  <c r="H74" i="2"/>
  <c r="J74" i="2"/>
  <c r="G73" i="2"/>
  <c r="H73" i="2"/>
  <c r="G72" i="2"/>
  <c r="H72" i="2"/>
  <c r="J72" i="2"/>
  <c r="G71" i="2"/>
  <c r="H71" i="2"/>
  <c r="G69" i="2"/>
  <c r="G81" i="2"/>
  <c r="H81" i="2"/>
  <c r="J81" i="2"/>
  <c r="H68" i="2"/>
  <c r="J68" i="2"/>
  <c r="H67" i="2"/>
  <c r="J67" i="2"/>
  <c r="H66" i="2"/>
  <c r="J66" i="2"/>
  <c r="H65" i="2"/>
  <c r="J65" i="2"/>
  <c r="H64" i="2"/>
  <c r="J64" i="2"/>
  <c r="H63" i="2"/>
  <c r="J63" i="2"/>
  <c r="H62" i="2"/>
  <c r="J62" i="2"/>
  <c r="H61" i="2"/>
  <c r="J61" i="2"/>
  <c r="H60" i="2"/>
  <c r="J60" i="2"/>
  <c r="H59" i="2"/>
  <c r="J59" i="2"/>
  <c r="G55" i="2"/>
  <c r="H55" i="2"/>
  <c r="J55" i="2"/>
  <c r="G54" i="2"/>
  <c r="H54" i="2"/>
  <c r="J54" i="2"/>
  <c r="G53" i="2"/>
  <c r="H53" i="2"/>
  <c r="G52" i="2"/>
  <c r="H52" i="2"/>
  <c r="J52" i="2"/>
  <c r="H51" i="2"/>
  <c r="H50" i="2"/>
  <c r="J50" i="2"/>
  <c r="H49" i="2"/>
  <c r="H48" i="2"/>
  <c r="J48" i="2"/>
  <c r="H47" i="2"/>
  <c r="H46" i="2"/>
  <c r="J46" i="2"/>
  <c r="H45" i="2"/>
  <c r="H44" i="2"/>
  <c r="J44" i="2"/>
  <c r="G43" i="2"/>
  <c r="H43" i="2"/>
  <c r="G41" i="2"/>
  <c r="H41" i="2"/>
  <c r="J41" i="2"/>
  <c r="G40" i="2"/>
  <c r="H40" i="2"/>
  <c r="G39" i="2"/>
  <c r="H39" i="2"/>
  <c r="J39" i="2"/>
  <c r="G38" i="2"/>
  <c r="H38" i="2"/>
  <c r="G37" i="2"/>
  <c r="H37" i="2"/>
  <c r="J37" i="2"/>
  <c r="G36" i="2"/>
  <c r="H36" i="2"/>
  <c r="G34" i="2"/>
  <c r="G42" i="2"/>
  <c r="H42" i="2"/>
  <c r="J42" i="2"/>
  <c r="H33" i="2"/>
  <c r="J33" i="2"/>
  <c r="H32" i="2"/>
  <c r="J32" i="2"/>
  <c r="H31" i="2"/>
  <c r="J31" i="2"/>
  <c r="H30" i="2"/>
  <c r="J30" i="2"/>
  <c r="H29" i="2"/>
  <c r="J29" i="2"/>
  <c r="H28" i="2"/>
  <c r="J28" i="2"/>
  <c r="H27" i="2"/>
  <c r="J27" i="2"/>
  <c r="J21" i="2"/>
  <c r="J20" i="2"/>
  <c r="J19" i="2"/>
  <c r="G938" i="2"/>
  <c r="H938" i="2"/>
  <c r="J938" i="2"/>
  <c r="H668" i="2"/>
  <c r="G723" i="2"/>
  <c r="H723" i="2"/>
  <c r="J723" i="2"/>
  <c r="G508" i="2"/>
  <c r="H508" i="2"/>
  <c r="J508" i="2"/>
  <c r="G809" i="2"/>
  <c r="H809" i="2"/>
  <c r="J809" i="2"/>
  <c r="G637" i="2"/>
  <c r="H637" i="2"/>
  <c r="J637" i="2"/>
  <c r="G981" i="2"/>
  <c r="H981" i="2"/>
  <c r="J981" i="2"/>
  <c r="G551" i="2"/>
  <c r="H551" i="2"/>
  <c r="J551" i="2"/>
  <c r="G895" i="2"/>
  <c r="H895" i="2"/>
  <c r="J895" i="2"/>
  <c r="H1049" i="2"/>
  <c r="H197" i="2"/>
  <c r="G124" i="2"/>
  <c r="H124" i="2"/>
  <c r="J124" i="2"/>
  <c r="G167" i="2"/>
  <c r="H167" i="2"/>
  <c r="J167" i="2"/>
  <c r="J93" i="2"/>
  <c r="J108" i="2"/>
  <c r="J101" i="2"/>
  <c r="H142" i="2"/>
  <c r="J116" i="2"/>
  <c r="J158" i="2"/>
  <c r="J163" i="2"/>
  <c r="J168" i="2"/>
  <c r="J287" i="2"/>
  <c r="J360" i="2"/>
  <c r="J373" i="2"/>
  <c r="J457" i="2"/>
  <c r="J564" i="2"/>
  <c r="J607" i="2"/>
  <c r="J632" i="2"/>
  <c r="J641" i="2"/>
  <c r="J650" i="2"/>
  <c r="J676" i="2"/>
  <c r="J681" i="2"/>
  <c r="J704" i="2"/>
  <c r="J735" i="2"/>
  <c r="J757" i="2"/>
  <c r="J772" i="2"/>
  <c r="J866" i="2"/>
  <c r="J887" i="2"/>
  <c r="J932" i="2"/>
  <c r="J996" i="2"/>
  <c r="J1014" i="2"/>
  <c r="J1023" i="2"/>
  <c r="J1058" i="2"/>
  <c r="J36" i="2"/>
  <c r="J47" i="2"/>
  <c r="J83" i="2"/>
  <c r="J141" i="2"/>
  <c r="J183" i="2"/>
  <c r="J205" i="2"/>
  <c r="J214" i="2"/>
  <c r="J219" i="2"/>
  <c r="J224" i="2"/>
  <c r="J241" i="2"/>
  <c r="J309" i="2"/>
  <c r="J337" i="2"/>
  <c r="J369" i="2"/>
  <c r="J462" i="2"/>
  <c r="J467" i="2"/>
  <c r="J543" i="2"/>
  <c r="J547" i="2"/>
  <c r="J578" i="2"/>
  <c r="J585" i="2"/>
  <c r="J646" i="2"/>
  <c r="J722" i="2"/>
  <c r="J731" i="2"/>
  <c r="J762" i="2"/>
  <c r="J822" i="2"/>
  <c r="J847" i="2"/>
  <c r="J892" i="2"/>
  <c r="J928" i="2"/>
  <c r="J937" i="2"/>
  <c r="J982" i="2"/>
  <c r="J987" i="2"/>
  <c r="J992" i="2"/>
  <c r="J1019" i="2"/>
  <c r="J1029" i="2"/>
  <c r="J1039" i="2"/>
  <c r="J1054" i="2"/>
  <c r="J53" i="2"/>
  <c r="J73" i="2"/>
  <c r="J89" i="2"/>
  <c r="J94" i="2"/>
  <c r="J117" i="2"/>
  <c r="J122" i="2"/>
  <c r="J127" i="2"/>
  <c r="J132" i="2"/>
  <c r="J137" i="2"/>
  <c r="J164" i="2"/>
  <c r="J194" i="2"/>
  <c r="J187" i="2"/>
  <c r="J247" i="2"/>
  <c r="J343" i="2"/>
  <c r="J499" i="2"/>
  <c r="J522" i="2"/>
  <c r="J629" i="2"/>
  <c r="J673" i="2"/>
  <c r="J677" i="2"/>
  <c r="J687" i="2"/>
  <c r="J692" i="2"/>
  <c r="J696" i="2"/>
  <c r="J714" i="2"/>
  <c r="J727" i="2"/>
  <c r="J758" i="2"/>
  <c r="J768" i="2"/>
  <c r="J813" i="2"/>
  <c r="J408" i="2"/>
  <c r="J437" i="2"/>
  <c r="J463" i="2"/>
  <c r="J548" i="2"/>
  <c r="J552" i="2"/>
  <c r="J732" i="2"/>
  <c r="J763" i="2"/>
  <c r="J800" i="2"/>
  <c r="J823" i="2"/>
  <c r="J893" i="2"/>
  <c r="J929" i="2"/>
  <c r="J952" i="2"/>
  <c r="J974" i="2"/>
  <c r="J983" i="2"/>
  <c r="J988" i="2"/>
  <c r="J1030" i="2"/>
  <c r="J1040" i="2"/>
  <c r="J872" i="2"/>
  <c r="J43" i="2"/>
  <c r="J160" i="2"/>
  <c r="J179" i="2"/>
  <c r="J184" i="2"/>
  <c r="J201" i="2"/>
  <c r="J206" i="2"/>
  <c r="J276" i="2"/>
  <c r="J289" i="2"/>
  <c r="J306" i="2"/>
  <c r="J477" i="2"/>
  <c r="J513" i="2"/>
  <c r="J518" i="2"/>
  <c r="J557" i="2"/>
  <c r="J638" i="2"/>
  <c r="J783" i="2"/>
  <c r="J844" i="2"/>
  <c r="J1020" i="2"/>
  <c r="J1025" i="2"/>
  <c r="J590" i="2"/>
  <c r="J609" i="2"/>
  <c r="J868" i="2"/>
  <c r="J907" i="2"/>
  <c r="J1051" i="2"/>
  <c r="J38" i="2"/>
  <c r="J49" i="2"/>
  <c r="J85" i="2"/>
  <c r="J175" i="2"/>
  <c r="J211" i="2"/>
  <c r="J221" i="2"/>
  <c r="J243" i="2"/>
  <c r="J248" i="2"/>
  <c r="J339" i="2"/>
  <c r="J375" i="2"/>
  <c r="J885" i="2"/>
  <c r="J984" i="2"/>
  <c r="J114" i="2"/>
  <c r="J161" i="2"/>
  <c r="J180" i="2"/>
  <c r="J202" i="2"/>
  <c r="J207" i="2"/>
  <c r="J258" i="2"/>
  <c r="J422" i="2"/>
  <c r="J455" i="2"/>
  <c r="J464" i="2"/>
  <c r="J478" i="2"/>
  <c r="J505" i="2"/>
  <c r="J509" i="2"/>
  <c r="J514" i="2"/>
  <c r="J566" i="2"/>
  <c r="J618" i="2"/>
  <c r="J648" i="2"/>
  <c r="J724" i="2"/>
  <c r="J764" i="2"/>
  <c r="J824" i="2"/>
  <c r="J838" i="2"/>
  <c r="J829" i="2"/>
  <c r="J854" i="2"/>
  <c r="J859" i="2"/>
  <c r="J864" i="2"/>
  <c r="J894" i="2"/>
  <c r="J903" i="2"/>
  <c r="J1021" i="2"/>
  <c r="J1026" i="2"/>
  <c r="J670" i="2"/>
  <c r="J684" i="2"/>
  <c r="J689" i="2"/>
  <c r="J738" i="2"/>
  <c r="J766" i="2"/>
  <c r="J806" i="2"/>
  <c r="J845" i="2"/>
  <c r="J849" i="2"/>
  <c r="J908" i="2"/>
  <c r="J939" i="2"/>
  <c r="J971" i="2"/>
  <c r="J1056" i="2"/>
  <c r="J1017" i="2"/>
  <c r="J1037" i="2"/>
  <c r="J45" i="2"/>
  <c r="J115" i="2"/>
  <c r="J181" i="2"/>
  <c r="J203" i="2"/>
  <c r="J217" i="2"/>
  <c r="J249" i="2"/>
  <c r="J326" i="2"/>
  <c r="J395" i="2"/>
  <c r="J439" i="2"/>
  <c r="J448" i="2"/>
  <c r="J442" i="2"/>
  <c r="J479" i="2"/>
  <c r="J510" i="2"/>
  <c r="J524" i="2"/>
  <c r="J597" i="2"/>
  <c r="J627" i="2"/>
  <c r="J694" i="2"/>
  <c r="J702" i="2"/>
  <c r="J765" i="2"/>
  <c r="J802" i="2"/>
  <c r="J855" i="2"/>
  <c r="J860" i="2"/>
  <c r="J931" i="2"/>
  <c r="J990" i="2"/>
  <c r="J250" i="2"/>
  <c r="J1057" i="2"/>
  <c r="J40" i="2"/>
  <c r="J51" i="2"/>
  <c r="J71" i="2"/>
  <c r="J87" i="2"/>
  <c r="J97" i="2"/>
  <c r="J120" i="2"/>
  <c r="J125" i="2"/>
  <c r="J130" i="2"/>
  <c r="J135" i="2"/>
  <c r="J140" i="2"/>
  <c r="J199" i="2"/>
  <c r="J223" i="2"/>
  <c r="J245" i="2"/>
  <c r="J308" i="2"/>
  <c r="J331" i="2"/>
  <c r="J377" i="2"/>
  <c r="J417" i="2"/>
  <c r="J461" i="2"/>
  <c r="J502" i="2"/>
  <c r="J546" i="2"/>
  <c r="J584" i="2"/>
  <c r="J592" i="2"/>
  <c r="J611" i="2"/>
  <c r="J721" i="2"/>
  <c r="J739" i="2"/>
  <c r="J761" i="2"/>
  <c r="J807" i="2"/>
  <c r="J811" i="2"/>
  <c r="J816" i="2"/>
  <c r="J821" i="2"/>
  <c r="J850" i="2"/>
  <c r="J891" i="2"/>
  <c r="J909" i="2"/>
  <c r="J936" i="2"/>
  <c r="J1033" i="2"/>
  <c r="J1038" i="2"/>
  <c r="J26" i="2"/>
  <c r="J144" i="2"/>
  <c r="H185" i="2"/>
  <c r="J313" i="2"/>
  <c r="H354" i="2"/>
  <c r="J58" i="2"/>
  <c r="J473" i="2"/>
  <c r="J601" i="2"/>
  <c r="J743" i="2"/>
  <c r="J782" i="2"/>
  <c r="J283" i="2"/>
  <c r="J352" i="2"/>
  <c r="J973" i="2"/>
  <c r="J490" i="2"/>
  <c r="J485" i="2"/>
  <c r="J530" i="2"/>
  <c r="J528" i="2"/>
  <c r="J958" i="2"/>
  <c r="J277" i="2"/>
  <c r="J623" i="2"/>
  <c r="J697" i="2"/>
  <c r="J482" i="2"/>
  <c r="J520" i="2"/>
  <c r="J663" i="2"/>
  <c r="J657" i="2"/>
  <c r="J675" i="2"/>
  <c r="J786" i="2"/>
  <c r="H69" i="2"/>
  <c r="H34" i="2"/>
  <c r="H367" i="2"/>
  <c r="H410" i="2"/>
  <c r="J273" i="2"/>
  <c r="G336" i="2"/>
  <c r="H336" i="2"/>
  <c r="J336" i="2"/>
  <c r="H324" i="2"/>
  <c r="H453" i="2"/>
  <c r="J507" i="2"/>
  <c r="J516" i="2"/>
  <c r="J635" i="2"/>
  <c r="J912" i="2"/>
  <c r="J1001" i="2"/>
  <c r="J264" i="2"/>
  <c r="J341" i="2"/>
  <c r="J652" i="2"/>
  <c r="J703" i="2"/>
  <c r="H238" i="2"/>
  <c r="J405" i="2"/>
  <c r="J500" i="2"/>
  <c r="J512" i="2"/>
  <c r="J581" i="2"/>
  <c r="J915" i="2"/>
  <c r="J347" i="2"/>
  <c r="J357" i="2"/>
  <c r="H582" i="2"/>
  <c r="G594" i="2"/>
  <c r="H594" i="2"/>
  <c r="J594" i="2"/>
  <c r="J713" i="2"/>
  <c r="J1044" i="2"/>
  <c r="J233" i="2"/>
  <c r="J227" i="2"/>
  <c r="H281" i="2"/>
  <c r="J605" i="2"/>
  <c r="J767" i="2"/>
  <c r="H754" i="2"/>
  <c r="H840" i="2"/>
  <c r="H1012" i="2"/>
  <c r="J356" i="2"/>
  <c r="J399" i="2"/>
  <c r="J700" i="2"/>
  <c r="J571" i="2"/>
  <c r="J368" i="2"/>
  <c r="J355" i="2"/>
  <c r="H1042" i="2"/>
  <c r="H956" i="2"/>
  <c r="H99" i="2"/>
  <c r="J614" i="2"/>
  <c r="H655" i="2"/>
  <c r="H483" i="2"/>
  <c r="J156" i="2"/>
  <c r="J143" i="2"/>
  <c r="J239" i="2"/>
  <c r="J226" i="2"/>
  <c r="H1060" i="2"/>
  <c r="H569" i="2"/>
  <c r="J270" i="2"/>
  <c r="J1062" i="2"/>
  <c r="J198" i="2"/>
  <c r="J186" i="2"/>
  <c r="J35" i="2"/>
  <c r="J25" i="2"/>
  <c r="J113" i="2"/>
  <c r="J100" i="2"/>
  <c r="J798" i="2"/>
  <c r="J785" i="2"/>
  <c r="J1050" i="2"/>
  <c r="J1043" i="2"/>
  <c r="H56" i="2"/>
  <c r="J411" i="2"/>
  <c r="J398" i="2"/>
  <c r="J841" i="2"/>
  <c r="J828" i="2"/>
  <c r="J755" i="2"/>
  <c r="J742" i="2"/>
  <c r="J70" i="2"/>
  <c r="J57" i="2"/>
  <c r="J970" i="2"/>
  <c r="J957" i="2"/>
  <c r="J454" i="2"/>
  <c r="J441" i="2"/>
  <c r="H526" i="2"/>
  <c r="H612" i="2"/>
  <c r="J669" i="2"/>
  <c r="J656" i="2"/>
  <c r="H913" i="2"/>
  <c r="J325" i="2"/>
  <c r="J312" i="2"/>
  <c r="J626" i="2"/>
  <c r="J712" i="2"/>
  <c r="J583" i="2"/>
  <c r="H741" i="2"/>
  <c r="H440" i="2"/>
  <c r="J540" i="2"/>
  <c r="J527" i="2"/>
  <c r="H397" i="2"/>
  <c r="H827" i="2"/>
  <c r="J884" i="2"/>
  <c r="J871" i="2"/>
  <c r="H698" i="2"/>
  <c r="H268" i="2"/>
  <c r="H784" i="2"/>
  <c r="H225" i="2"/>
  <c r="J1013" i="2"/>
  <c r="H999" i="2"/>
  <c r="H870" i="2"/>
  <c r="J927" i="2"/>
  <c r="J914" i="2"/>
  <c r="J613" i="2"/>
  <c r="J699" i="2"/>
  <c r="J570" i="2"/>
  <c r="H311" i="2"/>
  <c r="J497" i="2"/>
  <c r="J484" i="2"/>
  <c r="J282" i="2"/>
  <c r="J269" i="2"/>
  <c r="J1000" i="2"/>
  <c r="J1061" i="2"/>
  <c r="J1063" i="2"/>
  <c r="I699" i="5" l="1"/>
  <c r="K699" i="5" s="1"/>
  <c r="K698" i="5"/>
  <c r="G65" i="7"/>
  <c r="K697" i="5"/>
  <c r="E64" i="7"/>
  <c r="G64" i="7" s="1"/>
  <c r="K696" i="5"/>
  <c r="E63" i="7"/>
  <c r="G63" i="7" s="1"/>
  <c r="K694" i="5"/>
  <c r="E61" i="7"/>
  <c r="G61" i="7" s="1"/>
  <c r="K693" i="5"/>
  <c r="E59" i="7"/>
  <c r="G59" i="7" s="1"/>
  <c r="K692" i="5"/>
  <c r="E58" i="7"/>
  <c r="G58" i="7" s="1"/>
  <c r="I173" i="5"/>
  <c r="K173" i="5" s="1"/>
  <c r="K94" i="5"/>
  <c r="E51" i="7"/>
  <c r="G51" i="7" s="1"/>
  <c r="K43" i="5"/>
  <c r="E27" i="7"/>
  <c r="G27" i="7" s="1"/>
  <c r="K95" i="5"/>
  <c r="E52" i="7"/>
  <c r="G52" i="7" s="1"/>
  <c r="K44" i="5"/>
  <c r="E28" i="7"/>
  <c r="G28" i="7" s="1"/>
  <c r="K96" i="5"/>
  <c r="E53" i="7"/>
  <c r="G53" i="7" s="1"/>
  <c r="K45" i="5"/>
  <c r="E29" i="7"/>
  <c r="G29" i="7" s="1"/>
  <c r="K97" i="5"/>
  <c r="E54" i="7"/>
  <c r="G54" i="7" s="1"/>
  <c r="K46" i="5"/>
  <c r="E30" i="7"/>
  <c r="G30" i="7" s="1"/>
  <c r="K98" i="5"/>
  <c r="E55" i="7"/>
  <c r="G55" i="7" s="1"/>
  <c r="K47" i="5"/>
  <c r="E31" i="7"/>
  <c r="G31" i="7" s="1"/>
  <c r="K32" i="5"/>
  <c r="K48" i="5"/>
  <c r="E32" i="7"/>
  <c r="G32" i="7" s="1"/>
  <c r="K33" i="5"/>
  <c r="E17" i="7"/>
  <c r="G17" i="7" s="1"/>
  <c r="K34" i="5"/>
  <c r="E18" i="7"/>
  <c r="G18" i="7" s="1"/>
  <c r="K86" i="5"/>
  <c r="E43" i="7"/>
  <c r="G43" i="7" s="1"/>
  <c r="K35" i="5"/>
  <c r="E19" i="7"/>
  <c r="G19" i="7" s="1"/>
  <c r="K87" i="5"/>
  <c r="E44" i="7"/>
  <c r="G44" i="7" s="1"/>
  <c r="K36" i="5"/>
  <c r="E20" i="7"/>
  <c r="G20" i="7" s="1"/>
  <c r="K88" i="5"/>
  <c r="E45" i="7"/>
  <c r="G45" i="7" s="1"/>
  <c r="K37" i="5"/>
  <c r="E21" i="7"/>
  <c r="G21" i="7" s="1"/>
  <c r="K89" i="5"/>
  <c r="E46" i="7"/>
  <c r="G46" i="7" s="1"/>
  <c r="K38" i="5"/>
  <c r="E22" i="7"/>
  <c r="G22" i="7" s="1"/>
  <c r="K90" i="5"/>
  <c r="E47" i="7"/>
  <c r="G47" i="7" s="1"/>
  <c r="K39" i="5"/>
  <c r="E23" i="7"/>
  <c r="G23" i="7" s="1"/>
  <c r="K91" i="5"/>
  <c r="E48" i="7"/>
  <c r="G48" i="7" s="1"/>
  <c r="K40" i="5"/>
  <c r="E24" i="7"/>
  <c r="G24" i="7" s="1"/>
  <c r="K92" i="5"/>
  <c r="E49" i="7"/>
  <c r="G49" i="7" s="1"/>
  <c r="K41" i="5"/>
  <c r="E25" i="7"/>
  <c r="G25" i="7" s="1"/>
  <c r="K93" i="5"/>
  <c r="E50" i="7"/>
  <c r="G50" i="7" s="1"/>
  <c r="K42" i="5"/>
  <c r="E26" i="7"/>
  <c r="G26" i="7" s="1"/>
  <c r="K800" i="5"/>
  <c r="E60" i="7"/>
  <c r="G60" i="7" s="1"/>
  <c r="I681" i="5"/>
  <c r="K681" i="5" s="1"/>
  <c r="K63" i="5"/>
  <c r="D16" i="6"/>
  <c r="F16" i="6" s="1"/>
  <c r="K64" i="5"/>
  <c r="D17" i="6"/>
  <c r="F17" i="6" s="1"/>
  <c r="K785" i="5"/>
  <c r="D18" i="6"/>
  <c r="F18" i="6" s="1"/>
  <c r="K786" i="5"/>
  <c r="F19" i="6"/>
  <c r="K658" i="5"/>
  <c r="K608" i="5"/>
  <c r="K16" i="5"/>
  <c r="D11" i="6"/>
  <c r="F11" i="6" s="1"/>
  <c r="K17" i="5"/>
  <c r="D12" i="6"/>
  <c r="F12" i="6" s="1"/>
  <c r="K508" i="5"/>
  <c r="K19" i="5"/>
  <c r="D14" i="6"/>
  <c r="F14" i="6" s="1"/>
  <c r="K15" i="5"/>
  <c r="D10" i="6"/>
  <c r="F10" i="6" s="1"/>
  <c r="K708" i="5"/>
  <c r="K14" i="5"/>
  <c r="D9" i="6"/>
  <c r="F9" i="6" s="1"/>
  <c r="K13" i="5"/>
  <c r="D8" i="6"/>
  <c r="F8" i="6" s="1"/>
  <c r="K308" i="5"/>
  <c r="K12" i="5"/>
  <c r="D7" i="6"/>
  <c r="F7" i="6" s="1"/>
  <c r="K258" i="5"/>
  <c r="K746" i="5"/>
  <c r="I683" i="5"/>
  <c r="K683" i="5" s="1"/>
  <c r="I380" i="5"/>
  <c r="K380" i="5" s="1"/>
  <c r="I802" i="5"/>
  <c r="K802" i="5" s="1"/>
  <c r="I300" i="5"/>
  <c r="K300" i="5" s="1"/>
  <c r="I49" i="5"/>
  <c r="I250" i="5"/>
  <c r="K250" i="5" s="1"/>
  <c r="I20" i="5"/>
  <c r="I18" i="5"/>
  <c r="I75" i="5"/>
  <c r="I128" i="5"/>
  <c r="K128" i="5" s="1"/>
  <c r="I329" i="5"/>
  <c r="K329" i="5" s="1"/>
  <c r="I169" i="5"/>
  <c r="K169" i="5" s="1"/>
  <c r="K158" i="5" s="1"/>
  <c r="I277" i="5"/>
  <c r="K277" i="5" s="1"/>
  <c r="I526" i="5"/>
  <c r="K526" i="5" s="1"/>
  <c r="I650" i="5"/>
  <c r="K650" i="5" s="1"/>
  <c r="I154" i="5"/>
  <c r="K154" i="5" s="1"/>
  <c r="I224" i="5"/>
  <c r="K224" i="5" s="1"/>
  <c r="I199" i="5"/>
  <c r="K199" i="5" s="1"/>
  <c r="I131" i="5"/>
  <c r="K131" i="5" s="1"/>
  <c r="I429" i="5"/>
  <c r="K429" i="5" s="1"/>
  <c r="I679" i="5"/>
  <c r="K679" i="5" s="1"/>
  <c r="I101" i="5"/>
  <c r="I383" i="5"/>
  <c r="K383" i="5" s="1"/>
  <c r="I426" i="5"/>
  <c r="K426" i="5" s="1"/>
  <c r="I623" i="5"/>
  <c r="K623" i="5" s="1"/>
  <c r="I180" i="5"/>
  <c r="K180" i="5" s="1"/>
  <c r="I252" i="5"/>
  <c r="K252" i="5" s="1"/>
  <c r="I499" i="5"/>
  <c r="K499" i="5" s="1"/>
  <c r="I520" i="5"/>
  <c r="I569" i="5"/>
  <c r="K569" i="5" s="1"/>
  <c r="K558" i="5" s="1"/>
  <c r="I323" i="5"/>
  <c r="K323" i="5" s="1"/>
  <c r="I331" i="5"/>
  <c r="K331" i="5" s="1"/>
  <c r="I450" i="5"/>
  <c r="K450" i="5" s="1"/>
  <c r="I125" i="5"/>
  <c r="K125" i="5" s="1"/>
  <c r="I504" i="5"/>
  <c r="K504" i="5" s="1"/>
  <c r="I378" i="5"/>
  <c r="K378" i="5" s="1"/>
  <c r="I478" i="5"/>
  <c r="K478" i="5" s="1"/>
  <c r="G355" i="5"/>
  <c r="I355" i="5" s="1"/>
  <c r="K355" i="5" s="1"/>
  <c r="G655" i="5"/>
  <c r="I655" i="5" s="1"/>
  <c r="K655" i="5" s="1"/>
  <c r="I528" i="5"/>
  <c r="K528" i="5" s="1"/>
  <c r="I533" i="5"/>
  <c r="K533" i="5" s="1"/>
  <c r="I678" i="5"/>
  <c r="K678" i="5" s="1"/>
  <c r="I69" i="5"/>
  <c r="K69" i="5" s="1"/>
  <c r="I175" i="5"/>
  <c r="K175" i="5" s="1"/>
  <c r="I230" i="5"/>
  <c r="K230" i="5" s="1"/>
  <c r="I273" i="5"/>
  <c r="K273" i="5" s="1"/>
  <c r="I183" i="5"/>
  <c r="K183" i="5" s="1"/>
  <c r="I254" i="5"/>
  <c r="K254" i="5" s="1"/>
  <c r="I403" i="5"/>
  <c r="K403" i="5" s="1"/>
  <c r="I422" i="5"/>
  <c r="K422" i="5" s="1"/>
  <c r="I580" i="5"/>
  <c r="K580" i="5" s="1"/>
  <c r="I176" i="5"/>
  <c r="K176" i="5" s="1"/>
  <c r="I51" i="5"/>
  <c r="I274" i="5"/>
  <c r="K274" i="5" s="1"/>
  <c r="I102" i="5"/>
  <c r="K102" i="5" s="1"/>
  <c r="I23" i="5"/>
  <c r="I275" i="5"/>
  <c r="K275" i="5" s="1"/>
  <c r="I80" i="5"/>
  <c r="K80" i="5" s="1"/>
  <c r="I172" i="5"/>
  <c r="K172" i="5" s="1"/>
  <c r="I28" i="5"/>
  <c r="I349" i="5"/>
  <c r="K349" i="5" s="1"/>
  <c r="I475" i="5"/>
  <c r="K475" i="5" s="1"/>
  <c r="I178" i="5"/>
  <c r="K178" i="5" s="1"/>
  <c r="I550" i="5"/>
  <c r="K550" i="5" s="1"/>
  <c r="I151" i="5"/>
  <c r="K151" i="5" s="1"/>
  <c r="I251" i="5"/>
  <c r="K251" i="5" s="1"/>
  <c r="I551" i="5"/>
  <c r="K551" i="5" s="1"/>
  <c r="I152" i="5"/>
  <c r="K152" i="5" s="1"/>
  <c r="I26" i="5"/>
  <c r="I369" i="5"/>
  <c r="K369" i="5" s="1"/>
  <c r="K358" i="5" s="1"/>
  <c r="I402" i="5"/>
  <c r="K402" i="5" s="1"/>
  <c r="I552" i="5"/>
  <c r="K552" i="5" s="1"/>
  <c r="I628" i="5"/>
  <c r="K628" i="5" s="1"/>
  <c r="I203" i="5"/>
  <c r="K203" i="5" s="1"/>
  <c r="I105" i="5"/>
  <c r="K105" i="5" s="1"/>
  <c r="I54" i="5"/>
  <c r="I325" i="5"/>
  <c r="K325" i="5" s="1"/>
  <c r="I370" i="5"/>
  <c r="I524" i="5"/>
  <c r="K524" i="5" s="1"/>
  <c r="I675" i="5"/>
  <c r="K675" i="5" s="1"/>
  <c r="I70" i="5"/>
  <c r="I483" i="5"/>
  <c r="K483" i="5" s="1"/>
  <c r="I575" i="5"/>
  <c r="K575" i="5" s="1"/>
  <c r="I76" i="5"/>
  <c r="I404" i="5"/>
  <c r="K404" i="5" s="1"/>
  <c r="I374" i="5"/>
  <c r="K374" i="5" s="1"/>
  <c r="I205" i="5"/>
  <c r="K205" i="5" s="1"/>
  <c r="I228" i="5"/>
  <c r="K228" i="5" s="1"/>
  <c r="I625" i="5"/>
  <c r="K625" i="5" s="1"/>
  <c r="I73" i="5"/>
  <c r="K73" i="5" s="1"/>
  <c r="I219" i="5"/>
  <c r="K219" i="5" s="1"/>
  <c r="K208" i="5" s="1"/>
  <c r="I104" i="5"/>
  <c r="I622" i="5"/>
  <c r="K622" i="5" s="1"/>
  <c r="I253" i="5"/>
  <c r="K253" i="5" s="1"/>
  <c r="I674" i="5"/>
  <c r="K674" i="5" s="1"/>
  <c r="I630" i="5"/>
  <c r="K630" i="5" s="1"/>
  <c r="I150" i="5"/>
  <c r="K150" i="5" s="1"/>
  <c r="I200" i="5"/>
  <c r="K200" i="5" s="1"/>
  <c r="I652" i="5"/>
  <c r="K652" i="5" s="1"/>
  <c r="I255" i="5"/>
  <c r="K255" i="5" s="1"/>
  <c r="I579" i="5"/>
  <c r="K579" i="5" s="1"/>
  <c r="I794" i="5"/>
  <c r="K794" i="5" s="1"/>
  <c r="I473" i="5"/>
  <c r="K473" i="5" s="1"/>
  <c r="G805" i="5"/>
  <c r="I805" i="5" s="1"/>
  <c r="K805" i="5" s="1"/>
  <c r="I179" i="5"/>
  <c r="K179" i="5" s="1"/>
  <c r="I52" i="5"/>
  <c r="I599" i="5"/>
  <c r="K599" i="5" s="1"/>
  <c r="I202" i="5"/>
  <c r="K202" i="5" s="1"/>
  <c r="I126" i="5"/>
  <c r="K126" i="5" s="1"/>
  <c r="I149" i="5"/>
  <c r="K149" i="5" s="1"/>
  <c r="I232" i="5"/>
  <c r="K232" i="5" s="1"/>
  <c r="I281" i="5"/>
  <c r="K281" i="5" s="1"/>
  <c r="I479" i="5"/>
  <c r="K479" i="5" s="1"/>
  <c r="I577" i="5"/>
  <c r="K577" i="5" s="1"/>
  <c r="I53" i="5"/>
  <c r="I123" i="5"/>
  <c r="K123" i="5" s="1"/>
  <c r="I29" i="5"/>
  <c r="I225" i="5"/>
  <c r="K225" i="5" s="1"/>
  <c r="I453" i="5"/>
  <c r="K453" i="5" s="1"/>
  <c r="I472" i="5"/>
  <c r="K472" i="5" s="1"/>
  <c r="I480" i="5"/>
  <c r="K480" i="5" s="1"/>
  <c r="I529" i="5"/>
  <c r="K529" i="5" s="1"/>
  <c r="I651" i="5"/>
  <c r="K651" i="5" s="1"/>
  <c r="I381" i="5"/>
  <c r="K381" i="5" s="1"/>
  <c r="I454" i="5"/>
  <c r="K454" i="5" s="1"/>
  <c r="I530" i="5"/>
  <c r="K530" i="5" s="1"/>
  <c r="I523" i="5"/>
  <c r="K523" i="5" s="1"/>
  <c r="I553" i="5"/>
  <c r="K553" i="5" s="1"/>
  <c r="I673" i="5"/>
  <c r="K673" i="5" s="1"/>
  <c r="I129" i="5"/>
  <c r="K129" i="5" s="1"/>
  <c r="I83" i="5"/>
  <c r="K83" i="5" s="1"/>
  <c r="I629" i="5"/>
  <c r="K629" i="5" s="1"/>
  <c r="I672" i="5"/>
  <c r="K672" i="5" s="1"/>
  <c r="I327" i="5"/>
  <c r="K327" i="5" s="1"/>
  <c r="I433" i="5"/>
  <c r="K433" i="5" s="1"/>
  <c r="I581" i="5"/>
  <c r="K581" i="5" s="1"/>
  <c r="I78" i="5"/>
  <c r="I220" i="5"/>
  <c r="I278" i="5"/>
  <c r="K278" i="5" s="1"/>
  <c r="I376" i="5"/>
  <c r="K376" i="5" s="1"/>
  <c r="I449" i="5"/>
  <c r="K449" i="5" s="1"/>
  <c r="I476" i="5"/>
  <c r="K476" i="5" s="1"/>
  <c r="I574" i="5"/>
  <c r="K574" i="5" s="1"/>
  <c r="G682" i="5"/>
  <c r="I682" i="5" s="1"/>
  <c r="K682" i="5" s="1"/>
  <c r="I500" i="5"/>
  <c r="K500" i="5" s="1"/>
  <c r="I624" i="5"/>
  <c r="K624" i="5" s="1"/>
  <c r="I620" i="5"/>
  <c r="I272" i="5"/>
  <c r="K272" i="5" s="1"/>
  <c r="I72" i="5"/>
  <c r="K72" i="5" s="1"/>
  <c r="I324" i="5"/>
  <c r="K324" i="5" s="1"/>
  <c r="I320" i="5"/>
  <c r="I354" i="5"/>
  <c r="K354" i="5" s="1"/>
  <c r="I372" i="5"/>
  <c r="K372" i="5" s="1"/>
  <c r="I379" i="5"/>
  <c r="K379" i="5" s="1"/>
  <c r="I401" i="5"/>
  <c r="K401" i="5" s="1"/>
  <c r="I505" i="5"/>
  <c r="K505" i="5" s="1"/>
  <c r="I600" i="5"/>
  <c r="K600" i="5" s="1"/>
  <c r="G632" i="5"/>
  <c r="I632" i="5" s="1"/>
  <c r="K632" i="5" s="1"/>
  <c r="I793" i="5"/>
  <c r="K793" i="5" s="1"/>
  <c r="I373" i="5"/>
  <c r="K373" i="5" s="1"/>
  <c r="I103" i="5"/>
  <c r="K103" i="5" s="1"/>
  <c r="I24" i="5"/>
  <c r="I229" i="5"/>
  <c r="K229" i="5" s="1"/>
  <c r="I299" i="5"/>
  <c r="K299" i="5" s="1"/>
  <c r="I451" i="5"/>
  <c r="K451" i="5" s="1"/>
  <c r="I554" i="5"/>
  <c r="K554" i="5" s="1"/>
  <c r="I626" i="5"/>
  <c r="K626" i="5" s="1"/>
  <c r="I804" i="5"/>
  <c r="K804" i="5" s="1"/>
  <c r="I333" i="5"/>
  <c r="K333" i="5" s="1"/>
  <c r="I428" i="5"/>
  <c r="K428" i="5" s="1"/>
  <c r="I420" i="5"/>
  <c r="I532" i="5"/>
  <c r="K532" i="5" s="1"/>
  <c r="G555" i="5"/>
  <c r="I555" i="5" s="1"/>
  <c r="K555" i="5" s="1"/>
  <c r="I627" i="5"/>
  <c r="K627" i="5" s="1"/>
  <c r="I791" i="5"/>
  <c r="I469" i="5"/>
  <c r="K469" i="5" s="1"/>
  <c r="K458" i="5" s="1"/>
  <c r="I470" i="5"/>
  <c r="I21" i="5"/>
  <c r="I350" i="5"/>
  <c r="K350" i="5" s="1"/>
  <c r="I527" i="5"/>
  <c r="K527" i="5" s="1"/>
  <c r="I570" i="5"/>
  <c r="I797" i="5"/>
  <c r="K797" i="5" s="1"/>
  <c r="H779" i="5"/>
  <c r="I779" i="5" s="1"/>
  <c r="K779" i="5" s="1"/>
  <c r="I120" i="5"/>
  <c r="I431" i="5"/>
  <c r="K431" i="5" s="1"/>
  <c r="I351" i="5"/>
  <c r="K351" i="5" s="1"/>
  <c r="I424" i="5"/>
  <c r="K424" i="5" s="1"/>
  <c r="I502" i="5"/>
  <c r="K502" i="5" s="1"/>
  <c r="I605" i="5"/>
  <c r="K605" i="5" s="1"/>
  <c r="I99" i="5"/>
  <c r="K99" i="5" s="1"/>
  <c r="I280" i="5"/>
  <c r="K280" i="5" s="1"/>
  <c r="I303" i="5"/>
  <c r="K303" i="5" s="1"/>
  <c r="I322" i="5"/>
  <c r="K322" i="5" s="1"/>
  <c r="I455" i="5"/>
  <c r="K455" i="5" s="1"/>
  <c r="I153" i="5"/>
  <c r="K153" i="5" s="1"/>
  <c r="I77" i="5"/>
  <c r="K77" i="5" s="1"/>
  <c r="I55" i="5"/>
  <c r="I330" i="5"/>
  <c r="K330" i="5" s="1"/>
  <c r="I352" i="5"/>
  <c r="K352" i="5" s="1"/>
  <c r="I481" i="5"/>
  <c r="K481" i="5" s="1"/>
  <c r="I503" i="5"/>
  <c r="K503" i="5" s="1"/>
  <c r="I226" i="5"/>
  <c r="K226" i="5" s="1"/>
  <c r="I304" i="5"/>
  <c r="K304" i="5" s="1"/>
  <c r="I474" i="5"/>
  <c r="K474" i="5" s="1"/>
  <c r="I653" i="5"/>
  <c r="K653" i="5" s="1"/>
  <c r="I270" i="5"/>
  <c r="I100" i="5"/>
  <c r="K100" i="5" s="1"/>
  <c r="I130" i="5"/>
  <c r="K130" i="5" s="1"/>
  <c r="I201" i="5"/>
  <c r="K201" i="5" s="1"/>
  <c r="I227" i="5"/>
  <c r="K227" i="5" s="1"/>
  <c r="I249" i="5"/>
  <c r="K249" i="5" s="1"/>
  <c r="I279" i="5"/>
  <c r="K279" i="5" s="1"/>
  <c r="I326" i="5"/>
  <c r="K326" i="5" s="1"/>
  <c r="I332" i="5"/>
  <c r="K332" i="5" s="1"/>
  <c r="I353" i="5"/>
  <c r="K353" i="5" s="1"/>
  <c r="I405" i="5"/>
  <c r="K405" i="5" s="1"/>
  <c r="I423" i="5"/>
  <c r="K423" i="5" s="1"/>
  <c r="I430" i="5"/>
  <c r="K430" i="5" s="1"/>
  <c r="I452" i="5"/>
  <c r="K452" i="5" s="1"/>
  <c r="I477" i="5"/>
  <c r="K477" i="5" s="1"/>
  <c r="I522" i="5"/>
  <c r="K522" i="5" s="1"/>
  <c r="I631" i="5"/>
  <c r="K631" i="5" s="1"/>
  <c r="I677" i="5"/>
  <c r="K677" i="5" s="1"/>
  <c r="I50" i="5"/>
  <c r="I573" i="5"/>
  <c r="K573" i="5" s="1"/>
  <c r="I122" i="5"/>
  <c r="K122" i="5" s="1"/>
  <c r="I25" i="5"/>
  <c r="I302" i="5"/>
  <c r="K302" i="5" s="1"/>
  <c r="I399" i="5"/>
  <c r="K399" i="5" s="1"/>
  <c r="I601" i="5"/>
  <c r="K601" i="5" s="1"/>
  <c r="I676" i="5"/>
  <c r="K676" i="5" s="1"/>
  <c r="I174" i="5"/>
  <c r="K174" i="5" s="1"/>
  <c r="I27" i="5"/>
  <c r="I377" i="5"/>
  <c r="K377" i="5" s="1"/>
  <c r="I82" i="5"/>
  <c r="K82" i="5" s="1"/>
  <c r="I222" i="5"/>
  <c r="K222" i="5" s="1"/>
  <c r="I400" i="5"/>
  <c r="K400" i="5" s="1"/>
  <c r="I602" i="5"/>
  <c r="K602" i="5" s="1"/>
  <c r="I81" i="5"/>
  <c r="K81" i="5" s="1"/>
  <c r="I549" i="5"/>
  <c r="K549" i="5" s="1"/>
  <c r="I181" i="5"/>
  <c r="K181" i="5" s="1"/>
  <c r="I432" i="5"/>
  <c r="K432" i="5" s="1"/>
  <c r="H30" i="5"/>
  <c r="I30" i="5" s="1"/>
  <c r="H282" i="5"/>
  <c r="I282" i="5" s="1"/>
  <c r="K282" i="5" s="1"/>
  <c r="I328" i="5"/>
  <c r="K328" i="5" s="1"/>
  <c r="I425" i="5"/>
  <c r="K425" i="5" s="1"/>
  <c r="H582" i="5"/>
  <c r="I582" i="5" s="1"/>
  <c r="K582" i="5" s="1"/>
  <c r="I603" i="5"/>
  <c r="K603" i="5" s="1"/>
  <c r="I654" i="5"/>
  <c r="K654" i="5" s="1"/>
  <c r="I301" i="5"/>
  <c r="K301" i="5" s="1"/>
  <c r="I223" i="5"/>
  <c r="K223" i="5" s="1"/>
  <c r="I795" i="5"/>
  <c r="K795" i="5" s="1"/>
  <c r="I204" i="5"/>
  <c r="K204" i="5" s="1"/>
  <c r="I133" i="5"/>
  <c r="K133" i="5" s="1"/>
  <c r="I155" i="5"/>
  <c r="K155" i="5" s="1"/>
  <c r="I501" i="5"/>
  <c r="K501" i="5" s="1"/>
  <c r="I525" i="5"/>
  <c r="K525" i="5" s="1"/>
  <c r="I531" i="5"/>
  <c r="K531" i="5" s="1"/>
  <c r="I576" i="5"/>
  <c r="K576" i="5" s="1"/>
  <c r="I604" i="5"/>
  <c r="K604" i="5" s="1"/>
  <c r="I633" i="5"/>
  <c r="K633" i="5" s="1"/>
  <c r="I801" i="5"/>
  <c r="K801" i="5" s="1"/>
  <c r="I233" i="5"/>
  <c r="K233" i="5" s="1"/>
  <c r="I127" i="5"/>
  <c r="K127" i="5" s="1"/>
  <c r="I74" i="5"/>
  <c r="K74" i="5" s="1"/>
  <c r="I276" i="5"/>
  <c r="K276" i="5" s="1"/>
  <c r="I649" i="5"/>
  <c r="K649" i="5" s="1"/>
  <c r="I177" i="5"/>
  <c r="K177" i="5" s="1"/>
  <c r="I31" i="5"/>
  <c r="I231" i="5"/>
  <c r="K231" i="5" s="1"/>
  <c r="I283" i="5"/>
  <c r="K283" i="5" s="1"/>
  <c r="I375" i="5"/>
  <c r="K375" i="5" s="1"/>
  <c r="I427" i="5"/>
  <c r="K427" i="5" s="1"/>
  <c r="I583" i="5"/>
  <c r="K583" i="5" s="1"/>
  <c r="I79" i="5"/>
  <c r="K79" i="5" s="1"/>
  <c r="I124" i="5"/>
  <c r="K124" i="5" s="1"/>
  <c r="I382" i="5"/>
  <c r="K382" i="5" s="1"/>
  <c r="I578" i="5"/>
  <c r="K578" i="5" s="1"/>
  <c r="I572" i="5"/>
  <c r="K572" i="5" s="1"/>
  <c r="I680" i="5"/>
  <c r="K680" i="5" s="1"/>
  <c r="I132" i="5"/>
  <c r="K132" i="5" s="1"/>
  <c r="I182" i="5"/>
  <c r="K182" i="5" s="1"/>
  <c r="I482" i="5"/>
  <c r="K482" i="5" s="1"/>
  <c r="I419" i="5"/>
  <c r="K419" i="5" s="1"/>
  <c r="K408" i="5" s="1"/>
  <c r="I170" i="5"/>
  <c r="G305" i="5"/>
  <c r="I305" i="5" s="1"/>
  <c r="K305" i="5" s="1"/>
  <c r="I119" i="5"/>
  <c r="K119" i="5" s="1"/>
  <c r="K108" i="5" s="1"/>
  <c r="K784" i="5" l="1"/>
  <c r="E16" i="7"/>
  <c r="G16" i="7" s="1"/>
  <c r="K30" i="5"/>
  <c r="E14" i="7"/>
  <c r="G14" i="7" s="1"/>
  <c r="K25" i="5"/>
  <c r="E9" i="7"/>
  <c r="G9" i="7" s="1"/>
  <c r="K53" i="5"/>
  <c r="E37" i="7"/>
  <c r="G37" i="7" s="1"/>
  <c r="K24" i="5"/>
  <c r="E8" i="7"/>
  <c r="G8" i="7" s="1"/>
  <c r="K27" i="5"/>
  <c r="E11" i="7"/>
  <c r="G11" i="7" s="1"/>
  <c r="K78" i="5"/>
  <c r="E42" i="7"/>
  <c r="G42" i="7" s="1"/>
  <c r="K23" i="5"/>
  <c r="E7" i="7"/>
  <c r="K76" i="5"/>
  <c r="E41" i="7"/>
  <c r="G41" i="7" s="1"/>
  <c r="K50" i="5"/>
  <c r="E34" i="7"/>
  <c r="G34" i="7" s="1"/>
  <c r="K51" i="5"/>
  <c r="E35" i="7"/>
  <c r="G35" i="7" s="1"/>
  <c r="K49" i="5"/>
  <c r="E33" i="7"/>
  <c r="G33" i="7" s="1"/>
  <c r="K104" i="5"/>
  <c r="E57" i="7"/>
  <c r="G57" i="7" s="1"/>
  <c r="K54" i="5"/>
  <c r="E38" i="7"/>
  <c r="G38" i="7" s="1"/>
  <c r="K28" i="5"/>
  <c r="E12" i="7"/>
  <c r="G12" i="7" s="1"/>
  <c r="K31" i="5"/>
  <c r="E15" i="7"/>
  <c r="G15" i="7" s="1"/>
  <c r="K58" i="5"/>
  <c r="K101" i="5"/>
  <c r="E56" i="7"/>
  <c r="G56" i="7" s="1"/>
  <c r="K52" i="5"/>
  <c r="E36" i="7"/>
  <c r="G36" i="7" s="1"/>
  <c r="K75" i="5"/>
  <c r="E40" i="7"/>
  <c r="G40" i="7" s="1"/>
  <c r="K55" i="5"/>
  <c r="E39" i="7"/>
  <c r="G39" i="7" s="1"/>
  <c r="K29" i="5"/>
  <c r="E13" i="7"/>
  <c r="G13" i="7" s="1"/>
  <c r="K26" i="5"/>
  <c r="E10" i="7"/>
  <c r="G10" i="7" s="1"/>
  <c r="K18" i="5"/>
  <c r="D13" i="6"/>
  <c r="F13" i="6" s="1"/>
  <c r="K20" i="5"/>
  <c r="D15" i="6"/>
  <c r="F15" i="6" s="1"/>
  <c r="G7" i="7" l="1"/>
  <c r="F20" i="6"/>
  <c r="K11" i="5"/>
  <c r="K808" i="5" s="1"/>
  <c r="F21" i="6" l="1"/>
  <c r="K807" i="5"/>
  <c r="K783" i="5"/>
  <c r="I506" i="5"/>
  <c r="K506" i="5"/>
  <c r="K471" i="5"/>
  <c r="K457" i="5"/>
  <c r="K71" i="5"/>
  <c r="K57" i="5"/>
  <c r="I356" i="5"/>
  <c r="K356" i="5"/>
  <c r="K321" i="5"/>
  <c r="K307" i="5"/>
  <c r="K10" i="5"/>
  <c r="K22" i="5"/>
  <c r="I206" i="5"/>
  <c r="K206" i="5"/>
  <c r="K171" i="5"/>
  <c r="K157" i="5"/>
  <c r="G70" i="7"/>
  <c r="G68" i="7"/>
  <c r="K557" i="5"/>
  <c r="K571" i="5"/>
  <c r="K606" i="5"/>
  <c r="I606" i="5"/>
  <c r="K107" i="5"/>
  <c r="K121" i="5"/>
  <c r="K156" i="5"/>
  <c r="I156" i="5"/>
  <c r="I406" i="5"/>
  <c r="K406" i="5"/>
  <c r="K371" i="5"/>
  <c r="K357" i="5"/>
  <c r="I744" i="5"/>
  <c r="K744" i="5"/>
  <c r="K721" i="5"/>
  <c r="K707" i="5"/>
  <c r="K607" i="5"/>
  <c r="I656" i="5"/>
  <c r="K656" i="5"/>
  <c r="K621" i="5"/>
  <c r="K507" i="5"/>
  <c r="K521" i="5"/>
  <c r="K556" i="5"/>
  <c r="I556" i="5"/>
  <c r="K207" i="5"/>
  <c r="K221" i="5"/>
  <c r="K256" i="5"/>
  <c r="I256" i="5"/>
  <c r="I806" i="5"/>
  <c r="K806" i="5"/>
  <c r="K792" i="5"/>
  <c r="K809" i="5"/>
  <c r="K407" i="5"/>
  <c r="K421" i="5"/>
  <c r="K456" i="5"/>
  <c r="I456" i="5"/>
  <c r="K745" i="5"/>
  <c r="I782" i="5"/>
  <c r="K782" i="5"/>
  <c r="K759" i="5"/>
  <c r="I306" i="5"/>
  <c r="K306" i="5"/>
  <c r="K271" i="5"/>
  <c r="K257" i="5"/>
  <c r="I56" i="5"/>
  <c r="K56" i="5"/>
  <c r="G67" i="7"/>
  <c r="I106" i="5"/>
  <c r="K106" i="5"/>
  <c r="G66" i="7"/>
  <c r="I706" i="5"/>
  <c r="K706" i="5"/>
  <c r="K671" i="5"/>
  <c r="K657" i="5"/>
</calcChain>
</file>

<file path=xl/sharedStrings.xml><?xml version="1.0" encoding="utf-8"?>
<sst xmlns="http://schemas.openxmlformats.org/spreadsheetml/2006/main" count="9766" uniqueCount="361">
  <si>
    <t>Приложение №1</t>
  </si>
  <si>
    <t xml:space="preserve">к Дополнительному соглашению №1 </t>
  </si>
  <si>
    <t>к Договору подряда №01033-ИДК25 от 01.03.2025</t>
  </si>
  <si>
    <t>ПОДРЯДЧИК:</t>
  </si>
  <si>
    <t xml:space="preserve">ТЕХНИЧЕСКИЙ ЗАКАЗЧИК: </t>
  </si>
  <si>
    <t xml:space="preserve">ЗАКАЗЧИК: </t>
  </si>
  <si>
    <t>Индивидуальный предприниматель</t>
  </si>
  <si>
    <t>ООО ТЗ ЭНКО</t>
  </si>
  <si>
    <t>ООО ИДК ЭНКО</t>
  </si>
  <si>
    <t>ИП Беспрозванных А.П.</t>
  </si>
  <si>
    <t>______________/А. П. Беспрозванных</t>
  </si>
  <si>
    <t>_____________/С.И. Ярков</t>
  </si>
  <si>
    <t>_________________/С.И. Ярков</t>
  </si>
  <si>
    <t>Локальный сметный расчет №1-1</t>
  </si>
  <si>
    <t>ГП-101</t>
  </si>
  <si>
    <t>№</t>
  </si>
  <si>
    <t>Наименование</t>
  </si>
  <si>
    <t>Характеристика</t>
  </si>
  <si>
    <t>Ед. изм.</t>
  </si>
  <si>
    <t>Норма расхода</t>
  </si>
  <si>
    <t>Толщина, (мм)</t>
  </si>
  <si>
    <t>секция 1</t>
  </si>
  <si>
    <t>Кол-во</t>
  </si>
  <si>
    <t>Цена за ед.</t>
  </si>
  <si>
    <t>Сумма</t>
  </si>
  <si>
    <t>Примечание</t>
  </si>
  <si>
    <t>Форма закупа материала</t>
  </si>
  <si>
    <t>03</t>
  </si>
  <si>
    <t>Каркас</t>
  </si>
  <si>
    <t>03.02.</t>
  </si>
  <si>
    <t>Устройство заполнения стен</t>
  </si>
  <si>
    <t>03.02.00.</t>
  </si>
  <si>
    <t>Машины и механизмы</t>
  </si>
  <si>
    <t>03.02.00.00.</t>
  </si>
  <si>
    <t>Работа:</t>
  </si>
  <si>
    <t xml:space="preserve">Услуги по подъему и перепещению грузов автокраном </t>
  </si>
  <si>
    <t>маш/час</t>
  </si>
  <si>
    <t>точное кол-во маш/час по фактически отработанному времени</t>
  </si>
  <si>
    <t>Материалы:</t>
  </si>
  <si>
    <t>-</t>
  </si>
  <si>
    <t>03.02.01.</t>
  </si>
  <si>
    <t xml:space="preserve">Кладка наружных и внутренних стен из блока толщ. 250мм,190мм,90мм, кладка стен из кирпича, монтаж перемычек, кладка вентканалов </t>
  </si>
  <si>
    <t>03.02.01.01.</t>
  </si>
  <si>
    <t>1 этаж</t>
  </si>
  <si>
    <t xml:space="preserve">Кладка стен из керамзитобетонного блока толщ. 250 мм армированных </t>
  </si>
  <si>
    <t>м3</t>
  </si>
  <si>
    <t xml:space="preserve">Кладка перегородок из керамзитобетонного блока пустотелого толщ. 190 мм армированных </t>
  </si>
  <si>
    <t>м2</t>
  </si>
  <si>
    <t xml:space="preserve">Кладка перегородок из керамзитобетонного блока полнотелого толщ. 190 мм армированных </t>
  </si>
  <si>
    <t>Кладка перегородок из кирпича армированных</t>
  </si>
  <si>
    <t>Монтаж перемычек керамзитобетонных и ж/б</t>
  </si>
  <si>
    <t>шт</t>
  </si>
  <si>
    <t>Монтаж и изготовление металлических элементов</t>
  </si>
  <si>
    <t>перемычки из уголка</t>
  </si>
  <si>
    <t>кг</t>
  </si>
  <si>
    <t>Устройство перемычек из стержней арматуры (3-4 стержня на проем, в зависимости от толщины кладки)</t>
  </si>
  <si>
    <t>Зачеканка шва раствором</t>
  </si>
  <si>
    <t>для просчета объема раствора</t>
  </si>
  <si>
    <t>Блоки керамзитобетонные тип 1</t>
  </si>
  <si>
    <t>толщ.250мм, пустотелые по прочности не ниже М35</t>
  </si>
  <si>
    <t>шт.</t>
  </si>
  <si>
    <t>на м2</t>
  </si>
  <si>
    <t>Блоки керамзитобетонные тип 2</t>
  </si>
  <si>
    <t>толщ.190мм, пустотелые по прочности не ниже М35</t>
  </si>
  <si>
    <t>Блоки керамзитобетонные тип 3</t>
  </si>
  <si>
    <t>толщ.190мм, полнотелые по прочности не ниже М35</t>
  </si>
  <si>
    <t>Кирпич керамический тип 1</t>
  </si>
  <si>
    <t xml:space="preserve"> полуторный М150 пустотелый</t>
  </si>
  <si>
    <t>расход, подтвержденный актом о фактическом расходе материала</t>
  </si>
  <si>
    <t>Раствор тип 1 На кладку блок</t>
  </si>
  <si>
    <t xml:space="preserve"> М75</t>
  </si>
  <si>
    <t>на м3</t>
  </si>
  <si>
    <t>Раствор тип 1 На кладку кирпич (перегородки)</t>
  </si>
  <si>
    <t>на м2, расход, подтвержденный актом о фактическом расходе материала</t>
  </si>
  <si>
    <t>Раствор тип 1 На заполнение швов</t>
  </si>
  <si>
    <t>Раствор тип 1 На перемычки керамзитобетонных и ж/б</t>
  </si>
  <si>
    <t>увеличили норму из-за замены перемычек на широкие</t>
  </si>
  <si>
    <t>Раствор тип 1 На перемычки из стержней арматуру</t>
  </si>
  <si>
    <t>Сетка кладочная</t>
  </si>
  <si>
    <t>Ø3 Вр-1 яч. 50х50 по ТУ2</t>
  </si>
  <si>
    <t>Перемычка тип 1</t>
  </si>
  <si>
    <t>ПБК-19.12.14-8</t>
  </si>
  <si>
    <t>Перемычка тип 2</t>
  </si>
  <si>
    <t>ПБК-19.12.16-8</t>
  </si>
  <si>
    <t>Перемычка тип 3</t>
  </si>
  <si>
    <t>ПБК-19.12.18-8</t>
  </si>
  <si>
    <t>Перемычка тип 4</t>
  </si>
  <si>
    <t>ПБК-19.12.20-8</t>
  </si>
  <si>
    <t>Перемычка тип 5</t>
  </si>
  <si>
    <t>ПБК-19.12.22-8</t>
  </si>
  <si>
    <t>Перемычка тип 6</t>
  </si>
  <si>
    <t>ПБК-19.19.12-37</t>
  </si>
  <si>
    <t>Арматура тип 1</t>
  </si>
  <si>
    <t xml:space="preserve"> Ø8 А240</t>
  </si>
  <si>
    <t>Арматура тип 2</t>
  </si>
  <si>
    <t xml:space="preserve"> Ø10 А500С</t>
  </si>
  <si>
    <t>Уголок L110х8</t>
  </si>
  <si>
    <t>Уголок L125х8</t>
  </si>
  <si>
    <t>Прочие материалы (Грунт ГФ-021, Пена монтажная противопожарная, Болт БСР 120х12)</t>
  </si>
  <si>
    <t>%</t>
  </si>
  <si>
    <t>03.02.01.02.</t>
  </si>
  <si>
    <t>2 этаж</t>
  </si>
  <si>
    <t>Кладка под окна из керамического полнотелого кирпича</t>
  </si>
  <si>
    <t xml:space="preserve">Кладка перегородок из керамзитобетонного блока пустотелого толщ. 90 мм армированных </t>
  </si>
  <si>
    <t xml:space="preserve">Кладка перегородок из керамзитобетонного блока полнотелого толщ. 90 мм армированных </t>
  </si>
  <si>
    <t>перемычки из уголка, крепление балконов</t>
  </si>
  <si>
    <t>Блоки керамзитобетонные тип 4</t>
  </si>
  <si>
    <t>толщ.90мм, пустотелые по прочности не ниже М35</t>
  </si>
  <si>
    <t>Блоки керамзитобетонные тип 5</t>
  </si>
  <si>
    <t>толщ.90мм, полнотелые по прочности не ниже М35</t>
  </si>
  <si>
    <t>Кирпич керамический тип 2</t>
  </si>
  <si>
    <t xml:space="preserve"> полуторный М150 полнотелый</t>
  </si>
  <si>
    <t>Раствор тип 1 На кладку кирпич (под окна и вентканалы кровли)</t>
  </si>
  <si>
    <t>Перемычка тип 7</t>
  </si>
  <si>
    <t>Перемычка полистиролбетонная D500 19.9.12-8</t>
  </si>
  <si>
    <t>Перемычка тип 8</t>
  </si>
  <si>
    <t>Перемычка полистиролбетонная D500 19.9.14-8</t>
  </si>
  <si>
    <t>Перемычка тип 9</t>
  </si>
  <si>
    <t>Перемычка полистиролбетонная D500 19.19.12-8</t>
  </si>
  <si>
    <t>Перемычка тип 10</t>
  </si>
  <si>
    <t>Перемычка полистиролбетонная D500 19.19.14-8</t>
  </si>
  <si>
    <t>Перемычка тип 11</t>
  </si>
  <si>
    <t>Перемычка полистиролбетонная D500 19.25.14-8</t>
  </si>
  <si>
    <t>Перемычка тип 12</t>
  </si>
  <si>
    <t>Перемычка полистиролбетонная D500 19.25.20-8</t>
  </si>
  <si>
    <t>Перемычка тип 13</t>
  </si>
  <si>
    <t>Перемычка полистиролбетонная D500 19.25.22-8</t>
  </si>
  <si>
    <t>Перемычка тип 14</t>
  </si>
  <si>
    <t>Перемычка полистиролбетонная D500 19.25.26-8</t>
  </si>
  <si>
    <t>Перемычка тип 15</t>
  </si>
  <si>
    <t>Перемычка полистиролбетонная D500 19.25.28-8</t>
  </si>
  <si>
    <t>Уголок L50х5</t>
  </si>
  <si>
    <t>Полоса L40х4</t>
  </si>
  <si>
    <t>Прочие материалы (Грунт ГФ-021, Пена монтажная противопожарная, Болт БСР 120х12, Электроды ø3мм)</t>
  </si>
  <si>
    <t>03.02.01.03.</t>
  </si>
  <si>
    <t>3 этаж</t>
  </si>
  <si>
    <t>03.02.01.04.</t>
  </si>
  <si>
    <t>4 этаж</t>
  </si>
  <si>
    <t>03.02.01.05.</t>
  </si>
  <si>
    <t>5 этаж</t>
  </si>
  <si>
    <t>03.02.01.06.</t>
  </si>
  <si>
    <t>6 этаж</t>
  </si>
  <si>
    <t>03.02.01.07.</t>
  </si>
  <si>
    <t>7 этаж</t>
  </si>
  <si>
    <t>03.02.01.08.</t>
  </si>
  <si>
    <t>8 этаж</t>
  </si>
  <si>
    <t>03.02.01.09.</t>
  </si>
  <si>
    <t>9 этаж</t>
  </si>
  <si>
    <t>03.02.01.10.</t>
  </si>
  <si>
    <t>10 этаж</t>
  </si>
  <si>
    <t>03.02.01.11.</t>
  </si>
  <si>
    <t>11 этаж</t>
  </si>
  <si>
    <t>03.02.01.12.</t>
  </si>
  <si>
    <t>12 этаж</t>
  </si>
  <si>
    <t>03.02.01.13.</t>
  </si>
  <si>
    <t>13 этаж</t>
  </si>
  <si>
    <t>03.02.01.14.</t>
  </si>
  <si>
    <t>14 этаж</t>
  </si>
  <si>
    <t>03.02.01.15.</t>
  </si>
  <si>
    <t>15 этаж</t>
  </si>
  <si>
    <t>03.02.01.16.</t>
  </si>
  <si>
    <t>16 этаж</t>
  </si>
  <si>
    <t>03.02.01.17.</t>
  </si>
  <si>
    <t>17 этаж</t>
  </si>
  <si>
    <t>03.02.01.18.</t>
  </si>
  <si>
    <t>18 этаж</t>
  </si>
  <si>
    <t>03.02.01.19.</t>
  </si>
  <si>
    <t>19 этаж</t>
  </si>
  <si>
    <t>03.02.01.20.</t>
  </si>
  <si>
    <t>20 этаж</t>
  </si>
  <si>
    <t>03.02.01.21.</t>
  </si>
  <si>
    <t>21 этаж</t>
  </si>
  <si>
    <t>03.02.01.22.</t>
  </si>
  <si>
    <t>22 этаж</t>
  </si>
  <si>
    <t>03.02.01.23.</t>
  </si>
  <si>
    <t>23 этаж</t>
  </si>
  <si>
    <t>03.02.01.24.</t>
  </si>
  <si>
    <t>24 этаж</t>
  </si>
  <si>
    <t>03.02.01.25.</t>
  </si>
  <si>
    <t>Кровля</t>
  </si>
  <si>
    <t>Кладка парапетов на кровле из кирпича армированных</t>
  </si>
  <si>
    <t>Кладка вентшахт на кровле из кирпича армированных</t>
  </si>
  <si>
    <t>Итого по ЛСР, без НДС:</t>
  </si>
  <si>
    <t>в тч стоимость работ</t>
  </si>
  <si>
    <t>в тч стоимость материалов</t>
  </si>
  <si>
    <t>в тч НДС:</t>
  </si>
  <si>
    <t>нет</t>
  </si>
  <si>
    <t>При производстве основных работ учитывать следующие второстепенные сопутствующие работы:</t>
  </si>
  <si>
    <t>Кладка наружных стен из керамзитобетонного блока армированных:</t>
  </si>
  <si>
    <t>1.1</t>
  </si>
  <si>
    <t xml:space="preserve">Устройство примыкания к монолитной плите перекрытия (верх стен): </t>
  </si>
  <si>
    <t>а)</t>
  </si>
  <si>
    <t>Заполнение шва монтажной пеной</t>
  </si>
  <si>
    <t>б)</t>
  </si>
  <si>
    <t>Монтаж металлических крепежных элементов (штырь из катанки Ø8 А500С L=400мм)</t>
  </si>
  <si>
    <t>в)</t>
  </si>
  <si>
    <t>Зачеканка шва раствором с 2-х сторон</t>
  </si>
  <si>
    <t>1.2</t>
  </si>
  <si>
    <t xml:space="preserve">Устройство примыкания к монолитному пилону/стене: </t>
  </si>
  <si>
    <t>Монтаж металлических крепежных элементов (штырь из катанки Ø8 А500С L=300мм)</t>
  </si>
  <si>
    <t>г)</t>
  </si>
  <si>
    <t>Зачеканка шва раствором с 2 сторон</t>
  </si>
  <si>
    <t>1.3</t>
  </si>
  <si>
    <t>Утепление (деформац. шов)</t>
  </si>
  <si>
    <t xml:space="preserve">Кладка внутренних стен из керамзитобетонного блока армированных </t>
  </si>
  <si>
    <t>3.1</t>
  </si>
  <si>
    <t>3.2</t>
  </si>
  <si>
    <t xml:space="preserve">Кладка перегородок из керамзитобетонного блока толщ. 90мм армированных </t>
  </si>
  <si>
    <t>4.1</t>
  </si>
  <si>
    <t>4.2</t>
  </si>
  <si>
    <t>Кладка вентканалов, шахт дымоудаления и подпора воздуха</t>
  </si>
  <si>
    <t>5.1</t>
  </si>
  <si>
    <t xml:space="preserve">Устройство примыкания к монолитной  плите перекрытия (верх стен): </t>
  </si>
  <si>
    <t>Заполнение шва раствором с 2 сторон</t>
  </si>
  <si>
    <t>5.2</t>
  </si>
  <si>
    <t xml:space="preserve">Устройство примыкания к монолитной стене: </t>
  </si>
  <si>
    <t>Кладка перегородок из кирпича армированных (техэтаж, перегородки, ограждения балконов)</t>
  </si>
  <si>
    <t>6.1</t>
  </si>
  <si>
    <t>6.2</t>
  </si>
  <si>
    <t>Монтаж металлических крепежных элементов (штырь из катанки Ø10 А500С L=450мм, уголок 50*5, полоса 40*4, с учетом огрунтовки)</t>
  </si>
  <si>
    <t xml:space="preserve">Кладка вентшахт на кровле из кирпича армированных </t>
  </si>
  <si>
    <t>Устройство кладки вокруг фановых труб</t>
  </si>
  <si>
    <t>Примечание:</t>
  </si>
  <si>
    <r>
      <rPr>
        <b/>
        <sz val="12"/>
        <color theme="1"/>
        <rFont val="Times New Roman"/>
        <family val="1"/>
        <charset val="204"/>
      </rPr>
      <t>Стоимость СМР учитывает</t>
    </r>
    <r>
      <rPr>
        <sz val="12"/>
        <color theme="1"/>
        <rFont val="Times New Roman"/>
        <family val="1"/>
        <charset val="204"/>
      </rPr>
      <t>:</t>
    </r>
  </si>
  <si>
    <t>Компенсация электроэнергии (вагон-городок)</t>
  </si>
  <si>
    <t xml:space="preserve">Выполнение сопутствующих работ;                                                                                                                </t>
  </si>
  <si>
    <t>1.4</t>
  </si>
  <si>
    <t>Накладные расходы, прибыль организации, налоги и иные издержки Подрядчика;</t>
  </si>
  <si>
    <t>1.5</t>
  </si>
  <si>
    <t>Обеспечение безопасного производства труда, в т.ч:</t>
  </si>
  <si>
    <t>площадки для стропальщиков</t>
  </si>
  <si>
    <t>выносные площадки</t>
  </si>
  <si>
    <t>спец.одежда, спец.обувь и средства защиты (с логотипом компании)</t>
  </si>
  <si>
    <t>обученный персонал (охрана труда, работа на высоте, промышленная безопасность, мед.осмотр)</t>
  </si>
  <si>
    <t>2</t>
  </si>
  <si>
    <t>Вывоз мусора (бытовой, КГМ), ограждение опасных зон (с учетом материала) учитывает:</t>
  </si>
  <si>
    <t>2.1</t>
  </si>
  <si>
    <t>Ограждение лифтовых шахт; вентиляционных шахт (деревянные ограждения)</t>
  </si>
  <si>
    <t>2.2</t>
  </si>
  <si>
    <t>Ограждение технологических отверстий (деревянные ограждения)</t>
  </si>
  <si>
    <t>2.3</t>
  </si>
  <si>
    <t>Ограждение оконных проемов (в т.ч. французское окно) и витражных проемов (в т.ч. 1 этажи) (деревянные ограждения)</t>
  </si>
  <si>
    <t>2.4</t>
  </si>
  <si>
    <t>Вывоз мусора (бытовой, КГМ)</t>
  </si>
  <si>
    <t>3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</si>
  <si>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</si>
  <si>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4</t>
  </si>
  <si>
    <t>Стоимость материалов учитывает доставку</t>
  </si>
  <si>
    <t>5</t>
  </si>
  <si>
    <t>В случае, если закуп кирпича и блоков относится к закупу подрядчика компенсация поддонов отдельно не возмещается</t>
  </si>
  <si>
    <t>Приложение №2</t>
  </si>
  <si>
    <t>Локальный сметный расчет №2</t>
  </si>
  <si>
    <t>ГП-103 (секция 1,2,3)</t>
  </si>
  <si>
    <t>секция 2</t>
  </si>
  <si>
    <t>секция 3</t>
  </si>
  <si>
    <t>перемычки из уголка, металлические стойки</t>
  </si>
  <si>
    <t>Устройство деформационного шва</t>
  </si>
  <si>
    <t>с учетом гидроизоляции</t>
  </si>
  <si>
    <t>Гидроизоляция</t>
  </si>
  <si>
    <t>для просчета объема гидроизоляции</t>
  </si>
  <si>
    <t>ПБК-19.9.12-8</t>
  </si>
  <si>
    <t>ПБК-19.9.14-8</t>
  </si>
  <si>
    <t>ПБК-19.12.12-8</t>
  </si>
  <si>
    <t>ПБК-19.12.24-8</t>
  </si>
  <si>
    <t>ПБК-19.12.26-8</t>
  </si>
  <si>
    <t>ПБК-19.12.28-8</t>
  </si>
  <si>
    <t>ПБК-19.12.30-8</t>
  </si>
  <si>
    <t>ПБК-19.12.36-8</t>
  </si>
  <si>
    <t>ПБК-19.19.14-37</t>
  </si>
  <si>
    <t>ПБК-19.19.26-37</t>
  </si>
  <si>
    <t>Труба 100*100*4</t>
  </si>
  <si>
    <t>СТ-1, СТ-2</t>
  </si>
  <si>
    <t>Лист 4мм</t>
  </si>
  <si>
    <t>СТ-1, СТ-3</t>
  </si>
  <si>
    <t>Наплавляемая гидроизоляция</t>
  </si>
  <si>
    <t>Минераловатная плита тип 1</t>
  </si>
  <si>
    <t>1200*600*50 мм, плотность не ниже 50 кг/м3</t>
  </si>
  <si>
    <t>Перемычка тип 16</t>
  </si>
  <si>
    <t>Перемычка тип 17</t>
  </si>
  <si>
    <t>Перемычка тип 18</t>
  </si>
  <si>
    <t>Перемычка полистиролбетонная D500 19.9.26-8</t>
  </si>
  <si>
    <t>Перемычка тип 19</t>
  </si>
  <si>
    <t>Перемычка полистиролбетонная D500 19.12.12-8</t>
  </si>
  <si>
    <t>Перемычка тип 20</t>
  </si>
  <si>
    <t>Перемычка полистиролбетонная D500 19.12.14-8</t>
  </si>
  <si>
    <t>Перемычка тип 21</t>
  </si>
  <si>
    <t>Перемычка полистиролбетонная D500 19.12.16-8</t>
  </si>
  <si>
    <t>Перемычка тип 22</t>
  </si>
  <si>
    <t>Перемычка полистиролбетонная D500 19.12.18-8</t>
  </si>
  <si>
    <t>Перемычка тип 23</t>
  </si>
  <si>
    <t>Перемычка полистиролбетонная D500 19.12.20-8</t>
  </si>
  <si>
    <t>Перемычка тип 24</t>
  </si>
  <si>
    <t>Перемычка полистиролбетонная D500 19.12.22-8</t>
  </si>
  <si>
    <t>Перемычка тип 26</t>
  </si>
  <si>
    <t>Перемычка полистиролбетонная D500 19.12.26-8</t>
  </si>
  <si>
    <t>Перемычка тип 27</t>
  </si>
  <si>
    <t>Перемычка полистиролбетонная D500 19.12.28-8</t>
  </si>
  <si>
    <t>Перемычка тип 30</t>
  </si>
  <si>
    <t>Перемычка тип 31</t>
  </si>
  <si>
    <t>Перемычка тип 33</t>
  </si>
  <si>
    <t>Перемычка полистиролбетонная D500 19.25.12-8</t>
  </si>
  <si>
    <t>Перемычка тип 34</t>
  </si>
  <si>
    <t>Перемычка тип 36</t>
  </si>
  <si>
    <t>Перемычка тип 37</t>
  </si>
  <si>
    <t>Перемычка тип 38</t>
  </si>
  <si>
    <t>Перемычка тип 39</t>
  </si>
  <si>
    <t>Перемычка тип 35</t>
  </si>
  <si>
    <t>Перемычка полистиролбетонная D500 19.25.18-8</t>
  </si>
  <si>
    <t>В случае, если один из перечисленных прочих материалов не был использован по факту при производстве работ, заказчик вправе 
откорректировать процент прочих материалов в актах выполненных работ (формы КС-2, КС-3), уменьшив на сумму исключенного материала.</t>
  </si>
  <si>
    <t>ПБК-19.12.32-8</t>
  </si>
  <si>
    <t>ПБК-19.12.34-8</t>
  </si>
  <si>
    <t>ПБК-19.12.38-8</t>
  </si>
  <si>
    <t>ПБК-19.19.16-37</t>
  </si>
  <si>
    <t>Перемычка тип 25</t>
  </si>
  <si>
    <t>Перемычка полистиролбетонная D500 19.12.32-8</t>
  </si>
  <si>
    <t>Перемычка тип 28</t>
  </si>
  <si>
    <t>Перемычка тип 32</t>
  </si>
  <si>
    <t>Перемычка полистиролбетонная D500 19.25.32-8</t>
  </si>
  <si>
    <t>Перемычка тип 29</t>
  </si>
  <si>
    <t>Перемычка полистиролбетонная D500 19.19.22-8</t>
  </si>
  <si>
    <t>Закуп ЭНКО Давальческий</t>
  </si>
  <si>
    <t>закуп подрядчика</t>
  </si>
  <si>
    <r>
      <t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механизмов (</t>
    </r>
    <r>
      <rPr>
        <sz val="12"/>
        <color rgb="FFFF0000"/>
        <rFont val="Times New Roman"/>
        <family val="1"/>
        <charset val="204"/>
      </rPr>
      <t>за исключением башенных кранов</t>
    </r>
    <r>
      <rPr>
        <sz val="12"/>
        <color theme="1"/>
        <rFont val="Times New Roman"/>
        <family val="1"/>
        <charset val="204"/>
      </rPr>
      <t xml:space="preserve">); оборудования и инструментов, бытовых помещений и биотуалетов; на подъем материалов и разноску по этажам к местам производства работ; </t>
    </r>
  </si>
  <si>
    <t>Сводная ведомость объемов работ</t>
  </si>
  <si>
    <t>Сводная ведомость объемов материала</t>
  </si>
  <si>
    <t>Локальный сметный расчет (ЛСР) №10</t>
  </si>
  <si>
    <t>Ведомость объемов работ и расхода материалов по работе: Устройство заполнения стен и сопутствующим работам (согласно проекту шифр , стадия Р)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</si>
  <si>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</t>
  </si>
  <si>
    <t>ИТОГО по ЛСР с учетом НДС:</t>
  </si>
  <si>
    <t>Расценки на работы включают:</t>
  </si>
  <si>
    <t>Швабрование  кладки</t>
  </si>
  <si>
    <t>Утепление(минвата)</t>
  </si>
  <si>
    <t>Устройство армирующего слоя(минваты)</t>
  </si>
  <si>
    <t>Засыпка гравием керамзитовым</t>
  </si>
  <si>
    <t>Устройство армирующего слоя</t>
  </si>
  <si>
    <t>1.6</t>
  </si>
  <si>
    <t>Необходимость совмещения процессов устройства кладки и монтажа всех необходимых инженерных коммуникаций. Учитывать возможные перемещения по этажам с целью устройства кладки после монтажа коммуникаций.</t>
  </si>
  <si>
    <t>6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</si>
  <si>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</si>
  <si>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 xml:space="preserve">Устройство гидроизоляции под первой ряд блоков </t>
  </si>
  <si>
    <t xml:space="preserve">Устройство отверстий и монтаж гильз для отвода воды с открытых лоджий </t>
  </si>
  <si>
    <t>3.3</t>
  </si>
  <si>
    <t>3.4</t>
  </si>
  <si>
    <t xml:space="preserve">Устройство узла заделки проходок систем естественной вентиляции в квартирах. </t>
  </si>
  <si>
    <t>4.3</t>
  </si>
  <si>
    <t xml:space="preserve">в) </t>
  </si>
  <si>
    <t>5.3</t>
  </si>
  <si>
    <t>5.4</t>
  </si>
  <si>
    <t xml:space="preserve">Заделка технологических отверстий после монтажа инженерных систем (лестничные клетки, стены подвалов, стены машинного помещения, лифтовые примки) </t>
  </si>
  <si>
    <t>6.3</t>
  </si>
  <si>
    <t>7</t>
  </si>
  <si>
    <t>8</t>
  </si>
  <si>
    <r>
      <rPr>
        <b/>
        <sz val="8"/>
        <color theme="1"/>
        <rFont val="Arial"/>
        <family val="2"/>
        <charset val="204"/>
      </rPr>
      <t>Стоимость СМР учитывает</t>
    </r>
    <r>
      <rPr>
        <sz val="8"/>
        <color theme="1"/>
        <rFont val="Arial"/>
        <family val="2"/>
        <charset val="204"/>
      </rPr>
      <t>:</t>
    </r>
  </si>
  <si>
    <t xml:space="preserve"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машин и механизмов (за исключением башенных кранов); оборудования и инструментов, бытовых помещений и биотуалетов; на разгрузку, подъем материалов и разноску по этажам к местам производства работ. ПОДРЯДЧИК САМОСТОЯТЕЛЬНО ОБЕСПЕЧИВАЕТ ПОДЪЕМ МАТЕРИАЛОВ, СПУСК МУСОРА И МАЕТРИАЛОВ - до 10 этажа включительно. </t>
  </si>
  <si>
    <t>Ограждение лифтовых шахт; вентиляционных шахт (деревянные ограждения), в том числе восстановление ранее установленного.</t>
  </si>
  <si>
    <t>Ограждение технологических отверстий (деревянные ограждения),  в том числе восстановление ранее установленного.</t>
  </si>
  <si>
    <t>Ограждение оконных проемов (деревянные ограждения),  в том числе восстановление ранее установленного.</t>
  </si>
  <si>
    <t>2.5</t>
  </si>
  <si>
    <t xml:space="preserve">Защита ниже смотнированных оконных конструкций (деревяные козырьки) </t>
  </si>
  <si>
    <t>Закуп подярдчика</t>
  </si>
  <si>
    <t>Давальческий материал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</si>
</sst>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_₽"/>
    <numFmt numFmtId="165" formatCode="#,##0\ _₽"/>
    <numFmt numFmtId="166" formatCode="#,##0.000\ _₽"/>
    <numFmt numFmtId="167" formatCode="_-* #,##0.00\ _₽_-;\-* #,##0.00\ _₽_-;_-* &quot;-&quot;??\ _₽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2"/>
      <color theme="1"/>
      <name val="Calibri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sz val="8"/>
      <name val="Calibri"/>
      <family val="2"/>
      <scheme val="minor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i/>
      <u/>
      <sz val="8"/>
      <color theme="1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C7A7D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6" fillId="0" borderId="0"/>
    <xf numFmtId="0" fontId="7" fillId="0" borderId="0"/>
    <xf numFmtId="0" fontId="2" fillId="0" borderId="0"/>
    <xf numFmtId="0" fontId="1" fillId="0" borderId="0"/>
    <xf numFmtId="0" fontId="1" fillId="0" borderId="0"/>
  </cellStyleXfs>
  <cellXfs count="329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5" fillId="3" borderId="0" xfId="0" applyNumberFormat="1" applyFont="1" applyFill="1" applyAlignment="1">
      <alignment vertical="center"/>
    </xf>
    <xf numFmtId="4" fontId="5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4" fillId="0" borderId="0" xfId="0" applyFont="1"/>
    <xf numFmtId="49" fontId="4" fillId="3" borderId="0" xfId="0" applyNumberFormat="1" applyFont="1" applyFill="1"/>
    <xf numFmtId="4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5" fillId="0" borderId="0" xfId="0" applyFont="1"/>
    <xf numFmtId="4" fontId="4" fillId="0" borderId="0" xfId="0" applyNumberFormat="1" applyFont="1"/>
    <xf numFmtId="49" fontId="4" fillId="3" borderId="0" xfId="2" applyNumberFormat="1" applyFont="1" applyFill="1" applyAlignment="1">
      <alignment horizontal="left" vertical="top"/>
    </xf>
    <xf numFmtId="0" fontId="4" fillId="3" borderId="0" xfId="0" applyFont="1" applyFill="1" applyAlignment="1">
      <alignment horizontal="left" wrapText="1"/>
    </xf>
    <xf numFmtId="49" fontId="5" fillId="3" borderId="0" xfId="3" applyNumberFormat="1" applyFont="1" applyFill="1" applyAlignment="1">
      <alignment horizontal="left" vertical="top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49" fontId="5" fillId="3" borderId="0" xfId="3" applyNumberFormat="1" applyFont="1" applyFill="1" applyAlignment="1">
      <alignment horizontal="center" vertical="top"/>
    </xf>
    <xf numFmtId="49" fontId="4" fillId="3" borderId="0" xfId="3" applyNumberFormat="1" applyFont="1" applyFill="1" applyAlignment="1">
      <alignment horizontal="center" vertical="top"/>
    </xf>
    <xf numFmtId="0" fontId="8" fillId="3" borderId="0" xfId="0" applyFont="1" applyFill="1" applyAlignment="1">
      <alignment horizontal="left"/>
    </xf>
    <xf numFmtId="49" fontId="4" fillId="3" borderId="0" xfId="3" applyNumberFormat="1" applyFont="1" applyFill="1" applyAlignment="1">
      <alignment horizontal="left"/>
    </xf>
    <xf numFmtId="0" fontId="4" fillId="3" borderId="0" xfId="0" applyFont="1" applyFill="1" applyAlignment="1">
      <alignment wrapText="1"/>
    </xf>
    <xf numFmtId="0" fontId="4" fillId="3" borderId="0" xfId="3" applyFont="1" applyFill="1" applyAlignment="1">
      <alignment horizontal="left"/>
    </xf>
    <xf numFmtId="0" fontId="4" fillId="3" borderId="0" xfId="0" applyFont="1" applyFill="1"/>
    <xf numFmtId="164" fontId="4" fillId="3" borderId="0" xfId="0" applyNumberFormat="1" applyFont="1" applyFill="1"/>
    <xf numFmtId="0" fontId="5" fillId="3" borderId="0" xfId="0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horizontal="center"/>
    </xf>
    <xf numFmtId="0" fontId="8" fillId="3" borderId="0" xfId="0" applyFont="1" applyFill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4" fontId="5" fillId="0" borderId="3" xfId="1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wrapText="1"/>
    </xf>
    <xf numFmtId="164" fontId="5" fillId="5" borderId="4" xfId="0" applyNumberFormat="1" applyFont="1" applyFill="1" applyBorder="1" applyAlignment="1">
      <alignment horizontal="center" vertical="center" wrapText="1"/>
    </xf>
    <xf numFmtId="4" fontId="5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4" fontId="5" fillId="6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center" vertical="center" wrapText="1"/>
    </xf>
    <xf numFmtId="4" fontId="5" fillId="7" borderId="4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center" vertical="center" wrapText="1"/>
    </xf>
    <xf numFmtId="16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" fontId="5" fillId="7" borderId="3" xfId="0" applyNumberFormat="1" applyFont="1" applyFill="1" applyBorder="1" applyAlignment="1">
      <alignment horizontal="center" vertical="center" wrapText="1"/>
    </xf>
    <xf numFmtId="4" fontId="4" fillId="7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 wrapText="1"/>
    </xf>
    <xf numFmtId="4" fontId="9" fillId="5" borderId="3" xfId="0" applyNumberFormat="1" applyFont="1" applyFill="1" applyBorder="1" applyAlignment="1">
      <alignment horizontal="center" vertical="center" wrapText="1"/>
    </xf>
    <xf numFmtId="4" fontId="4" fillId="5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11" fillId="0" borderId="0" xfId="0" applyFont="1"/>
    <xf numFmtId="4" fontId="5" fillId="0" borderId="0" xfId="0" applyNumberFormat="1" applyFont="1"/>
    <xf numFmtId="49" fontId="12" fillId="0" borderId="0" xfId="0" applyNumberFormat="1" applyFont="1" applyAlignment="1">
      <alignment horizontal="center" vertical="center" wrapText="1"/>
    </xf>
    <xf numFmtId="0" fontId="4" fillId="0" borderId="0" xfId="4" applyFont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14" fillId="0" borderId="0" xfId="4" applyFont="1" applyAlignment="1">
      <alignment horizontal="left" vertical="center" wrapText="1"/>
    </xf>
    <xf numFmtId="0" fontId="5" fillId="0" borderId="0" xfId="4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164" fontId="4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18" fillId="3" borderId="0" xfId="0" applyFont="1" applyFill="1"/>
    <xf numFmtId="49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164" fontId="16" fillId="0" borderId="0" xfId="0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164" fontId="17" fillId="0" borderId="3" xfId="1" applyNumberFormat="1" applyFont="1" applyFill="1" applyBorder="1" applyAlignment="1">
      <alignment horizontal="center" vertical="center" wrapText="1"/>
    </xf>
    <xf numFmtId="4" fontId="17" fillId="0" borderId="3" xfId="1" applyNumberFormat="1" applyFont="1" applyFill="1" applyBorder="1" applyAlignment="1">
      <alignment horizontal="center" vertical="center" wrapText="1"/>
    </xf>
    <xf numFmtId="49" fontId="17" fillId="4" borderId="3" xfId="0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164" fontId="17" fillId="4" borderId="3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7" fillId="5" borderId="3" xfId="0" applyNumberFormat="1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center" vertical="center" wrapText="1"/>
    </xf>
    <xf numFmtId="164" fontId="17" fillId="5" borderId="4" xfId="0" applyNumberFormat="1" applyFont="1" applyFill="1" applyBorder="1" applyAlignment="1">
      <alignment horizontal="center" vertical="center" wrapText="1"/>
    </xf>
    <xf numFmtId="4" fontId="17" fillId="5" borderId="4" xfId="0" applyNumberFormat="1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49" fontId="17" fillId="6" borderId="4" xfId="0" applyNumberFormat="1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center" vertical="center" wrapText="1"/>
    </xf>
    <xf numFmtId="164" fontId="17" fillId="6" borderId="4" xfId="0" applyNumberFormat="1" applyFont="1" applyFill="1" applyBorder="1" applyAlignment="1">
      <alignment horizontal="center" vertical="center" wrapText="1"/>
    </xf>
    <xf numFmtId="4" fontId="17" fillId="6" borderId="4" xfId="0" applyNumberFormat="1" applyFont="1" applyFill="1" applyBorder="1" applyAlignment="1">
      <alignment horizontal="center" vertical="center" wrapText="1"/>
    </xf>
    <xf numFmtId="49" fontId="17" fillId="7" borderId="4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164" fontId="17" fillId="7" borderId="4" xfId="0" applyNumberFormat="1" applyFont="1" applyFill="1" applyBorder="1" applyAlignment="1">
      <alignment horizontal="center" vertical="center" wrapText="1"/>
    </xf>
    <xf numFmtId="4" fontId="17" fillId="7" borderId="4" xfId="0" applyNumberFormat="1" applyFont="1" applyFill="1" applyBorder="1" applyAlignment="1">
      <alignment horizontal="center" vertical="center" wrapText="1"/>
    </xf>
    <xf numFmtId="49" fontId="16" fillId="6" borderId="3" xfId="0" applyNumberFormat="1" applyFont="1" applyFill="1" applyBorder="1" applyAlignment="1">
      <alignment horizontal="center" vertical="center" wrapText="1"/>
    </xf>
    <xf numFmtId="0" fontId="17" fillId="6" borderId="3" xfId="1" applyFont="1" applyFill="1" applyBorder="1" applyAlignment="1">
      <alignment horizontal="left" vertical="center" wrapText="1"/>
    </xf>
    <xf numFmtId="0" fontId="17" fillId="6" borderId="3" xfId="0" applyFont="1" applyFill="1" applyBorder="1" applyAlignment="1">
      <alignment horizontal="center" vertical="center" wrapText="1"/>
    </xf>
    <xf numFmtId="164" fontId="17" fillId="6" borderId="3" xfId="0" applyNumberFormat="1" applyFont="1" applyFill="1" applyBorder="1" applyAlignment="1">
      <alignment horizontal="center" vertical="center" wrapText="1"/>
    </xf>
    <xf numFmtId="4" fontId="17" fillId="6" borderId="3" xfId="0" applyNumberFormat="1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center" vertical="center" wrapText="1"/>
    </xf>
    <xf numFmtId="164" fontId="16" fillId="6" borderId="3" xfId="0" applyNumberFormat="1" applyFont="1" applyFill="1" applyBorder="1" applyAlignment="1">
      <alignment horizontal="center" vertical="center" wrapText="1"/>
    </xf>
    <xf numFmtId="4" fontId="16" fillId="6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165" fontId="16" fillId="0" borderId="3" xfId="0" applyNumberFormat="1" applyFont="1" applyBorder="1" applyAlignment="1">
      <alignment horizontal="center" vertical="center" wrapText="1"/>
    </xf>
    <xf numFmtId="3" fontId="17" fillId="0" borderId="3" xfId="0" applyNumberFormat="1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left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2" fontId="16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49" fontId="16" fillId="0" borderId="3" xfId="0" applyNumberFormat="1" applyFont="1" applyBorder="1" applyAlignment="1">
      <alignment vertical="center" wrapText="1"/>
    </xf>
    <xf numFmtId="166" fontId="16" fillId="0" borderId="3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166" fontId="17" fillId="0" borderId="3" xfId="0" applyNumberFormat="1" applyFont="1" applyBorder="1" applyAlignment="1">
      <alignment horizontal="center" vertical="center" wrapText="1"/>
    </xf>
    <xf numFmtId="164" fontId="17" fillId="0" borderId="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49" fontId="17" fillId="7" borderId="3" xfId="0" applyNumberFormat="1" applyFont="1" applyFill="1" applyBorder="1" applyAlignment="1">
      <alignment horizontal="center" vertical="center" wrapText="1"/>
    </xf>
    <xf numFmtId="4" fontId="17" fillId="7" borderId="3" xfId="0" applyNumberFormat="1" applyFont="1" applyFill="1" applyBorder="1" applyAlignment="1">
      <alignment horizontal="center" vertical="center" wrapText="1"/>
    </xf>
    <xf numFmtId="49" fontId="19" fillId="5" borderId="3" xfId="0" applyNumberFormat="1" applyFont="1" applyFill="1" applyBorder="1" applyAlignment="1">
      <alignment horizontal="center" vertical="center" wrapText="1"/>
    </xf>
    <xf numFmtId="4" fontId="19" fillId="5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vertical="center" wrapText="1"/>
    </xf>
    <xf numFmtId="49" fontId="16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8" fillId="0" borderId="0" xfId="0" applyFont="1"/>
    <xf numFmtId="4" fontId="17" fillId="7" borderId="2" xfId="0" applyNumberFormat="1" applyFont="1" applyFill="1" applyBorder="1" applyAlignment="1">
      <alignment horizontal="right" vertical="center"/>
    </xf>
    <xf numFmtId="4" fontId="17" fillId="7" borderId="5" xfId="0" applyNumberFormat="1" applyFont="1" applyFill="1" applyBorder="1" applyAlignment="1">
      <alignment horizontal="right" vertical="center"/>
    </xf>
    <xf numFmtId="4" fontId="19" fillId="5" borderId="2" xfId="0" applyNumberFormat="1" applyFont="1" applyFill="1" applyBorder="1" applyAlignment="1">
      <alignment horizontal="right" vertical="center"/>
    </xf>
    <xf numFmtId="4" fontId="19" fillId="5" borderId="5" xfId="0" applyNumberFormat="1" applyFont="1" applyFill="1" applyBorder="1" applyAlignment="1">
      <alignment horizontal="right" vertical="center"/>
    </xf>
    <xf numFmtId="0" fontId="18" fillId="9" borderId="7" xfId="0" applyFont="1" applyFill="1" applyBorder="1" applyAlignment="1">
      <alignment horizontal="left"/>
    </xf>
    <xf numFmtId="49" fontId="18" fillId="3" borderId="0" xfId="3" applyNumberFormat="1" applyFont="1" applyFill="1" applyAlignment="1">
      <alignment horizontal="left"/>
    </xf>
    <xf numFmtId="0" fontId="18" fillId="3" borderId="0" xfId="0" applyFont="1" applyFill="1" applyAlignment="1">
      <alignment wrapText="1"/>
    </xf>
    <xf numFmtId="0" fontId="18" fillId="3" borderId="0" xfId="3" applyFont="1" applyFill="1" applyAlignment="1">
      <alignment horizontal="left"/>
    </xf>
    <xf numFmtId="0" fontId="21" fillId="3" borderId="0" xfId="0" applyFont="1" applyFill="1" applyAlignment="1">
      <alignment horizontal="center" vertical="center" wrapText="1"/>
    </xf>
    <xf numFmtId="49" fontId="18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center" vertical="center" wrapText="1"/>
    </xf>
    <xf numFmtId="49" fontId="21" fillId="4" borderId="3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4" fontId="21" fillId="4" borderId="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21" fillId="5" borderId="3" xfId="0" applyNumberFormat="1" applyFont="1" applyFill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 wrapText="1"/>
    </xf>
    <xf numFmtId="4" fontId="21" fillId="5" borderId="4" xfId="0" applyNumberFormat="1" applyFont="1" applyFill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4" fontId="21" fillId="3" borderId="3" xfId="0" applyNumberFormat="1" applyFont="1" applyFill="1" applyBorder="1" applyAlignment="1">
      <alignment horizontal="center" vertical="center" wrapText="1"/>
    </xf>
    <xf numFmtId="4" fontId="18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18" fillId="3" borderId="3" xfId="0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left" vertical="center" wrapText="1"/>
    </xf>
    <xf numFmtId="49" fontId="22" fillId="5" borderId="3" xfId="0" applyNumberFormat="1" applyFont="1" applyFill="1" applyBorder="1" applyAlignment="1">
      <alignment horizontal="center" vertical="center" wrapText="1"/>
    </xf>
    <xf numFmtId="4" fontId="22" fillId="5" borderId="3" xfId="0" applyNumberFormat="1" applyFont="1" applyFill="1" applyBorder="1" applyAlignment="1">
      <alignment horizontal="center" vertical="center" wrapText="1"/>
    </xf>
    <xf numFmtId="49" fontId="22" fillId="3" borderId="0" xfId="0" applyNumberFormat="1" applyFont="1" applyFill="1" applyAlignment="1">
      <alignment horizontal="center" vertical="center" wrapText="1"/>
    </xf>
    <xf numFmtId="4" fontId="22" fillId="3" borderId="0" xfId="0" applyNumberFormat="1" applyFont="1" applyFill="1" applyAlignment="1">
      <alignment horizontal="right" vertical="center"/>
    </xf>
    <xf numFmtId="4" fontId="22" fillId="3" borderId="0" xfId="0" applyNumberFormat="1" applyFont="1" applyFill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 wrapText="1"/>
    </xf>
    <xf numFmtId="4" fontId="17" fillId="5" borderId="3" xfId="0" applyNumberFormat="1" applyFont="1" applyFill="1" applyBorder="1" applyAlignment="1">
      <alignment horizontal="center" vertical="center" wrapText="1"/>
    </xf>
    <xf numFmtId="164" fontId="21" fillId="3" borderId="0" xfId="0" applyNumberFormat="1" applyFont="1" applyFill="1" applyAlignment="1">
      <alignment horizontal="center" vertical="center" wrapText="1"/>
    </xf>
    <xf numFmtId="49" fontId="18" fillId="0" borderId="0" xfId="3" applyNumberFormat="1" applyFont="1" applyAlignment="1">
      <alignment horizontal="left"/>
    </xf>
    <xf numFmtId="4" fontId="18" fillId="0" borderId="0" xfId="0" applyNumberFormat="1" applyFont="1" applyAlignment="1">
      <alignment horizontal="center"/>
    </xf>
    <xf numFmtId="164" fontId="21" fillId="0" borderId="0" xfId="0" applyNumberFormat="1" applyFont="1" applyAlignment="1">
      <alignment vertical="center" wrapText="1"/>
    </xf>
    <xf numFmtId="164" fontId="21" fillId="0" borderId="3" xfId="1" applyNumberFormat="1" applyFont="1" applyFill="1" applyBorder="1" applyAlignment="1">
      <alignment horizontal="center" vertical="center" wrapText="1"/>
    </xf>
    <xf numFmtId="164" fontId="21" fillId="4" borderId="3" xfId="0" applyNumberFormat="1" applyFont="1" applyFill="1" applyBorder="1" applyAlignment="1">
      <alignment horizontal="center" vertical="center" wrapText="1"/>
    </xf>
    <xf numFmtId="164" fontId="21" fillId="5" borderId="4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164" fontId="21" fillId="3" borderId="3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49" fontId="18" fillId="0" borderId="3" xfId="0" applyNumberFormat="1" applyFont="1" applyBorder="1" applyAlignment="1">
      <alignment vertical="center" wrapText="1"/>
    </xf>
    <xf numFmtId="164" fontId="21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4" fontId="22" fillId="5" borderId="3" xfId="0" applyNumberFormat="1" applyFont="1" applyFill="1" applyBorder="1" applyAlignment="1">
      <alignment vertical="center" wrapText="1"/>
    </xf>
    <xf numFmtId="164" fontId="21" fillId="8" borderId="3" xfId="0" applyNumberFormat="1" applyFont="1" applyFill="1" applyBorder="1" applyAlignment="1">
      <alignment horizontal="center" vertical="center" wrapText="1"/>
    </xf>
    <xf numFmtId="167" fontId="18" fillId="0" borderId="0" xfId="0" applyNumberFormat="1" applyFont="1" applyAlignment="1">
      <alignment horizontal="left"/>
    </xf>
    <xf numFmtId="167" fontId="16" fillId="0" borderId="0" xfId="0" applyNumberFormat="1" applyFont="1" applyAlignment="1">
      <alignment vertical="center" wrapText="1"/>
    </xf>
    <xf numFmtId="167" fontId="17" fillId="0" borderId="3" xfId="1" applyNumberFormat="1" applyFont="1" applyFill="1" applyBorder="1" applyAlignment="1">
      <alignment horizontal="center" vertical="center" wrapText="1"/>
    </xf>
    <xf numFmtId="167" fontId="16" fillId="4" borderId="3" xfId="0" applyNumberFormat="1" applyFont="1" applyFill="1" applyBorder="1" applyAlignment="1">
      <alignment horizontal="center" vertical="center" wrapText="1"/>
    </xf>
    <xf numFmtId="167" fontId="16" fillId="5" borderId="4" xfId="0" applyNumberFormat="1" applyFont="1" applyFill="1" applyBorder="1" applyAlignment="1">
      <alignment horizontal="center" vertical="center" wrapText="1"/>
    </xf>
    <xf numFmtId="167" fontId="16" fillId="6" borderId="3" xfId="0" applyNumberFormat="1" applyFont="1" applyFill="1" applyBorder="1" applyAlignment="1">
      <alignment horizontal="center" vertical="center" wrapText="1"/>
    </xf>
    <xf numFmtId="167" fontId="16" fillId="0" borderId="3" xfId="0" applyNumberFormat="1" applyFont="1" applyBorder="1" applyAlignment="1">
      <alignment horizontal="center" vertical="center" wrapText="1"/>
    </xf>
    <xf numFmtId="167" fontId="16" fillId="6" borderId="4" xfId="0" applyNumberFormat="1" applyFont="1" applyFill="1" applyBorder="1" applyAlignment="1">
      <alignment horizontal="center" vertical="center" wrapText="1"/>
    </xf>
    <xf numFmtId="167" fontId="16" fillId="7" borderId="4" xfId="0" applyNumberFormat="1" applyFont="1" applyFill="1" applyBorder="1" applyAlignment="1">
      <alignment horizontal="center" vertical="center" wrapText="1"/>
    </xf>
    <xf numFmtId="167" fontId="17" fillId="0" borderId="3" xfId="0" applyNumberFormat="1" applyFont="1" applyBorder="1" applyAlignment="1">
      <alignment horizontal="center" vertical="center" wrapText="1"/>
    </xf>
    <xf numFmtId="167" fontId="16" fillId="7" borderId="3" xfId="0" applyNumberFormat="1" applyFont="1" applyFill="1" applyBorder="1" applyAlignment="1">
      <alignment horizontal="center" vertical="center"/>
    </xf>
    <xf numFmtId="167" fontId="16" fillId="5" borderId="3" xfId="0" applyNumberFormat="1" applyFont="1" applyFill="1" applyBorder="1" applyAlignment="1">
      <alignment horizontal="center" vertical="center"/>
    </xf>
    <xf numFmtId="167" fontId="18" fillId="9" borderId="7" xfId="0" applyNumberFormat="1" applyFont="1" applyFill="1" applyBorder="1" applyAlignment="1">
      <alignment horizontal="left"/>
    </xf>
    <xf numFmtId="167" fontId="16" fillId="0" borderId="0" xfId="0" applyNumberFormat="1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4" fillId="3" borderId="0" xfId="0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167" fontId="26" fillId="0" borderId="0" xfId="0" applyNumberFormat="1" applyFont="1" applyAlignment="1">
      <alignment vertical="center" wrapText="1"/>
    </xf>
    <xf numFmtId="0" fontId="25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49" fontId="24" fillId="0" borderId="0" xfId="0" applyNumberFormat="1" applyFont="1" applyAlignment="1">
      <alignment vertical="center" wrapText="1"/>
    </xf>
    <xf numFmtId="0" fontId="24" fillId="3" borderId="0" xfId="0" applyFont="1" applyFill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/>
    <xf numFmtId="0" fontId="24" fillId="0" borderId="0" xfId="0" applyFont="1"/>
    <xf numFmtId="4" fontId="25" fillId="0" borderId="0" xfId="0" applyNumberFormat="1" applyFont="1"/>
    <xf numFmtId="4" fontId="24" fillId="0" borderId="0" xfId="0" applyNumberFormat="1" applyFont="1"/>
    <xf numFmtId="49" fontId="25" fillId="0" borderId="0" xfId="0" applyNumberFormat="1" applyFont="1" applyAlignment="1">
      <alignment horizontal="center" vertical="center" wrapText="1"/>
    </xf>
    <xf numFmtId="0" fontId="24" fillId="0" borderId="0" xfId="6" applyFont="1" applyAlignment="1">
      <alignment horizontal="left" vertical="center" wrapText="1"/>
    </xf>
    <xf numFmtId="0" fontId="26" fillId="0" borderId="0" xfId="0" applyFont="1" applyAlignment="1">
      <alignment vertical="center"/>
    </xf>
    <xf numFmtId="167" fontId="26" fillId="0" borderId="0" xfId="0" applyNumberFormat="1" applyFont="1" applyAlignment="1">
      <alignment vertical="center"/>
    </xf>
    <xf numFmtId="0" fontId="24" fillId="0" borderId="0" xfId="6" applyFont="1" applyAlignment="1">
      <alignment horizontal="left" vertical="center"/>
    </xf>
    <xf numFmtId="0" fontId="24" fillId="0" borderId="0" xfId="6" applyFont="1" applyAlignment="1">
      <alignment vertical="center"/>
    </xf>
    <xf numFmtId="167" fontId="24" fillId="0" borderId="0" xfId="6" applyNumberFormat="1" applyFont="1" applyAlignment="1">
      <alignment vertical="center"/>
    </xf>
    <xf numFmtId="0" fontId="25" fillId="0" borderId="0" xfId="6" applyFont="1" applyAlignment="1">
      <alignment horizontal="left" vertical="center"/>
    </xf>
    <xf numFmtId="0" fontId="24" fillId="0" borderId="0" xfId="6" applyFont="1" applyAlignment="1">
      <alignment horizontal="left" vertical="center"/>
    </xf>
    <xf numFmtId="0" fontId="24" fillId="0" borderId="0" xfId="6" applyFont="1" applyAlignment="1">
      <alignment horizontal="left" vertical="top" wrapText="1"/>
    </xf>
    <xf numFmtId="0" fontId="25" fillId="0" borderId="0" xfId="6" applyFont="1" applyAlignment="1">
      <alignment horizontal="left" vertical="center"/>
    </xf>
    <xf numFmtId="0" fontId="21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1" fillId="9" borderId="8" xfId="0" applyFont="1" applyFill="1" applyBorder="1" applyAlignment="1">
      <alignment horizontal="center" vertical="center" wrapText="1"/>
    </xf>
    <xf numFmtId="4" fontId="21" fillId="9" borderId="8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5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 vertical="center"/>
    </xf>
    <xf numFmtId="0" fontId="4" fillId="0" borderId="0" xfId="4" applyFont="1" applyAlignment="1">
      <alignment horizontal="left" vertical="center" wrapText="1"/>
    </xf>
    <xf numFmtId="49" fontId="5" fillId="3" borderId="0" xfId="3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5" fillId="7" borderId="2" xfId="0" applyNumberFormat="1" applyFont="1" applyFill="1" applyBorder="1" applyAlignment="1">
      <alignment horizontal="right" vertical="center"/>
    </xf>
    <xf numFmtId="4" fontId="5" fillId="7" borderId="5" xfId="0" applyNumberFormat="1" applyFont="1" applyFill="1" applyBorder="1" applyAlignment="1">
      <alignment horizontal="right" vertical="center"/>
    </xf>
    <xf numFmtId="4" fontId="5" fillId="7" borderId="6" xfId="0" applyNumberFormat="1" applyFont="1" applyFill="1" applyBorder="1" applyAlignment="1">
      <alignment horizontal="right" vertical="center"/>
    </xf>
    <xf numFmtId="4" fontId="9" fillId="5" borderId="2" xfId="0" applyNumberFormat="1" applyFont="1" applyFill="1" applyBorder="1" applyAlignment="1">
      <alignment horizontal="right" vertical="center"/>
    </xf>
    <xf numFmtId="4" fontId="9" fillId="5" borderId="5" xfId="0" applyNumberFormat="1" applyFont="1" applyFill="1" applyBorder="1" applyAlignment="1">
      <alignment horizontal="right" vertical="center"/>
    </xf>
    <xf numFmtId="4" fontId="9" fillId="5" borderId="6" xfId="0" applyNumberFormat="1" applyFont="1" applyFill="1" applyBorder="1" applyAlignment="1">
      <alignment horizontal="right" vertical="center"/>
    </xf>
    <xf numFmtId="0" fontId="4" fillId="0" borderId="0" xfId="4" applyFont="1" applyAlignment="1">
      <alignment vertical="center" wrapText="1"/>
    </xf>
    <xf numFmtId="0" fontId="5" fillId="0" borderId="0" xfId="4" applyFont="1" applyAlignment="1">
      <alignment horizontal="left" vertical="center" wrapText="1"/>
    </xf>
    <xf numFmtId="49" fontId="21" fillId="3" borderId="0" xfId="3" applyNumberFormat="1" applyFont="1" applyFill="1" applyAlignment="1">
      <alignment horizontal="center" vertical="center"/>
    </xf>
    <xf numFmtId="4" fontId="22" fillId="5" borderId="2" xfId="0" applyNumberFormat="1" applyFont="1" applyFill="1" applyBorder="1" applyAlignment="1">
      <alignment horizontal="right" vertical="center"/>
    </xf>
    <xf numFmtId="4" fontId="22" fillId="5" borderId="5" xfId="0" applyNumberFormat="1" applyFont="1" applyFill="1" applyBorder="1" applyAlignment="1">
      <alignment horizontal="right" vertical="center"/>
    </xf>
    <xf numFmtId="4" fontId="22" fillId="5" borderId="6" xfId="0" applyNumberFormat="1" applyFont="1" applyFill="1" applyBorder="1" applyAlignment="1">
      <alignment horizontal="right" vertical="center"/>
    </xf>
  </cellXfs>
  <cellStyles count="7">
    <cellStyle name="Акцент1" xfId="1" builtinId="29"/>
    <cellStyle name="Обычный" xfId="0" builtinId="0"/>
    <cellStyle name="Обычный 2" xfId="2" xr:uid="{6C007AFB-F348-44FE-87D4-8B36B638D07C}"/>
    <cellStyle name="Обычный 2 2 2" xfId="3" xr:uid="{BDB342FC-819F-4E2F-BD00-9316736B124C}"/>
    <cellStyle name="Обычный 3 2 2" xfId="4" xr:uid="{FEA9E9EC-B970-46F5-98E1-99C022B4C991}"/>
    <cellStyle name="Обычный 3 2 2 2" xfId="5" xr:uid="{AE08EF8A-65F1-4904-8573-C13454ADDA23}"/>
    <cellStyle name="Обычный 3 2 2 4" xfId="6" xr:uid="{CD64134D-2C45-42C6-A75C-0982C4642740}"/>
  </cellStyles>
  <dxfs count="2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6998-3661-4B2E-A6E4-D3B5BD93DB5F}">
  <sheetPr>
    <tabColor rgb="FF92D050"/>
    <pageSetUpPr fitToPage="1"/>
  </sheetPr>
  <dimension ref="A1:L1135"/>
  <sheetViews>
    <sheetView zoomScale="60" zoomScaleNormal="60" zoomScaleSheetLayoutView="85" workbookViewId="0">
      <selection activeCell="F28" sqref="F28"/>
    </sheetView>
  </sheetViews>
  <sheetFormatPr defaultColWidth="9.140625" defaultRowHeight="15.75" x14ac:dyDescent="0.25"/>
  <cols>
    <col min="1" max="1" width="15.42578125" style="108" customWidth="1"/>
    <col min="2" max="2" width="101.42578125" style="54" customWidth="1"/>
    <col min="3" max="3" width="52.42578125" style="54" customWidth="1"/>
    <col min="4" max="4" width="12.85546875" style="54" customWidth="1"/>
    <col min="5" max="5" width="20.42578125" style="54" customWidth="1"/>
    <col min="6" max="6" width="21.140625" style="54" customWidth="1"/>
    <col min="7" max="7" width="13.7109375" style="109" customWidth="1"/>
    <col min="8" max="8" width="16.5703125" style="34" customWidth="1"/>
    <col min="9" max="9" width="24" style="110" customWidth="1"/>
    <col min="10" max="10" width="21.140625" style="110" customWidth="1"/>
    <col min="11" max="11" width="42.85546875" style="47" customWidth="1"/>
    <col min="12" max="12" width="29.85546875" style="47" customWidth="1"/>
    <col min="13" max="16384" width="9.140625" style="35"/>
  </cols>
  <sheetData>
    <row r="1" spans="1:12" s="2" customFormat="1" x14ac:dyDescent="0.25">
      <c r="A1" s="1"/>
      <c r="G1" s="3"/>
      <c r="H1" s="4"/>
      <c r="L1" s="5" t="s">
        <v>0</v>
      </c>
    </row>
    <row r="2" spans="1:12" s="2" customFormat="1" x14ac:dyDescent="0.25">
      <c r="A2" s="1"/>
      <c r="G2" s="3"/>
      <c r="H2" s="4"/>
      <c r="L2" s="5" t="s">
        <v>1</v>
      </c>
    </row>
    <row r="3" spans="1:12" s="2" customFormat="1" x14ac:dyDescent="0.25">
      <c r="A3" s="1"/>
      <c r="G3" s="3"/>
      <c r="H3" s="4"/>
      <c r="L3" s="5" t="s">
        <v>2</v>
      </c>
    </row>
    <row r="4" spans="1:12" s="2" customFormat="1" x14ac:dyDescent="0.25">
      <c r="A4" s="1"/>
      <c r="E4" s="6"/>
      <c r="F4" s="6"/>
      <c r="G4" s="7"/>
      <c r="H4" s="4"/>
    </row>
    <row r="5" spans="1:12" s="2" customFormat="1" x14ac:dyDescent="0.25">
      <c r="B5" s="8" t="s">
        <v>3</v>
      </c>
      <c r="C5" s="9" t="s">
        <v>4</v>
      </c>
      <c r="D5" s="9"/>
      <c r="G5" s="3"/>
      <c r="H5" s="4"/>
      <c r="J5" s="4" t="s">
        <v>5</v>
      </c>
      <c r="K5" s="9"/>
      <c r="L5" s="10"/>
    </row>
    <row r="6" spans="1:12" s="2" customFormat="1" x14ac:dyDescent="0.25">
      <c r="B6" s="11" t="s">
        <v>6</v>
      </c>
      <c r="C6" s="10" t="s">
        <v>7</v>
      </c>
      <c r="D6" s="10"/>
      <c r="G6" s="3"/>
      <c r="H6" s="4"/>
      <c r="J6" s="2" t="s">
        <v>8</v>
      </c>
      <c r="K6" s="10"/>
      <c r="L6" s="10"/>
    </row>
    <row r="7" spans="1:12" s="2" customFormat="1" x14ac:dyDescent="0.25">
      <c r="B7" s="11" t="s">
        <v>9</v>
      </c>
      <c r="C7" s="10"/>
      <c r="D7" s="10"/>
      <c r="G7" s="3"/>
      <c r="H7" s="4"/>
      <c r="K7" s="10"/>
      <c r="L7" s="10"/>
    </row>
    <row r="8" spans="1:12" s="2" customFormat="1" x14ac:dyDescent="0.25">
      <c r="B8" s="11"/>
      <c r="C8" s="10"/>
      <c r="D8" s="10"/>
      <c r="G8" s="3"/>
      <c r="H8" s="4"/>
      <c r="K8" s="10"/>
      <c r="L8" s="10"/>
    </row>
    <row r="9" spans="1:12" s="12" customFormat="1" ht="22.5" customHeight="1" x14ac:dyDescent="0.25">
      <c r="B9" s="13" t="s">
        <v>10</v>
      </c>
      <c r="C9" s="14" t="s">
        <v>11</v>
      </c>
      <c r="D9" s="14"/>
      <c r="G9" s="15"/>
      <c r="H9" s="16"/>
      <c r="I9" s="17"/>
      <c r="J9" s="12" t="s">
        <v>12</v>
      </c>
      <c r="K9" s="14"/>
      <c r="L9" s="14"/>
    </row>
    <row r="10" spans="1:12" s="25" customFormat="1" ht="15.75" customHeight="1" x14ac:dyDescent="0.25">
      <c r="A10" s="18"/>
      <c r="B10" s="19"/>
      <c r="C10" s="20"/>
      <c r="D10" s="20"/>
      <c r="E10" s="21"/>
      <c r="F10" s="21"/>
      <c r="G10" s="22"/>
      <c r="H10" s="23"/>
      <c r="I10" s="21"/>
      <c r="J10" s="20"/>
      <c r="K10" s="23"/>
      <c r="L10" s="24"/>
    </row>
    <row r="11" spans="1:12" s="33" customFormat="1" ht="15.75" customHeight="1" x14ac:dyDescent="0.25">
      <c r="A11" s="26"/>
      <c r="B11" s="27"/>
      <c r="C11" s="28"/>
      <c r="D11" s="28"/>
      <c r="E11" s="29"/>
      <c r="F11" s="29"/>
      <c r="G11" s="30"/>
      <c r="H11" s="31"/>
      <c r="I11" s="29"/>
      <c r="J11" s="26"/>
      <c r="K11" s="32"/>
      <c r="L11" s="32"/>
    </row>
    <row r="12" spans="1:12" s="33" customFormat="1" ht="21.75" customHeight="1" x14ac:dyDescent="0.25">
      <c r="A12" s="315" t="s">
        <v>13</v>
      </c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</row>
    <row r="13" spans="1:12" ht="18" customHeight="1" x14ac:dyDescent="0.25">
      <c r="A13" s="316" t="s">
        <v>14</v>
      </c>
      <c r="B13" s="316"/>
      <c r="C13" s="316"/>
      <c r="D13" s="316"/>
      <c r="E13" s="316"/>
      <c r="F13" s="316"/>
      <c r="G13" s="316"/>
      <c r="H13" s="316"/>
      <c r="I13" s="316"/>
      <c r="J13" s="316"/>
      <c r="K13" s="316"/>
      <c r="L13" s="316"/>
    </row>
    <row r="14" spans="1:12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</row>
    <row r="15" spans="1:12" s="12" customFormat="1" ht="35.25" customHeight="1" x14ac:dyDescent="0.25">
      <c r="A15" s="37" t="s">
        <v>15</v>
      </c>
      <c r="B15" s="38" t="s">
        <v>16</v>
      </c>
      <c r="C15" s="38" t="s">
        <v>17</v>
      </c>
      <c r="D15" s="38" t="s">
        <v>18</v>
      </c>
      <c r="E15" s="38" t="s">
        <v>19</v>
      </c>
      <c r="F15" s="38" t="s">
        <v>20</v>
      </c>
      <c r="G15" s="39" t="s">
        <v>21</v>
      </c>
      <c r="H15" s="38" t="s">
        <v>22</v>
      </c>
      <c r="I15" s="40" t="s">
        <v>23</v>
      </c>
      <c r="J15" s="40" t="s">
        <v>24</v>
      </c>
      <c r="K15" s="40" t="s">
        <v>25</v>
      </c>
      <c r="L15" s="40" t="s">
        <v>26</v>
      </c>
    </row>
    <row r="16" spans="1:12" s="47" customFormat="1" ht="19.5" customHeight="1" x14ac:dyDescent="0.25">
      <c r="A16" s="41" t="s">
        <v>27</v>
      </c>
      <c r="B16" s="42" t="s">
        <v>28</v>
      </c>
      <c r="C16" s="43"/>
      <c r="D16" s="43"/>
      <c r="E16" s="43"/>
      <c r="F16" s="43"/>
      <c r="G16" s="44"/>
      <c r="H16" s="43"/>
      <c r="I16" s="45"/>
      <c r="J16" s="45"/>
      <c r="K16" s="43"/>
      <c r="L16" s="46"/>
    </row>
    <row r="17" spans="1:12" s="54" customFormat="1" ht="19.5" customHeight="1" x14ac:dyDescent="0.25">
      <c r="A17" s="48" t="s">
        <v>29</v>
      </c>
      <c r="B17" s="49" t="s">
        <v>30</v>
      </c>
      <c r="C17" s="50"/>
      <c r="D17" s="50"/>
      <c r="E17" s="50"/>
      <c r="F17" s="50"/>
      <c r="G17" s="51"/>
      <c r="H17" s="52"/>
      <c r="I17" s="52"/>
      <c r="J17" s="52"/>
      <c r="K17" s="53"/>
      <c r="L17" s="53"/>
    </row>
    <row r="18" spans="1:12" s="54" customFormat="1" x14ac:dyDescent="0.25">
      <c r="A18" s="55" t="s">
        <v>31</v>
      </c>
      <c r="B18" s="56" t="s">
        <v>32</v>
      </c>
      <c r="C18" s="57"/>
      <c r="D18" s="57"/>
      <c r="E18" s="57"/>
      <c r="F18" s="57"/>
      <c r="G18" s="58"/>
      <c r="H18" s="59"/>
      <c r="I18" s="59"/>
      <c r="J18" s="59"/>
      <c r="K18" s="59"/>
      <c r="L18" s="59"/>
    </row>
    <row r="19" spans="1:12" s="54" customFormat="1" ht="18" customHeight="1" x14ac:dyDescent="0.25">
      <c r="A19" s="60" t="s">
        <v>33</v>
      </c>
      <c r="B19" s="61" t="s">
        <v>32</v>
      </c>
      <c r="C19" s="62"/>
      <c r="D19" s="63"/>
      <c r="E19" s="62"/>
      <c r="F19" s="62"/>
      <c r="G19" s="64"/>
      <c r="H19" s="65"/>
      <c r="I19" s="65"/>
      <c r="J19" s="65">
        <f>J20</f>
        <v>3528000</v>
      </c>
      <c r="K19" s="65"/>
      <c r="L19" s="65"/>
    </row>
    <row r="20" spans="1:12" s="54" customFormat="1" ht="21.75" customHeight="1" x14ac:dyDescent="0.25">
      <c r="A20" s="66"/>
      <c r="B20" s="67" t="s">
        <v>34</v>
      </c>
      <c r="C20" s="68"/>
      <c r="D20" s="68"/>
      <c r="E20" s="68"/>
      <c r="F20" s="68"/>
      <c r="G20" s="69"/>
      <c r="H20" s="69"/>
      <c r="I20" s="70"/>
      <c r="J20" s="70">
        <f>SUM(J21)</f>
        <v>3528000</v>
      </c>
      <c r="K20" s="70"/>
      <c r="L20" s="70"/>
    </row>
    <row r="21" spans="1:12" s="54" customFormat="1" ht="35.25" customHeight="1" x14ac:dyDescent="0.25">
      <c r="A21" s="66"/>
      <c r="B21" s="71" t="s">
        <v>35</v>
      </c>
      <c r="C21" s="72"/>
      <c r="D21" s="72" t="s">
        <v>36</v>
      </c>
      <c r="E21" s="72"/>
      <c r="F21" s="72"/>
      <c r="G21" s="73"/>
      <c r="H21" s="70">
        <v>1200</v>
      </c>
      <c r="I21" s="74">
        <v>2940</v>
      </c>
      <c r="J21" s="74">
        <f>I21*H21</f>
        <v>3528000</v>
      </c>
      <c r="K21" s="72" t="s">
        <v>37</v>
      </c>
      <c r="L21" s="72"/>
    </row>
    <row r="22" spans="1:12" s="54" customFormat="1" ht="21.75" customHeight="1" x14ac:dyDescent="0.25">
      <c r="A22" s="75"/>
      <c r="B22" s="76" t="s">
        <v>38</v>
      </c>
      <c r="C22" s="77"/>
      <c r="D22" s="77"/>
      <c r="E22" s="77"/>
      <c r="F22" s="77"/>
      <c r="G22" s="78"/>
      <c r="H22" s="78"/>
      <c r="I22" s="79"/>
      <c r="J22" s="79"/>
      <c r="K22" s="80"/>
      <c r="L22" s="80"/>
    </row>
    <row r="23" spans="1:12" s="54" customFormat="1" x14ac:dyDescent="0.25">
      <c r="A23" s="81"/>
      <c r="B23" s="82" t="s">
        <v>39</v>
      </c>
      <c r="C23" s="77"/>
      <c r="D23" s="77"/>
      <c r="E23" s="78"/>
      <c r="F23" s="77"/>
      <c r="G23" s="83"/>
      <c r="H23" s="83"/>
      <c r="I23" s="84"/>
      <c r="J23" s="84"/>
      <c r="K23" s="80"/>
      <c r="L23" s="80"/>
    </row>
    <row r="24" spans="1:12" s="54" customFormat="1" ht="45.75" customHeight="1" x14ac:dyDescent="0.25">
      <c r="A24" s="55" t="s">
        <v>40</v>
      </c>
      <c r="B24" s="56" t="s">
        <v>41</v>
      </c>
      <c r="C24" s="57"/>
      <c r="D24" s="57"/>
      <c r="E24" s="57"/>
      <c r="F24" s="57"/>
      <c r="G24" s="58"/>
      <c r="H24" s="59"/>
      <c r="I24" s="59"/>
      <c r="J24" s="59"/>
      <c r="K24" s="59"/>
      <c r="L24" s="85"/>
    </row>
    <row r="25" spans="1:12" s="54" customFormat="1" ht="20.25" customHeight="1" x14ac:dyDescent="0.25">
      <c r="A25" s="60" t="s">
        <v>42</v>
      </c>
      <c r="B25" s="61" t="s">
        <v>43</v>
      </c>
      <c r="C25" s="62"/>
      <c r="D25" s="63"/>
      <c r="E25" s="62"/>
      <c r="F25" s="62"/>
      <c r="G25" s="64"/>
      <c r="H25" s="65"/>
      <c r="I25" s="65"/>
      <c r="J25" s="65">
        <f>J26+J35</f>
        <v>963436.3028355001</v>
      </c>
      <c r="K25" s="86"/>
      <c r="L25" s="86"/>
    </row>
    <row r="26" spans="1:12" s="54" customFormat="1" ht="20.25" customHeight="1" x14ac:dyDescent="0.25">
      <c r="A26" s="66"/>
      <c r="B26" s="67" t="s">
        <v>34</v>
      </c>
      <c r="C26" s="68"/>
      <c r="D26" s="68"/>
      <c r="E26" s="68"/>
      <c r="F26" s="68"/>
      <c r="G26" s="69"/>
      <c r="H26" s="70"/>
      <c r="I26" s="70"/>
      <c r="J26" s="70">
        <f>SUM(J27:J34)</f>
        <v>705490.62500000012</v>
      </c>
      <c r="K26" s="72"/>
      <c r="L26" s="72"/>
    </row>
    <row r="27" spans="1:12" s="54" customFormat="1" ht="20.25" customHeight="1" x14ac:dyDescent="0.25">
      <c r="A27" s="66"/>
      <c r="B27" s="71" t="s">
        <v>44</v>
      </c>
      <c r="C27" s="72"/>
      <c r="D27" s="72" t="s">
        <v>45</v>
      </c>
      <c r="E27" s="72"/>
      <c r="F27" s="72"/>
      <c r="G27" s="73">
        <v>33.14</v>
      </c>
      <c r="H27" s="70">
        <f t="shared" ref="H27:H34" si="0">SUM(G27:G27)</f>
        <v>33.14</v>
      </c>
      <c r="I27" s="74">
        <v>4939</v>
      </c>
      <c r="J27" s="74">
        <f>I27*H27</f>
        <v>163678.46</v>
      </c>
      <c r="K27" s="72"/>
      <c r="L27" s="72"/>
    </row>
    <row r="28" spans="1:12" s="54" customFormat="1" ht="20.25" customHeight="1" x14ac:dyDescent="0.25">
      <c r="A28" s="66"/>
      <c r="B28" s="71" t="s">
        <v>46</v>
      </c>
      <c r="C28" s="72"/>
      <c r="D28" s="72" t="s">
        <v>47</v>
      </c>
      <c r="E28" s="72"/>
      <c r="F28" s="72"/>
      <c r="G28" s="73">
        <v>155.68</v>
      </c>
      <c r="H28" s="70">
        <f t="shared" si="0"/>
        <v>155.68</v>
      </c>
      <c r="I28" s="74">
        <v>1461</v>
      </c>
      <c r="J28" s="74">
        <f>I28*H28</f>
        <v>227448.48</v>
      </c>
      <c r="K28" s="72"/>
      <c r="L28" s="72"/>
    </row>
    <row r="29" spans="1:12" s="54" customFormat="1" ht="20.25" customHeight="1" x14ac:dyDescent="0.25">
      <c r="A29" s="66"/>
      <c r="B29" s="71" t="s">
        <v>48</v>
      </c>
      <c r="C29" s="72"/>
      <c r="D29" s="72" t="s">
        <v>47</v>
      </c>
      <c r="E29" s="72"/>
      <c r="F29" s="72"/>
      <c r="G29" s="73">
        <v>118.24</v>
      </c>
      <c r="H29" s="70">
        <f t="shared" si="0"/>
        <v>118.24</v>
      </c>
      <c r="I29" s="74">
        <v>1461</v>
      </c>
      <c r="J29" s="74">
        <f>I29*H29</f>
        <v>172748.63999999998</v>
      </c>
      <c r="K29" s="72"/>
      <c r="L29" s="72"/>
    </row>
    <row r="30" spans="1:12" s="54" customFormat="1" ht="20.25" customHeight="1" x14ac:dyDescent="0.25">
      <c r="A30" s="66"/>
      <c r="B30" s="71" t="s">
        <v>49</v>
      </c>
      <c r="C30" s="72"/>
      <c r="D30" s="72" t="s">
        <v>47</v>
      </c>
      <c r="E30" s="72"/>
      <c r="F30" s="72"/>
      <c r="G30" s="73">
        <v>69.930000000000007</v>
      </c>
      <c r="H30" s="70">
        <f t="shared" si="0"/>
        <v>69.930000000000007</v>
      </c>
      <c r="I30" s="74">
        <v>1610</v>
      </c>
      <c r="J30" s="74">
        <f t="shared" ref="J30:J33" si="1">I30*H30</f>
        <v>112587.30000000002</v>
      </c>
      <c r="K30" s="72"/>
      <c r="L30" s="72"/>
    </row>
    <row r="31" spans="1:12" s="54" customFormat="1" ht="20.25" customHeight="1" x14ac:dyDescent="0.25">
      <c r="A31" s="66"/>
      <c r="B31" s="71" t="s">
        <v>50</v>
      </c>
      <c r="C31" s="72"/>
      <c r="D31" s="72" t="s">
        <v>51</v>
      </c>
      <c r="E31" s="72"/>
      <c r="F31" s="72"/>
      <c r="G31" s="73">
        <v>21</v>
      </c>
      <c r="H31" s="70">
        <f t="shared" si="0"/>
        <v>21</v>
      </c>
      <c r="I31" s="74">
        <v>803</v>
      </c>
      <c r="J31" s="74">
        <f t="shared" si="1"/>
        <v>16863</v>
      </c>
      <c r="K31" s="72"/>
      <c r="L31" s="72"/>
    </row>
    <row r="32" spans="1:12" s="54" customFormat="1" ht="20.25" customHeight="1" x14ac:dyDescent="0.25">
      <c r="A32" s="66"/>
      <c r="B32" s="71" t="s">
        <v>52</v>
      </c>
      <c r="C32" s="72" t="s">
        <v>53</v>
      </c>
      <c r="D32" s="72" t="s">
        <v>54</v>
      </c>
      <c r="E32" s="72"/>
      <c r="F32" s="72"/>
      <c r="G32" s="73">
        <v>126.33</v>
      </c>
      <c r="H32" s="70">
        <f t="shared" si="0"/>
        <v>126.33</v>
      </c>
      <c r="I32" s="74">
        <v>94.5</v>
      </c>
      <c r="J32" s="74">
        <f t="shared" si="1"/>
        <v>11938.184999999999</v>
      </c>
      <c r="K32" s="72"/>
      <c r="L32" s="72"/>
    </row>
    <row r="33" spans="1:12" s="54" customFormat="1" ht="31.5" x14ac:dyDescent="0.25">
      <c r="A33" s="66"/>
      <c r="B33" s="71" t="s">
        <v>55</v>
      </c>
      <c r="C33" s="72"/>
      <c r="D33" s="72" t="s">
        <v>54</v>
      </c>
      <c r="E33" s="72"/>
      <c r="F33" s="72"/>
      <c r="G33" s="73">
        <v>1.92</v>
      </c>
      <c r="H33" s="70">
        <f t="shared" si="0"/>
        <v>1.92</v>
      </c>
      <c r="I33" s="74">
        <v>118</v>
      </c>
      <c r="J33" s="74">
        <f t="shared" si="1"/>
        <v>226.56</v>
      </c>
      <c r="K33" s="72"/>
      <c r="L33" s="72"/>
    </row>
    <row r="34" spans="1:12" s="54" customFormat="1" ht="24.75" customHeight="1" x14ac:dyDescent="0.25">
      <c r="A34" s="66"/>
      <c r="B34" s="87" t="s">
        <v>56</v>
      </c>
      <c r="C34" s="88"/>
      <c r="D34" s="88" t="s">
        <v>45</v>
      </c>
      <c r="E34" s="88"/>
      <c r="F34" s="88"/>
      <c r="G34" s="73">
        <f>139.13*0.06*0.03</f>
        <v>0.25043399999999999</v>
      </c>
      <c r="H34" s="70">
        <f t="shared" si="0"/>
        <v>0.25043399999999999</v>
      </c>
      <c r="I34" s="74"/>
      <c r="J34" s="74"/>
      <c r="K34" s="88" t="s">
        <v>57</v>
      </c>
      <c r="L34" s="72"/>
    </row>
    <row r="35" spans="1:12" s="54" customFormat="1" ht="18" customHeight="1" x14ac:dyDescent="0.25">
      <c r="A35" s="75"/>
      <c r="B35" s="76" t="s">
        <v>38</v>
      </c>
      <c r="C35" s="77"/>
      <c r="D35" s="77"/>
      <c r="E35" s="77"/>
      <c r="F35" s="77"/>
      <c r="G35" s="78"/>
      <c r="H35" s="79"/>
      <c r="I35" s="80"/>
      <c r="J35" s="79">
        <f>SUM(J36:J56)</f>
        <v>257945.67783549998</v>
      </c>
      <c r="K35" s="77"/>
      <c r="L35" s="77"/>
    </row>
    <row r="36" spans="1:12" s="54" customFormat="1" ht="33.75" customHeight="1" x14ac:dyDescent="0.25">
      <c r="A36" s="81"/>
      <c r="B36" s="82" t="s">
        <v>58</v>
      </c>
      <c r="C36" s="77" t="s">
        <v>59</v>
      </c>
      <c r="D36" s="77" t="s">
        <v>60</v>
      </c>
      <c r="E36" s="78">
        <v>12.4</v>
      </c>
      <c r="F36" s="77">
        <v>0.25</v>
      </c>
      <c r="G36" s="83">
        <f>G27/0.25*E36</f>
        <v>1643.7440000000001</v>
      </c>
      <c r="H36" s="84">
        <f t="shared" ref="H36:H55" si="2">SUM(G36:G36)</f>
        <v>1643.7440000000001</v>
      </c>
      <c r="I36" s="80">
        <v>0</v>
      </c>
      <c r="J36" s="80">
        <f>H36*I36</f>
        <v>0</v>
      </c>
      <c r="K36" s="77" t="s">
        <v>61</v>
      </c>
      <c r="L36" s="77" t="s">
        <v>320</v>
      </c>
    </row>
    <row r="37" spans="1:12" s="54" customFormat="1" ht="33.75" customHeight="1" x14ac:dyDescent="0.25">
      <c r="A37" s="81"/>
      <c r="B37" s="82" t="s">
        <v>62</v>
      </c>
      <c r="C37" s="77" t="s">
        <v>63</v>
      </c>
      <c r="D37" s="77" t="s">
        <v>60</v>
      </c>
      <c r="E37" s="78">
        <v>12.4</v>
      </c>
      <c r="F37" s="77"/>
      <c r="G37" s="83">
        <f>G28*E37</f>
        <v>1930.4320000000002</v>
      </c>
      <c r="H37" s="84">
        <f t="shared" si="2"/>
        <v>1930.4320000000002</v>
      </c>
      <c r="I37" s="80">
        <v>0</v>
      </c>
      <c r="J37" s="80">
        <f>H37*I37</f>
        <v>0</v>
      </c>
      <c r="K37" s="77" t="s">
        <v>61</v>
      </c>
      <c r="L37" s="77" t="s">
        <v>320</v>
      </c>
    </row>
    <row r="38" spans="1:12" s="54" customFormat="1" ht="33.75" customHeight="1" x14ac:dyDescent="0.25">
      <c r="A38" s="81"/>
      <c r="B38" s="82" t="s">
        <v>64</v>
      </c>
      <c r="C38" s="77" t="s">
        <v>65</v>
      </c>
      <c r="D38" s="77" t="s">
        <v>60</v>
      </c>
      <c r="E38" s="78">
        <v>12.4</v>
      </c>
      <c r="F38" s="77"/>
      <c r="G38" s="83">
        <f>G29*E38</f>
        <v>1466.1759999999999</v>
      </c>
      <c r="H38" s="84">
        <f t="shared" si="2"/>
        <v>1466.1759999999999</v>
      </c>
      <c r="I38" s="80">
        <v>0</v>
      </c>
      <c r="J38" s="80">
        <f>H38*I38</f>
        <v>0</v>
      </c>
      <c r="K38" s="77" t="s">
        <v>61</v>
      </c>
      <c r="L38" s="77" t="s">
        <v>320</v>
      </c>
    </row>
    <row r="39" spans="1:12" s="54" customFormat="1" ht="33.75" customHeight="1" x14ac:dyDescent="0.25">
      <c r="A39" s="81"/>
      <c r="B39" s="89" t="s">
        <v>66</v>
      </c>
      <c r="C39" s="77" t="s">
        <v>67</v>
      </c>
      <c r="D39" s="77" t="s">
        <v>60</v>
      </c>
      <c r="E39" s="90">
        <v>42</v>
      </c>
      <c r="F39" s="90"/>
      <c r="G39" s="83">
        <f>G30*E39</f>
        <v>2937.0600000000004</v>
      </c>
      <c r="H39" s="84">
        <f t="shared" si="2"/>
        <v>2937.0600000000004</v>
      </c>
      <c r="I39" s="80">
        <v>0</v>
      </c>
      <c r="J39" s="80">
        <f t="shared" ref="J39:J55" si="3">H39*I39</f>
        <v>0</v>
      </c>
      <c r="K39" s="77" t="s">
        <v>68</v>
      </c>
      <c r="L39" s="77" t="s">
        <v>320</v>
      </c>
    </row>
    <row r="40" spans="1:12" s="54" customFormat="1" ht="30.75" customHeight="1" x14ac:dyDescent="0.25">
      <c r="A40" s="81"/>
      <c r="B40" s="91" t="s">
        <v>69</v>
      </c>
      <c r="C40" s="77" t="s">
        <v>70</v>
      </c>
      <c r="D40" s="77" t="s">
        <v>45</v>
      </c>
      <c r="E40" s="77">
        <v>0.19500000000000001</v>
      </c>
      <c r="F40" s="90"/>
      <c r="G40" s="78">
        <f>G27*E40+G28*E40*0.19+G29*E40*0.19</f>
        <v>16.611035999999999</v>
      </c>
      <c r="H40" s="79">
        <f t="shared" si="2"/>
        <v>16.611035999999999</v>
      </c>
      <c r="I40" s="80">
        <v>7875</v>
      </c>
      <c r="J40" s="80">
        <f t="shared" si="3"/>
        <v>130811.90849999999</v>
      </c>
      <c r="K40" s="77" t="s">
        <v>71</v>
      </c>
      <c r="L40" s="77" t="s">
        <v>321</v>
      </c>
    </row>
    <row r="41" spans="1:12" s="54" customFormat="1" ht="30.75" customHeight="1" x14ac:dyDescent="0.25">
      <c r="A41" s="92"/>
      <c r="B41" s="91" t="s">
        <v>72</v>
      </c>
      <c r="C41" s="77" t="s">
        <v>70</v>
      </c>
      <c r="D41" s="77" t="s">
        <v>45</v>
      </c>
      <c r="E41" s="77">
        <v>4.5999999999999999E-2</v>
      </c>
      <c r="F41" s="77"/>
      <c r="G41" s="78">
        <f>G30*E41</f>
        <v>3.2167800000000004</v>
      </c>
      <c r="H41" s="79">
        <f t="shared" si="2"/>
        <v>3.2167800000000004</v>
      </c>
      <c r="I41" s="80">
        <v>7875</v>
      </c>
      <c r="J41" s="80">
        <f t="shared" si="3"/>
        <v>25332.142500000002</v>
      </c>
      <c r="K41" s="77" t="s">
        <v>73</v>
      </c>
      <c r="L41" s="77" t="s">
        <v>321</v>
      </c>
    </row>
    <row r="42" spans="1:12" s="54" customFormat="1" ht="30.75" customHeight="1" x14ac:dyDescent="0.25">
      <c r="A42" s="92"/>
      <c r="B42" s="91" t="s">
        <v>74</v>
      </c>
      <c r="C42" s="77" t="s">
        <v>70</v>
      </c>
      <c r="D42" s="77" t="s">
        <v>45</v>
      </c>
      <c r="E42" s="77">
        <v>1.01</v>
      </c>
      <c r="F42" s="77"/>
      <c r="G42" s="78">
        <f>G34*E42</f>
        <v>0.25293833999999998</v>
      </c>
      <c r="H42" s="79">
        <f t="shared" si="2"/>
        <v>0.25293833999999998</v>
      </c>
      <c r="I42" s="80">
        <v>7875</v>
      </c>
      <c r="J42" s="80">
        <f t="shared" si="3"/>
        <v>1991.8894274999998</v>
      </c>
      <c r="K42" s="77" t="s">
        <v>71</v>
      </c>
      <c r="L42" s="77" t="s">
        <v>321</v>
      </c>
    </row>
    <row r="43" spans="1:12" s="54" customFormat="1" ht="30.75" customHeight="1" x14ac:dyDescent="0.25">
      <c r="A43" s="81"/>
      <c r="B43" s="89" t="s">
        <v>75</v>
      </c>
      <c r="C43" s="77" t="s">
        <v>70</v>
      </c>
      <c r="D43" s="77" t="s">
        <v>45</v>
      </c>
      <c r="E43" s="77">
        <v>6.0000000000000001E-3</v>
      </c>
      <c r="F43" s="77"/>
      <c r="G43" s="93">
        <f>G32*E43</f>
        <v>0.75797999999999999</v>
      </c>
      <c r="H43" s="79">
        <f t="shared" si="2"/>
        <v>0.75797999999999999</v>
      </c>
      <c r="I43" s="80">
        <v>7875</v>
      </c>
      <c r="J43" s="80">
        <f t="shared" si="3"/>
        <v>5969.0924999999997</v>
      </c>
      <c r="K43" s="77" t="s">
        <v>76</v>
      </c>
      <c r="L43" s="77" t="s">
        <v>321</v>
      </c>
    </row>
    <row r="44" spans="1:12" s="54" customFormat="1" ht="30.75" customHeight="1" x14ac:dyDescent="0.25">
      <c r="A44" s="81"/>
      <c r="B44" s="89" t="s">
        <v>77</v>
      </c>
      <c r="C44" s="77" t="s">
        <v>70</v>
      </c>
      <c r="D44" s="77" t="s">
        <v>45</v>
      </c>
      <c r="E44" s="77">
        <v>1.01</v>
      </c>
      <c r="F44" s="77"/>
      <c r="G44" s="93">
        <v>4.0000000000000001E-3</v>
      </c>
      <c r="H44" s="79">
        <f t="shared" si="2"/>
        <v>4.0000000000000001E-3</v>
      </c>
      <c r="I44" s="80">
        <v>7875</v>
      </c>
      <c r="J44" s="80">
        <f t="shared" si="3"/>
        <v>31.5</v>
      </c>
      <c r="K44" s="94"/>
      <c r="L44" s="77" t="s">
        <v>321</v>
      </c>
    </row>
    <row r="45" spans="1:12" s="54" customFormat="1" ht="23.25" customHeight="1" x14ac:dyDescent="0.25">
      <c r="A45" s="81"/>
      <c r="B45" s="89" t="s">
        <v>78</v>
      </c>
      <c r="C45" s="77" t="s">
        <v>79</v>
      </c>
      <c r="D45" s="77" t="s">
        <v>47</v>
      </c>
      <c r="E45" s="77"/>
      <c r="F45" s="77"/>
      <c r="G45" s="78">
        <v>256.29000000000002</v>
      </c>
      <c r="H45" s="79">
        <f t="shared" si="2"/>
        <v>256.29000000000002</v>
      </c>
      <c r="I45" s="80">
        <v>88.34</v>
      </c>
      <c r="J45" s="80">
        <f t="shared" si="3"/>
        <v>22640.658600000002</v>
      </c>
      <c r="K45" s="94"/>
      <c r="L45" s="77" t="s">
        <v>321</v>
      </c>
    </row>
    <row r="46" spans="1:12" s="54" customFormat="1" ht="23.25" customHeight="1" x14ac:dyDescent="0.25">
      <c r="A46" s="81"/>
      <c r="B46" s="89" t="s">
        <v>80</v>
      </c>
      <c r="C46" s="77" t="s">
        <v>81</v>
      </c>
      <c r="D46" s="77" t="s">
        <v>60</v>
      </c>
      <c r="E46" s="77"/>
      <c r="F46" s="77"/>
      <c r="G46" s="78">
        <v>2</v>
      </c>
      <c r="H46" s="79">
        <f t="shared" si="2"/>
        <v>2</v>
      </c>
      <c r="I46" s="80">
        <v>845.25</v>
      </c>
      <c r="J46" s="80">
        <f t="shared" si="3"/>
        <v>1690.5</v>
      </c>
      <c r="K46" s="94"/>
      <c r="L46" s="77" t="s">
        <v>321</v>
      </c>
    </row>
    <row r="47" spans="1:12" s="54" customFormat="1" ht="23.25" customHeight="1" x14ac:dyDescent="0.25">
      <c r="A47" s="81"/>
      <c r="B47" s="89" t="s">
        <v>82</v>
      </c>
      <c r="C47" s="77" t="s">
        <v>83</v>
      </c>
      <c r="D47" s="77" t="s">
        <v>60</v>
      </c>
      <c r="E47" s="77"/>
      <c r="F47" s="77"/>
      <c r="G47" s="78">
        <v>2</v>
      </c>
      <c r="H47" s="79">
        <f t="shared" si="2"/>
        <v>2</v>
      </c>
      <c r="I47" s="80">
        <v>945</v>
      </c>
      <c r="J47" s="80">
        <f t="shared" si="3"/>
        <v>1890</v>
      </c>
      <c r="K47" s="94"/>
      <c r="L47" s="77" t="s">
        <v>321</v>
      </c>
    </row>
    <row r="48" spans="1:12" s="54" customFormat="1" ht="23.25" customHeight="1" x14ac:dyDescent="0.25">
      <c r="A48" s="81"/>
      <c r="B48" s="89" t="s">
        <v>84</v>
      </c>
      <c r="C48" s="77" t="s">
        <v>85</v>
      </c>
      <c r="D48" s="77" t="s">
        <v>60</v>
      </c>
      <c r="E48" s="77"/>
      <c r="F48" s="77"/>
      <c r="G48" s="78">
        <v>4</v>
      </c>
      <c r="H48" s="79">
        <f t="shared" si="2"/>
        <v>4</v>
      </c>
      <c r="I48" s="80">
        <v>1086.75</v>
      </c>
      <c r="J48" s="80">
        <f t="shared" si="3"/>
        <v>4347</v>
      </c>
      <c r="K48" s="94"/>
      <c r="L48" s="77" t="s">
        <v>321</v>
      </c>
    </row>
    <row r="49" spans="1:12" s="54" customFormat="1" ht="23.25" customHeight="1" x14ac:dyDescent="0.25">
      <c r="A49" s="81"/>
      <c r="B49" s="89" t="s">
        <v>86</v>
      </c>
      <c r="C49" s="77" t="s">
        <v>87</v>
      </c>
      <c r="D49" s="77" t="s">
        <v>60</v>
      </c>
      <c r="E49" s="77"/>
      <c r="F49" s="77"/>
      <c r="G49" s="78">
        <v>4</v>
      </c>
      <c r="H49" s="79">
        <f t="shared" si="2"/>
        <v>4</v>
      </c>
      <c r="I49" s="80">
        <v>1191.75</v>
      </c>
      <c r="J49" s="80">
        <f t="shared" si="3"/>
        <v>4767</v>
      </c>
      <c r="K49" s="94"/>
      <c r="L49" s="77" t="s">
        <v>321</v>
      </c>
    </row>
    <row r="50" spans="1:12" s="54" customFormat="1" ht="23.25" customHeight="1" x14ac:dyDescent="0.25">
      <c r="A50" s="81"/>
      <c r="B50" s="89" t="s">
        <v>88</v>
      </c>
      <c r="C50" s="77" t="s">
        <v>89</v>
      </c>
      <c r="D50" s="77" t="s">
        <v>60</v>
      </c>
      <c r="E50" s="77"/>
      <c r="F50" s="77"/>
      <c r="G50" s="78">
        <v>8</v>
      </c>
      <c r="H50" s="79">
        <f t="shared" si="2"/>
        <v>8</v>
      </c>
      <c r="I50" s="80">
        <v>1291.5</v>
      </c>
      <c r="J50" s="80">
        <f t="shared" si="3"/>
        <v>10332</v>
      </c>
      <c r="K50" s="94"/>
      <c r="L50" s="77" t="s">
        <v>321</v>
      </c>
    </row>
    <row r="51" spans="1:12" s="54" customFormat="1" ht="23.25" customHeight="1" x14ac:dyDescent="0.25">
      <c r="A51" s="81"/>
      <c r="B51" s="89" t="s">
        <v>90</v>
      </c>
      <c r="C51" s="77" t="s">
        <v>91</v>
      </c>
      <c r="D51" s="77" t="s">
        <v>60</v>
      </c>
      <c r="E51" s="77"/>
      <c r="F51" s="77"/>
      <c r="G51" s="78">
        <v>1</v>
      </c>
      <c r="H51" s="79">
        <f t="shared" si="2"/>
        <v>1</v>
      </c>
      <c r="I51" s="80">
        <v>1113</v>
      </c>
      <c r="J51" s="80">
        <f t="shared" si="3"/>
        <v>1113</v>
      </c>
      <c r="K51" s="94"/>
      <c r="L51" s="77" t="s">
        <v>321</v>
      </c>
    </row>
    <row r="52" spans="1:12" s="54" customFormat="1" ht="23.25" customHeight="1" x14ac:dyDescent="0.25">
      <c r="A52" s="81"/>
      <c r="B52" s="89" t="s">
        <v>92</v>
      </c>
      <c r="C52" s="77" t="s">
        <v>93</v>
      </c>
      <c r="D52" s="77" t="s">
        <v>54</v>
      </c>
      <c r="E52" s="77">
        <v>1.04</v>
      </c>
      <c r="F52" s="77"/>
      <c r="G52" s="78">
        <f>142.43*E52</f>
        <v>148.12720000000002</v>
      </c>
      <c r="H52" s="79">
        <f t="shared" si="2"/>
        <v>148.12720000000002</v>
      </c>
      <c r="I52" s="80">
        <v>66.349999999999994</v>
      </c>
      <c r="J52" s="80">
        <f t="shared" si="3"/>
        <v>9828.2397199999996</v>
      </c>
      <c r="K52" s="94"/>
      <c r="L52" s="77" t="s">
        <v>321</v>
      </c>
    </row>
    <row r="53" spans="1:12" s="54" customFormat="1" ht="23.25" customHeight="1" x14ac:dyDescent="0.25">
      <c r="A53" s="81"/>
      <c r="B53" s="89" t="s">
        <v>94</v>
      </c>
      <c r="C53" s="77" t="s">
        <v>95</v>
      </c>
      <c r="D53" s="77" t="s">
        <v>54</v>
      </c>
      <c r="E53" s="77">
        <v>1.04</v>
      </c>
      <c r="F53" s="77"/>
      <c r="G53" s="78">
        <f>G33*E53</f>
        <v>1.9967999999999999</v>
      </c>
      <c r="H53" s="79">
        <f t="shared" si="2"/>
        <v>1.9967999999999999</v>
      </c>
      <c r="I53" s="80">
        <v>64</v>
      </c>
      <c r="J53" s="80">
        <f t="shared" si="3"/>
        <v>127.79519999999999</v>
      </c>
      <c r="K53" s="94"/>
      <c r="L53" s="77" t="s">
        <v>321</v>
      </c>
    </row>
    <row r="54" spans="1:12" s="54" customFormat="1" ht="23.25" customHeight="1" x14ac:dyDescent="0.25">
      <c r="A54" s="81"/>
      <c r="B54" s="89" t="s">
        <v>96</v>
      </c>
      <c r="C54" s="77" t="s">
        <v>39</v>
      </c>
      <c r="D54" s="77" t="s">
        <v>54</v>
      </c>
      <c r="E54" s="77">
        <v>1.04</v>
      </c>
      <c r="F54" s="77"/>
      <c r="G54" s="78">
        <f>115.76*E54</f>
        <v>120.39040000000001</v>
      </c>
      <c r="H54" s="79">
        <f t="shared" si="2"/>
        <v>120.39040000000001</v>
      </c>
      <c r="I54" s="80">
        <v>72.78</v>
      </c>
      <c r="J54" s="80">
        <f t="shared" si="3"/>
        <v>8762.013312000001</v>
      </c>
      <c r="K54" s="94"/>
      <c r="L54" s="77" t="s">
        <v>321</v>
      </c>
    </row>
    <row r="55" spans="1:12" s="54" customFormat="1" ht="23.25" customHeight="1" x14ac:dyDescent="0.25">
      <c r="A55" s="81"/>
      <c r="B55" s="89" t="s">
        <v>97</v>
      </c>
      <c r="C55" s="77" t="s">
        <v>39</v>
      </c>
      <c r="D55" s="77" t="s">
        <v>54</v>
      </c>
      <c r="E55" s="77">
        <v>1.04</v>
      </c>
      <c r="F55" s="77"/>
      <c r="G55" s="78">
        <f>E55*10.57</f>
        <v>10.992800000000001</v>
      </c>
      <c r="H55" s="79">
        <f t="shared" si="2"/>
        <v>10.992800000000001</v>
      </c>
      <c r="I55" s="80">
        <v>74.92</v>
      </c>
      <c r="J55" s="80">
        <f t="shared" si="3"/>
        <v>823.58057600000006</v>
      </c>
      <c r="K55" s="94"/>
      <c r="L55" s="77" t="s">
        <v>321</v>
      </c>
    </row>
    <row r="56" spans="1:12" s="101" customFormat="1" ht="30.75" customHeight="1" x14ac:dyDescent="0.25">
      <c r="A56" s="95"/>
      <c r="B56" s="96" t="s">
        <v>98</v>
      </c>
      <c r="C56" s="97" t="s">
        <v>39</v>
      </c>
      <c r="D56" s="97" t="s">
        <v>99</v>
      </c>
      <c r="E56" s="97"/>
      <c r="F56" s="97"/>
      <c r="G56" s="98"/>
      <c r="H56" s="99">
        <f>J56*100/J26</f>
        <v>3.8962045030718864</v>
      </c>
      <c r="I56" s="79"/>
      <c r="J56" s="79">
        <v>27487.357499999998</v>
      </c>
      <c r="K56" s="100"/>
      <c r="L56" s="97" t="s">
        <v>321</v>
      </c>
    </row>
    <row r="57" spans="1:12" s="54" customFormat="1" ht="24.75" customHeight="1" x14ac:dyDescent="0.25">
      <c r="A57" s="60" t="s">
        <v>100</v>
      </c>
      <c r="B57" s="61" t="s">
        <v>101</v>
      </c>
      <c r="C57" s="62"/>
      <c r="D57" s="63"/>
      <c r="E57" s="62"/>
      <c r="F57" s="62"/>
      <c r="G57" s="64"/>
      <c r="H57" s="65"/>
      <c r="I57" s="65"/>
      <c r="J57" s="65">
        <f>J58+J70</f>
        <v>1356356.1824535001</v>
      </c>
      <c r="K57" s="86"/>
      <c r="L57" s="86"/>
    </row>
    <row r="58" spans="1:12" s="54" customFormat="1" ht="24.75" customHeight="1" x14ac:dyDescent="0.25">
      <c r="A58" s="66"/>
      <c r="B58" s="67" t="s">
        <v>34</v>
      </c>
      <c r="C58" s="68"/>
      <c r="D58" s="68"/>
      <c r="E58" s="68"/>
      <c r="F58" s="68"/>
      <c r="G58" s="69"/>
      <c r="H58" s="70"/>
      <c r="I58" s="70"/>
      <c r="J58" s="70">
        <f>SUM(J59:J69)</f>
        <v>1020531.97</v>
      </c>
      <c r="K58" s="72"/>
      <c r="L58" s="72"/>
    </row>
    <row r="59" spans="1:12" s="54" customFormat="1" ht="24.75" customHeight="1" x14ac:dyDescent="0.25">
      <c r="A59" s="66"/>
      <c r="B59" s="71" t="s">
        <v>44</v>
      </c>
      <c r="C59" s="72"/>
      <c r="D59" s="72" t="s">
        <v>45</v>
      </c>
      <c r="E59" s="72"/>
      <c r="F59" s="72"/>
      <c r="G59" s="73">
        <v>33.94</v>
      </c>
      <c r="H59" s="70">
        <f t="shared" ref="H59:H69" si="4">SUM(G59:G59)</f>
        <v>33.94</v>
      </c>
      <c r="I59" s="74">
        <v>4939</v>
      </c>
      <c r="J59" s="74">
        <f>I59*H59</f>
        <v>167629.65999999997</v>
      </c>
      <c r="K59" s="72"/>
      <c r="L59" s="72"/>
    </row>
    <row r="60" spans="1:12" s="54" customFormat="1" ht="24.75" customHeight="1" x14ac:dyDescent="0.25">
      <c r="A60" s="66"/>
      <c r="B60" s="71" t="s">
        <v>102</v>
      </c>
      <c r="C60" s="72"/>
      <c r="D60" s="72" t="s">
        <v>45</v>
      </c>
      <c r="E60" s="72"/>
      <c r="F60" s="72"/>
      <c r="G60" s="73">
        <v>2.58</v>
      </c>
      <c r="H60" s="70">
        <f t="shared" si="4"/>
        <v>2.58</v>
      </c>
      <c r="I60" s="74">
        <v>5845</v>
      </c>
      <c r="J60" s="74">
        <f t="shared" ref="J60" si="5">I60*H60</f>
        <v>15080.1</v>
      </c>
      <c r="K60" s="72"/>
      <c r="L60" s="72"/>
    </row>
    <row r="61" spans="1:12" s="54" customFormat="1" ht="24.75" customHeight="1" x14ac:dyDescent="0.25">
      <c r="A61" s="66"/>
      <c r="B61" s="71" t="s">
        <v>46</v>
      </c>
      <c r="C61" s="72"/>
      <c r="D61" s="72" t="s">
        <v>47</v>
      </c>
      <c r="E61" s="72"/>
      <c r="F61" s="72"/>
      <c r="G61" s="73">
        <v>154.53</v>
      </c>
      <c r="H61" s="70">
        <f t="shared" si="4"/>
        <v>154.53</v>
      </c>
      <c r="I61" s="74">
        <v>1461</v>
      </c>
      <c r="J61" s="74">
        <f>I61*H61</f>
        <v>225768.33</v>
      </c>
      <c r="K61" s="72"/>
      <c r="L61" s="72"/>
    </row>
    <row r="62" spans="1:12" s="54" customFormat="1" ht="24.75" customHeight="1" x14ac:dyDescent="0.25">
      <c r="A62" s="66"/>
      <c r="B62" s="71" t="s">
        <v>48</v>
      </c>
      <c r="C62" s="72"/>
      <c r="D62" s="72" t="s">
        <v>47</v>
      </c>
      <c r="E62" s="72"/>
      <c r="F62" s="72"/>
      <c r="G62" s="73">
        <v>32.32</v>
      </c>
      <c r="H62" s="70">
        <f t="shared" si="4"/>
        <v>32.32</v>
      </c>
      <c r="I62" s="74">
        <v>1461</v>
      </c>
      <c r="J62" s="74">
        <f>I62*H62</f>
        <v>47219.519999999997</v>
      </c>
      <c r="K62" s="72"/>
      <c r="L62" s="72"/>
    </row>
    <row r="63" spans="1:12" s="54" customFormat="1" ht="24.75" customHeight="1" x14ac:dyDescent="0.25">
      <c r="A63" s="66"/>
      <c r="B63" s="71" t="s">
        <v>103</v>
      </c>
      <c r="C63" s="72"/>
      <c r="D63" s="72" t="s">
        <v>47</v>
      </c>
      <c r="E63" s="72"/>
      <c r="F63" s="72"/>
      <c r="G63" s="73">
        <v>158.03</v>
      </c>
      <c r="H63" s="70">
        <f t="shared" si="4"/>
        <v>158.03</v>
      </c>
      <c r="I63" s="74">
        <v>1461</v>
      </c>
      <c r="J63" s="74">
        <f>I63*H63</f>
        <v>230881.83</v>
      </c>
      <c r="K63" s="72"/>
      <c r="L63" s="72"/>
    </row>
    <row r="64" spans="1:12" s="54" customFormat="1" ht="24.75" customHeight="1" x14ac:dyDescent="0.25">
      <c r="A64" s="66"/>
      <c r="B64" s="71" t="s">
        <v>104</v>
      </c>
      <c r="C64" s="72"/>
      <c r="D64" s="72" t="s">
        <v>47</v>
      </c>
      <c r="E64" s="72"/>
      <c r="F64" s="72"/>
      <c r="G64" s="73">
        <v>140.96</v>
      </c>
      <c r="H64" s="70">
        <f t="shared" si="4"/>
        <v>140.96</v>
      </c>
      <c r="I64" s="74">
        <v>1461</v>
      </c>
      <c r="J64" s="74">
        <f>I64*H64</f>
        <v>205942.56</v>
      </c>
      <c r="K64" s="72"/>
      <c r="L64" s="72"/>
    </row>
    <row r="65" spans="1:12" s="54" customFormat="1" ht="24.75" customHeight="1" x14ac:dyDescent="0.25">
      <c r="A65" s="66"/>
      <c r="B65" s="71" t="s">
        <v>49</v>
      </c>
      <c r="C65" s="72"/>
      <c r="D65" s="72" t="s">
        <v>47</v>
      </c>
      <c r="E65" s="72"/>
      <c r="F65" s="72"/>
      <c r="G65" s="73">
        <v>40.36</v>
      </c>
      <c r="H65" s="70">
        <f t="shared" si="4"/>
        <v>40.36</v>
      </c>
      <c r="I65" s="74">
        <v>1610</v>
      </c>
      <c r="J65" s="74">
        <f t="shared" ref="J65:J68" si="6">I65*H65</f>
        <v>64979.6</v>
      </c>
      <c r="K65" s="72"/>
      <c r="L65" s="72"/>
    </row>
    <row r="66" spans="1:12" s="54" customFormat="1" ht="24.75" customHeight="1" x14ac:dyDescent="0.25">
      <c r="A66" s="66"/>
      <c r="B66" s="71" t="s">
        <v>50</v>
      </c>
      <c r="C66" s="72"/>
      <c r="D66" s="72" t="s">
        <v>51</v>
      </c>
      <c r="E66" s="72"/>
      <c r="F66" s="72"/>
      <c r="G66" s="73">
        <v>56</v>
      </c>
      <c r="H66" s="70">
        <f t="shared" si="4"/>
        <v>56</v>
      </c>
      <c r="I66" s="74">
        <v>803</v>
      </c>
      <c r="J66" s="74">
        <f t="shared" si="6"/>
        <v>44968</v>
      </c>
      <c r="K66" s="72"/>
      <c r="L66" s="72"/>
    </row>
    <row r="67" spans="1:12" s="54" customFormat="1" ht="31.5" x14ac:dyDescent="0.25">
      <c r="A67" s="66"/>
      <c r="B67" s="71" t="s">
        <v>52</v>
      </c>
      <c r="C67" s="72"/>
      <c r="D67" s="72" t="s">
        <v>54</v>
      </c>
      <c r="E67" s="72"/>
      <c r="F67" s="72"/>
      <c r="G67" s="73">
        <v>140.34</v>
      </c>
      <c r="H67" s="70">
        <f t="shared" si="4"/>
        <v>140.34</v>
      </c>
      <c r="I67" s="74">
        <v>94.5</v>
      </c>
      <c r="J67" s="74">
        <f t="shared" si="6"/>
        <v>13262.130000000001</v>
      </c>
      <c r="K67" s="72" t="s">
        <v>105</v>
      </c>
      <c r="L67" s="72"/>
    </row>
    <row r="68" spans="1:12" s="54" customFormat="1" ht="31.5" x14ac:dyDescent="0.25">
      <c r="A68" s="66"/>
      <c r="B68" s="71" t="s">
        <v>55</v>
      </c>
      <c r="C68" s="72"/>
      <c r="D68" s="72" t="s">
        <v>54</v>
      </c>
      <c r="E68" s="72"/>
      <c r="F68" s="72"/>
      <c r="G68" s="73">
        <v>40.68</v>
      </c>
      <c r="H68" s="70">
        <f t="shared" si="4"/>
        <v>40.68</v>
      </c>
      <c r="I68" s="74">
        <v>118</v>
      </c>
      <c r="J68" s="74">
        <f t="shared" si="6"/>
        <v>4800.24</v>
      </c>
      <c r="K68" s="72"/>
      <c r="L68" s="72"/>
    </row>
    <row r="69" spans="1:12" s="54" customFormat="1" ht="21" customHeight="1" x14ac:dyDescent="0.25">
      <c r="A69" s="66"/>
      <c r="B69" s="87" t="s">
        <v>56</v>
      </c>
      <c r="C69" s="88"/>
      <c r="D69" s="88" t="s">
        <v>45</v>
      </c>
      <c r="E69" s="88"/>
      <c r="F69" s="88"/>
      <c r="G69" s="73">
        <f>307.83*0.06*0.03</f>
        <v>0.55409399999999998</v>
      </c>
      <c r="H69" s="70">
        <f t="shared" si="4"/>
        <v>0.55409399999999998</v>
      </c>
      <c r="I69" s="74"/>
      <c r="J69" s="74"/>
      <c r="K69" s="88" t="s">
        <v>57</v>
      </c>
      <c r="L69" s="72"/>
    </row>
    <row r="70" spans="1:12" s="54" customFormat="1" ht="19.5" customHeight="1" x14ac:dyDescent="0.25">
      <c r="A70" s="75"/>
      <c r="B70" s="76" t="s">
        <v>38</v>
      </c>
      <c r="C70" s="77"/>
      <c r="D70" s="77"/>
      <c r="E70" s="77"/>
      <c r="F70" s="77"/>
      <c r="G70" s="78"/>
      <c r="H70" s="79"/>
      <c r="I70" s="80"/>
      <c r="J70" s="79">
        <f>SUM(J71:J99)</f>
        <v>335824.21245350002</v>
      </c>
      <c r="K70" s="77"/>
      <c r="L70" s="77"/>
    </row>
    <row r="71" spans="1:12" s="54" customFormat="1" ht="33" customHeight="1" x14ac:dyDescent="0.25">
      <c r="A71" s="81"/>
      <c r="B71" s="82" t="s">
        <v>58</v>
      </c>
      <c r="C71" s="77" t="s">
        <v>59</v>
      </c>
      <c r="D71" s="77" t="s">
        <v>60</v>
      </c>
      <c r="E71" s="78">
        <v>12.4</v>
      </c>
      <c r="F71" s="77">
        <v>0.25</v>
      </c>
      <c r="G71" s="83">
        <f>G59/F71*E71</f>
        <v>1683.424</v>
      </c>
      <c r="H71" s="84">
        <f t="shared" ref="H71:H98" si="7">SUM(G71:G71)</f>
        <v>1683.424</v>
      </c>
      <c r="I71" s="80">
        <v>0</v>
      </c>
      <c r="J71" s="80">
        <f>H71*I71</f>
        <v>0</v>
      </c>
      <c r="K71" s="77" t="s">
        <v>61</v>
      </c>
      <c r="L71" s="77" t="s">
        <v>320</v>
      </c>
    </row>
    <row r="72" spans="1:12" s="54" customFormat="1" ht="33" customHeight="1" x14ac:dyDescent="0.25">
      <c r="A72" s="81"/>
      <c r="B72" s="82" t="s">
        <v>62</v>
      </c>
      <c r="C72" s="77" t="s">
        <v>63</v>
      </c>
      <c r="D72" s="77" t="s">
        <v>60</v>
      </c>
      <c r="E72" s="78">
        <v>12.4</v>
      </c>
      <c r="F72" s="77"/>
      <c r="G72" s="83">
        <f>G61*E72</f>
        <v>1916.172</v>
      </c>
      <c r="H72" s="84">
        <f t="shared" si="7"/>
        <v>1916.172</v>
      </c>
      <c r="I72" s="80">
        <v>0</v>
      </c>
      <c r="J72" s="80">
        <f>H72*I72</f>
        <v>0</v>
      </c>
      <c r="K72" s="77" t="s">
        <v>61</v>
      </c>
      <c r="L72" s="77" t="s">
        <v>320</v>
      </c>
    </row>
    <row r="73" spans="1:12" s="54" customFormat="1" ht="33" customHeight="1" x14ac:dyDescent="0.25">
      <c r="A73" s="81"/>
      <c r="B73" s="82" t="s">
        <v>64</v>
      </c>
      <c r="C73" s="77" t="s">
        <v>65</v>
      </c>
      <c r="D73" s="77" t="s">
        <v>60</v>
      </c>
      <c r="E73" s="78">
        <v>12.4</v>
      </c>
      <c r="F73" s="77"/>
      <c r="G73" s="83">
        <f>G62*E73</f>
        <v>400.76800000000003</v>
      </c>
      <c r="H73" s="84">
        <f t="shared" si="7"/>
        <v>400.76800000000003</v>
      </c>
      <c r="I73" s="80">
        <v>0</v>
      </c>
      <c r="J73" s="80">
        <f>H73*I73</f>
        <v>0</v>
      </c>
      <c r="K73" s="77" t="s">
        <v>61</v>
      </c>
      <c r="L73" s="77" t="s">
        <v>320</v>
      </c>
    </row>
    <row r="74" spans="1:12" s="54" customFormat="1" ht="33" customHeight="1" x14ac:dyDescent="0.25">
      <c r="A74" s="81"/>
      <c r="B74" s="82" t="s">
        <v>106</v>
      </c>
      <c r="C74" s="77" t="s">
        <v>107</v>
      </c>
      <c r="D74" s="77" t="s">
        <v>60</v>
      </c>
      <c r="E74" s="78">
        <v>12.4</v>
      </c>
      <c r="F74" s="77"/>
      <c r="G74" s="83">
        <f>G63*E74</f>
        <v>1959.5720000000001</v>
      </c>
      <c r="H74" s="84">
        <f t="shared" si="7"/>
        <v>1959.5720000000001</v>
      </c>
      <c r="I74" s="80">
        <v>0</v>
      </c>
      <c r="J74" s="80">
        <f>H74*I74</f>
        <v>0</v>
      </c>
      <c r="K74" s="77" t="s">
        <v>61</v>
      </c>
      <c r="L74" s="77" t="s">
        <v>320</v>
      </c>
    </row>
    <row r="75" spans="1:12" s="54" customFormat="1" ht="33" customHeight="1" x14ac:dyDescent="0.25">
      <c r="A75" s="81"/>
      <c r="B75" s="82" t="s">
        <v>108</v>
      </c>
      <c r="C75" s="77" t="s">
        <v>109</v>
      </c>
      <c r="D75" s="77" t="s">
        <v>60</v>
      </c>
      <c r="E75" s="78">
        <v>12.4</v>
      </c>
      <c r="F75" s="77"/>
      <c r="G75" s="83">
        <f>G64*E75</f>
        <v>1747.9040000000002</v>
      </c>
      <c r="H75" s="84">
        <f t="shared" si="7"/>
        <v>1747.9040000000002</v>
      </c>
      <c r="I75" s="80">
        <v>0</v>
      </c>
      <c r="J75" s="80">
        <f>H75*I75</f>
        <v>0</v>
      </c>
      <c r="K75" s="77" t="s">
        <v>61</v>
      </c>
      <c r="L75" s="77" t="s">
        <v>320</v>
      </c>
    </row>
    <row r="76" spans="1:12" s="54" customFormat="1" ht="33" customHeight="1" x14ac:dyDescent="0.25">
      <c r="A76" s="81"/>
      <c r="B76" s="89" t="s">
        <v>66</v>
      </c>
      <c r="C76" s="77" t="s">
        <v>67</v>
      </c>
      <c r="D76" s="77" t="s">
        <v>60</v>
      </c>
      <c r="E76" s="90">
        <v>42</v>
      </c>
      <c r="F76" s="90"/>
      <c r="G76" s="83">
        <f>G65*E76</f>
        <v>1695.12</v>
      </c>
      <c r="H76" s="84">
        <f t="shared" si="7"/>
        <v>1695.12</v>
      </c>
      <c r="I76" s="80">
        <v>0</v>
      </c>
      <c r="J76" s="80">
        <f t="shared" ref="J76:J98" si="8">H76*I76</f>
        <v>0</v>
      </c>
      <c r="K76" s="77" t="s">
        <v>68</v>
      </c>
      <c r="L76" s="77" t="s">
        <v>320</v>
      </c>
    </row>
    <row r="77" spans="1:12" s="54" customFormat="1" ht="33" customHeight="1" x14ac:dyDescent="0.25">
      <c r="A77" s="81"/>
      <c r="B77" s="89" t="s">
        <v>110</v>
      </c>
      <c r="C77" s="77" t="s">
        <v>111</v>
      </c>
      <c r="D77" s="77" t="s">
        <v>60</v>
      </c>
      <c r="E77" s="90">
        <v>42</v>
      </c>
      <c r="F77" s="90"/>
      <c r="G77" s="83">
        <f>G60/0.25*E77</f>
        <v>433.44</v>
      </c>
      <c r="H77" s="84">
        <f t="shared" si="7"/>
        <v>433.44</v>
      </c>
      <c r="I77" s="80">
        <v>0</v>
      </c>
      <c r="J77" s="80">
        <f t="shared" si="8"/>
        <v>0</v>
      </c>
      <c r="K77" s="77" t="s">
        <v>68</v>
      </c>
      <c r="L77" s="77" t="s">
        <v>320</v>
      </c>
    </row>
    <row r="78" spans="1:12" s="54" customFormat="1" ht="30.75" customHeight="1" x14ac:dyDescent="0.25">
      <c r="A78" s="81"/>
      <c r="B78" s="91" t="s">
        <v>69</v>
      </c>
      <c r="C78" s="77" t="s">
        <v>70</v>
      </c>
      <c r="D78" s="77" t="s">
        <v>45</v>
      </c>
      <c r="E78" s="77">
        <v>0.19500000000000001</v>
      </c>
      <c r="F78" s="90"/>
      <c r="G78" s="78">
        <f>G59*E78+G61*E78*0.19+G62*E78*0.19+G63*E78*0.09+G64*E78*0.09</f>
        <v>18.788367000000001</v>
      </c>
      <c r="H78" s="79">
        <f t="shared" si="7"/>
        <v>18.788367000000001</v>
      </c>
      <c r="I78" s="80">
        <v>7875</v>
      </c>
      <c r="J78" s="80">
        <f t="shared" si="8"/>
        <v>147958.39012500001</v>
      </c>
      <c r="K78" s="77" t="s">
        <v>71</v>
      </c>
      <c r="L78" s="77" t="s">
        <v>321</v>
      </c>
    </row>
    <row r="79" spans="1:12" s="54" customFormat="1" ht="30.75" customHeight="1" x14ac:dyDescent="0.25">
      <c r="A79" s="92"/>
      <c r="B79" s="91" t="s">
        <v>112</v>
      </c>
      <c r="C79" s="77" t="s">
        <v>70</v>
      </c>
      <c r="D79" s="77" t="s">
        <v>45</v>
      </c>
      <c r="E79" s="77">
        <v>0.24</v>
      </c>
      <c r="F79" s="77"/>
      <c r="G79" s="78">
        <f>G60*E79</f>
        <v>0.61919999999999997</v>
      </c>
      <c r="H79" s="79">
        <f t="shared" si="7"/>
        <v>0.61919999999999997</v>
      </c>
      <c r="I79" s="80">
        <v>7875</v>
      </c>
      <c r="J79" s="80">
        <f t="shared" si="8"/>
        <v>4876.2</v>
      </c>
      <c r="K79" s="77" t="s">
        <v>71</v>
      </c>
      <c r="L79" s="77" t="s">
        <v>321</v>
      </c>
    </row>
    <row r="80" spans="1:12" s="54" customFormat="1" ht="30.75" customHeight="1" x14ac:dyDescent="0.25">
      <c r="A80" s="92"/>
      <c r="B80" s="91" t="s">
        <v>72</v>
      </c>
      <c r="C80" s="77" t="s">
        <v>70</v>
      </c>
      <c r="D80" s="77" t="s">
        <v>45</v>
      </c>
      <c r="E80" s="77">
        <v>4.5999999999999999E-2</v>
      </c>
      <c r="F80" s="77"/>
      <c r="G80" s="78">
        <f>G65*E80</f>
        <v>1.85656</v>
      </c>
      <c r="H80" s="79">
        <f t="shared" si="7"/>
        <v>1.85656</v>
      </c>
      <c r="I80" s="80">
        <v>7875</v>
      </c>
      <c r="J80" s="80">
        <f t="shared" si="8"/>
        <v>14620.41</v>
      </c>
      <c r="K80" s="77" t="s">
        <v>73</v>
      </c>
      <c r="L80" s="77" t="s">
        <v>321</v>
      </c>
    </row>
    <row r="81" spans="1:12" s="54" customFormat="1" ht="30.75" customHeight="1" x14ac:dyDescent="0.25">
      <c r="A81" s="92"/>
      <c r="B81" s="91" t="s">
        <v>74</v>
      </c>
      <c r="C81" s="77" t="s">
        <v>70</v>
      </c>
      <c r="D81" s="77" t="s">
        <v>45</v>
      </c>
      <c r="E81" s="77">
        <v>1.01</v>
      </c>
      <c r="F81" s="77"/>
      <c r="G81" s="78">
        <f>G69*E81</f>
        <v>0.55963494000000003</v>
      </c>
      <c r="H81" s="79">
        <f t="shared" si="7"/>
        <v>0.55963494000000003</v>
      </c>
      <c r="I81" s="80">
        <v>7875</v>
      </c>
      <c r="J81" s="80">
        <f t="shared" si="8"/>
        <v>4407.1251524999998</v>
      </c>
      <c r="K81" s="77" t="s">
        <v>71</v>
      </c>
      <c r="L81" s="77" t="s">
        <v>321</v>
      </c>
    </row>
    <row r="82" spans="1:12" s="54" customFormat="1" ht="30.75" customHeight="1" x14ac:dyDescent="0.25">
      <c r="A82" s="81"/>
      <c r="B82" s="89" t="s">
        <v>75</v>
      </c>
      <c r="C82" s="77" t="s">
        <v>70</v>
      </c>
      <c r="D82" s="77" t="s">
        <v>45</v>
      </c>
      <c r="E82" s="77">
        <v>6.0000000000000001E-3</v>
      </c>
      <c r="F82" s="77"/>
      <c r="G82" s="78">
        <f>G66*E82</f>
        <v>0.33600000000000002</v>
      </c>
      <c r="H82" s="79">
        <f t="shared" si="7"/>
        <v>0.33600000000000002</v>
      </c>
      <c r="I82" s="80">
        <v>7875</v>
      </c>
      <c r="J82" s="80">
        <f t="shared" si="8"/>
        <v>2646</v>
      </c>
      <c r="K82" s="77" t="s">
        <v>76</v>
      </c>
      <c r="L82" s="77" t="s">
        <v>321</v>
      </c>
    </row>
    <row r="83" spans="1:12" s="54" customFormat="1" ht="30.75" customHeight="1" x14ac:dyDescent="0.25">
      <c r="A83" s="81"/>
      <c r="B83" s="89" t="s">
        <v>77</v>
      </c>
      <c r="C83" s="77" t="s">
        <v>70</v>
      </c>
      <c r="D83" s="77" t="s">
        <v>45</v>
      </c>
      <c r="E83" s="77">
        <v>1.01</v>
      </c>
      <c r="F83" s="77"/>
      <c r="G83" s="93">
        <v>0.08</v>
      </c>
      <c r="H83" s="79">
        <f t="shared" si="7"/>
        <v>0.08</v>
      </c>
      <c r="I83" s="80">
        <v>7875</v>
      </c>
      <c r="J83" s="80">
        <f t="shared" si="8"/>
        <v>630</v>
      </c>
      <c r="K83" s="94"/>
      <c r="L83" s="77" t="s">
        <v>321</v>
      </c>
    </row>
    <row r="84" spans="1:12" s="54" customFormat="1" ht="30.75" customHeight="1" x14ac:dyDescent="0.25">
      <c r="A84" s="81"/>
      <c r="B84" s="89" t="s">
        <v>78</v>
      </c>
      <c r="C84" s="77" t="s">
        <v>79</v>
      </c>
      <c r="D84" s="77" t="s">
        <v>47</v>
      </c>
      <c r="E84" s="77"/>
      <c r="F84" s="77"/>
      <c r="G84" s="78">
        <v>183.5</v>
      </c>
      <c r="H84" s="79">
        <f t="shared" si="7"/>
        <v>183.5</v>
      </c>
      <c r="I84" s="80">
        <v>88.34</v>
      </c>
      <c r="J84" s="80">
        <f t="shared" si="8"/>
        <v>16210.390000000001</v>
      </c>
      <c r="K84" s="94"/>
      <c r="L84" s="77" t="s">
        <v>321</v>
      </c>
    </row>
    <row r="85" spans="1:12" s="54" customFormat="1" ht="22.5" customHeight="1" x14ac:dyDescent="0.25">
      <c r="A85" s="81"/>
      <c r="B85" s="89" t="s">
        <v>113</v>
      </c>
      <c r="C85" s="77" t="s">
        <v>114</v>
      </c>
      <c r="D85" s="77" t="s">
        <v>60</v>
      </c>
      <c r="E85" s="77"/>
      <c r="F85" s="77"/>
      <c r="G85" s="78">
        <v>12</v>
      </c>
      <c r="H85" s="79">
        <f t="shared" si="7"/>
        <v>12</v>
      </c>
      <c r="I85" s="80">
        <v>398.6</v>
      </c>
      <c r="J85" s="80">
        <f t="shared" si="8"/>
        <v>4783.2000000000007</v>
      </c>
      <c r="K85" s="94"/>
      <c r="L85" s="77" t="s">
        <v>321</v>
      </c>
    </row>
    <row r="86" spans="1:12" s="54" customFormat="1" ht="22.5" customHeight="1" x14ac:dyDescent="0.25">
      <c r="A86" s="81"/>
      <c r="B86" s="89" t="s">
        <v>115</v>
      </c>
      <c r="C86" s="77" t="s">
        <v>116</v>
      </c>
      <c r="D86" s="77" t="s">
        <v>60</v>
      </c>
      <c r="E86" s="77"/>
      <c r="F86" s="77"/>
      <c r="G86" s="78">
        <v>9</v>
      </c>
      <c r="H86" s="79">
        <f t="shared" si="7"/>
        <v>9</v>
      </c>
      <c r="I86" s="80">
        <v>465.03</v>
      </c>
      <c r="J86" s="80">
        <f t="shared" si="8"/>
        <v>4185.2699999999995</v>
      </c>
      <c r="K86" s="94"/>
      <c r="L86" s="77" t="s">
        <v>321</v>
      </c>
    </row>
    <row r="87" spans="1:12" s="54" customFormat="1" ht="22.5" customHeight="1" x14ac:dyDescent="0.25">
      <c r="A87" s="81"/>
      <c r="B87" s="89" t="s">
        <v>117</v>
      </c>
      <c r="C87" s="77" t="s">
        <v>118</v>
      </c>
      <c r="D87" s="77" t="s">
        <v>60</v>
      </c>
      <c r="E87" s="77"/>
      <c r="F87" s="77"/>
      <c r="G87" s="78">
        <v>1</v>
      </c>
      <c r="H87" s="79">
        <f t="shared" si="7"/>
        <v>1</v>
      </c>
      <c r="I87" s="80">
        <v>841.49</v>
      </c>
      <c r="J87" s="80">
        <f t="shared" si="8"/>
        <v>841.49</v>
      </c>
      <c r="K87" s="94"/>
      <c r="L87" s="77" t="s">
        <v>321</v>
      </c>
    </row>
    <row r="88" spans="1:12" s="54" customFormat="1" ht="22.5" customHeight="1" x14ac:dyDescent="0.25">
      <c r="A88" s="81"/>
      <c r="B88" s="89" t="s">
        <v>119</v>
      </c>
      <c r="C88" s="77" t="s">
        <v>120</v>
      </c>
      <c r="D88" s="77" t="s">
        <v>60</v>
      </c>
      <c r="E88" s="77"/>
      <c r="F88" s="77"/>
      <c r="G88" s="78">
        <v>10</v>
      </c>
      <c r="H88" s="79">
        <f t="shared" si="7"/>
        <v>10</v>
      </c>
      <c r="I88" s="80">
        <v>981.74</v>
      </c>
      <c r="J88" s="80">
        <f t="shared" si="8"/>
        <v>9817.4</v>
      </c>
      <c r="K88" s="94"/>
      <c r="L88" s="77" t="s">
        <v>321</v>
      </c>
    </row>
    <row r="89" spans="1:12" s="54" customFormat="1" ht="22.5" customHeight="1" x14ac:dyDescent="0.25">
      <c r="A89" s="81"/>
      <c r="B89" s="89" t="s">
        <v>121</v>
      </c>
      <c r="C89" s="77" t="s">
        <v>122</v>
      </c>
      <c r="D89" s="77" t="s">
        <v>60</v>
      </c>
      <c r="E89" s="77"/>
      <c r="F89" s="77"/>
      <c r="G89" s="78">
        <v>3</v>
      </c>
      <c r="H89" s="79">
        <f t="shared" si="7"/>
        <v>3</v>
      </c>
      <c r="I89" s="80">
        <v>1291.76</v>
      </c>
      <c r="J89" s="80">
        <f t="shared" si="8"/>
        <v>3875.2799999999997</v>
      </c>
      <c r="K89" s="94"/>
      <c r="L89" s="77" t="s">
        <v>321</v>
      </c>
    </row>
    <row r="90" spans="1:12" s="54" customFormat="1" ht="22.5" customHeight="1" x14ac:dyDescent="0.25">
      <c r="A90" s="81"/>
      <c r="B90" s="89" t="s">
        <v>123</v>
      </c>
      <c r="C90" s="77" t="s">
        <v>124</v>
      </c>
      <c r="D90" s="77" t="s">
        <v>60</v>
      </c>
      <c r="E90" s="77"/>
      <c r="F90" s="77"/>
      <c r="G90" s="78">
        <v>1</v>
      </c>
      <c r="H90" s="79">
        <f t="shared" si="7"/>
        <v>1</v>
      </c>
      <c r="I90" s="80">
        <v>1845.38</v>
      </c>
      <c r="J90" s="80">
        <f t="shared" si="8"/>
        <v>1845.38</v>
      </c>
      <c r="K90" s="94"/>
      <c r="L90" s="77" t="s">
        <v>321</v>
      </c>
    </row>
    <row r="91" spans="1:12" s="54" customFormat="1" ht="22.5" customHeight="1" x14ac:dyDescent="0.25">
      <c r="A91" s="81"/>
      <c r="B91" s="89" t="s">
        <v>125</v>
      </c>
      <c r="C91" s="77" t="s">
        <v>126</v>
      </c>
      <c r="D91" s="77" t="s">
        <v>60</v>
      </c>
      <c r="E91" s="77"/>
      <c r="F91" s="77"/>
      <c r="G91" s="78">
        <v>8</v>
      </c>
      <c r="H91" s="79">
        <f t="shared" si="7"/>
        <v>8</v>
      </c>
      <c r="I91" s="80">
        <v>2029.91</v>
      </c>
      <c r="J91" s="80">
        <f t="shared" si="8"/>
        <v>16239.28</v>
      </c>
      <c r="K91" s="94"/>
      <c r="L91" s="77" t="s">
        <v>321</v>
      </c>
    </row>
    <row r="92" spans="1:12" s="54" customFormat="1" ht="22.5" customHeight="1" x14ac:dyDescent="0.25">
      <c r="A92" s="81"/>
      <c r="B92" s="89" t="s">
        <v>127</v>
      </c>
      <c r="C92" s="77" t="s">
        <v>128</v>
      </c>
      <c r="D92" s="77" t="s">
        <v>60</v>
      </c>
      <c r="E92" s="77"/>
      <c r="F92" s="77"/>
      <c r="G92" s="78">
        <v>11</v>
      </c>
      <c r="H92" s="79">
        <f t="shared" si="7"/>
        <v>11</v>
      </c>
      <c r="I92" s="80">
        <v>2398.9899999999998</v>
      </c>
      <c r="J92" s="80">
        <f t="shared" si="8"/>
        <v>26388.89</v>
      </c>
      <c r="K92" s="94"/>
      <c r="L92" s="77" t="s">
        <v>321</v>
      </c>
    </row>
    <row r="93" spans="1:12" s="54" customFormat="1" ht="22.5" customHeight="1" x14ac:dyDescent="0.25">
      <c r="A93" s="81"/>
      <c r="B93" s="89" t="s">
        <v>129</v>
      </c>
      <c r="C93" s="77" t="s">
        <v>130</v>
      </c>
      <c r="D93" s="77" t="s">
        <v>60</v>
      </c>
      <c r="E93" s="77"/>
      <c r="F93" s="77"/>
      <c r="G93" s="78">
        <v>1</v>
      </c>
      <c r="H93" s="79">
        <f t="shared" si="7"/>
        <v>1</v>
      </c>
      <c r="I93" s="80">
        <v>2583.5300000000002</v>
      </c>
      <c r="J93" s="80">
        <f t="shared" si="8"/>
        <v>2583.5300000000002</v>
      </c>
      <c r="K93" s="94"/>
      <c r="L93" s="77" t="s">
        <v>321</v>
      </c>
    </row>
    <row r="94" spans="1:12" s="54" customFormat="1" ht="22.5" customHeight="1" x14ac:dyDescent="0.25">
      <c r="A94" s="81"/>
      <c r="B94" s="89" t="s">
        <v>92</v>
      </c>
      <c r="C94" s="77" t="s">
        <v>93</v>
      </c>
      <c r="D94" s="77" t="s">
        <v>54</v>
      </c>
      <c r="E94" s="77">
        <v>1.04</v>
      </c>
      <c r="F94" s="77"/>
      <c r="G94" s="78">
        <f>150.57*E94</f>
        <v>156.59280000000001</v>
      </c>
      <c r="H94" s="79">
        <f t="shared" si="7"/>
        <v>156.59280000000001</v>
      </c>
      <c r="I94" s="80">
        <v>66.349999999999994</v>
      </c>
      <c r="J94" s="80">
        <f t="shared" si="8"/>
        <v>10389.932279999999</v>
      </c>
      <c r="K94" s="94"/>
      <c r="L94" s="77" t="s">
        <v>321</v>
      </c>
    </row>
    <row r="95" spans="1:12" s="54" customFormat="1" ht="22.5" customHeight="1" x14ac:dyDescent="0.25">
      <c r="A95" s="81"/>
      <c r="B95" s="89" t="s">
        <v>94</v>
      </c>
      <c r="C95" s="77" t="s">
        <v>95</v>
      </c>
      <c r="D95" s="77" t="s">
        <v>54</v>
      </c>
      <c r="E95" s="77">
        <v>1.04</v>
      </c>
      <c r="F95" s="77"/>
      <c r="G95" s="78">
        <f>G68*E95</f>
        <v>42.307200000000002</v>
      </c>
      <c r="H95" s="79">
        <f t="shared" si="7"/>
        <v>42.307200000000002</v>
      </c>
      <c r="I95" s="80">
        <v>64</v>
      </c>
      <c r="J95" s="80">
        <f t="shared" si="8"/>
        <v>2707.6608000000001</v>
      </c>
      <c r="K95" s="94"/>
      <c r="L95" s="77" t="s">
        <v>321</v>
      </c>
    </row>
    <row r="96" spans="1:12" s="54" customFormat="1" ht="22.5" customHeight="1" x14ac:dyDescent="0.25">
      <c r="A96" s="81"/>
      <c r="B96" s="89" t="s">
        <v>131</v>
      </c>
      <c r="C96" s="77" t="s">
        <v>39</v>
      </c>
      <c r="D96" s="77" t="s">
        <v>54</v>
      </c>
      <c r="E96" s="77">
        <v>1.04</v>
      </c>
      <c r="F96" s="77"/>
      <c r="G96" s="78">
        <f>85.59*E96</f>
        <v>89.013600000000011</v>
      </c>
      <c r="H96" s="79">
        <f t="shared" si="7"/>
        <v>89.013600000000011</v>
      </c>
      <c r="I96" s="80">
        <v>64.209999999999994</v>
      </c>
      <c r="J96" s="80">
        <f t="shared" si="8"/>
        <v>5715.5632560000004</v>
      </c>
      <c r="K96" s="94"/>
      <c r="L96" s="77" t="s">
        <v>321</v>
      </c>
    </row>
    <row r="97" spans="1:12" s="54" customFormat="1" ht="22.5" customHeight="1" x14ac:dyDescent="0.25">
      <c r="A97" s="81"/>
      <c r="B97" s="89" t="s">
        <v>97</v>
      </c>
      <c r="C97" s="77" t="s">
        <v>39</v>
      </c>
      <c r="D97" s="77" t="s">
        <v>54</v>
      </c>
      <c r="E97" s="77">
        <v>1.04</v>
      </c>
      <c r="F97" s="77"/>
      <c r="G97" s="78">
        <f>E97*25.97</f>
        <v>27.008800000000001</v>
      </c>
      <c r="H97" s="79">
        <f t="shared" si="7"/>
        <v>27.008800000000001</v>
      </c>
      <c r="I97" s="80">
        <v>74.92</v>
      </c>
      <c r="J97" s="80">
        <f t="shared" si="8"/>
        <v>2023.4992960000002</v>
      </c>
      <c r="K97" s="94"/>
      <c r="L97" s="77" t="s">
        <v>321</v>
      </c>
    </row>
    <row r="98" spans="1:12" s="54" customFormat="1" ht="22.5" customHeight="1" x14ac:dyDescent="0.25">
      <c r="A98" s="81"/>
      <c r="B98" s="89" t="s">
        <v>132</v>
      </c>
      <c r="C98" s="77" t="s">
        <v>39</v>
      </c>
      <c r="D98" s="77" t="s">
        <v>54</v>
      </c>
      <c r="E98" s="77">
        <v>1.04</v>
      </c>
      <c r="F98" s="77"/>
      <c r="G98" s="78">
        <f>28.88*E98</f>
        <v>30.0352</v>
      </c>
      <c r="H98" s="79">
        <f t="shared" si="7"/>
        <v>30.0352</v>
      </c>
      <c r="I98" s="80">
        <v>75.97</v>
      </c>
      <c r="J98" s="80">
        <f t="shared" si="8"/>
        <v>2281.774144</v>
      </c>
      <c r="K98" s="94"/>
      <c r="L98" s="77" t="s">
        <v>321</v>
      </c>
    </row>
    <row r="99" spans="1:12" s="101" customFormat="1" ht="37.5" customHeight="1" x14ac:dyDescent="0.25">
      <c r="A99" s="95"/>
      <c r="B99" s="96" t="s">
        <v>133</v>
      </c>
      <c r="C99" s="97" t="s">
        <v>39</v>
      </c>
      <c r="D99" s="97" t="s">
        <v>99</v>
      </c>
      <c r="E99" s="97"/>
      <c r="F99" s="97"/>
      <c r="G99" s="98"/>
      <c r="H99" s="99">
        <f>J99*100/J58</f>
        <v>4.9775557153785197</v>
      </c>
      <c r="I99" s="79"/>
      <c r="J99" s="79">
        <v>50797.547400000003</v>
      </c>
      <c r="K99" s="100"/>
      <c r="L99" s="97" t="s">
        <v>321</v>
      </c>
    </row>
    <row r="100" spans="1:12" s="54" customFormat="1" ht="22.5" customHeight="1" x14ac:dyDescent="0.25">
      <c r="A100" s="60" t="s">
        <v>134</v>
      </c>
      <c r="B100" s="61" t="s">
        <v>135</v>
      </c>
      <c r="C100" s="62"/>
      <c r="D100" s="63"/>
      <c r="E100" s="62"/>
      <c r="F100" s="62"/>
      <c r="G100" s="64"/>
      <c r="H100" s="65"/>
      <c r="I100" s="65"/>
      <c r="J100" s="65">
        <f>J101+J113</f>
        <v>1356356.1824535001</v>
      </c>
      <c r="K100" s="86"/>
      <c r="L100" s="86"/>
    </row>
    <row r="101" spans="1:12" s="54" customFormat="1" ht="22.5" customHeight="1" x14ac:dyDescent="0.25">
      <c r="A101" s="66"/>
      <c r="B101" s="67" t="s">
        <v>34</v>
      </c>
      <c r="C101" s="68"/>
      <c r="D101" s="68"/>
      <c r="E101" s="68"/>
      <c r="F101" s="68"/>
      <c r="G101" s="69"/>
      <c r="H101" s="70"/>
      <c r="I101" s="70"/>
      <c r="J101" s="70">
        <f>SUM(J102:J112)</f>
        <v>1020531.97</v>
      </c>
      <c r="K101" s="72"/>
      <c r="L101" s="72"/>
    </row>
    <row r="102" spans="1:12" s="54" customFormat="1" ht="22.5" customHeight="1" x14ac:dyDescent="0.25">
      <c r="A102" s="66"/>
      <c r="B102" s="71" t="s">
        <v>44</v>
      </c>
      <c r="C102" s="72"/>
      <c r="D102" s="72" t="s">
        <v>45</v>
      </c>
      <c r="E102" s="72"/>
      <c r="F102" s="72"/>
      <c r="G102" s="73">
        <v>33.94</v>
      </c>
      <c r="H102" s="70">
        <f t="shared" ref="H102:H112" si="9">SUM(G102:G102)</f>
        <v>33.94</v>
      </c>
      <c r="I102" s="74">
        <v>4939</v>
      </c>
      <c r="J102" s="74">
        <f>I102*H102</f>
        <v>167629.65999999997</v>
      </c>
      <c r="K102" s="72"/>
      <c r="L102" s="72"/>
    </row>
    <row r="103" spans="1:12" s="54" customFormat="1" ht="22.5" customHeight="1" x14ac:dyDescent="0.25">
      <c r="A103" s="66"/>
      <c r="B103" s="71" t="s">
        <v>102</v>
      </c>
      <c r="C103" s="72"/>
      <c r="D103" s="72" t="s">
        <v>45</v>
      </c>
      <c r="E103" s="72"/>
      <c r="F103" s="72"/>
      <c r="G103" s="73">
        <v>2.58</v>
      </c>
      <c r="H103" s="70">
        <f t="shared" si="9"/>
        <v>2.58</v>
      </c>
      <c r="I103" s="74">
        <v>5845</v>
      </c>
      <c r="J103" s="74">
        <f t="shared" ref="J103" si="10">I103*H103</f>
        <v>15080.1</v>
      </c>
      <c r="K103" s="72"/>
      <c r="L103" s="72"/>
    </row>
    <row r="104" spans="1:12" s="54" customFormat="1" ht="22.5" customHeight="1" x14ac:dyDescent="0.25">
      <c r="A104" s="66"/>
      <c r="B104" s="71" t="s">
        <v>46</v>
      </c>
      <c r="C104" s="72"/>
      <c r="D104" s="72" t="s">
        <v>47</v>
      </c>
      <c r="E104" s="72"/>
      <c r="F104" s="72"/>
      <c r="G104" s="73">
        <v>154.53</v>
      </c>
      <c r="H104" s="70">
        <f t="shared" si="9"/>
        <v>154.53</v>
      </c>
      <c r="I104" s="74">
        <v>1461</v>
      </c>
      <c r="J104" s="74">
        <f>I104*H104</f>
        <v>225768.33</v>
      </c>
      <c r="K104" s="72"/>
      <c r="L104" s="72"/>
    </row>
    <row r="105" spans="1:12" s="54" customFormat="1" ht="22.5" customHeight="1" x14ac:dyDescent="0.25">
      <c r="A105" s="66"/>
      <c r="B105" s="71" t="s">
        <v>48</v>
      </c>
      <c r="C105" s="72"/>
      <c r="D105" s="72" t="s">
        <v>47</v>
      </c>
      <c r="E105" s="72"/>
      <c r="F105" s="72"/>
      <c r="G105" s="73">
        <v>32.32</v>
      </c>
      <c r="H105" s="70">
        <f t="shared" si="9"/>
        <v>32.32</v>
      </c>
      <c r="I105" s="74">
        <v>1461</v>
      </c>
      <c r="J105" s="74">
        <f>I105*H105</f>
        <v>47219.519999999997</v>
      </c>
      <c r="K105" s="72"/>
      <c r="L105" s="72"/>
    </row>
    <row r="106" spans="1:12" s="54" customFormat="1" ht="22.5" customHeight="1" x14ac:dyDescent="0.25">
      <c r="A106" s="66"/>
      <c r="B106" s="71" t="s">
        <v>103</v>
      </c>
      <c r="C106" s="72"/>
      <c r="D106" s="72" t="s">
        <v>47</v>
      </c>
      <c r="E106" s="72"/>
      <c r="F106" s="72"/>
      <c r="G106" s="73">
        <v>158.03</v>
      </c>
      <c r="H106" s="70">
        <f t="shared" si="9"/>
        <v>158.03</v>
      </c>
      <c r="I106" s="74">
        <v>1461</v>
      </c>
      <c r="J106" s="74">
        <f>I106*H106</f>
        <v>230881.83</v>
      </c>
      <c r="K106" s="72"/>
      <c r="L106" s="72"/>
    </row>
    <row r="107" spans="1:12" s="54" customFormat="1" ht="22.5" customHeight="1" x14ac:dyDescent="0.25">
      <c r="A107" s="66"/>
      <c r="B107" s="71" t="s">
        <v>104</v>
      </c>
      <c r="C107" s="72"/>
      <c r="D107" s="72" t="s">
        <v>47</v>
      </c>
      <c r="E107" s="72"/>
      <c r="F107" s="72"/>
      <c r="G107" s="73">
        <v>140.96</v>
      </c>
      <c r="H107" s="70">
        <f t="shared" si="9"/>
        <v>140.96</v>
      </c>
      <c r="I107" s="74">
        <v>1461</v>
      </c>
      <c r="J107" s="74">
        <f>I107*H107</f>
        <v>205942.56</v>
      </c>
      <c r="K107" s="72"/>
      <c r="L107" s="72"/>
    </row>
    <row r="108" spans="1:12" s="54" customFormat="1" ht="22.5" customHeight="1" x14ac:dyDescent="0.25">
      <c r="A108" s="66"/>
      <c r="B108" s="71" t="s">
        <v>49</v>
      </c>
      <c r="C108" s="72"/>
      <c r="D108" s="72" t="s">
        <v>47</v>
      </c>
      <c r="E108" s="72"/>
      <c r="F108" s="72"/>
      <c r="G108" s="73">
        <v>40.36</v>
      </c>
      <c r="H108" s="70">
        <f t="shared" si="9"/>
        <v>40.36</v>
      </c>
      <c r="I108" s="74">
        <v>1610</v>
      </c>
      <c r="J108" s="74">
        <f t="shared" ref="J108:J111" si="11">I108*H108</f>
        <v>64979.6</v>
      </c>
      <c r="K108" s="72"/>
      <c r="L108" s="72"/>
    </row>
    <row r="109" spans="1:12" s="54" customFormat="1" ht="22.5" customHeight="1" x14ac:dyDescent="0.25">
      <c r="A109" s="66"/>
      <c r="B109" s="71" t="s">
        <v>50</v>
      </c>
      <c r="C109" s="72"/>
      <c r="D109" s="72" t="s">
        <v>51</v>
      </c>
      <c r="E109" s="72"/>
      <c r="F109" s="72"/>
      <c r="G109" s="73">
        <v>56</v>
      </c>
      <c r="H109" s="70">
        <f t="shared" si="9"/>
        <v>56</v>
      </c>
      <c r="I109" s="74">
        <v>803</v>
      </c>
      <c r="J109" s="74">
        <f t="shared" si="11"/>
        <v>44968</v>
      </c>
      <c r="K109" s="72"/>
      <c r="L109" s="72"/>
    </row>
    <row r="110" spans="1:12" s="54" customFormat="1" ht="22.5" customHeight="1" x14ac:dyDescent="0.25">
      <c r="A110" s="66"/>
      <c r="B110" s="71" t="s">
        <v>52</v>
      </c>
      <c r="C110" s="72" t="s">
        <v>105</v>
      </c>
      <c r="D110" s="72" t="s">
        <v>54</v>
      </c>
      <c r="E110" s="72"/>
      <c r="F110" s="72"/>
      <c r="G110" s="73">
        <v>140.34</v>
      </c>
      <c r="H110" s="70">
        <f t="shared" si="9"/>
        <v>140.34</v>
      </c>
      <c r="I110" s="74">
        <v>94.5</v>
      </c>
      <c r="J110" s="74">
        <f t="shared" si="11"/>
        <v>13262.130000000001</v>
      </c>
      <c r="K110" s="72"/>
      <c r="L110" s="72"/>
    </row>
    <row r="111" spans="1:12" s="54" customFormat="1" ht="31.5" x14ac:dyDescent="0.25">
      <c r="A111" s="66"/>
      <c r="B111" s="71" t="s">
        <v>55</v>
      </c>
      <c r="C111" s="72"/>
      <c r="D111" s="72" t="s">
        <v>54</v>
      </c>
      <c r="E111" s="72"/>
      <c r="F111" s="72"/>
      <c r="G111" s="73">
        <v>40.68</v>
      </c>
      <c r="H111" s="70">
        <f t="shared" si="9"/>
        <v>40.68</v>
      </c>
      <c r="I111" s="74">
        <v>118</v>
      </c>
      <c r="J111" s="74">
        <f t="shared" si="11"/>
        <v>4800.24</v>
      </c>
      <c r="K111" s="72"/>
      <c r="L111" s="72"/>
    </row>
    <row r="112" spans="1:12" s="54" customFormat="1" ht="21" customHeight="1" x14ac:dyDescent="0.25">
      <c r="A112" s="66"/>
      <c r="B112" s="87" t="s">
        <v>56</v>
      </c>
      <c r="C112" s="88"/>
      <c r="D112" s="88" t="s">
        <v>45</v>
      </c>
      <c r="E112" s="88"/>
      <c r="F112" s="88"/>
      <c r="G112" s="73">
        <f>307.83*0.06*0.03</f>
        <v>0.55409399999999998</v>
      </c>
      <c r="H112" s="70">
        <f t="shared" si="9"/>
        <v>0.55409399999999998</v>
      </c>
      <c r="I112" s="74"/>
      <c r="J112" s="74"/>
      <c r="K112" s="88" t="s">
        <v>57</v>
      </c>
      <c r="L112" s="72"/>
    </row>
    <row r="113" spans="1:12" s="54" customFormat="1" ht="21" customHeight="1" x14ac:dyDescent="0.25">
      <c r="A113" s="75"/>
      <c r="B113" s="76" t="s">
        <v>38</v>
      </c>
      <c r="C113" s="77"/>
      <c r="D113" s="77"/>
      <c r="E113" s="77"/>
      <c r="F113" s="77"/>
      <c r="G113" s="78"/>
      <c r="H113" s="79"/>
      <c r="I113" s="80"/>
      <c r="J113" s="79">
        <f>SUM(J114:J142)</f>
        <v>335824.21245350002</v>
      </c>
      <c r="K113" s="77"/>
      <c r="L113" s="77"/>
    </row>
    <row r="114" spans="1:12" s="54" customFormat="1" ht="33.75" customHeight="1" x14ac:dyDescent="0.25">
      <c r="A114" s="81"/>
      <c r="B114" s="82" t="s">
        <v>58</v>
      </c>
      <c r="C114" s="77" t="s">
        <v>59</v>
      </c>
      <c r="D114" s="77" t="s">
        <v>60</v>
      </c>
      <c r="E114" s="78">
        <v>12.4</v>
      </c>
      <c r="F114" s="77">
        <v>0.25</v>
      </c>
      <c r="G114" s="83">
        <f>G102/F114*E114</f>
        <v>1683.424</v>
      </c>
      <c r="H114" s="84">
        <f t="shared" ref="H114:H141" si="12">SUM(G114:G114)</f>
        <v>1683.424</v>
      </c>
      <c r="I114" s="80">
        <v>0</v>
      </c>
      <c r="J114" s="80">
        <f>H114*I114</f>
        <v>0</v>
      </c>
      <c r="K114" s="77" t="s">
        <v>61</v>
      </c>
      <c r="L114" s="77" t="s">
        <v>320</v>
      </c>
    </row>
    <row r="115" spans="1:12" s="54" customFormat="1" ht="33.75" customHeight="1" x14ac:dyDescent="0.25">
      <c r="A115" s="81"/>
      <c r="B115" s="82" t="s">
        <v>62</v>
      </c>
      <c r="C115" s="77" t="s">
        <v>63</v>
      </c>
      <c r="D115" s="77" t="s">
        <v>60</v>
      </c>
      <c r="E115" s="78">
        <v>12.4</v>
      </c>
      <c r="F115" s="77"/>
      <c r="G115" s="83">
        <f>G104*E115</f>
        <v>1916.172</v>
      </c>
      <c r="H115" s="84">
        <f t="shared" si="12"/>
        <v>1916.172</v>
      </c>
      <c r="I115" s="80">
        <v>0</v>
      </c>
      <c r="J115" s="80">
        <f>H115*I115</f>
        <v>0</v>
      </c>
      <c r="K115" s="77" t="s">
        <v>61</v>
      </c>
      <c r="L115" s="77" t="s">
        <v>320</v>
      </c>
    </row>
    <row r="116" spans="1:12" s="54" customFormat="1" ht="33.75" customHeight="1" x14ac:dyDescent="0.25">
      <c r="A116" s="81"/>
      <c r="B116" s="82" t="s">
        <v>64</v>
      </c>
      <c r="C116" s="77" t="s">
        <v>65</v>
      </c>
      <c r="D116" s="77" t="s">
        <v>60</v>
      </c>
      <c r="E116" s="78">
        <v>12.4</v>
      </c>
      <c r="F116" s="77"/>
      <c r="G116" s="83">
        <f>G105*E116</f>
        <v>400.76800000000003</v>
      </c>
      <c r="H116" s="84">
        <f t="shared" si="12"/>
        <v>400.76800000000003</v>
      </c>
      <c r="I116" s="80">
        <v>0</v>
      </c>
      <c r="J116" s="80">
        <f>H116*I116</f>
        <v>0</v>
      </c>
      <c r="K116" s="77" t="s">
        <v>61</v>
      </c>
      <c r="L116" s="77" t="s">
        <v>320</v>
      </c>
    </row>
    <row r="117" spans="1:12" s="54" customFormat="1" ht="33.75" customHeight="1" x14ac:dyDescent="0.25">
      <c r="A117" s="81"/>
      <c r="B117" s="82" t="s">
        <v>106</v>
      </c>
      <c r="C117" s="77" t="s">
        <v>107</v>
      </c>
      <c r="D117" s="77" t="s">
        <v>60</v>
      </c>
      <c r="E117" s="78">
        <v>12.4</v>
      </c>
      <c r="F117" s="77"/>
      <c r="G117" s="83">
        <f>G106*E117</f>
        <v>1959.5720000000001</v>
      </c>
      <c r="H117" s="84">
        <f t="shared" si="12"/>
        <v>1959.5720000000001</v>
      </c>
      <c r="I117" s="80">
        <v>0</v>
      </c>
      <c r="J117" s="80">
        <f>H117*I117</f>
        <v>0</v>
      </c>
      <c r="K117" s="77" t="s">
        <v>61</v>
      </c>
      <c r="L117" s="77" t="s">
        <v>320</v>
      </c>
    </row>
    <row r="118" spans="1:12" s="54" customFormat="1" ht="33.75" customHeight="1" x14ac:dyDescent="0.25">
      <c r="A118" s="81"/>
      <c r="B118" s="82" t="s">
        <v>108</v>
      </c>
      <c r="C118" s="77" t="s">
        <v>109</v>
      </c>
      <c r="D118" s="77" t="s">
        <v>60</v>
      </c>
      <c r="E118" s="78">
        <v>12.4</v>
      </c>
      <c r="F118" s="77"/>
      <c r="G118" s="83">
        <f>G107*E118</f>
        <v>1747.9040000000002</v>
      </c>
      <c r="H118" s="84">
        <f t="shared" si="12"/>
        <v>1747.9040000000002</v>
      </c>
      <c r="I118" s="80">
        <v>0</v>
      </c>
      <c r="J118" s="80">
        <f>H118*I118</f>
        <v>0</v>
      </c>
      <c r="K118" s="77" t="s">
        <v>61</v>
      </c>
      <c r="L118" s="77" t="s">
        <v>320</v>
      </c>
    </row>
    <row r="119" spans="1:12" s="54" customFormat="1" ht="33.75" customHeight="1" x14ac:dyDescent="0.25">
      <c r="A119" s="81"/>
      <c r="B119" s="89" t="s">
        <v>66</v>
      </c>
      <c r="C119" s="77" t="s">
        <v>67</v>
      </c>
      <c r="D119" s="77" t="s">
        <v>60</v>
      </c>
      <c r="E119" s="90">
        <v>42</v>
      </c>
      <c r="F119" s="90"/>
      <c r="G119" s="83">
        <f>G108*E119</f>
        <v>1695.12</v>
      </c>
      <c r="H119" s="84">
        <f t="shared" si="12"/>
        <v>1695.12</v>
      </c>
      <c r="I119" s="80">
        <v>0</v>
      </c>
      <c r="J119" s="80">
        <f t="shared" ref="J119:J141" si="13">H119*I119</f>
        <v>0</v>
      </c>
      <c r="K119" s="77" t="s">
        <v>68</v>
      </c>
      <c r="L119" s="77" t="s">
        <v>320</v>
      </c>
    </row>
    <row r="120" spans="1:12" s="54" customFormat="1" ht="33.75" customHeight="1" x14ac:dyDescent="0.25">
      <c r="A120" s="81"/>
      <c r="B120" s="89" t="s">
        <v>110</v>
      </c>
      <c r="C120" s="77" t="s">
        <v>111</v>
      </c>
      <c r="D120" s="77" t="s">
        <v>60</v>
      </c>
      <c r="E120" s="90">
        <v>42</v>
      </c>
      <c r="F120" s="90"/>
      <c r="G120" s="83">
        <f>G103/0.25*E120</f>
        <v>433.44</v>
      </c>
      <c r="H120" s="84">
        <f t="shared" si="12"/>
        <v>433.44</v>
      </c>
      <c r="I120" s="80">
        <v>0</v>
      </c>
      <c r="J120" s="80">
        <f t="shared" si="13"/>
        <v>0</v>
      </c>
      <c r="K120" s="77" t="s">
        <v>68</v>
      </c>
      <c r="L120" s="77" t="s">
        <v>320</v>
      </c>
    </row>
    <row r="121" spans="1:12" s="54" customFormat="1" ht="33.75" customHeight="1" x14ac:dyDescent="0.25">
      <c r="A121" s="81"/>
      <c r="B121" s="91" t="s">
        <v>69</v>
      </c>
      <c r="C121" s="77" t="s">
        <v>70</v>
      </c>
      <c r="D121" s="77" t="s">
        <v>45</v>
      </c>
      <c r="E121" s="77">
        <v>0.19500000000000001</v>
      </c>
      <c r="F121" s="90"/>
      <c r="G121" s="78">
        <f>G102*E121+G104*E121*0.19+G105*E121*0.19+G106*E121*0.09+G107*E121*0.09</f>
        <v>18.788367000000001</v>
      </c>
      <c r="H121" s="79">
        <f t="shared" si="12"/>
        <v>18.788367000000001</v>
      </c>
      <c r="I121" s="80">
        <v>7875</v>
      </c>
      <c r="J121" s="80">
        <f t="shared" si="13"/>
        <v>147958.39012500001</v>
      </c>
      <c r="K121" s="77" t="s">
        <v>71</v>
      </c>
      <c r="L121" s="77" t="s">
        <v>321</v>
      </c>
    </row>
    <row r="122" spans="1:12" s="54" customFormat="1" ht="33.75" customHeight="1" x14ac:dyDescent="0.25">
      <c r="A122" s="92"/>
      <c r="B122" s="91" t="s">
        <v>112</v>
      </c>
      <c r="C122" s="77" t="s">
        <v>70</v>
      </c>
      <c r="D122" s="77" t="s">
        <v>45</v>
      </c>
      <c r="E122" s="77">
        <v>0.24</v>
      </c>
      <c r="F122" s="77"/>
      <c r="G122" s="78">
        <f>G103*E122</f>
        <v>0.61919999999999997</v>
      </c>
      <c r="H122" s="79">
        <f t="shared" si="12"/>
        <v>0.61919999999999997</v>
      </c>
      <c r="I122" s="80">
        <v>7875</v>
      </c>
      <c r="J122" s="80">
        <f t="shared" si="13"/>
        <v>4876.2</v>
      </c>
      <c r="K122" s="77" t="s">
        <v>71</v>
      </c>
      <c r="L122" s="77" t="s">
        <v>321</v>
      </c>
    </row>
    <row r="123" spans="1:12" s="54" customFormat="1" ht="33.75" customHeight="1" x14ac:dyDescent="0.25">
      <c r="A123" s="92"/>
      <c r="B123" s="91" t="s">
        <v>72</v>
      </c>
      <c r="C123" s="77" t="s">
        <v>70</v>
      </c>
      <c r="D123" s="77" t="s">
        <v>45</v>
      </c>
      <c r="E123" s="77">
        <v>4.5999999999999999E-2</v>
      </c>
      <c r="F123" s="77"/>
      <c r="G123" s="78">
        <f>G108*E123</f>
        <v>1.85656</v>
      </c>
      <c r="H123" s="79">
        <f t="shared" si="12"/>
        <v>1.85656</v>
      </c>
      <c r="I123" s="80">
        <v>7875</v>
      </c>
      <c r="J123" s="80">
        <f t="shared" si="13"/>
        <v>14620.41</v>
      </c>
      <c r="K123" s="77" t="s">
        <v>73</v>
      </c>
      <c r="L123" s="77" t="s">
        <v>321</v>
      </c>
    </row>
    <row r="124" spans="1:12" s="54" customFormat="1" ht="33.75" customHeight="1" x14ac:dyDescent="0.25">
      <c r="A124" s="92"/>
      <c r="B124" s="91" t="s">
        <v>74</v>
      </c>
      <c r="C124" s="77" t="s">
        <v>70</v>
      </c>
      <c r="D124" s="77" t="s">
        <v>45</v>
      </c>
      <c r="E124" s="77">
        <v>1.01</v>
      </c>
      <c r="F124" s="77"/>
      <c r="G124" s="78">
        <f>G112*E124</f>
        <v>0.55963494000000003</v>
      </c>
      <c r="H124" s="79">
        <f t="shared" si="12"/>
        <v>0.55963494000000003</v>
      </c>
      <c r="I124" s="80">
        <v>7875</v>
      </c>
      <c r="J124" s="80">
        <f t="shared" si="13"/>
        <v>4407.1251524999998</v>
      </c>
      <c r="K124" s="77" t="s">
        <v>71</v>
      </c>
      <c r="L124" s="77" t="s">
        <v>321</v>
      </c>
    </row>
    <row r="125" spans="1:12" s="54" customFormat="1" ht="33.75" customHeight="1" x14ac:dyDescent="0.25">
      <c r="A125" s="81"/>
      <c r="B125" s="89" t="s">
        <v>75</v>
      </c>
      <c r="C125" s="77" t="s">
        <v>70</v>
      </c>
      <c r="D125" s="77" t="s">
        <v>45</v>
      </c>
      <c r="E125" s="77">
        <v>6.0000000000000001E-3</v>
      </c>
      <c r="F125" s="77"/>
      <c r="G125" s="78">
        <f>G109*E125</f>
        <v>0.33600000000000002</v>
      </c>
      <c r="H125" s="79">
        <f t="shared" si="12"/>
        <v>0.33600000000000002</v>
      </c>
      <c r="I125" s="80">
        <v>7875</v>
      </c>
      <c r="J125" s="80">
        <f t="shared" si="13"/>
        <v>2646</v>
      </c>
      <c r="K125" s="77" t="s">
        <v>76</v>
      </c>
      <c r="L125" s="77" t="s">
        <v>321</v>
      </c>
    </row>
    <row r="126" spans="1:12" s="54" customFormat="1" ht="33.75" customHeight="1" x14ac:dyDescent="0.25">
      <c r="A126" s="81"/>
      <c r="B126" s="89" t="s">
        <v>77</v>
      </c>
      <c r="C126" s="77" t="s">
        <v>70</v>
      </c>
      <c r="D126" s="77" t="s">
        <v>45</v>
      </c>
      <c r="E126" s="77">
        <v>1.01</v>
      </c>
      <c r="F126" s="77"/>
      <c r="G126" s="93">
        <v>0.08</v>
      </c>
      <c r="H126" s="79">
        <f t="shared" si="12"/>
        <v>0.08</v>
      </c>
      <c r="I126" s="80">
        <v>7875</v>
      </c>
      <c r="J126" s="80">
        <f t="shared" si="13"/>
        <v>630</v>
      </c>
      <c r="K126" s="94"/>
      <c r="L126" s="77" t="s">
        <v>321</v>
      </c>
    </row>
    <row r="127" spans="1:12" s="54" customFormat="1" ht="28.5" customHeight="1" x14ac:dyDescent="0.25">
      <c r="A127" s="81"/>
      <c r="B127" s="89" t="s">
        <v>78</v>
      </c>
      <c r="C127" s="77" t="s">
        <v>79</v>
      </c>
      <c r="D127" s="77" t="s">
        <v>47</v>
      </c>
      <c r="E127" s="77"/>
      <c r="F127" s="77"/>
      <c r="G127" s="78">
        <v>183.5</v>
      </c>
      <c r="H127" s="79">
        <f t="shared" si="12"/>
        <v>183.5</v>
      </c>
      <c r="I127" s="80">
        <v>88.34</v>
      </c>
      <c r="J127" s="80">
        <f t="shared" si="13"/>
        <v>16210.390000000001</v>
      </c>
      <c r="K127" s="94"/>
      <c r="L127" s="77" t="s">
        <v>321</v>
      </c>
    </row>
    <row r="128" spans="1:12" s="54" customFormat="1" ht="24" customHeight="1" x14ac:dyDescent="0.25">
      <c r="A128" s="81"/>
      <c r="B128" s="89" t="s">
        <v>113</v>
      </c>
      <c r="C128" s="77" t="s">
        <v>114</v>
      </c>
      <c r="D128" s="77" t="s">
        <v>60</v>
      </c>
      <c r="E128" s="77"/>
      <c r="F128" s="77"/>
      <c r="G128" s="78">
        <v>12</v>
      </c>
      <c r="H128" s="79">
        <f t="shared" si="12"/>
        <v>12</v>
      </c>
      <c r="I128" s="80">
        <v>398.6</v>
      </c>
      <c r="J128" s="80">
        <f t="shared" si="13"/>
        <v>4783.2000000000007</v>
      </c>
      <c r="K128" s="94"/>
      <c r="L128" s="77" t="s">
        <v>321</v>
      </c>
    </row>
    <row r="129" spans="1:12" s="54" customFormat="1" ht="24" customHeight="1" x14ac:dyDescent="0.25">
      <c r="A129" s="81"/>
      <c r="B129" s="89" t="s">
        <v>115</v>
      </c>
      <c r="C129" s="77" t="s">
        <v>116</v>
      </c>
      <c r="D129" s="77" t="s">
        <v>60</v>
      </c>
      <c r="E129" s="77"/>
      <c r="F129" s="77"/>
      <c r="G129" s="78">
        <v>9</v>
      </c>
      <c r="H129" s="79">
        <f t="shared" si="12"/>
        <v>9</v>
      </c>
      <c r="I129" s="80">
        <v>465.03</v>
      </c>
      <c r="J129" s="80">
        <f t="shared" si="13"/>
        <v>4185.2699999999995</v>
      </c>
      <c r="K129" s="94"/>
      <c r="L129" s="77" t="s">
        <v>321</v>
      </c>
    </row>
    <row r="130" spans="1:12" s="54" customFormat="1" ht="24" customHeight="1" x14ac:dyDescent="0.25">
      <c r="A130" s="81"/>
      <c r="B130" s="89" t="s">
        <v>117</v>
      </c>
      <c r="C130" s="77" t="s">
        <v>118</v>
      </c>
      <c r="D130" s="77" t="s">
        <v>60</v>
      </c>
      <c r="E130" s="77"/>
      <c r="F130" s="77"/>
      <c r="G130" s="78">
        <v>1</v>
      </c>
      <c r="H130" s="79">
        <f t="shared" si="12"/>
        <v>1</v>
      </c>
      <c r="I130" s="80">
        <v>841.49</v>
      </c>
      <c r="J130" s="80">
        <f t="shared" si="13"/>
        <v>841.49</v>
      </c>
      <c r="K130" s="94"/>
      <c r="L130" s="77" t="s">
        <v>321</v>
      </c>
    </row>
    <row r="131" spans="1:12" s="54" customFormat="1" ht="24" customHeight="1" x14ac:dyDescent="0.25">
      <c r="A131" s="81"/>
      <c r="B131" s="89" t="s">
        <v>119</v>
      </c>
      <c r="C131" s="77" t="s">
        <v>120</v>
      </c>
      <c r="D131" s="77" t="s">
        <v>60</v>
      </c>
      <c r="E131" s="77"/>
      <c r="F131" s="77"/>
      <c r="G131" s="78">
        <v>10</v>
      </c>
      <c r="H131" s="79">
        <f t="shared" si="12"/>
        <v>10</v>
      </c>
      <c r="I131" s="80">
        <v>981.74</v>
      </c>
      <c r="J131" s="80">
        <f t="shared" si="13"/>
        <v>9817.4</v>
      </c>
      <c r="K131" s="94"/>
      <c r="L131" s="77" t="s">
        <v>321</v>
      </c>
    </row>
    <row r="132" spans="1:12" s="54" customFormat="1" ht="24" customHeight="1" x14ac:dyDescent="0.25">
      <c r="A132" s="81"/>
      <c r="B132" s="89" t="s">
        <v>121</v>
      </c>
      <c r="C132" s="77" t="s">
        <v>122</v>
      </c>
      <c r="D132" s="77" t="s">
        <v>60</v>
      </c>
      <c r="E132" s="77"/>
      <c r="F132" s="77"/>
      <c r="G132" s="78">
        <v>3</v>
      </c>
      <c r="H132" s="79">
        <f t="shared" si="12"/>
        <v>3</v>
      </c>
      <c r="I132" s="80">
        <v>1291.76</v>
      </c>
      <c r="J132" s="80">
        <f t="shared" si="13"/>
        <v>3875.2799999999997</v>
      </c>
      <c r="K132" s="94"/>
      <c r="L132" s="77" t="s">
        <v>321</v>
      </c>
    </row>
    <row r="133" spans="1:12" s="54" customFormat="1" ht="24" customHeight="1" x14ac:dyDescent="0.25">
      <c r="A133" s="81"/>
      <c r="B133" s="89" t="s">
        <v>123</v>
      </c>
      <c r="C133" s="77" t="s">
        <v>124</v>
      </c>
      <c r="D133" s="77" t="s">
        <v>60</v>
      </c>
      <c r="E133" s="77"/>
      <c r="F133" s="77"/>
      <c r="G133" s="78">
        <v>1</v>
      </c>
      <c r="H133" s="79">
        <f t="shared" si="12"/>
        <v>1</v>
      </c>
      <c r="I133" s="80">
        <v>1845.38</v>
      </c>
      <c r="J133" s="80">
        <f t="shared" si="13"/>
        <v>1845.38</v>
      </c>
      <c r="K133" s="94"/>
      <c r="L133" s="77" t="s">
        <v>321</v>
      </c>
    </row>
    <row r="134" spans="1:12" s="54" customFormat="1" ht="24" customHeight="1" x14ac:dyDescent="0.25">
      <c r="A134" s="81"/>
      <c r="B134" s="89" t="s">
        <v>125</v>
      </c>
      <c r="C134" s="77" t="s">
        <v>126</v>
      </c>
      <c r="D134" s="77" t="s">
        <v>60</v>
      </c>
      <c r="E134" s="77"/>
      <c r="F134" s="77"/>
      <c r="G134" s="78">
        <v>8</v>
      </c>
      <c r="H134" s="79">
        <f t="shared" si="12"/>
        <v>8</v>
      </c>
      <c r="I134" s="80">
        <v>2029.91</v>
      </c>
      <c r="J134" s="80">
        <f t="shared" si="13"/>
        <v>16239.28</v>
      </c>
      <c r="K134" s="94"/>
      <c r="L134" s="77" t="s">
        <v>321</v>
      </c>
    </row>
    <row r="135" spans="1:12" s="54" customFormat="1" ht="24" customHeight="1" x14ac:dyDescent="0.25">
      <c r="A135" s="81"/>
      <c r="B135" s="89" t="s">
        <v>127</v>
      </c>
      <c r="C135" s="77" t="s">
        <v>128</v>
      </c>
      <c r="D135" s="77" t="s">
        <v>60</v>
      </c>
      <c r="E135" s="77"/>
      <c r="F135" s="77"/>
      <c r="G135" s="78">
        <v>11</v>
      </c>
      <c r="H135" s="79">
        <f t="shared" si="12"/>
        <v>11</v>
      </c>
      <c r="I135" s="80">
        <v>2398.9899999999998</v>
      </c>
      <c r="J135" s="80">
        <f t="shared" si="13"/>
        <v>26388.89</v>
      </c>
      <c r="K135" s="94"/>
      <c r="L135" s="77" t="s">
        <v>321</v>
      </c>
    </row>
    <row r="136" spans="1:12" s="54" customFormat="1" ht="24" customHeight="1" x14ac:dyDescent="0.25">
      <c r="A136" s="81"/>
      <c r="B136" s="89" t="s">
        <v>129</v>
      </c>
      <c r="C136" s="77" t="s">
        <v>130</v>
      </c>
      <c r="D136" s="77" t="s">
        <v>60</v>
      </c>
      <c r="E136" s="77"/>
      <c r="F136" s="77"/>
      <c r="G136" s="78">
        <v>1</v>
      </c>
      <c r="H136" s="79">
        <f t="shared" si="12"/>
        <v>1</v>
      </c>
      <c r="I136" s="80">
        <v>2583.5300000000002</v>
      </c>
      <c r="J136" s="80">
        <f t="shared" si="13"/>
        <v>2583.5300000000002</v>
      </c>
      <c r="K136" s="94"/>
      <c r="L136" s="77" t="s">
        <v>321</v>
      </c>
    </row>
    <row r="137" spans="1:12" s="54" customFormat="1" ht="24" customHeight="1" x14ac:dyDescent="0.25">
      <c r="A137" s="81"/>
      <c r="B137" s="89" t="s">
        <v>92</v>
      </c>
      <c r="C137" s="77" t="s">
        <v>93</v>
      </c>
      <c r="D137" s="77" t="s">
        <v>54</v>
      </c>
      <c r="E137" s="77">
        <v>1.04</v>
      </c>
      <c r="F137" s="77"/>
      <c r="G137" s="78">
        <f>150.57*E137</f>
        <v>156.59280000000001</v>
      </c>
      <c r="H137" s="79">
        <f t="shared" si="12"/>
        <v>156.59280000000001</v>
      </c>
      <c r="I137" s="80">
        <v>66.349999999999994</v>
      </c>
      <c r="J137" s="80">
        <f t="shared" si="13"/>
        <v>10389.932279999999</v>
      </c>
      <c r="K137" s="94"/>
      <c r="L137" s="77" t="s">
        <v>321</v>
      </c>
    </row>
    <row r="138" spans="1:12" s="54" customFormat="1" ht="24" customHeight="1" x14ac:dyDescent="0.25">
      <c r="A138" s="81"/>
      <c r="B138" s="89" t="s">
        <v>94</v>
      </c>
      <c r="C138" s="77" t="s">
        <v>95</v>
      </c>
      <c r="D138" s="77" t="s">
        <v>54</v>
      </c>
      <c r="E138" s="77">
        <v>1.04</v>
      </c>
      <c r="F138" s="77"/>
      <c r="G138" s="78">
        <f>G111*E138</f>
        <v>42.307200000000002</v>
      </c>
      <c r="H138" s="79">
        <f t="shared" si="12"/>
        <v>42.307200000000002</v>
      </c>
      <c r="I138" s="80">
        <v>64</v>
      </c>
      <c r="J138" s="80">
        <f t="shared" si="13"/>
        <v>2707.6608000000001</v>
      </c>
      <c r="K138" s="94"/>
      <c r="L138" s="77" t="s">
        <v>321</v>
      </c>
    </row>
    <row r="139" spans="1:12" s="54" customFormat="1" ht="24" customHeight="1" x14ac:dyDescent="0.25">
      <c r="A139" s="81"/>
      <c r="B139" s="89" t="s">
        <v>131</v>
      </c>
      <c r="C139" s="77" t="s">
        <v>39</v>
      </c>
      <c r="D139" s="77" t="s">
        <v>54</v>
      </c>
      <c r="E139" s="77">
        <v>1.04</v>
      </c>
      <c r="F139" s="77"/>
      <c r="G139" s="78">
        <f>85.59*E139</f>
        <v>89.013600000000011</v>
      </c>
      <c r="H139" s="79">
        <f t="shared" si="12"/>
        <v>89.013600000000011</v>
      </c>
      <c r="I139" s="80">
        <v>64.209999999999994</v>
      </c>
      <c r="J139" s="80">
        <f t="shared" si="13"/>
        <v>5715.5632560000004</v>
      </c>
      <c r="K139" s="94"/>
      <c r="L139" s="77" t="s">
        <v>321</v>
      </c>
    </row>
    <row r="140" spans="1:12" s="54" customFormat="1" ht="24" customHeight="1" x14ac:dyDescent="0.25">
      <c r="A140" s="81"/>
      <c r="B140" s="89" t="s">
        <v>97</v>
      </c>
      <c r="C140" s="77" t="s">
        <v>39</v>
      </c>
      <c r="D140" s="77" t="s">
        <v>54</v>
      </c>
      <c r="E140" s="77">
        <v>1.04</v>
      </c>
      <c r="F140" s="77"/>
      <c r="G140" s="78">
        <f>E140*25.97</f>
        <v>27.008800000000001</v>
      </c>
      <c r="H140" s="79">
        <f t="shared" si="12"/>
        <v>27.008800000000001</v>
      </c>
      <c r="I140" s="80">
        <v>74.92</v>
      </c>
      <c r="J140" s="80">
        <f t="shared" si="13"/>
        <v>2023.4992960000002</v>
      </c>
      <c r="K140" s="94"/>
      <c r="L140" s="77" t="s">
        <v>321</v>
      </c>
    </row>
    <row r="141" spans="1:12" s="54" customFormat="1" ht="24" customHeight="1" x14ac:dyDescent="0.25">
      <c r="A141" s="81"/>
      <c r="B141" s="89" t="s">
        <v>132</v>
      </c>
      <c r="C141" s="77" t="s">
        <v>39</v>
      </c>
      <c r="D141" s="77" t="s">
        <v>54</v>
      </c>
      <c r="E141" s="77">
        <v>1.04</v>
      </c>
      <c r="F141" s="77"/>
      <c r="G141" s="78">
        <f>28.88*E141</f>
        <v>30.0352</v>
      </c>
      <c r="H141" s="79">
        <f t="shared" si="12"/>
        <v>30.0352</v>
      </c>
      <c r="I141" s="80">
        <v>75.97</v>
      </c>
      <c r="J141" s="80">
        <f t="shared" si="13"/>
        <v>2281.774144</v>
      </c>
      <c r="K141" s="94"/>
      <c r="L141" s="77" t="s">
        <v>321</v>
      </c>
    </row>
    <row r="142" spans="1:12" s="101" customFormat="1" ht="35.25" customHeight="1" x14ac:dyDescent="0.25">
      <c r="A142" s="95"/>
      <c r="B142" s="96" t="s">
        <v>133</v>
      </c>
      <c r="C142" s="97" t="s">
        <v>39</v>
      </c>
      <c r="D142" s="97" t="s">
        <v>99</v>
      </c>
      <c r="E142" s="97"/>
      <c r="F142" s="97"/>
      <c r="G142" s="98"/>
      <c r="H142" s="99">
        <f>J142*100/J101</f>
        <v>4.9775557153785197</v>
      </c>
      <c r="I142" s="79"/>
      <c r="J142" s="79">
        <v>50797.547400000003</v>
      </c>
      <c r="K142" s="100"/>
      <c r="L142" s="97" t="s">
        <v>321</v>
      </c>
    </row>
    <row r="143" spans="1:12" s="54" customFormat="1" ht="18" customHeight="1" x14ac:dyDescent="0.25">
      <c r="A143" s="60" t="s">
        <v>136</v>
      </c>
      <c r="B143" s="61" t="s">
        <v>137</v>
      </c>
      <c r="C143" s="62"/>
      <c r="D143" s="63"/>
      <c r="E143" s="62"/>
      <c r="F143" s="62"/>
      <c r="G143" s="64"/>
      <c r="H143" s="65"/>
      <c r="I143" s="65"/>
      <c r="J143" s="65">
        <f>J144+J156</f>
        <v>1356356.1824535001</v>
      </c>
      <c r="K143" s="86"/>
      <c r="L143" s="86"/>
    </row>
    <row r="144" spans="1:12" s="54" customFormat="1" ht="18" customHeight="1" x14ac:dyDescent="0.25">
      <c r="A144" s="66"/>
      <c r="B144" s="67" t="s">
        <v>34</v>
      </c>
      <c r="C144" s="68"/>
      <c r="D144" s="68"/>
      <c r="E144" s="68"/>
      <c r="F144" s="68"/>
      <c r="G144" s="69"/>
      <c r="H144" s="70"/>
      <c r="I144" s="70"/>
      <c r="J144" s="70">
        <f>SUM(J145:J155)</f>
        <v>1020531.97</v>
      </c>
      <c r="K144" s="72"/>
      <c r="L144" s="72"/>
    </row>
    <row r="145" spans="1:12" s="54" customFormat="1" ht="29.25" customHeight="1" x14ac:dyDescent="0.25">
      <c r="A145" s="66"/>
      <c r="B145" s="71" t="s">
        <v>44</v>
      </c>
      <c r="C145" s="72"/>
      <c r="D145" s="72" t="s">
        <v>45</v>
      </c>
      <c r="E145" s="72"/>
      <c r="F145" s="72"/>
      <c r="G145" s="73">
        <v>33.94</v>
      </c>
      <c r="H145" s="70">
        <f t="shared" ref="H145:H155" si="14">SUM(G145:G145)</f>
        <v>33.94</v>
      </c>
      <c r="I145" s="74">
        <v>4939</v>
      </c>
      <c r="J145" s="74">
        <f>I145*H145</f>
        <v>167629.65999999997</v>
      </c>
      <c r="K145" s="72"/>
      <c r="L145" s="72"/>
    </row>
    <row r="146" spans="1:12" s="54" customFormat="1" ht="29.25" customHeight="1" x14ac:dyDescent="0.25">
      <c r="A146" s="66"/>
      <c r="B146" s="71" t="s">
        <v>102</v>
      </c>
      <c r="C146" s="72"/>
      <c r="D146" s="72" t="s">
        <v>45</v>
      </c>
      <c r="E146" s="72"/>
      <c r="F146" s="72"/>
      <c r="G146" s="73">
        <v>2.58</v>
      </c>
      <c r="H146" s="70">
        <f t="shared" si="14"/>
        <v>2.58</v>
      </c>
      <c r="I146" s="74">
        <v>5845</v>
      </c>
      <c r="J146" s="74">
        <f t="shared" ref="J146" si="15">I146*H146</f>
        <v>15080.1</v>
      </c>
      <c r="K146" s="72"/>
      <c r="L146" s="72"/>
    </row>
    <row r="147" spans="1:12" s="54" customFormat="1" ht="29.25" customHeight="1" x14ac:dyDescent="0.25">
      <c r="A147" s="66"/>
      <c r="B147" s="71" t="s">
        <v>46</v>
      </c>
      <c r="C147" s="72"/>
      <c r="D147" s="72" t="s">
        <v>47</v>
      </c>
      <c r="E147" s="72"/>
      <c r="F147" s="72"/>
      <c r="G147" s="73">
        <v>154.53</v>
      </c>
      <c r="H147" s="70">
        <f t="shared" si="14"/>
        <v>154.53</v>
      </c>
      <c r="I147" s="74">
        <v>1461</v>
      </c>
      <c r="J147" s="74">
        <f>I147*H147</f>
        <v>225768.33</v>
      </c>
      <c r="K147" s="72"/>
      <c r="L147" s="72"/>
    </row>
    <row r="148" spans="1:12" s="54" customFormat="1" ht="29.25" customHeight="1" x14ac:dyDescent="0.25">
      <c r="A148" s="66"/>
      <c r="B148" s="71" t="s">
        <v>48</v>
      </c>
      <c r="C148" s="72"/>
      <c r="D148" s="72" t="s">
        <v>47</v>
      </c>
      <c r="E148" s="72"/>
      <c r="F148" s="72"/>
      <c r="G148" s="73">
        <v>32.32</v>
      </c>
      <c r="H148" s="70">
        <f t="shared" si="14"/>
        <v>32.32</v>
      </c>
      <c r="I148" s="74">
        <v>1461</v>
      </c>
      <c r="J148" s="74">
        <f>I148*H148</f>
        <v>47219.519999999997</v>
      </c>
      <c r="K148" s="72"/>
      <c r="L148" s="72"/>
    </row>
    <row r="149" spans="1:12" s="54" customFormat="1" ht="29.25" customHeight="1" x14ac:dyDescent="0.25">
      <c r="A149" s="66"/>
      <c r="B149" s="71" t="s">
        <v>103</v>
      </c>
      <c r="C149" s="72"/>
      <c r="D149" s="72" t="s">
        <v>47</v>
      </c>
      <c r="E149" s="72"/>
      <c r="F149" s="72"/>
      <c r="G149" s="73">
        <v>158.03</v>
      </c>
      <c r="H149" s="70">
        <f t="shared" si="14"/>
        <v>158.03</v>
      </c>
      <c r="I149" s="74">
        <v>1461</v>
      </c>
      <c r="J149" s="74">
        <f>I149*H149</f>
        <v>230881.83</v>
      </c>
      <c r="K149" s="72"/>
      <c r="L149" s="72"/>
    </row>
    <row r="150" spans="1:12" s="54" customFormat="1" ht="29.25" customHeight="1" x14ac:dyDescent="0.25">
      <c r="A150" s="66"/>
      <c r="B150" s="71" t="s">
        <v>104</v>
      </c>
      <c r="C150" s="72"/>
      <c r="D150" s="72" t="s">
        <v>47</v>
      </c>
      <c r="E150" s="72"/>
      <c r="F150" s="72"/>
      <c r="G150" s="73">
        <v>140.96</v>
      </c>
      <c r="H150" s="70">
        <f t="shared" si="14"/>
        <v>140.96</v>
      </c>
      <c r="I150" s="74">
        <v>1461</v>
      </c>
      <c r="J150" s="74">
        <f>I150*H150</f>
        <v>205942.56</v>
      </c>
      <c r="K150" s="72"/>
      <c r="L150" s="72"/>
    </row>
    <row r="151" spans="1:12" s="54" customFormat="1" ht="29.25" customHeight="1" x14ac:dyDescent="0.25">
      <c r="A151" s="66"/>
      <c r="B151" s="71" t="s">
        <v>49</v>
      </c>
      <c r="C151" s="72"/>
      <c r="D151" s="72" t="s">
        <v>47</v>
      </c>
      <c r="E151" s="72"/>
      <c r="F151" s="72"/>
      <c r="G151" s="73">
        <v>40.36</v>
      </c>
      <c r="H151" s="70">
        <f t="shared" si="14"/>
        <v>40.36</v>
      </c>
      <c r="I151" s="74">
        <v>1610</v>
      </c>
      <c r="J151" s="74">
        <f t="shared" ref="J151:J154" si="16">I151*H151</f>
        <v>64979.6</v>
      </c>
      <c r="K151" s="72"/>
      <c r="L151" s="72"/>
    </row>
    <row r="152" spans="1:12" s="54" customFormat="1" ht="29.25" customHeight="1" x14ac:dyDescent="0.25">
      <c r="A152" s="66"/>
      <c r="B152" s="71" t="s">
        <v>50</v>
      </c>
      <c r="C152" s="72"/>
      <c r="D152" s="72" t="s">
        <v>51</v>
      </c>
      <c r="E152" s="72"/>
      <c r="F152" s="72"/>
      <c r="G152" s="73">
        <v>56</v>
      </c>
      <c r="H152" s="70">
        <f t="shared" si="14"/>
        <v>56</v>
      </c>
      <c r="I152" s="74">
        <v>803</v>
      </c>
      <c r="J152" s="74">
        <f t="shared" si="16"/>
        <v>44968</v>
      </c>
      <c r="K152" s="72"/>
      <c r="L152" s="72"/>
    </row>
    <row r="153" spans="1:12" s="54" customFormat="1" ht="29.25" customHeight="1" x14ac:dyDescent="0.25">
      <c r="A153" s="66"/>
      <c r="B153" s="71" t="s">
        <v>52</v>
      </c>
      <c r="C153" s="72" t="s">
        <v>105</v>
      </c>
      <c r="D153" s="72" t="s">
        <v>54</v>
      </c>
      <c r="E153" s="72"/>
      <c r="F153" s="72"/>
      <c r="G153" s="73">
        <v>140.34</v>
      </c>
      <c r="H153" s="70">
        <f t="shared" si="14"/>
        <v>140.34</v>
      </c>
      <c r="I153" s="74">
        <v>94.5</v>
      </c>
      <c r="J153" s="74">
        <f t="shared" si="16"/>
        <v>13262.130000000001</v>
      </c>
      <c r="K153" s="72"/>
      <c r="L153" s="72"/>
    </row>
    <row r="154" spans="1:12" s="54" customFormat="1" ht="31.5" x14ac:dyDescent="0.25">
      <c r="A154" s="66"/>
      <c r="B154" s="71" t="s">
        <v>55</v>
      </c>
      <c r="C154" s="72"/>
      <c r="D154" s="72" t="s">
        <v>54</v>
      </c>
      <c r="E154" s="72"/>
      <c r="F154" s="72"/>
      <c r="G154" s="73">
        <v>40.68</v>
      </c>
      <c r="H154" s="70">
        <f t="shared" si="14"/>
        <v>40.68</v>
      </c>
      <c r="I154" s="74">
        <v>118</v>
      </c>
      <c r="J154" s="74">
        <f t="shared" si="16"/>
        <v>4800.24</v>
      </c>
      <c r="K154" s="72"/>
      <c r="L154" s="72"/>
    </row>
    <row r="155" spans="1:12" s="54" customFormat="1" ht="19.5" customHeight="1" x14ac:dyDescent="0.25">
      <c r="A155" s="66"/>
      <c r="B155" s="87" t="s">
        <v>56</v>
      </c>
      <c r="C155" s="88"/>
      <c r="D155" s="88" t="s">
        <v>45</v>
      </c>
      <c r="E155" s="88"/>
      <c r="F155" s="88"/>
      <c r="G155" s="73">
        <f>307.83*0.06*0.03</f>
        <v>0.55409399999999998</v>
      </c>
      <c r="H155" s="70">
        <f t="shared" si="14"/>
        <v>0.55409399999999998</v>
      </c>
      <c r="I155" s="74"/>
      <c r="J155" s="74"/>
      <c r="K155" s="88" t="s">
        <v>57</v>
      </c>
      <c r="L155" s="72"/>
    </row>
    <row r="156" spans="1:12" s="54" customFormat="1" ht="21" customHeight="1" x14ac:dyDescent="0.25">
      <c r="A156" s="75"/>
      <c r="B156" s="76" t="s">
        <v>38</v>
      </c>
      <c r="C156" s="77"/>
      <c r="D156" s="77"/>
      <c r="E156" s="77"/>
      <c r="F156" s="77"/>
      <c r="G156" s="78"/>
      <c r="H156" s="79"/>
      <c r="I156" s="80"/>
      <c r="J156" s="79">
        <f>SUM(J157:J185)</f>
        <v>335824.21245350002</v>
      </c>
      <c r="K156" s="77"/>
      <c r="L156" s="77"/>
    </row>
    <row r="157" spans="1:12" s="54" customFormat="1" ht="33.75" customHeight="1" x14ac:dyDescent="0.25">
      <c r="A157" s="81"/>
      <c r="B157" s="82" t="s">
        <v>58</v>
      </c>
      <c r="C157" s="77" t="s">
        <v>59</v>
      </c>
      <c r="D157" s="77" t="s">
        <v>60</v>
      </c>
      <c r="E157" s="78">
        <v>12.4</v>
      </c>
      <c r="F157" s="77">
        <v>0.25</v>
      </c>
      <c r="G157" s="83">
        <f>G145/F157*E157</f>
        <v>1683.424</v>
      </c>
      <c r="H157" s="84">
        <f t="shared" ref="H157:H184" si="17">SUM(G157:G157)</f>
        <v>1683.424</v>
      </c>
      <c r="I157" s="80">
        <v>0</v>
      </c>
      <c r="J157" s="80">
        <f>H157*I157</f>
        <v>0</v>
      </c>
      <c r="K157" s="77" t="s">
        <v>61</v>
      </c>
      <c r="L157" s="77" t="s">
        <v>320</v>
      </c>
    </row>
    <row r="158" spans="1:12" s="54" customFormat="1" ht="33.75" customHeight="1" x14ac:dyDescent="0.25">
      <c r="A158" s="81"/>
      <c r="B158" s="82" t="s">
        <v>62</v>
      </c>
      <c r="C158" s="77" t="s">
        <v>63</v>
      </c>
      <c r="D158" s="77" t="s">
        <v>60</v>
      </c>
      <c r="E158" s="78">
        <v>12.4</v>
      </c>
      <c r="F158" s="77"/>
      <c r="G158" s="83">
        <f>G147*E158</f>
        <v>1916.172</v>
      </c>
      <c r="H158" s="84">
        <f t="shared" si="17"/>
        <v>1916.172</v>
      </c>
      <c r="I158" s="80">
        <v>0</v>
      </c>
      <c r="J158" s="80">
        <f>H158*I158</f>
        <v>0</v>
      </c>
      <c r="K158" s="77" t="s">
        <v>61</v>
      </c>
      <c r="L158" s="77" t="s">
        <v>320</v>
      </c>
    </row>
    <row r="159" spans="1:12" s="54" customFormat="1" ht="33.75" customHeight="1" x14ac:dyDescent="0.25">
      <c r="A159" s="81"/>
      <c r="B159" s="82" t="s">
        <v>64</v>
      </c>
      <c r="C159" s="77" t="s">
        <v>65</v>
      </c>
      <c r="D159" s="77" t="s">
        <v>60</v>
      </c>
      <c r="E159" s="78">
        <v>12.4</v>
      </c>
      <c r="F159" s="77"/>
      <c r="G159" s="83">
        <f>G148*E159</f>
        <v>400.76800000000003</v>
      </c>
      <c r="H159" s="84">
        <f t="shared" si="17"/>
        <v>400.76800000000003</v>
      </c>
      <c r="I159" s="80">
        <v>0</v>
      </c>
      <c r="J159" s="80">
        <f>H159*I159</f>
        <v>0</v>
      </c>
      <c r="K159" s="77" t="s">
        <v>61</v>
      </c>
      <c r="L159" s="77" t="s">
        <v>320</v>
      </c>
    </row>
    <row r="160" spans="1:12" s="54" customFormat="1" ht="33.75" customHeight="1" x14ac:dyDescent="0.25">
      <c r="A160" s="81"/>
      <c r="B160" s="82" t="s">
        <v>106</v>
      </c>
      <c r="C160" s="77" t="s">
        <v>107</v>
      </c>
      <c r="D160" s="77" t="s">
        <v>60</v>
      </c>
      <c r="E160" s="78">
        <v>12.4</v>
      </c>
      <c r="F160" s="77"/>
      <c r="G160" s="83">
        <f>G149*E160</f>
        <v>1959.5720000000001</v>
      </c>
      <c r="H160" s="84">
        <f t="shared" si="17"/>
        <v>1959.5720000000001</v>
      </c>
      <c r="I160" s="80">
        <v>0</v>
      </c>
      <c r="J160" s="80">
        <f>H160*I160</f>
        <v>0</v>
      </c>
      <c r="K160" s="77" t="s">
        <v>61</v>
      </c>
      <c r="L160" s="77" t="s">
        <v>320</v>
      </c>
    </row>
    <row r="161" spans="1:12" s="54" customFormat="1" ht="33.75" customHeight="1" x14ac:dyDescent="0.25">
      <c r="A161" s="81"/>
      <c r="B161" s="82" t="s">
        <v>108</v>
      </c>
      <c r="C161" s="77" t="s">
        <v>109</v>
      </c>
      <c r="D161" s="77" t="s">
        <v>60</v>
      </c>
      <c r="E161" s="78">
        <v>12.4</v>
      </c>
      <c r="F161" s="77"/>
      <c r="G161" s="83">
        <f>G150*E161</f>
        <v>1747.9040000000002</v>
      </c>
      <c r="H161" s="84">
        <f t="shared" si="17"/>
        <v>1747.9040000000002</v>
      </c>
      <c r="I161" s="80">
        <v>0</v>
      </c>
      <c r="J161" s="80">
        <f>H161*I161</f>
        <v>0</v>
      </c>
      <c r="K161" s="77" t="s">
        <v>61</v>
      </c>
      <c r="L161" s="77" t="s">
        <v>320</v>
      </c>
    </row>
    <row r="162" spans="1:12" s="54" customFormat="1" ht="31.5" x14ac:dyDescent="0.25">
      <c r="A162" s="81"/>
      <c r="B162" s="89" t="s">
        <v>66</v>
      </c>
      <c r="C162" s="77" t="s">
        <v>67</v>
      </c>
      <c r="D162" s="77" t="s">
        <v>60</v>
      </c>
      <c r="E162" s="90">
        <v>42</v>
      </c>
      <c r="F162" s="90"/>
      <c r="G162" s="83">
        <f>G151*E162</f>
        <v>1695.12</v>
      </c>
      <c r="H162" s="84">
        <f t="shared" si="17"/>
        <v>1695.12</v>
      </c>
      <c r="I162" s="80">
        <v>0</v>
      </c>
      <c r="J162" s="80">
        <f t="shared" ref="J162:J184" si="18">H162*I162</f>
        <v>0</v>
      </c>
      <c r="K162" s="77" t="s">
        <v>68</v>
      </c>
      <c r="L162" s="77" t="s">
        <v>320</v>
      </c>
    </row>
    <row r="163" spans="1:12" s="54" customFormat="1" ht="31.5" x14ac:dyDescent="0.25">
      <c r="A163" s="81"/>
      <c r="B163" s="89" t="s">
        <v>110</v>
      </c>
      <c r="C163" s="77" t="s">
        <v>111</v>
      </c>
      <c r="D163" s="77" t="s">
        <v>60</v>
      </c>
      <c r="E163" s="90">
        <v>42</v>
      </c>
      <c r="F163" s="90"/>
      <c r="G163" s="83">
        <f>G146/0.25*E163</f>
        <v>433.44</v>
      </c>
      <c r="H163" s="84">
        <f t="shared" si="17"/>
        <v>433.44</v>
      </c>
      <c r="I163" s="80">
        <v>0</v>
      </c>
      <c r="J163" s="80">
        <f t="shared" si="18"/>
        <v>0</v>
      </c>
      <c r="K163" s="77" t="s">
        <v>68</v>
      </c>
      <c r="L163" s="77" t="s">
        <v>320</v>
      </c>
    </row>
    <row r="164" spans="1:12" s="54" customFormat="1" ht="33.75" customHeight="1" x14ac:dyDescent="0.25">
      <c r="A164" s="81"/>
      <c r="B164" s="91" t="s">
        <v>69</v>
      </c>
      <c r="C164" s="77" t="s">
        <v>70</v>
      </c>
      <c r="D164" s="77" t="s">
        <v>45</v>
      </c>
      <c r="E164" s="77">
        <v>0.19500000000000001</v>
      </c>
      <c r="F164" s="90"/>
      <c r="G164" s="78">
        <f>G145*E164+G147*E164*0.19+G148*E164*0.19+G149*E164*0.09+G150*E164*0.09</f>
        <v>18.788367000000001</v>
      </c>
      <c r="H164" s="79">
        <f t="shared" si="17"/>
        <v>18.788367000000001</v>
      </c>
      <c r="I164" s="80">
        <v>7875</v>
      </c>
      <c r="J164" s="80">
        <f t="shared" si="18"/>
        <v>147958.39012500001</v>
      </c>
      <c r="K164" s="77" t="s">
        <v>71</v>
      </c>
      <c r="L164" s="77" t="s">
        <v>321</v>
      </c>
    </row>
    <row r="165" spans="1:12" s="54" customFormat="1" ht="33.75" customHeight="1" x14ac:dyDescent="0.25">
      <c r="A165" s="92"/>
      <c r="B165" s="91" t="s">
        <v>112</v>
      </c>
      <c r="C165" s="77" t="s">
        <v>70</v>
      </c>
      <c r="D165" s="77" t="s">
        <v>45</v>
      </c>
      <c r="E165" s="77">
        <v>0.24</v>
      </c>
      <c r="F165" s="77"/>
      <c r="G165" s="78">
        <f>G146*E165</f>
        <v>0.61919999999999997</v>
      </c>
      <c r="H165" s="79">
        <f t="shared" si="17"/>
        <v>0.61919999999999997</v>
      </c>
      <c r="I165" s="80">
        <v>7875</v>
      </c>
      <c r="J165" s="80">
        <f t="shared" si="18"/>
        <v>4876.2</v>
      </c>
      <c r="K165" s="77" t="s">
        <v>71</v>
      </c>
      <c r="L165" s="77" t="s">
        <v>321</v>
      </c>
    </row>
    <row r="166" spans="1:12" s="54" customFormat="1" ht="33.75" customHeight="1" x14ac:dyDescent="0.25">
      <c r="A166" s="92"/>
      <c r="B166" s="91" t="s">
        <v>72</v>
      </c>
      <c r="C166" s="77" t="s">
        <v>70</v>
      </c>
      <c r="D166" s="77" t="s">
        <v>45</v>
      </c>
      <c r="E166" s="77">
        <v>4.5999999999999999E-2</v>
      </c>
      <c r="F166" s="77"/>
      <c r="G166" s="78">
        <f>G151*E166</f>
        <v>1.85656</v>
      </c>
      <c r="H166" s="79">
        <f t="shared" si="17"/>
        <v>1.85656</v>
      </c>
      <c r="I166" s="80">
        <v>7875</v>
      </c>
      <c r="J166" s="80">
        <f t="shared" si="18"/>
        <v>14620.41</v>
      </c>
      <c r="K166" s="77" t="s">
        <v>73</v>
      </c>
      <c r="L166" s="77" t="s">
        <v>321</v>
      </c>
    </row>
    <row r="167" spans="1:12" s="54" customFormat="1" ht="33.75" customHeight="1" x14ac:dyDescent="0.25">
      <c r="A167" s="92"/>
      <c r="B167" s="91" t="s">
        <v>74</v>
      </c>
      <c r="C167" s="77" t="s">
        <v>70</v>
      </c>
      <c r="D167" s="77" t="s">
        <v>45</v>
      </c>
      <c r="E167" s="77">
        <v>1.01</v>
      </c>
      <c r="F167" s="77"/>
      <c r="G167" s="78">
        <f>G155*E167</f>
        <v>0.55963494000000003</v>
      </c>
      <c r="H167" s="79">
        <f t="shared" si="17"/>
        <v>0.55963494000000003</v>
      </c>
      <c r="I167" s="80">
        <v>7875</v>
      </c>
      <c r="J167" s="80">
        <f t="shared" si="18"/>
        <v>4407.1251524999998</v>
      </c>
      <c r="K167" s="77" t="s">
        <v>71</v>
      </c>
      <c r="L167" s="77" t="s">
        <v>321</v>
      </c>
    </row>
    <row r="168" spans="1:12" s="54" customFormat="1" ht="33.75" customHeight="1" x14ac:dyDescent="0.25">
      <c r="A168" s="81"/>
      <c r="B168" s="89" t="s">
        <v>75</v>
      </c>
      <c r="C168" s="77" t="s">
        <v>70</v>
      </c>
      <c r="D168" s="77" t="s">
        <v>45</v>
      </c>
      <c r="E168" s="77">
        <v>6.0000000000000001E-3</v>
      </c>
      <c r="F168" s="77"/>
      <c r="G168" s="78">
        <f>G152*E168</f>
        <v>0.33600000000000002</v>
      </c>
      <c r="H168" s="79">
        <f t="shared" si="17"/>
        <v>0.33600000000000002</v>
      </c>
      <c r="I168" s="80">
        <v>7875</v>
      </c>
      <c r="J168" s="80">
        <f t="shared" si="18"/>
        <v>2646</v>
      </c>
      <c r="K168" s="77" t="s">
        <v>76</v>
      </c>
      <c r="L168" s="77" t="s">
        <v>321</v>
      </c>
    </row>
    <row r="169" spans="1:12" s="54" customFormat="1" ht="33.75" customHeight="1" x14ac:dyDescent="0.25">
      <c r="A169" s="81"/>
      <c r="B169" s="89" t="s">
        <v>77</v>
      </c>
      <c r="C169" s="77" t="s">
        <v>70</v>
      </c>
      <c r="D169" s="77" t="s">
        <v>45</v>
      </c>
      <c r="E169" s="77">
        <v>1.01</v>
      </c>
      <c r="F169" s="77"/>
      <c r="G169" s="93">
        <v>0.08</v>
      </c>
      <c r="H169" s="79">
        <f t="shared" si="17"/>
        <v>0.08</v>
      </c>
      <c r="I169" s="80">
        <v>7875</v>
      </c>
      <c r="J169" s="80">
        <f t="shared" si="18"/>
        <v>630</v>
      </c>
      <c r="K169" s="94"/>
      <c r="L169" s="77" t="s">
        <v>321</v>
      </c>
    </row>
    <row r="170" spans="1:12" s="54" customFormat="1" ht="21" customHeight="1" x14ac:dyDescent="0.25">
      <c r="A170" s="81"/>
      <c r="B170" s="89" t="s">
        <v>78</v>
      </c>
      <c r="C170" s="77" t="s">
        <v>79</v>
      </c>
      <c r="D170" s="77" t="s">
        <v>47</v>
      </c>
      <c r="E170" s="77"/>
      <c r="F170" s="77"/>
      <c r="G170" s="78">
        <v>183.5</v>
      </c>
      <c r="H170" s="79">
        <f t="shared" si="17"/>
        <v>183.5</v>
      </c>
      <c r="I170" s="80">
        <v>88.34</v>
      </c>
      <c r="J170" s="80">
        <f t="shared" si="18"/>
        <v>16210.390000000001</v>
      </c>
      <c r="K170" s="94"/>
      <c r="L170" s="77" t="s">
        <v>321</v>
      </c>
    </row>
    <row r="171" spans="1:12" s="54" customFormat="1" ht="21" customHeight="1" x14ac:dyDescent="0.25">
      <c r="A171" s="81"/>
      <c r="B171" s="89" t="s">
        <v>113</v>
      </c>
      <c r="C171" s="77" t="s">
        <v>114</v>
      </c>
      <c r="D171" s="77" t="s">
        <v>60</v>
      </c>
      <c r="E171" s="77"/>
      <c r="F171" s="77"/>
      <c r="G171" s="78">
        <v>12</v>
      </c>
      <c r="H171" s="79">
        <f t="shared" si="17"/>
        <v>12</v>
      </c>
      <c r="I171" s="80">
        <v>398.6</v>
      </c>
      <c r="J171" s="80">
        <f t="shared" si="18"/>
        <v>4783.2000000000007</v>
      </c>
      <c r="K171" s="94"/>
      <c r="L171" s="77" t="s">
        <v>321</v>
      </c>
    </row>
    <row r="172" spans="1:12" s="54" customFormat="1" ht="21" customHeight="1" x14ac:dyDescent="0.25">
      <c r="A172" s="81"/>
      <c r="B172" s="89" t="s">
        <v>115</v>
      </c>
      <c r="C172" s="77" t="s">
        <v>116</v>
      </c>
      <c r="D172" s="77" t="s">
        <v>60</v>
      </c>
      <c r="E172" s="77"/>
      <c r="F172" s="77"/>
      <c r="G172" s="78">
        <v>9</v>
      </c>
      <c r="H172" s="79">
        <f t="shared" si="17"/>
        <v>9</v>
      </c>
      <c r="I172" s="80">
        <v>465.03</v>
      </c>
      <c r="J172" s="80">
        <f t="shared" si="18"/>
        <v>4185.2699999999995</v>
      </c>
      <c r="K172" s="94"/>
      <c r="L172" s="77" t="s">
        <v>321</v>
      </c>
    </row>
    <row r="173" spans="1:12" s="54" customFormat="1" ht="21" customHeight="1" x14ac:dyDescent="0.25">
      <c r="A173" s="81"/>
      <c r="B173" s="89" t="s">
        <v>117</v>
      </c>
      <c r="C173" s="77" t="s">
        <v>118</v>
      </c>
      <c r="D173" s="77" t="s">
        <v>60</v>
      </c>
      <c r="E173" s="77"/>
      <c r="F173" s="77"/>
      <c r="G173" s="78">
        <v>1</v>
      </c>
      <c r="H173" s="79">
        <f t="shared" si="17"/>
        <v>1</v>
      </c>
      <c r="I173" s="80">
        <v>841.49</v>
      </c>
      <c r="J173" s="80">
        <f t="shared" si="18"/>
        <v>841.49</v>
      </c>
      <c r="K173" s="94"/>
      <c r="L173" s="77" t="s">
        <v>321</v>
      </c>
    </row>
    <row r="174" spans="1:12" s="54" customFormat="1" ht="21" customHeight="1" x14ac:dyDescent="0.25">
      <c r="A174" s="81"/>
      <c r="B174" s="89" t="s">
        <v>119</v>
      </c>
      <c r="C174" s="77" t="s">
        <v>120</v>
      </c>
      <c r="D174" s="77" t="s">
        <v>60</v>
      </c>
      <c r="E174" s="77"/>
      <c r="F174" s="77"/>
      <c r="G174" s="78">
        <v>10</v>
      </c>
      <c r="H174" s="79">
        <f t="shared" si="17"/>
        <v>10</v>
      </c>
      <c r="I174" s="80">
        <v>981.74</v>
      </c>
      <c r="J174" s="80">
        <f t="shared" si="18"/>
        <v>9817.4</v>
      </c>
      <c r="K174" s="94"/>
      <c r="L174" s="77" t="s">
        <v>321</v>
      </c>
    </row>
    <row r="175" spans="1:12" s="54" customFormat="1" ht="21" customHeight="1" x14ac:dyDescent="0.25">
      <c r="A175" s="81"/>
      <c r="B175" s="89" t="s">
        <v>121</v>
      </c>
      <c r="C175" s="77" t="s">
        <v>122</v>
      </c>
      <c r="D175" s="77" t="s">
        <v>60</v>
      </c>
      <c r="E175" s="77"/>
      <c r="F175" s="77"/>
      <c r="G175" s="78">
        <v>3</v>
      </c>
      <c r="H175" s="79">
        <f t="shared" si="17"/>
        <v>3</v>
      </c>
      <c r="I175" s="80">
        <v>1291.76</v>
      </c>
      <c r="J175" s="80">
        <f t="shared" si="18"/>
        <v>3875.2799999999997</v>
      </c>
      <c r="K175" s="94"/>
      <c r="L175" s="77" t="s">
        <v>321</v>
      </c>
    </row>
    <row r="176" spans="1:12" s="54" customFormat="1" ht="21" customHeight="1" x14ac:dyDescent="0.25">
      <c r="A176" s="81"/>
      <c r="B176" s="89" t="s">
        <v>123</v>
      </c>
      <c r="C176" s="77" t="s">
        <v>124</v>
      </c>
      <c r="D176" s="77" t="s">
        <v>60</v>
      </c>
      <c r="E176" s="77"/>
      <c r="F176" s="77"/>
      <c r="G176" s="78">
        <v>1</v>
      </c>
      <c r="H176" s="79">
        <f t="shared" si="17"/>
        <v>1</v>
      </c>
      <c r="I176" s="80">
        <v>1845.38</v>
      </c>
      <c r="J176" s="80">
        <f t="shared" si="18"/>
        <v>1845.38</v>
      </c>
      <c r="K176" s="94"/>
      <c r="L176" s="77" t="s">
        <v>321</v>
      </c>
    </row>
    <row r="177" spans="1:12" s="54" customFormat="1" ht="21" customHeight="1" x14ac:dyDescent="0.25">
      <c r="A177" s="81"/>
      <c r="B177" s="89" t="s">
        <v>125</v>
      </c>
      <c r="C177" s="77" t="s">
        <v>126</v>
      </c>
      <c r="D177" s="77" t="s">
        <v>60</v>
      </c>
      <c r="E177" s="77"/>
      <c r="F177" s="77"/>
      <c r="G177" s="78">
        <v>8</v>
      </c>
      <c r="H177" s="79">
        <f t="shared" si="17"/>
        <v>8</v>
      </c>
      <c r="I177" s="80">
        <v>2029.91</v>
      </c>
      <c r="J177" s="80">
        <f t="shared" si="18"/>
        <v>16239.28</v>
      </c>
      <c r="K177" s="94"/>
      <c r="L177" s="77" t="s">
        <v>321</v>
      </c>
    </row>
    <row r="178" spans="1:12" s="54" customFormat="1" ht="21" customHeight="1" x14ac:dyDescent="0.25">
      <c r="A178" s="81"/>
      <c r="B178" s="89" t="s">
        <v>127</v>
      </c>
      <c r="C178" s="77" t="s">
        <v>128</v>
      </c>
      <c r="D178" s="77" t="s">
        <v>60</v>
      </c>
      <c r="E178" s="77"/>
      <c r="F178" s="77"/>
      <c r="G178" s="78">
        <v>11</v>
      </c>
      <c r="H178" s="79">
        <f t="shared" si="17"/>
        <v>11</v>
      </c>
      <c r="I178" s="80">
        <v>2398.9899999999998</v>
      </c>
      <c r="J178" s="80">
        <f t="shared" si="18"/>
        <v>26388.89</v>
      </c>
      <c r="K178" s="94"/>
      <c r="L178" s="77" t="s">
        <v>321</v>
      </c>
    </row>
    <row r="179" spans="1:12" s="54" customFormat="1" ht="21" customHeight="1" x14ac:dyDescent="0.25">
      <c r="A179" s="81"/>
      <c r="B179" s="89" t="s">
        <v>129</v>
      </c>
      <c r="C179" s="77" t="s">
        <v>130</v>
      </c>
      <c r="D179" s="77" t="s">
        <v>60</v>
      </c>
      <c r="E179" s="77"/>
      <c r="F179" s="77"/>
      <c r="G179" s="78">
        <v>1</v>
      </c>
      <c r="H179" s="79">
        <f t="shared" si="17"/>
        <v>1</v>
      </c>
      <c r="I179" s="80">
        <v>2583.5300000000002</v>
      </c>
      <c r="J179" s="80">
        <f t="shared" si="18"/>
        <v>2583.5300000000002</v>
      </c>
      <c r="K179" s="94"/>
      <c r="L179" s="77" t="s">
        <v>321</v>
      </c>
    </row>
    <row r="180" spans="1:12" s="54" customFormat="1" ht="21" customHeight="1" x14ac:dyDescent="0.25">
      <c r="A180" s="81"/>
      <c r="B180" s="89" t="s">
        <v>92</v>
      </c>
      <c r="C180" s="77" t="s">
        <v>93</v>
      </c>
      <c r="D180" s="77" t="s">
        <v>54</v>
      </c>
      <c r="E180" s="77">
        <v>1.04</v>
      </c>
      <c r="F180" s="77"/>
      <c r="G180" s="78">
        <f>150.57*E180</f>
        <v>156.59280000000001</v>
      </c>
      <c r="H180" s="79">
        <f t="shared" si="17"/>
        <v>156.59280000000001</v>
      </c>
      <c r="I180" s="80">
        <v>66.349999999999994</v>
      </c>
      <c r="J180" s="80">
        <f t="shared" si="18"/>
        <v>10389.932279999999</v>
      </c>
      <c r="K180" s="94"/>
      <c r="L180" s="77" t="s">
        <v>321</v>
      </c>
    </row>
    <row r="181" spans="1:12" s="54" customFormat="1" ht="21" customHeight="1" x14ac:dyDescent="0.25">
      <c r="A181" s="81"/>
      <c r="B181" s="89" t="s">
        <v>94</v>
      </c>
      <c r="C181" s="77" t="s">
        <v>95</v>
      </c>
      <c r="D181" s="77" t="s">
        <v>54</v>
      </c>
      <c r="E181" s="77">
        <v>1.04</v>
      </c>
      <c r="F181" s="77"/>
      <c r="G181" s="78">
        <f>G154*E181</f>
        <v>42.307200000000002</v>
      </c>
      <c r="H181" s="79">
        <f t="shared" si="17"/>
        <v>42.307200000000002</v>
      </c>
      <c r="I181" s="80">
        <v>64</v>
      </c>
      <c r="J181" s="80">
        <f t="shared" si="18"/>
        <v>2707.6608000000001</v>
      </c>
      <c r="K181" s="94"/>
      <c r="L181" s="77" t="s">
        <v>321</v>
      </c>
    </row>
    <row r="182" spans="1:12" s="54" customFormat="1" ht="21" customHeight="1" x14ac:dyDescent="0.25">
      <c r="A182" s="81"/>
      <c r="B182" s="89" t="s">
        <v>131</v>
      </c>
      <c r="C182" s="77" t="s">
        <v>39</v>
      </c>
      <c r="D182" s="77" t="s">
        <v>54</v>
      </c>
      <c r="E182" s="77">
        <v>1.04</v>
      </c>
      <c r="F182" s="77"/>
      <c r="G182" s="78">
        <f>85.59*E182</f>
        <v>89.013600000000011</v>
      </c>
      <c r="H182" s="79">
        <f t="shared" si="17"/>
        <v>89.013600000000011</v>
      </c>
      <c r="I182" s="80">
        <v>64.209999999999994</v>
      </c>
      <c r="J182" s="80">
        <f t="shared" si="18"/>
        <v>5715.5632560000004</v>
      </c>
      <c r="K182" s="94"/>
      <c r="L182" s="77" t="s">
        <v>321</v>
      </c>
    </row>
    <row r="183" spans="1:12" s="54" customFormat="1" ht="21" customHeight="1" x14ac:dyDescent="0.25">
      <c r="A183" s="81"/>
      <c r="B183" s="89" t="s">
        <v>97</v>
      </c>
      <c r="C183" s="77" t="s">
        <v>39</v>
      </c>
      <c r="D183" s="77" t="s">
        <v>54</v>
      </c>
      <c r="E183" s="77">
        <v>1.04</v>
      </c>
      <c r="F183" s="77"/>
      <c r="G183" s="78">
        <f>E183*25.97</f>
        <v>27.008800000000001</v>
      </c>
      <c r="H183" s="79">
        <f t="shared" si="17"/>
        <v>27.008800000000001</v>
      </c>
      <c r="I183" s="80">
        <v>74.92</v>
      </c>
      <c r="J183" s="80">
        <f t="shared" si="18"/>
        <v>2023.4992960000002</v>
      </c>
      <c r="K183" s="94"/>
      <c r="L183" s="77" t="s">
        <v>321</v>
      </c>
    </row>
    <row r="184" spans="1:12" s="54" customFormat="1" ht="21" customHeight="1" x14ac:dyDescent="0.25">
      <c r="A184" s="81"/>
      <c r="B184" s="89" t="s">
        <v>132</v>
      </c>
      <c r="C184" s="77" t="s">
        <v>39</v>
      </c>
      <c r="D184" s="77" t="s">
        <v>54</v>
      </c>
      <c r="E184" s="77">
        <v>1.04</v>
      </c>
      <c r="F184" s="77"/>
      <c r="G184" s="78">
        <f>28.88*E184</f>
        <v>30.0352</v>
      </c>
      <c r="H184" s="79">
        <f t="shared" si="17"/>
        <v>30.0352</v>
      </c>
      <c r="I184" s="80">
        <v>75.97</v>
      </c>
      <c r="J184" s="80">
        <f t="shared" si="18"/>
        <v>2281.774144</v>
      </c>
      <c r="K184" s="94"/>
      <c r="L184" s="77" t="s">
        <v>321</v>
      </c>
    </row>
    <row r="185" spans="1:12" s="101" customFormat="1" ht="35.25" customHeight="1" x14ac:dyDescent="0.25">
      <c r="A185" s="95"/>
      <c r="B185" s="96" t="s">
        <v>133</v>
      </c>
      <c r="C185" s="97" t="s">
        <v>39</v>
      </c>
      <c r="D185" s="97" t="s">
        <v>99</v>
      </c>
      <c r="E185" s="97"/>
      <c r="F185" s="97"/>
      <c r="G185" s="98"/>
      <c r="H185" s="99">
        <f>J185*100/J144</f>
        <v>4.9775557153785197</v>
      </c>
      <c r="I185" s="79"/>
      <c r="J185" s="79">
        <v>50797.547400000003</v>
      </c>
      <c r="K185" s="100"/>
      <c r="L185" s="97" t="s">
        <v>321</v>
      </c>
    </row>
    <row r="186" spans="1:12" s="54" customFormat="1" ht="21.75" customHeight="1" x14ac:dyDescent="0.25">
      <c r="A186" s="60" t="s">
        <v>138</v>
      </c>
      <c r="B186" s="61" t="s">
        <v>139</v>
      </c>
      <c r="C186" s="62"/>
      <c r="D186" s="63"/>
      <c r="E186" s="62"/>
      <c r="F186" s="62"/>
      <c r="G186" s="64"/>
      <c r="H186" s="65"/>
      <c r="I186" s="65"/>
      <c r="J186" s="65">
        <f>J187+J198</f>
        <v>1260141.0145574999</v>
      </c>
      <c r="K186" s="86"/>
      <c r="L186" s="86"/>
    </row>
    <row r="187" spans="1:12" s="54" customFormat="1" ht="21.75" customHeight="1" x14ac:dyDescent="0.25">
      <c r="A187" s="66"/>
      <c r="B187" s="67" t="s">
        <v>34</v>
      </c>
      <c r="C187" s="68"/>
      <c r="D187" s="68"/>
      <c r="E187" s="68"/>
      <c r="F187" s="68"/>
      <c r="G187" s="69"/>
      <c r="H187" s="70"/>
      <c r="I187" s="70"/>
      <c r="J187" s="70">
        <f>SUM(J188:J197)</f>
        <v>949836.125</v>
      </c>
      <c r="K187" s="72"/>
      <c r="L187" s="72"/>
    </row>
    <row r="188" spans="1:12" s="54" customFormat="1" ht="21.75" customHeight="1" x14ac:dyDescent="0.25">
      <c r="A188" s="66"/>
      <c r="B188" s="71" t="s">
        <v>44</v>
      </c>
      <c r="C188" s="72"/>
      <c r="D188" s="72" t="s">
        <v>45</v>
      </c>
      <c r="E188" s="72"/>
      <c r="F188" s="72"/>
      <c r="G188" s="73">
        <v>28.89</v>
      </c>
      <c r="H188" s="70">
        <f t="shared" ref="H188:H197" si="19">SUM(G188:G188)</f>
        <v>28.89</v>
      </c>
      <c r="I188" s="74">
        <v>4939</v>
      </c>
      <c r="J188" s="74">
        <f>I188*H188</f>
        <v>142687.71</v>
      </c>
      <c r="K188" s="72"/>
      <c r="L188" s="72"/>
    </row>
    <row r="189" spans="1:12" s="54" customFormat="1" ht="21.75" customHeight="1" x14ac:dyDescent="0.25">
      <c r="A189" s="66"/>
      <c r="B189" s="71" t="s">
        <v>46</v>
      </c>
      <c r="C189" s="72"/>
      <c r="D189" s="72" t="s">
        <v>47</v>
      </c>
      <c r="E189" s="72"/>
      <c r="F189" s="72"/>
      <c r="G189" s="73">
        <v>154.53</v>
      </c>
      <c r="H189" s="70">
        <f t="shared" si="19"/>
        <v>154.53</v>
      </c>
      <c r="I189" s="74">
        <v>1461</v>
      </c>
      <c r="J189" s="74">
        <f>I189*H189</f>
        <v>225768.33</v>
      </c>
      <c r="K189" s="72"/>
      <c r="L189" s="72"/>
    </row>
    <row r="190" spans="1:12" s="54" customFormat="1" ht="21.75" customHeight="1" x14ac:dyDescent="0.25">
      <c r="A190" s="66"/>
      <c r="B190" s="71" t="s">
        <v>48</v>
      </c>
      <c r="C190" s="72"/>
      <c r="D190" s="72" t="s">
        <v>47</v>
      </c>
      <c r="E190" s="72"/>
      <c r="F190" s="72"/>
      <c r="G190" s="73">
        <v>31.58</v>
      </c>
      <c r="H190" s="70">
        <f t="shared" si="19"/>
        <v>31.58</v>
      </c>
      <c r="I190" s="74">
        <v>1461</v>
      </c>
      <c r="J190" s="74">
        <f>I190*H190</f>
        <v>46138.38</v>
      </c>
      <c r="K190" s="72"/>
      <c r="L190" s="72"/>
    </row>
    <row r="191" spans="1:12" s="54" customFormat="1" ht="21.75" customHeight="1" x14ac:dyDescent="0.25">
      <c r="A191" s="66"/>
      <c r="B191" s="71" t="s">
        <v>103</v>
      </c>
      <c r="C191" s="72"/>
      <c r="D191" s="72" t="s">
        <v>47</v>
      </c>
      <c r="E191" s="72"/>
      <c r="F191" s="72"/>
      <c r="G191" s="73">
        <v>159.29</v>
      </c>
      <c r="H191" s="70">
        <f t="shared" si="19"/>
        <v>159.29</v>
      </c>
      <c r="I191" s="74">
        <v>1461</v>
      </c>
      <c r="J191" s="74">
        <f>I191*H191</f>
        <v>232722.69</v>
      </c>
      <c r="K191" s="72"/>
      <c r="L191" s="72"/>
    </row>
    <row r="192" spans="1:12" s="54" customFormat="1" ht="21.75" customHeight="1" x14ac:dyDescent="0.25">
      <c r="A192" s="66"/>
      <c r="B192" s="71" t="s">
        <v>104</v>
      </c>
      <c r="C192" s="72"/>
      <c r="D192" s="72" t="s">
        <v>47</v>
      </c>
      <c r="E192" s="72"/>
      <c r="F192" s="72"/>
      <c r="G192" s="73">
        <v>140.11000000000001</v>
      </c>
      <c r="H192" s="70">
        <f t="shared" si="19"/>
        <v>140.11000000000001</v>
      </c>
      <c r="I192" s="74">
        <v>1461</v>
      </c>
      <c r="J192" s="74">
        <f>I192*H192</f>
        <v>204700.71000000002</v>
      </c>
      <c r="K192" s="72"/>
      <c r="L192" s="72"/>
    </row>
    <row r="193" spans="1:12" s="54" customFormat="1" ht="21.75" customHeight="1" x14ac:dyDescent="0.25">
      <c r="A193" s="66"/>
      <c r="B193" s="71" t="s">
        <v>49</v>
      </c>
      <c r="C193" s="72"/>
      <c r="D193" s="72" t="s">
        <v>47</v>
      </c>
      <c r="E193" s="72"/>
      <c r="F193" s="72"/>
      <c r="G193" s="73">
        <v>21.77</v>
      </c>
      <c r="H193" s="70">
        <f t="shared" si="19"/>
        <v>21.77</v>
      </c>
      <c r="I193" s="74">
        <v>1610</v>
      </c>
      <c r="J193" s="74">
        <f t="shared" ref="J193:J196" si="20">I193*H193</f>
        <v>35049.699999999997</v>
      </c>
      <c r="K193" s="72"/>
      <c r="L193" s="72"/>
    </row>
    <row r="194" spans="1:12" s="54" customFormat="1" ht="21.75" customHeight="1" x14ac:dyDescent="0.25">
      <c r="A194" s="66"/>
      <c r="B194" s="71" t="s">
        <v>50</v>
      </c>
      <c r="C194" s="72"/>
      <c r="D194" s="72" t="s">
        <v>51</v>
      </c>
      <c r="E194" s="72"/>
      <c r="F194" s="72"/>
      <c r="G194" s="73">
        <v>56</v>
      </c>
      <c r="H194" s="70">
        <f t="shared" si="19"/>
        <v>56</v>
      </c>
      <c r="I194" s="74">
        <v>803</v>
      </c>
      <c r="J194" s="74">
        <f t="shared" si="20"/>
        <v>44968</v>
      </c>
      <c r="K194" s="72"/>
      <c r="L194" s="72"/>
    </row>
    <row r="195" spans="1:12" s="54" customFormat="1" x14ac:dyDescent="0.25">
      <c r="A195" s="66"/>
      <c r="B195" s="71" t="s">
        <v>52</v>
      </c>
      <c r="C195" s="72" t="s">
        <v>105</v>
      </c>
      <c r="D195" s="72" t="s">
        <v>54</v>
      </c>
      <c r="E195" s="72"/>
      <c r="F195" s="72"/>
      <c r="G195" s="73">
        <v>137.57</v>
      </c>
      <c r="H195" s="70">
        <f t="shared" si="19"/>
        <v>137.57</v>
      </c>
      <c r="I195" s="74">
        <v>94.5</v>
      </c>
      <c r="J195" s="74">
        <f t="shared" si="20"/>
        <v>13000.365</v>
      </c>
      <c r="K195" s="72"/>
      <c r="L195" s="72"/>
    </row>
    <row r="196" spans="1:12" s="54" customFormat="1" ht="31.5" x14ac:dyDescent="0.25">
      <c r="A196" s="66"/>
      <c r="B196" s="71" t="s">
        <v>55</v>
      </c>
      <c r="C196" s="72"/>
      <c r="D196" s="72" t="s">
        <v>54</v>
      </c>
      <c r="E196" s="72"/>
      <c r="F196" s="72"/>
      <c r="G196" s="73">
        <v>40.68</v>
      </c>
      <c r="H196" s="70">
        <f t="shared" si="19"/>
        <v>40.68</v>
      </c>
      <c r="I196" s="74">
        <v>118</v>
      </c>
      <c r="J196" s="74">
        <f t="shared" si="20"/>
        <v>4800.24</v>
      </c>
      <c r="K196" s="72"/>
      <c r="L196" s="72"/>
    </row>
    <row r="197" spans="1:12" s="54" customFormat="1" x14ac:dyDescent="0.25">
      <c r="A197" s="66"/>
      <c r="B197" s="87" t="s">
        <v>56</v>
      </c>
      <c r="C197" s="88"/>
      <c r="D197" s="88" t="s">
        <v>45</v>
      </c>
      <c r="E197" s="88"/>
      <c r="F197" s="88"/>
      <c r="G197" s="73">
        <f>285.46*0.06*0.03</f>
        <v>0.51382799999999995</v>
      </c>
      <c r="H197" s="70">
        <f t="shared" si="19"/>
        <v>0.51382799999999995</v>
      </c>
      <c r="I197" s="74"/>
      <c r="J197" s="74"/>
      <c r="K197" s="88" t="s">
        <v>57</v>
      </c>
      <c r="L197" s="72"/>
    </row>
    <row r="198" spans="1:12" s="54" customFormat="1" ht="21" customHeight="1" x14ac:dyDescent="0.25">
      <c r="A198" s="75"/>
      <c r="B198" s="76" t="s">
        <v>38</v>
      </c>
      <c r="C198" s="77"/>
      <c r="D198" s="77"/>
      <c r="E198" s="77"/>
      <c r="F198" s="77"/>
      <c r="G198" s="78"/>
      <c r="H198" s="79"/>
      <c r="I198" s="80"/>
      <c r="J198" s="79">
        <f>SUM(J199:J225)</f>
        <v>310304.88955750002</v>
      </c>
      <c r="K198" s="77"/>
      <c r="L198" s="77"/>
    </row>
    <row r="199" spans="1:12" s="54" customFormat="1" ht="31.5" x14ac:dyDescent="0.25">
      <c r="A199" s="81"/>
      <c r="B199" s="82" t="s">
        <v>58</v>
      </c>
      <c r="C199" s="77" t="s">
        <v>59</v>
      </c>
      <c r="D199" s="77" t="s">
        <v>60</v>
      </c>
      <c r="E199" s="78">
        <v>12.4</v>
      </c>
      <c r="F199" s="77">
        <v>0.25</v>
      </c>
      <c r="G199" s="83">
        <f>G188/F199*E199</f>
        <v>1432.944</v>
      </c>
      <c r="H199" s="84">
        <f t="shared" ref="H199:H224" si="21">SUM(G199:G199)</f>
        <v>1432.944</v>
      </c>
      <c r="I199" s="80">
        <v>0</v>
      </c>
      <c r="J199" s="80">
        <f>H199*I199</f>
        <v>0</v>
      </c>
      <c r="K199" s="77" t="s">
        <v>61</v>
      </c>
      <c r="L199" s="77" t="s">
        <v>320</v>
      </c>
    </row>
    <row r="200" spans="1:12" s="54" customFormat="1" ht="31.5" x14ac:dyDescent="0.25">
      <c r="A200" s="81"/>
      <c r="B200" s="82" t="s">
        <v>62</v>
      </c>
      <c r="C200" s="77" t="s">
        <v>63</v>
      </c>
      <c r="D200" s="77" t="s">
        <v>60</v>
      </c>
      <c r="E200" s="78">
        <v>12.4</v>
      </c>
      <c r="F200" s="77"/>
      <c r="G200" s="83">
        <f>G189*E200</f>
        <v>1916.172</v>
      </c>
      <c r="H200" s="84">
        <f t="shared" si="21"/>
        <v>1916.172</v>
      </c>
      <c r="I200" s="80">
        <v>0</v>
      </c>
      <c r="J200" s="80">
        <f>H200*I200</f>
        <v>0</v>
      </c>
      <c r="K200" s="77" t="s">
        <v>61</v>
      </c>
      <c r="L200" s="77" t="s">
        <v>320</v>
      </c>
    </row>
    <row r="201" spans="1:12" s="54" customFormat="1" ht="31.5" x14ac:dyDescent="0.25">
      <c r="A201" s="81"/>
      <c r="B201" s="82" t="s">
        <v>64</v>
      </c>
      <c r="C201" s="77" t="s">
        <v>65</v>
      </c>
      <c r="D201" s="77" t="s">
        <v>60</v>
      </c>
      <c r="E201" s="78">
        <v>12.4</v>
      </c>
      <c r="F201" s="77"/>
      <c r="G201" s="83">
        <f>G190*E201</f>
        <v>391.59199999999998</v>
      </c>
      <c r="H201" s="84">
        <f t="shared" si="21"/>
        <v>391.59199999999998</v>
      </c>
      <c r="I201" s="80">
        <v>0</v>
      </c>
      <c r="J201" s="80">
        <f>H201*I201</f>
        <v>0</v>
      </c>
      <c r="K201" s="77" t="s">
        <v>61</v>
      </c>
      <c r="L201" s="77" t="s">
        <v>320</v>
      </c>
    </row>
    <row r="202" spans="1:12" s="54" customFormat="1" ht="31.5" x14ac:dyDescent="0.25">
      <c r="A202" s="81"/>
      <c r="B202" s="82" t="s">
        <v>106</v>
      </c>
      <c r="C202" s="77" t="s">
        <v>107</v>
      </c>
      <c r="D202" s="77" t="s">
        <v>60</v>
      </c>
      <c r="E202" s="78">
        <v>12.4</v>
      </c>
      <c r="F202" s="77"/>
      <c r="G202" s="83">
        <f>G191*E202</f>
        <v>1975.1959999999999</v>
      </c>
      <c r="H202" s="84">
        <f t="shared" si="21"/>
        <v>1975.1959999999999</v>
      </c>
      <c r="I202" s="80">
        <v>0</v>
      </c>
      <c r="J202" s="80">
        <f>H202*I202</f>
        <v>0</v>
      </c>
      <c r="K202" s="77" t="s">
        <v>61</v>
      </c>
      <c r="L202" s="77" t="s">
        <v>320</v>
      </c>
    </row>
    <row r="203" spans="1:12" s="54" customFormat="1" ht="31.5" x14ac:dyDescent="0.25">
      <c r="A203" s="81"/>
      <c r="B203" s="82" t="s">
        <v>108</v>
      </c>
      <c r="C203" s="77" t="s">
        <v>109</v>
      </c>
      <c r="D203" s="77" t="s">
        <v>60</v>
      </c>
      <c r="E203" s="78">
        <v>12.4</v>
      </c>
      <c r="F203" s="77"/>
      <c r="G203" s="83">
        <f>G192*E203</f>
        <v>1737.3640000000003</v>
      </c>
      <c r="H203" s="84">
        <f t="shared" si="21"/>
        <v>1737.3640000000003</v>
      </c>
      <c r="I203" s="80">
        <v>0</v>
      </c>
      <c r="J203" s="80">
        <f>H203*I203</f>
        <v>0</v>
      </c>
      <c r="K203" s="77" t="s">
        <v>61</v>
      </c>
      <c r="L203" s="77" t="s">
        <v>320</v>
      </c>
    </row>
    <row r="204" spans="1:12" s="54" customFormat="1" ht="34.5" customHeight="1" x14ac:dyDescent="0.25">
      <c r="A204" s="81"/>
      <c r="B204" s="89" t="s">
        <v>66</v>
      </c>
      <c r="C204" s="77" t="s">
        <v>67</v>
      </c>
      <c r="D204" s="77" t="s">
        <v>60</v>
      </c>
      <c r="E204" s="90">
        <v>42</v>
      </c>
      <c r="F204" s="90"/>
      <c r="G204" s="83">
        <f>G193*E204</f>
        <v>914.34</v>
      </c>
      <c r="H204" s="84">
        <f t="shared" si="21"/>
        <v>914.34</v>
      </c>
      <c r="I204" s="80">
        <v>0</v>
      </c>
      <c r="J204" s="80">
        <f t="shared" ref="J204:J224" si="22">H204*I204</f>
        <v>0</v>
      </c>
      <c r="K204" s="77" t="s">
        <v>68</v>
      </c>
      <c r="L204" s="77" t="s">
        <v>320</v>
      </c>
    </row>
    <row r="205" spans="1:12" s="54" customFormat="1" ht="34.5" customHeight="1" x14ac:dyDescent="0.25">
      <c r="A205" s="81"/>
      <c r="B205" s="91" t="s">
        <v>69</v>
      </c>
      <c r="C205" s="77" t="s">
        <v>70</v>
      </c>
      <c r="D205" s="77" t="s">
        <v>45</v>
      </c>
      <c r="E205" s="77">
        <v>0.19500000000000001</v>
      </c>
      <c r="F205" s="90"/>
      <c r="G205" s="78">
        <f>G188*E205+G189*E205*0.19+G190*E205*0.19+G191*E205*0.09+G192*E205*0.09</f>
        <v>17.783395500000001</v>
      </c>
      <c r="H205" s="79">
        <f t="shared" si="21"/>
        <v>17.783395500000001</v>
      </c>
      <c r="I205" s="80">
        <v>7875</v>
      </c>
      <c r="J205" s="80">
        <f t="shared" si="22"/>
        <v>140044.23956250001</v>
      </c>
      <c r="K205" s="77" t="s">
        <v>71</v>
      </c>
      <c r="L205" s="77" t="s">
        <v>321</v>
      </c>
    </row>
    <row r="206" spans="1:12" s="54" customFormat="1" ht="34.5" customHeight="1" x14ac:dyDescent="0.25">
      <c r="A206" s="92"/>
      <c r="B206" s="91" t="s">
        <v>72</v>
      </c>
      <c r="C206" s="77" t="s">
        <v>70</v>
      </c>
      <c r="D206" s="77" t="s">
        <v>45</v>
      </c>
      <c r="E206" s="77">
        <v>4.5999999999999999E-2</v>
      </c>
      <c r="F206" s="77"/>
      <c r="G206" s="78">
        <f>G193*E206</f>
        <v>1.00142</v>
      </c>
      <c r="H206" s="79">
        <f t="shared" si="21"/>
        <v>1.00142</v>
      </c>
      <c r="I206" s="80">
        <v>7875</v>
      </c>
      <c r="J206" s="80">
        <f t="shared" si="22"/>
        <v>7886.1824999999999</v>
      </c>
      <c r="K206" s="77" t="s">
        <v>73</v>
      </c>
      <c r="L206" s="77" t="s">
        <v>321</v>
      </c>
    </row>
    <row r="207" spans="1:12" s="54" customFormat="1" ht="34.5" customHeight="1" x14ac:dyDescent="0.25">
      <c r="A207" s="92"/>
      <c r="B207" s="91" t="s">
        <v>74</v>
      </c>
      <c r="C207" s="77" t="s">
        <v>70</v>
      </c>
      <c r="D207" s="77" t="s">
        <v>45</v>
      </c>
      <c r="E207" s="77">
        <v>1.01</v>
      </c>
      <c r="F207" s="77"/>
      <c r="G207" s="78">
        <f>G197*E207</f>
        <v>0.51896628</v>
      </c>
      <c r="H207" s="79">
        <f t="shared" si="21"/>
        <v>0.51896628</v>
      </c>
      <c r="I207" s="80">
        <v>7875</v>
      </c>
      <c r="J207" s="80">
        <f t="shared" si="22"/>
        <v>4086.8594549999998</v>
      </c>
      <c r="K207" s="77" t="s">
        <v>71</v>
      </c>
      <c r="L207" s="77" t="s">
        <v>321</v>
      </c>
    </row>
    <row r="208" spans="1:12" s="54" customFormat="1" ht="34.5" customHeight="1" x14ac:dyDescent="0.25">
      <c r="A208" s="81"/>
      <c r="B208" s="89" t="s">
        <v>75</v>
      </c>
      <c r="C208" s="77" t="s">
        <v>70</v>
      </c>
      <c r="D208" s="77" t="s">
        <v>45</v>
      </c>
      <c r="E208" s="77">
        <v>6.0000000000000001E-3</v>
      </c>
      <c r="F208" s="77"/>
      <c r="G208" s="78">
        <f>G194*E208</f>
        <v>0.33600000000000002</v>
      </c>
      <c r="H208" s="79">
        <f t="shared" si="21"/>
        <v>0.33600000000000002</v>
      </c>
      <c r="I208" s="80">
        <v>7875</v>
      </c>
      <c r="J208" s="80">
        <f t="shared" si="22"/>
        <v>2646</v>
      </c>
      <c r="K208" s="77" t="s">
        <v>76</v>
      </c>
      <c r="L208" s="77" t="s">
        <v>321</v>
      </c>
    </row>
    <row r="209" spans="1:12" s="54" customFormat="1" ht="34.5" customHeight="1" x14ac:dyDescent="0.25">
      <c r="A209" s="81"/>
      <c r="B209" s="89" t="s">
        <v>77</v>
      </c>
      <c r="C209" s="77" t="s">
        <v>70</v>
      </c>
      <c r="D209" s="77" t="s">
        <v>45</v>
      </c>
      <c r="E209" s="77">
        <v>1.01</v>
      </c>
      <c r="F209" s="77"/>
      <c r="G209" s="93">
        <v>0.08</v>
      </c>
      <c r="H209" s="79">
        <f t="shared" si="21"/>
        <v>0.08</v>
      </c>
      <c r="I209" s="80">
        <v>7875</v>
      </c>
      <c r="J209" s="80">
        <f t="shared" si="22"/>
        <v>630</v>
      </c>
      <c r="K209" s="94"/>
      <c r="L209" s="77" t="s">
        <v>321</v>
      </c>
    </row>
    <row r="210" spans="1:12" s="54" customFormat="1" ht="23.25" customHeight="1" x14ac:dyDescent="0.25">
      <c r="A210" s="81"/>
      <c r="B210" s="89" t="s">
        <v>78</v>
      </c>
      <c r="C210" s="77" t="s">
        <v>79</v>
      </c>
      <c r="D210" s="77" t="s">
        <v>47</v>
      </c>
      <c r="E210" s="77"/>
      <c r="F210" s="77"/>
      <c r="G210" s="78">
        <f>127*0.25*1.5+204*1.5*0.19+329*0.09*1.5+42*1.5*0.12</f>
        <v>157.74</v>
      </c>
      <c r="H210" s="79">
        <f t="shared" si="21"/>
        <v>157.74</v>
      </c>
      <c r="I210" s="80">
        <v>88.34</v>
      </c>
      <c r="J210" s="80">
        <f t="shared" si="22"/>
        <v>13934.751600000001</v>
      </c>
      <c r="K210" s="94"/>
      <c r="L210" s="77" t="s">
        <v>321</v>
      </c>
    </row>
    <row r="211" spans="1:12" s="54" customFormat="1" ht="23.25" customHeight="1" x14ac:dyDescent="0.25">
      <c r="A211" s="81"/>
      <c r="B211" s="89" t="s">
        <v>113</v>
      </c>
      <c r="C211" s="77" t="s">
        <v>114</v>
      </c>
      <c r="D211" s="77" t="s">
        <v>60</v>
      </c>
      <c r="E211" s="77"/>
      <c r="F211" s="77"/>
      <c r="G211" s="78">
        <v>12</v>
      </c>
      <c r="H211" s="79">
        <f t="shared" ref="H211:H219" si="23">SUM(G211:G211)</f>
        <v>12</v>
      </c>
      <c r="I211" s="80">
        <v>398.6</v>
      </c>
      <c r="J211" s="80">
        <f t="shared" si="22"/>
        <v>4783.2000000000007</v>
      </c>
      <c r="K211" s="94"/>
      <c r="L211" s="77" t="s">
        <v>321</v>
      </c>
    </row>
    <row r="212" spans="1:12" s="54" customFormat="1" ht="23.25" customHeight="1" x14ac:dyDescent="0.25">
      <c r="A212" s="81"/>
      <c r="B212" s="89" t="s">
        <v>115</v>
      </c>
      <c r="C212" s="77" t="s">
        <v>116</v>
      </c>
      <c r="D212" s="77" t="s">
        <v>60</v>
      </c>
      <c r="E212" s="77"/>
      <c r="F212" s="77"/>
      <c r="G212" s="78">
        <v>9</v>
      </c>
      <c r="H212" s="79">
        <f t="shared" si="23"/>
        <v>9</v>
      </c>
      <c r="I212" s="80">
        <v>465.03</v>
      </c>
      <c r="J212" s="80">
        <f t="shared" si="22"/>
        <v>4185.2699999999995</v>
      </c>
      <c r="K212" s="94"/>
      <c r="L212" s="77" t="s">
        <v>321</v>
      </c>
    </row>
    <row r="213" spans="1:12" s="54" customFormat="1" ht="23.25" customHeight="1" x14ac:dyDescent="0.25">
      <c r="A213" s="81"/>
      <c r="B213" s="89" t="s">
        <v>117</v>
      </c>
      <c r="C213" s="77" t="s">
        <v>118</v>
      </c>
      <c r="D213" s="77" t="s">
        <v>60</v>
      </c>
      <c r="E213" s="77"/>
      <c r="F213" s="77"/>
      <c r="G213" s="78">
        <v>1</v>
      </c>
      <c r="H213" s="79">
        <f t="shared" si="23"/>
        <v>1</v>
      </c>
      <c r="I213" s="80">
        <v>841.49</v>
      </c>
      <c r="J213" s="80">
        <f t="shared" si="22"/>
        <v>841.49</v>
      </c>
      <c r="K213" s="94"/>
      <c r="L213" s="77" t="s">
        <v>321</v>
      </c>
    </row>
    <row r="214" spans="1:12" s="54" customFormat="1" ht="23.25" customHeight="1" x14ac:dyDescent="0.25">
      <c r="A214" s="81"/>
      <c r="B214" s="89" t="s">
        <v>119</v>
      </c>
      <c r="C214" s="77" t="s">
        <v>120</v>
      </c>
      <c r="D214" s="77" t="s">
        <v>60</v>
      </c>
      <c r="E214" s="77"/>
      <c r="F214" s="77"/>
      <c r="G214" s="78">
        <v>10</v>
      </c>
      <c r="H214" s="79">
        <f t="shared" si="23"/>
        <v>10</v>
      </c>
      <c r="I214" s="80">
        <v>981.74</v>
      </c>
      <c r="J214" s="80">
        <f t="shared" si="22"/>
        <v>9817.4</v>
      </c>
      <c r="K214" s="94"/>
      <c r="L214" s="77" t="s">
        <v>321</v>
      </c>
    </row>
    <row r="215" spans="1:12" s="54" customFormat="1" ht="23.25" customHeight="1" x14ac:dyDescent="0.25">
      <c r="A215" s="81"/>
      <c r="B215" s="89" t="s">
        <v>121</v>
      </c>
      <c r="C215" s="77" t="s">
        <v>122</v>
      </c>
      <c r="D215" s="77" t="s">
        <v>60</v>
      </c>
      <c r="E215" s="77"/>
      <c r="F215" s="77"/>
      <c r="G215" s="78">
        <v>3</v>
      </c>
      <c r="H215" s="79">
        <f t="shared" si="23"/>
        <v>3</v>
      </c>
      <c r="I215" s="80">
        <v>1291.76</v>
      </c>
      <c r="J215" s="80">
        <f t="shared" si="22"/>
        <v>3875.2799999999997</v>
      </c>
      <c r="K215" s="94"/>
      <c r="L215" s="77" t="s">
        <v>321</v>
      </c>
    </row>
    <row r="216" spans="1:12" s="54" customFormat="1" ht="23.25" customHeight="1" x14ac:dyDescent="0.25">
      <c r="A216" s="81"/>
      <c r="B216" s="89" t="s">
        <v>123</v>
      </c>
      <c r="C216" s="77" t="s">
        <v>124</v>
      </c>
      <c r="D216" s="77" t="s">
        <v>60</v>
      </c>
      <c r="E216" s="77"/>
      <c r="F216" s="77"/>
      <c r="G216" s="78">
        <v>1</v>
      </c>
      <c r="H216" s="79">
        <f t="shared" si="23"/>
        <v>1</v>
      </c>
      <c r="I216" s="80">
        <v>1845.38</v>
      </c>
      <c r="J216" s="80">
        <f t="shared" si="22"/>
        <v>1845.38</v>
      </c>
      <c r="K216" s="94"/>
      <c r="L216" s="77" t="s">
        <v>321</v>
      </c>
    </row>
    <row r="217" spans="1:12" s="54" customFormat="1" ht="23.25" customHeight="1" x14ac:dyDescent="0.25">
      <c r="A217" s="81"/>
      <c r="B217" s="89" t="s">
        <v>125</v>
      </c>
      <c r="C217" s="77" t="s">
        <v>126</v>
      </c>
      <c r="D217" s="77" t="s">
        <v>60</v>
      </c>
      <c r="E217" s="77"/>
      <c r="F217" s="77"/>
      <c r="G217" s="78">
        <v>8</v>
      </c>
      <c r="H217" s="79">
        <f t="shared" si="23"/>
        <v>8</v>
      </c>
      <c r="I217" s="80">
        <v>2029.91</v>
      </c>
      <c r="J217" s="80">
        <f t="shared" si="22"/>
        <v>16239.28</v>
      </c>
      <c r="K217" s="94"/>
      <c r="L217" s="77" t="s">
        <v>321</v>
      </c>
    </row>
    <row r="218" spans="1:12" s="54" customFormat="1" ht="23.25" customHeight="1" x14ac:dyDescent="0.25">
      <c r="A218" s="81"/>
      <c r="B218" s="89" t="s">
        <v>127</v>
      </c>
      <c r="C218" s="77" t="s">
        <v>128</v>
      </c>
      <c r="D218" s="77" t="s">
        <v>60</v>
      </c>
      <c r="E218" s="77"/>
      <c r="F218" s="77"/>
      <c r="G218" s="78">
        <v>11</v>
      </c>
      <c r="H218" s="79">
        <f t="shared" si="23"/>
        <v>11</v>
      </c>
      <c r="I218" s="80">
        <v>2398.9899999999998</v>
      </c>
      <c r="J218" s="80">
        <f t="shared" si="22"/>
        <v>26388.89</v>
      </c>
      <c r="K218" s="94"/>
      <c r="L218" s="77" t="s">
        <v>321</v>
      </c>
    </row>
    <row r="219" spans="1:12" s="54" customFormat="1" ht="23.25" customHeight="1" x14ac:dyDescent="0.25">
      <c r="A219" s="81"/>
      <c r="B219" s="89" t="s">
        <v>129</v>
      </c>
      <c r="C219" s="77" t="s">
        <v>130</v>
      </c>
      <c r="D219" s="77" t="s">
        <v>60</v>
      </c>
      <c r="E219" s="77"/>
      <c r="F219" s="77"/>
      <c r="G219" s="78">
        <v>1</v>
      </c>
      <c r="H219" s="79">
        <f t="shared" si="23"/>
        <v>1</v>
      </c>
      <c r="I219" s="80">
        <v>2583.5300000000002</v>
      </c>
      <c r="J219" s="80">
        <f t="shared" si="22"/>
        <v>2583.5300000000002</v>
      </c>
      <c r="K219" s="94"/>
      <c r="L219" s="77" t="s">
        <v>321</v>
      </c>
    </row>
    <row r="220" spans="1:12" s="54" customFormat="1" ht="23.25" customHeight="1" x14ac:dyDescent="0.25">
      <c r="A220" s="81"/>
      <c r="B220" s="89" t="s">
        <v>92</v>
      </c>
      <c r="C220" s="77" t="s">
        <v>93</v>
      </c>
      <c r="D220" s="77" t="s">
        <v>54</v>
      </c>
      <c r="E220" s="77">
        <v>1.04</v>
      </c>
      <c r="F220" s="77"/>
      <c r="G220" s="78">
        <f>149.74*E220</f>
        <v>155.7296</v>
      </c>
      <c r="H220" s="79">
        <f t="shared" si="21"/>
        <v>155.7296</v>
      </c>
      <c r="I220" s="80">
        <v>66.349999999999994</v>
      </c>
      <c r="J220" s="80">
        <f t="shared" si="22"/>
        <v>10332.658959999999</v>
      </c>
      <c r="K220" s="94"/>
      <c r="L220" s="77" t="s">
        <v>321</v>
      </c>
    </row>
    <row r="221" spans="1:12" s="54" customFormat="1" ht="23.25" customHeight="1" x14ac:dyDescent="0.25">
      <c r="A221" s="81"/>
      <c r="B221" s="89" t="s">
        <v>94</v>
      </c>
      <c r="C221" s="77" t="s">
        <v>95</v>
      </c>
      <c r="D221" s="77" t="s">
        <v>54</v>
      </c>
      <c r="E221" s="77">
        <v>1.04</v>
      </c>
      <c r="F221" s="77"/>
      <c r="G221" s="78">
        <f>G196*E221</f>
        <v>42.307200000000002</v>
      </c>
      <c r="H221" s="79">
        <f t="shared" si="21"/>
        <v>42.307200000000002</v>
      </c>
      <c r="I221" s="80">
        <v>64</v>
      </c>
      <c r="J221" s="80">
        <f t="shared" si="22"/>
        <v>2707.6608000000001</v>
      </c>
      <c r="K221" s="94"/>
      <c r="L221" s="77" t="s">
        <v>321</v>
      </c>
    </row>
    <row r="222" spans="1:12" s="54" customFormat="1" ht="23.25" customHeight="1" x14ac:dyDescent="0.25">
      <c r="A222" s="81"/>
      <c r="B222" s="89" t="s">
        <v>131</v>
      </c>
      <c r="C222" s="77" t="s">
        <v>39</v>
      </c>
      <c r="D222" s="77" t="s">
        <v>54</v>
      </c>
      <c r="E222" s="77">
        <v>1.04</v>
      </c>
      <c r="F222" s="77"/>
      <c r="G222" s="78">
        <f>85.59*E222</f>
        <v>89.013600000000011</v>
      </c>
      <c r="H222" s="79">
        <f t="shared" si="21"/>
        <v>89.013600000000011</v>
      </c>
      <c r="I222" s="80">
        <v>64.209999999999994</v>
      </c>
      <c r="J222" s="80">
        <f t="shared" si="22"/>
        <v>5715.5632560000004</v>
      </c>
      <c r="K222" s="94"/>
      <c r="L222" s="77" t="s">
        <v>321</v>
      </c>
    </row>
    <row r="223" spans="1:12" s="54" customFormat="1" ht="23.25" customHeight="1" x14ac:dyDescent="0.25">
      <c r="A223" s="81"/>
      <c r="B223" s="89" t="s">
        <v>97</v>
      </c>
      <c r="C223" s="77" t="s">
        <v>39</v>
      </c>
      <c r="D223" s="77" t="s">
        <v>54</v>
      </c>
      <c r="E223" s="77">
        <v>1.04</v>
      </c>
      <c r="F223" s="77"/>
      <c r="G223" s="78">
        <f>E223*23.1</f>
        <v>24.024000000000001</v>
      </c>
      <c r="H223" s="79">
        <f t="shared" si="21"/>
        <v>24.024000000000001</v>
      </c>
      <c r="I223" s="80">
        <v>74.92</v>
      </c>
      <c r="J223" s="80">
        <f t="shared" si="22"/>
        <v>1799.8780800000002</v>
      </c>
      <c r="K223" s="94"/>
      <c r="L223" s="77" t="s">
        <v>321</v>
      </c>
    </row>
    <row r="224" spans="1:12" s="54" customFormat="1" ht="23.25" customHeight="1" x14ac:dyDescent="0.25">
      <c r="A224" s="81"/>
      <c r="B224" s="89" t="s">
        <v>132</v>
      </c>
      <c r="C224" s="77" t="s">
        <v>39</v>
      </c>
      <c r="D224" s="77" t="s">
        <v>54</v>
      </c>
      <c r="E224" s="77">
        <v>1.04</v>
      </c>
      <c r="F224" s="77"/>
      <c r="G224" s="78">
        <f>28.88*E224</f>
        <v>30.0352</v>
      </c>
      <c r="H224" s="79">
        <f t="shared" si="21"/>
        <v>30.0352</v>
      </c>
      <c r="I224" s="80">
        <v>75.97</v>
      </c>
      <c r="J224" s="80">
        <f t="shared" si="22"/>
        <v>2281.774144</v>
      </c>
      <c r="K224" s="94"/>
      <c r="L224" s="77" t="s">
        <v>321</v>
      </c>
    </row>
    <row r="225" spans="1:12" s="101" customFormat="1" ht="32.25" customHeight="1" x14ac:dyDescent="0.25">
      <c r="A225" s="95"/>
      <c r="B225" s="96" t="s">
        <v>133</v>
      </c>
      <c r="C225" s="97" t="s">
        <v>39</v>
      </c>
      <c r="D225" s="97" t="s">
        <v>99</v>
      </c>
      <c r="E225" s="97"/>
      <c r="F225" s="97"/>
      <c r="G225" s="98"/>
      <c r="H225" s="99">
        <f>J225*100/J187</f>
        <v>5.0197713000229385</v>
      </c>
      <c r="I225" s="79"/>
      <c r="J225" s="79">
        <v>47679.601200000005</v>
      </c>
      <c r="K225" s="100"/>
      <c r="L225" s="97" t="s">
        <v>321</v>
      </c>
    </row>
    <row r="226" spans="1:12" s="54" customFormat="1" ht="21" customHeight="1" x14ac:dyDescent="0.25">
      <c r="A226" s="60" t="s">
        <v>140</v>
      </c>
      <c r="B226" s="61" t="s">
        <v>141</v>
      </c>
      <c r="C226" s="62"/>
      <c r="D226" s="63"/>
      <c r="E226" s="62"/>
      <c r="F226" s="62"/>
      <c r="G226" s="64"/>
      <c r="H226" s="65"/>
      <c r="I226" s="65"/>
      <c r="J226" s="65">
        <f>J227+J239</f>
        <v>1354922.102315</v>
      </c>
      <c r="K226" s="86"/>
      <c r="L226" s="86"/>
    </row>
    <row r="227" spans="1:12" s="54" customFormat="1" ht="19.5" customHeight="1" x14ac:dyDescent="0.25">
      <c r="A227" s="66"/>
      <c r="B227" s="67" t="s">
        <v>34</v>
      </c>
      <c r="C227" s="68"/>
      <c r="D227" s="68"/>
      <c r="E227" s="68"/>
      <c r="F227" s="68"/>
      <c r="G227" s="69"/>
      <c r="H227" s="70"/>
      <c r="I227" s="70"/>
      <c r="J227" s="70">
        <f>SUM(J228:J238)</f>
        <v>1019662.335</v>
      </c>
      <c r="K227" s="72"/>
      <c r="L227" s="72"/>
    </row>
    <row r="228" spans="1:12" s="54" customFormat="1" ht="24.75" customHeight="1" x14ac:dyDescent="0.25">
      <c r="A228" s="66"/>
      <c r="B228" s="71" t="s">
        <v>44</v>
      </c>
      <c r="C228" s="72"/>
      <c r="D228" s="72" t="s">
        <v>45</v>
      </c>
      <c r="E228" s="72"/>
      <c r="F228" s="72"/>
      <c r="G228" s="73">
        <v>33.94</v>
      </c>
      <c r="H228" s="70">
        <f t="shared" ref="H228:H238" si="24">SUM(G228:G228)</f>
        <v>33.94</v>
      </c>
      <c r="I228" s="74">
        <v>4939</v>
      </c>
      <c r="J228" s="74">
        <f>I228*H228</f>
        <v>167629.65999999997</v>
      </c>
      <c r="K228" s="72"/>
      <c r="L228" s="72"/>
    </row>
    <row r="229" spans="1:12" s="54" customFormat="1" ht="24.75" customHeight="1" x14ac:dyDescent="0.25">
      <c r="A229" s="66"/>
      <c r="B229" s="71" t="s">
        <v>102</v>
      </c>
      <c r="C229" s="72"/>
      <c r="D229" s="72" t="s">
        <v>45</v>
      </c>
      <c r="E229" s="72"/>
      <c r="F229" s="72"/>
      <c r="G229" s="73">
        <v>2.58</v>
      </c>
      <c r="H229" s="70">
        <f t="shared" si="24"/>
        <v>2.58</v>
      </c>
      <c r="I229" s="74">
        <v>5845</v>
      </c>
      <c r="J229" s="74">
        <f t="shared" ref="J229" si="25">I229*H229</f>
        <v>15080.1</v>
      </c>
      <c r="K229" s="72"/>
      <c r="L229" s="72"/>
    </row>
    <row r="230" spans="1:12" s="54" customFormat="1" ht="24.75" customHeight="1" x14ac:dyDescent="0.25">
      <c r="A230" s="66"/>
      <c r="B230" s="71" t="s">
        <v>46</v>
      </c>
      <c r="C230" s="72"/>
      <c r="D230" s="72" t="s">
        <v>47</v>
      </c>
      <c r="E230" s="72"/>
      <c r="F230" s="72"/>
      <c r="G230" s="73">
        <v>154.52000000000001</v>
      </c>
      <c r="H230" s="70">
        <f t="shared" si="24"/>
        <v>154.52000000000001</v>
      </c>
      <c r="I230" s="74">
        <v>1461</v>
      </c>
      <c r="J230" s="74">
        <f>I230*H230</f>
        <v>225753.72</v>
      </c>
      <c r="K230" s="72"/>
      <c r="L230" s="72"/>
    </row>
    <row r="231" spans="1:12" s="54" customFormat="1" ht="24.75" customHeight="1" x14ac:dyDescent="0.25">
      <c r="A231" s="66"/>
      <c r="B231" s="71" t="s">
        <v>48</v>
      </c>
      <c r="C231" s="72"/>
      <c r="D231" s="72" t="s">
        <v>47</v>
      </c>
      <c r="E231" s="72"/>
      <c r="F231" s="72"/>
      <c r="G231" s="73">
        <v>31.58</v>
      </c>
      <c r="H231" s="70">
        <f t="shared" si="24"/>
        <v>31.58</v>
      </c>
      <c r="I231" s="74">
        <v>1461</v>
      </c>
      <c r="J231" s="74">
        <f>I231*H231</f>
        <v>46138.38</v>
      </c>
      <c r="K231" s="72"/>
      <c r="L231" s="72"/>
    </row>
    <row r="232" spans="1:12" s="54" customFormat="1" ht="24.75" customHeight="1" x14ac:dyDescent="0.25">
      <c r="A232" s="66"/>
      <c r="B232" s="71" t="s">
        <v>103</v>
      </c>
      <c r="C232" s="72"/>
      <c r="D232" s="72" t="s">
        <v>47</v>
      </c>
      <c r="E232" s="72"/>
      <c r="F232" s="72"/>
      <c r="G232" s="73">
        <v>159.29</v>
      </c>
      <c r="H232" s="70">
        <f t="shared" si="24"/>
        <v>159.29</v>
      </c>
      <c r="I232" s="74">
        <v>1461</v>
      </c>
      <c r="J232" s="74">
        <f>I232*H232</f>
        <v>232722.69</v>
      </c>
      <c r="K232" s="72"/>
      <c r="L232" s="72"/>
    </row>
    <row r="233" spans="1:12" s="54" customFormat="1" ht="24.75" customHeight="1" x14ac:dyDescent="0.25">
      <c r="A233" s="66"/>
      <c r="B233" s="71" t="s">
        <v>104</v>
      </c>
      <c r="C233" s="72"/>
      <c r="D233" s="72" t="s">
        <v>47</v>
      </c>
      <c r="E233" s="72"/>
      <c r="F233" s="72"/>
      <c r="G233" s="73">
        <v>141.18</v>
      </c>
      <c r="H233" s="70">
        <f t="shared" si="24"/>
        <v>141.18</v>
      </c>
      <c r="I233" s="74">
        <v>1461</v>
      </c>
      <c r="J233" s="74">
        <f>I233*H233</f>
        <v>206263.98</v>
      </c>
      <c r="K233" s="72"/>
      <c r="L233" s="72"/>
    </row>
    <row r="234" spans="1:12" s="54" customFormat="1" ht="24.75" customHeight="1" x14ac:dyDescent="0.25">
      <c r="A234" s="66"/>
      <c r="B234" s="71" t="s">
        <v>49</v>
      </c>
      <c r="C234" s="72"/>
      <c r="D234" s="72" t="s">
        <v>47</v>
      </c>
      <c r="E234" s="72"/>
      <c r="F234" s="72"/>
      <c r="G234" s="73">
        <v>39.32</v>
      </c>
      <c r="H234" s="70">
        <f t="shared" si="24"/>
        <v>39.32</v>
      </c>
      <c r="I234" s="74">
        <v>1610</v>
      </c>
      <c r="J234" s="74">
        <f t="shared" ref="J234:J237" si="26">I234*H234</f>
        <v>63305.2</v>
      </c>
      <c r="K234" s="72"/>
      <c r="L234" s="72"/>
    </row>
    <row r="235" spans="1:12" s="54" customFormat="1" ht="24.75" customHeight="1" x14ac:dyDescent="0.25">
      <c r="A235" s="66"/>
      <c r="B235" s="71" t="s">
        <v>50</v>
      </c>
      <c r="C235" s="72"/>
      <c r="D235" s="72" t="s">
        <v>51</v>
      </c>
      <c r="E235" s="72"/>
      <c r="F235" s="72"/>
      <c r="G235" s="73">
        <v>56</v>
      </c>
      <c r="H235" s="70">
        <f t="shared" si="24"/>
        <v>56</v>
      </c>
      <c r="I235" s="74">
        <v>803</v>
      </c>
      <c r="J235" s="74">
        <f t="shared" si="26"/>
        <v>44968</v>
      </c>
      <c r="K235" s="72"/>
      <c r="L235" s="72"/>
    </row>
    <row r="236" spans="1:12" s="54" customFormat="1" x14ac:dyDescent="0.25">
      <c r="A236" s="66"/>
      <c r="B236" s="71" t="s">
        <v>52</v>
      </c>
      <c r="C236" s="72" t="s">
        <v>105</v>
      </c>
      <c r="D236" s="72" t="s">
        <v>54</v>
      </c>
      <c r="E236" s="72"/>
      <c r="F236" s="72"/>
      <c r="G236" s="73">
        <v>137.57</v>
      </c>
      <c r="H236" s="70">
        <f t="shared" si="24"/>
        <v>137.57</v>
      </c>
      <c r="I236" s="74">
        <v>94.5</v>
      </c>
      <c r="J236" s="74">
        <f t="shared" si="26"/>
        <v>13000.365</v>
      </c>
      <c r="K236" s="72"/>
      <c r="L236" s="72"/>
    </row>
    <row r="237" spans="1:12" s="54" customFormat="1" ht="41.25" customHeight="1" x14ac:dyDescent="0.25">
      <c r="A237" s="66"/>
      <c r="B237" s="71" t="s">
        <v>55</v>
      </c>
      <c r="C237" s="72"/>
      <c r="D237" s="72" t="s">
        <v>54</v>
      </c>
      <c r="E237" s="72"/>
      <c r="F237" s="72"/>
      <c r="G237" s="73">
        <v>40.68</v>
      </c>
      <c r="H237" s="70">
        <f t="shared" si="24"/>
        <v>40.68</v>
      </c>
      <c r="I237" s="74">
        <v>118</v>
      </c>
      <c r="J237" s="74">
        <f t="shared" si="26"/>
        <v>4800.24</v>
      </c>
      <c r="K237" s="72"/>
      <c r="L237" s="72"/>
    </row>
    <row r="238" spans="1:12" s="54" customFormat="1" ht="21" customHeight="1" x14ac:dyDescent="0.25">
      <c r="A238" s="66"/>
      <c r="B238" s="87" t="s">
        <v>56</v>
      </c>
      <c r="C238" s="88"/>
      <c r="D238" s="88" t="s">
        <v>45</v>
      </c>
      <c r="E238" s="88"/>
      <c r="F238" s="88"/>
      <c r="G238" s="73">
        <f>308.35*0.06*0.03</f>
        <v>0.55503000000000002</v>
      </c>
      <c r="H238" s="70">
        <f t="shared" si="24"/>
        <v>0.55503000000000002</v>
      </c>
      <c r="I238" s="74"/>
      <c r="J238" s="74"/>
      <c r="K238" s="88" t="s">
        <v>57</v>
      </c>
      <c r="L238" s="72"/>
    </row>
    <row r="239" spans="1:12" s="54" customFormat="1" ht="19.5" customHeight="1" x14ac:dyDescent="0.25">
      <c r="A239" s="75"/>
      <c r="B239" s="76" t="s">
        <v>38</v>
      </c>
      <c r="C239" s="77"/>
      <c r="D239" s="77"/>
      <c r="E239" s="77"/>
      <c r="F239" s="77"/>
      <c r="G239" s="78"/>
      <c r="H239" s="79"/>
      <c r="I239" s="80"/>
      <c r="J239" s="79">
        <f>SUM(J240:J268)</f>
        <v>335259.76731500006</v>
      </c>
      <c r="K239" s="77"/>
      <c r="L239" s="77"/>
    </row>
    <row r="240" spans="1:12" s="54" customFormat="1" ht="31.5" x14ac:dyDescent="0.25">
      <c r="A240" s="81"/>
      <c r="B240" s="82" t="s">
        <v>58</v>
      </c>
      <c r="C240" s="77" t="s">
        <v>59</v>
      </c>
      <c r="D240" s="77" t="s">
        <v>60</v>
      </c>
      <c r="E240" s="78">
        <v>12.4</v>
      </c>
      <c r="F240" s="77">
        <v>0.25</v>
      </c>
      <c r="G240" s="83">
        <f>G228/F240*E240</f>
        <v>1683.424</v>
      </c>
      <c r="H240" s="84">
        <f t="shared" ref="H240:H267" si="27">SUM(G240:G240)</f>
        <v>1683.424</v>
      </c>
      <c r="I240" s="80">
        <v>0</v>
      </c>
      <c r="J240" s="80">
        <f>H240*I240</f>
        <v>0</v>
      </c>
      <c r="K240" s="77" t="s">
        <v>61</v>
      </c>
      <c r="L240" s="77" t="s">
        <v>320</v>
      </c>
    </row>
    <row r="241" spans="1:12" s="54" customFormat="1" ht="31.5" x14ac:dyDescent="0.25">
      <c r="A241" s="81"/>
      <c r="B241" s="82" t="s">
        <v>62</v>
      </c>
      <c r="C241" s="77" t="s">
        <v>63</v>
      </c>
      <c r="D241" s="77" t="s">
        <v>60</v>
      </c>
      <c r="E241" s="78">
        <v>12.4</v>
      </c>
      <c r="F241" s="77"/>
      <c r="G241" s="83">
        <f>G230*E241</f>
        <v>1916.0480000000002</v>
      </c>
      <c r="H241" s="84">
        <f t="shared" si="27"/>
        <v>1916.0480000000002</v>
      </c>
      <c r="I241" s="80">
        <v>0</v>
      </c>
      <c r="J241" s="80">
        <f>H241*I241</f>
        <v>0</v>
      </c>
      <c r="K241" s="77" t="s">
        <v>61</v>
      </c>
      <c r="L241" s="77" t="s">
        <v>320</v>
      </c>
    </row>
    <row r="242" spans="1:12" s="54" customFormat="1" ht="31.5" x14ac:dyDescent="0.25">
      <c r="A242" s="81"/>
      <c r="B242" s="82" t="s">
        <v>64</v>
      </c>
      <c r="C242" s="77" t="s">
        <v>65</v>
      </c>
      <c r="D242" s="77" t="s">
        <v>60</v>
      </c>
      <c r="E242" s="78">
        <v>12.4</v>
      </c>
      <c r="F242" s="77"/>
      <c r="G242" s="83">
        <f>G231*E242</f>
        <v>391.59199999999998</v>
      </c>
      <c r="H242" s="84">
        <f t="shared" si="27"/>
        <v>391.59199999999998</v>
      </c>
      <c r="I242" s="80">
        <v>0</v>
      </c>
      <c r="J242" s="80">
        <f>H242*I242</f>
        <v>0</v>
      </c>
      <c r="K242" s="77" t="s">
        <v>61</v>
      </c>
      <c r="L242" s="77" t="s">
        <v>320</v>
      </c>
    </row>
    <row r="243" spans="1:12" s="54" customFormat="1" ht="31.5" x14ac:dyDescent="0.25">
      <c r="A243" s="81"/>
      <c r="B243" s="82" t="s">
        <v>106</v>
      </c>
      <c r="C243" s="77" t="s">
        <v>107</v>
      </c>
      <c r="D243" s="77" t="s">
        <v>60</v>
      </c>
      <c r="E243" s="78">
        <v>12.4</v>
      </c>
      <c r="F243" s="77"/>
      <c r="G243" s="83">
        <f>G232*E243</f>
        <v>1975.1959999999999</v>
      </c>
      <c r="H243" s="84">
        <f t="shared" si="27"/>
        <v>1975.1959999999999</v>
      </c>
      <c r="I243" s="80">
        <v>0</v>
      </c>
      <c r="J243" s="80">
        <f>H243*I243</f>
        <v>0</v>
      </c>
      <c r="K243" s="77" t="s">
        <v>61</v>
      </c>
      <c r="L243" s="77" t="s">
        <v>320</v>
      </c>
    </row>
    <row r="244" spans="1:12" s="54" customFormat="1" ht="31.5" x14ac:dyDescent="0.25">
      <c r="A244" s="81"/>
      <c r="B244" s="82" t="s">
        <v>108</v>
      </c>
      <c r="C244" s="77" t="s">
        <v>109</v>
      </c>
      <c r="D244" s="77" t="s">
        <v>60</v>
      </c>
      <c r="E244" s="78">
        <v>12.4</v>
      </c>
      <c r="F244" s="77"/>
      <c r="G244" s="83">
        <f>G233*E244</f>
        <v>1750.6320000000001</v>
      </c>
      <c r="H244" s="84">
        <f t="shared" si="27"/>
        <v>1750.6320000000001</v>
      </c>
      <c r="I244" s="80">
        <v>0</v>
      </c>
      <c r="J244" s="80">
        <f>H244*I244</f>
        <v>0</v>
      </c>
      <c r="K244" s="77" t="s">
        <v>61</v>
      </c>
      <c r="L244" s="77" t="s">
        <v>320</v>
      </c>
    </row>
    <row r="245" spans="1:12" s="54" customFormat="1" ht="31.5" x14ac:dyDescent="0.25">
      <c r="A245" s="81"/>
      <c r="B245" s="89" t="s">
        <v>66</v>
      </c>
      <c r="C245" s="77" t="s">
        <v>67</v>
      </c>
      <c r="D245" s="77" t="s">
        <v>60</v>
      </c>
      <c r="E245" s="90">
        <v>42</v>
      </c>
      <c r="F245" s="90"/>
      <c r="G245" s="83">
        <f>G234*E245</f>
        <v>1651.44</v>
      </c>
      <c r="H245" s="84">
        <f t="shared" si="27"/>
        <v>1651.44</v>
      </c>
      <c r="I245" s="80">
        <v>0</v>
      </c>
      <c r="J245" s="80">
        <f t="shared" ref="J245:J267" si="28">H245*I245</f>
        <v>0</v>
      </c>
      <c r="K245" s="77" t="s">
        <v>68</v>
      </c>
      <c r="L245" s="77" t="s">
        <v>320</v>
      </c>
    </row>
    <row r="246" spans="1:12" s="54" customFormat="1" ht="31.5" x14ac:dyDescent="0.25">
      <c r="A246" s="81"/>
      <c r="B246" s="89" t="s">
        <v>110</v>
      </c>
      <c r="C246" s="77" t="s">
        <v>111</v>
      </c>
      <c r="D246" s="77" t="s">
        <v>60</v>
      </c>
      <c r="E246" s="90">
        <v>42</v>
      </c>
      <c r="F246" s="90"/>
      <c r="G246" s="83">
        <f>G229/0.25*E246</f>
        <v>433.44</v>
      </c>
      <c r="H246" s="84">
        <f t="shared" si="27"/>
        <v>433.44</v>
      </c>
      <c r="I246" s="80">
        <v>0</v>
      </c>
      <c r="J246" s="80">
        <f t="shared" si="28"/>
        <v>0</v>
      </c>
      <c r="K246" s="77" t="s">
        <v>68</v>
      </c>
      <c r="L246" s="77" t="s">
        <v>320</v>
      </c>
    </row>
    <row r="247" spans="1:12" s="54" customFormat="1" ht="29.25" customHeight="1" x14ac:dyDescent="0.25">
      <c r="A247" s="81"/>
      <c r="B247" s="91" t="s">
        <v>69</v>
      </c>
      <c r="C247" s="77" t="s">
        <v>70</v>
      </c>
      <c r="D247" s="77" t="s">
        <v>45</v>
      </c>
      <c r="E247" s="77">
        <v>0.19500000000000001</v>
      </c>
      <c r="F247" s="90"/>
      <c r="G247" s="78">
        <f>G228*E247+G230*E247*0.19+G231*E247*0.19+G232*E247*0.09+G233*E247*0.09</f>
        <v>18.7865535</v>
      </c>
      <c r="H247" s="79">
        <f t="shared" si="27"/>
        <v>18.7865535</v>
      </c>
      <c r="I247" s="80">
        <v>7875</v>
      </c>
      <c r="J247" s="80">
        <f t="shared" si="28"/>
        <v>147944.1088125</v>
      </c>
      <c r="K247" s="77" t="s">
        <v>71</v>
      </c>
      <c r="L247" s="77" t="s">
        <v>321</v>
      </c>
    </row>
    <row r="248" spans="1:12" s="54" customFormat="1" ht="29.25" customHeight="1" x14ac:dyDescent="0.25">
      <c r="A248" s="92"/>
      <c r="B248" s="91" t="s">
        <v>112</v>
      </c>
      <c r="C248" s="77" t="s">
        <v>70</v>
      </c>
      <c r="D248" s="77" t="s">
        <v>45</v>
      </c>
      <c r="E248" s="77">
        <v>0.24</v>
      </c>
      <c r="F248" s="77"/>
      <c r="G248" s="78">
        <f>G229*E248</f>
        <v>0.61919999999999997</v>
      </c>
      <c r="H248" s="79">
        <f t="shared" si="27"/>
        <v>0.61919999999999997</v>
      </c>
      <c r="I248" s="80">
        <v>7875</v>
      </c>
      <c r="J248" s="80">
        <f t="shared" si="28"/>
        <v>4876.2</v>
      </c>
      <c r="K248" s="77" t="s">
        <v>71</v>
      </c>
      <c r="L248" s="77" t="s">
        <v>321</v>
      </c>
    </row>
    <row r="249" spans="1:12" s="54" customFormat="1" ht="29.25" customHeight="1" x14ac:dyDescent="0.25">
      <c r="A249" s="92"/>
      <c r="B249" s="91" t="s">
        <v>72</v>
      </c>
      <c r="C249" s="77" t="s">
        <v>70</v>
      </c>
      <c r="D249" s="77" t="s">
        <v>45</v>
      </c>
      <c r="E249" s="77">
        <v>4.5999999999999999E-2</v>
      </c>
      <c r="F249" s="77"/>
      <c r="G249" s="78">
        <f>G234*E249</f>
        <v>1.8087199999999999</v>
      </c>
      <c r="H249" s="79">
        <f t="shared" si="27"/>
        <v>1.8087199999999999</v>
      </c>
      <c r="I249" s="80">
        <v>7875</v>
      </c>
      <c r="J249" s="80">
        <f t="shared" si="28"/>
        <v>14243.669999999998</v>
      </c>
      <c r="K249" s="77" t="s">
        <v>73</v>
      </c>
      <c r="L249" s="77" t="s">
        <v>321</v>
      </c>
    </row>
    <row r="250" spans="1:12" s="54" customFormat="1" ht="29.25" customHeight="1" x14ac:dyDescent="0.25">
      <c r="A250" s="92"/>
      <c r="B250" s="91" t="s">
        <v>74</v>
      </c>
      <c r="C250" s="77" t="s">
        <v>70</v>
      </c>
      <c r="D250" s="77" t="s">
        <v>45</v>
      </c>
      <c r="E250" s="77">
        <v>1.01</v>
      </c>
      <c r="F250" s="77"/>
      <c r="G250" s="78">
        <f>G238*E250</f>
        <v>0.56058030000000003</v>
      </c>
      <c r="H250" s="79">
        <f t="shared" si="27"/>
        <v>0.56058030000000003</v>
      </c>
      <c r="I250" s="80">
        <v>7875</v>
      </c>
      <c r="J250" s="80">
        <f t="shared" si="28"/>
        <v>4414.5698625000005</v>
      </c>
      <c r="K250" s="77" t="s">
        <v>71</v>
      </c>
      <c r="L250" s="77" t="s">
        <v>321</v>
      </c>
    </row>
    <row r="251" spans="1:12" s="54" customFormat="1" ht="29.25" customHeight="1" x14ac:dyDescent="0.25">
      <c r="A251" s="81"/>
      <c r="B251" s="89" t="s">
        <v>75</v>
      </c>
      <c r="C251" s="77" t="s">
        <v>70</v>
      </c>
      <c r="D251" s="77" t="s">
        <v>45</v>
      </c>
      <c r="E251" s="77">
        <v>6.0000000000000001E-3</v>
      </c>
      <c r="F251" s="77"/>
      <c r="G251" s="78">
        <f>G235*E251</f>
        <v>0.33600000000000002</v>
      </c>
      <c r="H251" s="79">
        <f t="shared" si="27"/>
        <v>0.33600000000000002</v>
      </c>
      <c r="I251" s="80">
        <v>7875</v>
      </c>
      <c r="J251" s="80">
        <f t="shared" si="28"/>
        <v>2646</v>
      </c>
      <c r="K251" s="77" t="s">
        <v>76</v>
      </c>
      <c r="L251" s="77" t="s">
        <v>321</v>
      </c>
    </row>
    <row r="252" spans="1:12" s="54" customFormat="1" ht="29.25" customHeight="1" x14ac:dyDescent="0.25">
      <c r="A252" s="81"/>
      <c r="B252" s="89" t="s">
        <v>77</v>
      </c>
      <c r="C252" s="77" t="s">
        <v>70</v>
      </c>
      <c r="D252" s="77" t="s">
        <v>45</v>
      </c>
      <c r="E252" s="77">
        <v>1.01</v>
      </c>
      <c r="F252" s="77"/>
      <c r="G252" s="93">
        <v>0.08</v>
      </c>
      <c r="H252" s="79">
        <f t="shared" si="27"/>
        <v>0.08</v>
      </c>
      <c r="I252" s="80">
        <v>7875</v>
      </c>
      <c r="J252" s="80">
        <f t="shared" si="28"/>
        <v>630</v>
      </c>
      <c r="K252" s="94"/>
      <c r="L252" s="77" t="s">
        <v>321</v>
      </c>
    </row>
    <row r="253" spans="1:12" s="54" customFormat="1" ht="24.75" customHeight="1" x14ac:dyDescent="0.25">
      <c r="A253" s="81"/>
      <c r="B253" s="89" t="s">
        <v>78</v>
      </c>
      <c r="C253" s="77" t="s">
        <v>79</v>
      </c>
      <c r="D253" s="77" t="s">
        <v>47</v>
      </c>
      <c r="E253" s="77"/>
      <c r="F253" s="77"/>
      <c r="G253" s="78">
        <v>183.5</v>
      </c>
      <c r="H253" s="79">
        <f t="shared" si="27"/>
        <v>183.5</v>
      </c>
      <c r="I253" s="80">
        <v>88.34</v>
      </c>
      <c r="J253" s="80">
        <f t="shared" si="28"/>
        <v>16210.390000000001</v>
      </c>
      <c r="K253" s="94"/>
      <c r="L253" s="77" t="s">
        <v>321</v>
      </c>
    </row>
    <row r="254" spans="1:12" s="54" customFormat="1" ht="24.75" customHeight="1" x14ac:dyDescent="0.25">
      <c r="A254" s="81"/>
      <c r="B254" s="89" t="s">
        <v>113</v>
      </c>
      <c r="C254" s="77" t="s">
        <v>114</v>
      </c>
      <c r="D254" s="77" t="s">
        <v>60</v>
      </c>
      <c r="E254" s="77"/>
      <c r="F254" s="77"/>
      <c r="G254" s="78">
        <v>12</v>
      </c>
      <c r="H254" s="79">
        <f t="shared" si="27"/>
        <v>12</v>
      </c>
      <c r="I254" s="80">
        <v>398.6</v>
      </c>
      <c r="J254" s="80">
        <f t="shared" si="28"/>
        <v>4783.2000000000007</v>
      </c>
      <c r="K254" s="94"/>
      <c r="L254" s="77" t="s">
        <v>321</v>
      </c>
    </row>
    <row r="255" spans="1:12" s="54" customFormat="1" ht="24.75" customHeight="1" x14ac:dyDescent="0.25">
      <c r="A255" s="81"/>
      <c r="B255" s="89" t="s">
        <v>115</v>
      </c>
      <c r="C255" s="77" t="s">
        <v>116</v>
      </c>
      <c r="D255" s="77" t="s">
        <v>60</v>
      </c>
      <c r="E255" s="77"/>
      <c r="F255" s="77"/>
      <c r="G255" s="78">
        <v>9</v>
      </c>
      <c r="H255" s="79">
        <f t="shared" si="27"/>
        <v>9</v>
      </c>
      <c r="I255" s="80">
        <v>465.03</v>
      </c>
      <c r="J255" s="80">
        <f t="shared" si="28"/>
        <v>4185.2699999999995</v>
      </c>
      <c r="K255" s="94"/>
      <c r="L255" s="77" t="s">
        <v>321</v>
      </c>
    </row>
    <row r="256" spans="1:12" s="54" customFormat="1" ht="24.75" customHeight="1" x14ac:dyDescent="0.25">
      <c r="A256" s="81"/>
      <c r="B256" s="89" t="s">
        <v>117</v>
      </c>
      <c r="C256" s="77" t="s">
        <v>118</v>
      </c>
      <c r="D256" s="77" t="s">
        <v>60</v>
      </c>
      <c r="E256" s="77"/>
      <c r="F256" s="77"/>
      <c r="G256" s="78">
        <v>1</v>
      </c>
      <c r="H256" s="79">
        <f t="shared" si="27"/>
        <v>1</v>
      </c>
      <c r="I256" s="80">
        <v>841.49</v>
      </c>
      <c r="J256" s="80">
        <f t="shared" si="28"/>
        <v>841.49</v>
      </c>
      <c r="K256" s="94"/>
      <c r="L256" s="77" t="s">
        <v>321</v>
      </c>
    </row>
    <row r="257" spans="1:12" s="54" customFormat="1" ht="24.75" customHeight="1" x14ac:dyDescent="0.25">
      <c r="A257" s="81"/>
      <c r="B257" s="89" t="s">
        <v>119</v>
      </c>
      <c r="C257" s="77" t="s">
        <v>120</v>
      </c>
      <c r="D257" s="77" t="s">
        <v>60</v>
      </c>
      <c r="E257" s="77"/>
      <c r="F257" s="77"/>
      <c r="G257" s="78">
        <v>10</v>
      </c>
      <c r="H257" s="79">
        <f t="shared" si="27"/>
        <v>10</v>
      </c>
      <c r="I257" s="80">
        <v>981.74</v>
      </c>
      <c r="J257" s="80">
        <f t="shared" si="28"/>
        <v>9817.4</v>
      </c>
      <c r="K257" s="94"/>
      <c r="L257" s="77" t="s">
        <v>321</v>
      </c>
    </row>
    <row r="258" spans="1:12" s="54" customFormat="1" ht="24.75" customHeight="1" x14ac:dyDescent="0.25">
      <c r="A258" s="81"/>
      <c r="B258" s="89" t="s">
        <v>121</v>
      </c>
      <c r="C258" s="77" t="s">
        <v>122</v>
      </c>
      <c r="D258" s="77" t="s">
        <v>60</v>
      </c>
      <c r="E258" s="77"/>
      <c r="F258" s="77"/>
      <c r="G258" s="78">
        <v>3</v>
      </c>
      <c r="H258" s="79">
        <f t="shared" si="27"/>
        <v>3</v>
      </c>
      <c r="I258" s="80">
        <v>1291.76</v>
      </c>
      <c r="J258" s="80">
        <f t="shared" si="28"/>
        <v>3875.2799999999997</v>
      </c>
      <c r="K258" s="94"/>
      <c r="L258" s="77" t="s">
        <v>321</v>
      </c>
    </row>
    <row r="259" spans="1:12" s="54" customFormat="1" ht="24.75" customHeight="1" x14ac:dyDescent="0.25">
      <c r="A259" s="81"/>
      <c r="B259" s="89" t="s">
        <v>123</v>
      </c>
      <c r="C259" s="77" t="s">
        <v>124</v>
      </c>
      <c r="D259" s="77" t="s">
        <v>60</v>
      </c>
      <c r="E259" s="77"/>
      <c r="F259" s="77"/>
      <c r="G259" s="78">
        <v>1</v>
      </c>
      <c r="H259" s="79">
        <f t="shared" si="27"/>
        <v>1</v>
      </c>
      <c r="I259" s="80">
        <v>1845.38</v>
      </c>
      <c r="J259" s="80">
        <f t="shared" si="28"/>
        <v>1845.38</v>
      </c>
      <c r="K259" s="94"/>
      <c r="L259" s="77" t="s">
        <v>321</v>
      </c>
    </row>
    <row r="260" spans="1:12" s="54" customFormat="1" ht="24.75" customHeight="1" x14ac:dyDescent="0.25">
      <c r="A260" s="81"/>
      <c r="B260" s="89" t="s">
        <v>125</v>
      </c>
      <c r="C260" s="77" t="s">
        <v>126</v>
      </c>
      <c r="D260" s="77" t="s">
        <v>60</v>
      </c>
      <c r="E260" s="77"/>
      <c r="F260" s="77"/>
      <c r="G260" s="78">
        <v>8</v>
      </c>
      <c r="H260" s="79">
        <f t="shared" si="27"/>
        <v>8</v>
      </c>
      <c r="I260" s="80">
        <v>2029.91</v>
      </c>
      <c r="J260" s="80">
        <f t="shared" si="28"/>
        <v>16239.28</v>
      </c>
      <c r="K260" s="94"/>
      <c r="L260" s="77" t="s">
        <v>321</v>
      </c>
    </row>
    <row r="261" spans="1:12" s="54" customFormat="1" ht="24.75" customHeight="1" x14ac:dyDescent="0.25">
      <c r="A261" s="81"/>
      <c r="B261" s="89" t="s">
        <v>127</v>
      </c>
      <c r="C261" s="77" t="s">
        <v>128</v>
      </c>
      <c r="D261" s="77" t="s">
        <v>60</v>
      </c>
      <c r="E261" s="77"/>
      <c r="F261" s="77"/>
      <c r="G261" s="78">
        <v>11</v>
      </c>
      <c r="H261" s="79">
        <f t="shared" si="27"/>
        <v>11</v>
      </c>
      <c r="I261" s="80">
        <v>2398.9899999999998</v>
      </c>
      <c r="J261" s="80">
        <f t="shared" si="28"/>
        <v>26388.89</v>
      </c>
      <c r="K261" s="94"/>
      <c r="L261" s="77" t="s">
        <v>321</v>
      </c>
    </row>
    <row r="262" spans="1:12" s="54" customFormat="1" ht="24.75" customHeight="1" x14ac:dyDescent="0.25">
      <c r="A262" s="81"/>
      <c r="B262" s="89" t="s">
        <v>129</v>
      </c>
      <c r="C262" s="77" t="s">
        <v>130</v>
      </c>
      <c r="D262" s="77" t="s">
        <v>60</v>
      </c>
      <c r="E262" s="77"/>
      <c r="F262" s="77"/>
      <c r="G262" s="78">
        <v>1</v>
      </c>
      <c r="H262" s="79">
        <f t="shared" si="27"/>
        <v>1</v>
      </c>
      <c r="I262" s="80">
        <v>2583.5300000000002</v>
      </c>
      <c r="J262" s="80">
        <f t="shared" si="28"/>
        <v>2583.5300000000002</v>
      </c>
      <c r="K262" s="94"/>
      <c r="L262" s="77" t="s">
        <v>321</v>
      </c>
    </row>
    <row r="263" spans="1:12" s="54" customFormat="1" ht="24.75" customHeight="1" x14ac:dyDescent="0.25">
      <c r="A263" s="81"/>
      <c r="B263" s="89" t="s">
        <v>92</v>
      </c>
      <c r="C263" s="77" t="s">
        <v>93</v>
      </c>
      <c r="D263" s="77" t="s">
        <v>54</v>
      </c>
      <c r="E263" s="77">
        <v>1.04</v>
      </c>
      <c r="F263" s="77"/>
      <c r="G263" s="78">
        <f>155.29*E263</f>
        <v>161.5016</v>
      </c>
      <c r="H263" s="79">
        <f t="shared" si="27"/>
        <v>161.5016</v>
      </c>
      <c r="I263" s="80">
        <v>66.349999999999994</v>
      </c>
      <c r="J263" s="80">
        <f t="shared" si="28"/>
        <v>10715.631159999999</v>
      </c>
      <c r="K263" s="94"/>
      <c r="L263" s="77" t="s">
        <v>321</v>
      </c>
    </row>
    <row r="264" spans="1:12" s="54" customFormat="1" ht="24.75" customHeight="1" x14ac:dyDescent="0.25">
      <c r="A264" s="81"/>
      <c r="B264" s="89" t="s">
        <v>94</v>
      </c>
      <c r="C264" s="77" t="s">
        <v>95</v>
      </c>
      <c r="D264" s="77" t="s">
        <v>54</v>
      </c>
      <c r="E264" s="77">
        <v>1.04</v>
      </c>
      <c r="F264" s="77"/>
      <c r="G264" s="78">
        <f>G237*E264</f>
        <v>42.307200000000002</v>
      </c>
      <c r="H264" s="79">
        <f t="shared" si="27"/>
        <v>42.307200000000002</v>
      </c>
      <c r="I264" s="80">
        <v>64</v>
      </c>
      <c r="J264" s="80">
        <f t="shared" si="28"/>
        <v>2707.6608000000001</v>
      </c>
      <c r="K264" s="94"/>
      <c r="L264" s="77" t="s">
        <v>321</v>
      </c>
    </row>
    <row r="265" spans="1:12" s="54" customFormat="1" ht="24.75" customHeight="1" x14ac:dyDescent="0.25">
      <c r="A265" s="81"/>
      <c r="B265" s="89" t="s">
        <v>131</v>
      </c>
      <c r="C265" s="77" t="s">
        <v>39</v>
      </c>
      <c r="D265" s="77" t="s">
        <v>54</v>
      </c>
      <c r="E265" s="77">
        <v>1.04</v>
      </c>
      <c r="F265" s="77"/>
      <c r="G265" s="78">
        <f>85.59*E265</f>
        <v>89.013600000000011</v>
      </c>
      <c r="H265" s="79">
        <f t="shared" si="27"/>
        <v>89.013600000000011</v>
      </c>
      <c r="I265" s="80">
        <v>64.209999999999994</v>
      </c>
      <c r="J265" s="80">
        <f t="shared" si="28"/>
        <v>5715.5632560000004</v>
      </c>
      <c r="K265" s="94"/>
      <c r="L265" s="77" t="s">
        <v>321</v>
      </c>
    </row>
    <row r="266" spans="1:12" s="54" customFormat="1" ht="24.75" customHeight="1" x14ac:dyDescent="0.25">
      <c r="A266" s="81"/>
      <c r="B266" s="89" t="s">
        <v>97</v>
      </c>
      <c r="C266" s="77" t="s">
        <v>39</v>
      </c>
      <c r="D266" s="77" t="s">
        <v>54</v>
      </c>
      <c r="E266" s="77">
        <v>1.04</v>
      </c>
      <c r="F266" s="77"/>
      <c r="G266" s="78">
        <f>E266*23.1</f>
        <v>24.024000000000001</v>
      </c>
      <c r="H266" s="79">
        <f t="shared" si="27"/>
        <v>24.024000000000001</v>
      </c>
      <c r="I266" s="80">
        <v>74.92</v>
      </c>
      <c r="J266" s="80">
        <f t="shared" si="28"/>
        <v>1799.8780800000002</v>
      </c>
      <c r="K266" s="94"/>
      <c r="L266" s="77" t="s">
        <v>321</v>
      </c>
    </row>
    <row r="267" spans="1:12" s="54" customFormat="1" ht="24.75" customHeight="1" x14ac:dyDescent="0.25">
      <c r="A267" s="81"/>
      <c r="B267" s="89" t="s">
        <v>132</v>
      </c>
      <c r="C267" s="77" t="s">
        <v>39</v>
      </c>
      <c r="D267" s="77" t="s">
        <v>54</v>
      </c>
      <c r="E267" s="77">
        <v>1.04</v>
      </c>
      <c r="F267" s="77"/>
      <c r="G267" s="78">
        <f>28.88*E267</f>
        <v>30.0352</v>
      </c>
      <c r="H267" s="79">
        <f t="shared" si="27"/>
        <v>30.0352</v>
      </c>
      <c r="I267" s="80">
        <v>75.97</v>
      </c>
      <c r="J267" s="80">
        <f t="shared" si="28"/>
        <v>2281.774144</v>
      </c>
      <c r="K267" s="94"/>
      <c r="L267" s="77" t="s">
        <v>321</v>
      </c>
    </row>
    <row r="268" spans="1:12" s="101" customFormat="1" ht="30.75" customHeight="1" x14ac:dyDescent="0.25">
      <c r="A268" s="95"/>
      <c r="B268" s="96" t="s">
        <v>133</v>
      </c>
      <c r="C268" s="97" t="s">
        <v>39</v>
      </c>
      <c r="D268" s="97" t="s">
        <v>99</v>
      </c>
      <c r="E268" s="97"/>
      <c r="F268" s="97"/>
      <c r="G268" s="98"/>
      <c r="H268" s="99">
        <f>J268*100/J227</f>
        <v>4.9540518920903365</v>
      </c>
      <c r="I268" s="79"/>
      <c r="J268" s="79">
        <v>50514.601200000005</v>
      </c>
      <c r="K268" s="100"/>
      <c r="L268" s="97" t="s">
        <v>321</v>
      </c>
    </row>
    <row r="269" spans="1:12" s="54" customFormat="1" x14ac:dyDescent="0.25">
      <c r="A269" s="60" t="s">
        <v>142</v>
      </c>
      <c r="B269" s="61" t="s">
        <v>143</v>
      </c>
      <c r="C269" s="62"/>
      <c r="D269" s="63"/>
      <c r="E269" s="62"/>
      <c r="F269" s="62"/>
      <c r="G269" s="64"/>
      <c r="H269" s="65"/>
      <c r="I269" s="65"/>
      <c r="J269" s="65">
        <f>J270+J282</f>
        <v>1354922.102315</v>
      </c>
      <c r="K269" s="86"/>
      <c r="L269" s="86"/>
    </row>
    <row r="270" spans="1:12" s="54" customFormat="1" ht="25.5" customHeight="1" x14ac:dyDescent="0.25">
      <c r="A270" s="66"/>
      <c r="B270" s="67" t="s">
        <v>34</v>
      </c>
      <c r="C270" s="68"/>
      <c r="D270" s="68"/>
      <c r="E270" s="68"/>
      <c r="F270" s="68"/>
      <c r="G270" s="69"/>
      <c r="H270" s="70"/>
      <c r="I270" s="70"/>
      <c r="J270" s="70">
        <f>SUM(J271:J281)</f>
        <v>1019662.335</v>
      </c>
      <c r="K270" s="72"/>
      <c r="L270" s="72"/>
    </row>
    <row r="271" spans="1:12" s="54" customFormat="1" ht="25.5" customHeight="1" x14ac:dyDescent="0.25">
      <c r="A271" s="66"/>
      <c r="B271" s="71" t="s">
        <v>44</v>
      </c>
      <c r="C271" s="72"/>
      <c r="D271" s="72" t="s">
        <v>45</v>
      </c>
      <c r="E271" s="72"/>
      <c r="F271" s="72"/>
      <c r="G271" s="73">
        <v>33.94</v>
      </c>
      <c r="H271" s="70">
        <f t="shared" ref="H271:H281" si="29">SUM(G271:G271)</f>
        <v>33.94</v>
      </c>
      <c r="I271" s="74">
        <v>4939</v>
      </c>
      <c r="J271" s="74">
        <f>I271*H271</f>
        <v>167629.65999999997</v>
      </c>
      <c r="K271" s="72"/>
      <c r="L271" s="72"/>
    </row>
    <row r="272" spans="1:12" s="54" customFormat="1" ht="25.5" customHeight="1" x14ac:dyDescent="0.25">
      <c r="A272" s="66"/>
      <c r="B272" s="71" t="s">
        <v>102</v>
      </c>
      <c r="C272" s="72"/>
      <c r="D272" s="72" t="s">
        <v>45</v>
      </c>
      <c r="E272" s="72"/>
      <c r="F272" s="72"/>
      <c r="G272" s="73">
        <v>2.58</v>
      </c>
      <c r="H272" s="70">
        <f t="shared" si="29"/>
        <v>2.58</v>
      </c>
      <c r="I272" s="74">
        <v>5845</v>
      </c>
      <c r="J272" s="74">
        <f t="shared" ref="J272" si="30">I272*H272</f>
        <v>15080.1</v>
      </c>
      <c r="K272" s="72"/>
      <c r="L272" s="72"/>
    </row>
    <row r="273" spans="1:12" s="54" customFormat="1" ht="25.5" customHeight="1" x14ac:dyDescent="0.25">
      <c r="A273" s="66"/>
      <c r="B273" s="71" t="s">
        <v>46</v>
      </c>
      <c r="C273" s="72"/>
      <c r="D273" s="72" t="s">
        <v>47</v>
      </c>
      <c r="E273" s="72"/>
      <c r="F273" s="72"/>
      <c r="G273" s="73">
        <v>154.52000000000001</v>
      </c>
      <c r="H273" s="70">
        <f t="shared" si="29"/>
        <v>154.52000000000001</v>
      </c>
      <c r="I273" s="74">
        <v>1461</v>
      </c>
      <c r="J273" s="74">
        <f>I273*H273</f>
        <v>225753.72</v>
      </c>
      <c r="K273" s="72"/>
      <c r="L273" s="72"/>
    </row>
    <row r="274" spans="1:12" s="54" customFormat="1" ht="25.5" customHeight="1" x14ac:dyDescent="0.25">
      <c r="A274" s="66"/>
      <c r="B274" s="71" t="s">
        <v>48</v>
      </c>
      <c r="C274" s="72"/>
      <c r="D274" s="72" t="s">
        <v>47</v>
      </c>
      <c r="E274" s="72"/>
      <c r="F274" s="72"/>
      <c r="G274" s="73">
        <v>31.58</v>
      </c>
      <c r="H274" s="70">
        <f t="shared" si="29"/>
        <v>31.58</v>
      </c>
      <c r="I274" s="74">
        <v>1461</v>
      </c>
      <c r="J274" s="74">
        <f>I274*H274</f>
        <v>46138.38</v>
      </c>
      <c r="K274" s="72"/>
      <c r="L274" s="72"/>
    </row>
    <row r="275" spans="1:12" s="54" customFormat="1" ht="25.5" customHeight="1" x14ac:dyDescent="0.25">
      <c r="A275" s="66"/>
      <c r="B275" s="71" t="s">
        <v>103</v>
      </c>
      <c r="C275" s="72"/>
      <c r="D275" s="72" t="s">
        <v>47</v>
      </c>
      <c r="E275" s="72"/>
      <c r="F275" s="72"/>
      <c r="G275" s="73">
        <v>159.29</v>
      </c>
      <c r="H275" s="70">
        <f t="shared" si="29"/>
        <v>159.29</v>
      </c>
      <c r="I275" s="74">
        <v>1461</v>
      </c>
      <c r="J275" s="74">
        <f>I275*H275</f>
        <v>232722.69</v>
      </c>
      <c r="K275" s="72"/>
      <c r="L275" s="72"/>
    </row>
    <row r="276" spans="1:12" s="54" customFormat="1" ht="25.5" customHeight="1" x14ac:dyDescent="0.25">
      <c r="A276" s="66"/>
      <c r="B276" s="71" t="s">
        <v>104</v>
      </c>
      <c r="C276" s="72"/>
      <c r="D276" s="72" t="s">
        <v>47</v>
      </c>
      <c r="E276" s="72"/>
      <c r="F276" s="72"/>
      <c r="G276" s="73">
        <v>141.18</v>
      </c>
      <c r="H276" s="70">
        <f t="shared" si="29"/>
        <v>141.18</v>
      </c>
      <c r="I276" s="74">
        <v>1461</v>
      </c>
      <c r="J276" s="74">
        <f>I276*H276</f>
        <v>206263.98</v>
      </c>
      <c r="K276" s="72"/>
      <c r="L276" s="72"/>
    </row>
    <row r="277" spans="1:12" s="54" customFormat="1" ht="25.5" customHeight="1" x14ac:dyDescent="0.25">
      <c r="A277" s="66"/>
      <c r="B277" s="71" t="s">
        <v>49</v>
      </c>
      <c r="C277" s="72"/>
      <c r="D277" s="72" t="s">
        <v>47</v>
      </c>
      <c r="E277" s="72"/>
      <c r="F277" s="72"/>
      <c r="G277" s="73">
        <v>39.32</v>
      </c>
      <c r="H277" s="70">
        <f t="shared" si="29"/>
        <v>39.32</v>
      </c>
      <c r="I277" s="74">
        <v>1610</v>
      </c>
      <c r="J277" s="74">
        <f t="shared" ref="J277:J280" si="31">I277*H277</f>
        <v>63305.2</v>
      </c>
      <c r="K277" s="72"/>
      <c r="L277" s="72"/>
    </row>
    <row r="278" spans="1:12" s="54" customFormat="1" ht="25.5" customHeight="1" x14ac:dyDescent="0.25">
      <c r="A278" s="66"/>
      <c r="B278" s="71" t="s">
        <v>50</v>
      </c>
      <c r="C278" s="72"/>
      <c r="D278" s="72" t="s">
        <v>51</v>
      </c>
      <c r="E278" s="72"/>
      <c r="F278" s="72"/>
      <c r="G278" s="73">
        <v>56</v>
      </c>
      <c r="H278" s="70">
        <f t="shared" si="29"/>
        <v>56</v>
      </c>
      <c r="I278" s="74">
        <v>803</v>
      </c>
      <c r="J278" s="74">
        <f t="shared" si="31"/>
        <v>44968</v>
      </c>
      <c r="K278" s="72"/>
      <c r="L278" s="72"/>
    </row>
    <row r="279" spans="1:12" s="54" customFormat="1" ht="25.5" customHeight="1" x14ac:dyDescent="0.25">
      <c r="A279" s="66"/>
      <c r="B279" s="71" t="s">
        <v>52</v>
      </c>
      <c r="C279" s="72" t="s">
        <v>105</v>
      </c>
      <c r="D279" s="72" t="s">
        <v>54</v>
      </c>
      <c r="E279" s="72"/>
      <c r="F279" s="72"/>
      <c r="G279" s="73">
        <v>137.57</v>
      </c>
      <c r="H279" s="70">
        <f t="shared" si="29"/>
        <v>137.57</v>
      </c>
      <c r="I279" s="74">
        <v>94.5</v>
      </c>
      <c r="J279" s="74">
        <f t="shared" si="31"/>
        <v>13000.365</v>
      </c>
      <c r="K279" s="72"/>
      <c r="L279" s="72"/>
    </row>
    <row r="280" spans="1:12" s="54" customFormat="1" ht="31.5" x14ac:dyDescent="0.25">
      <c r="A280" s="66"/>
      <c r="B280" s="71" t="s">
        <v>55</v>
      </c>
      <c r="C280" s="72"/>
      <c r="D280" s="72" t="s">
        <v>54</v>
      </c>
      <c r="E280" s="72"/>
      <c r="F280" s="72"/>
      <c r="G280" s="73">
        <v>40.68</v>
      </c>
      <c r="H280" s="70">
        <f t="shared" si="29"/>
        <v>40.68</v>
      </c>
      <c r="I280" s="74">
        <v>118</v>
      </c>
      <c r="J280" s="74">
        <f t="shared" si="31"/>
        <v>4800.24</v>
      </c>
      <c r="K280" s="72"/>
      <c r="L280" s="72"/>
    </row>
    <row r="281" spans="1:12" s="54" customFormat="1" ht="21.75" customHeight="1" x14ac:dyDescent="0.25">
      <c r="A281" s="66"/>
      <c r="B281" s="87" t="s">
        <v>56</v>
      </c>
      <c r="C281" s="88"/>
      <c r="D281" s="88" t="s">
        <v>45</v>
      </c>
      <c r="E281" s="88"/>
      <c r="F281" s="88"/>
      <c r="G281" s="73">
        <f>308.35*0.06*0.03</f>
        <v>0.55503000000000002</v>
      </c>
      <c r="H281" s="70">
        <f t="shared" si="29"/>
        <v>0.55503000000000002</v>
      </c>
      <c r="I281" s="74"/>
      <c r="J281" s="74"/>
      <c r="K281" s="88" t="s">
        <v>57</v>
      </c>
      <c r="L281" s="72"/>
    </row>
    <row r="282" spans="1:12" s="54" customFormat="1" ht="23.25" customHeight="1" x14ac:dyDescent="0.25">
      <c r="A282" s="75"/>
      <c r="B282" s="76" t="s">
        <v>38</v>
      </c>
      <c r="C282" s="77"/>
      <c r="D282" s="77"/>
      <c r="E282" s="77"/>
      <c r="F282" s="77"/>
      <c r="G282" s="78"/>
      <c r="H282" s="79"/>
      <c r="I282" s="80"/>
      <c r="J282" s="79">
        <f>SUM(J283:J311)</f>
        <v>335259.76731500006</v>
      </c>
      <c r="K282" s="77"/>
      <c r="L282" s="77"/>
    </row>
    <row r="283" spans="1:12" s="54" customFormat="1" ht="36.75" customHeight="1" x14ac:dyDescent="0.25">
      <c r="A283" s="81"/>
      <c r="B283" s="82" t="s">
        <v>58</v>
      </c>
      <c r="C283" s="77" t="s">
        <v>59</v>
      </c>
      <c r="D283" s="77" t="s">
        <v>60</v>
      </c>
      <c r="E283" s="78">
        <v>12.4</v>
      </c>
      <c r="F283" s="77">
        <v>0.25</v>
      </c>
      <c r="G283" s="83">
        <f>G271/F283*E283</f>
        <v>1683.424</v>
      </c>
      <c r="H283" s="84">
        <f t="shared" ref="H283:H310" si="32">SUM(G283:G283)</f>
        <v>1683.424</v>
      </c>
      <c r="I283" s="80">
        <v>0</v>
      </c>
      <c r="J283" s="80">
        <f>H283*I283</f>
        <v>0</v>
      </c>
      <c r="K283" s="77" t="s">
        <v>61</v>
      </c>
      <c r="L283" s="77" t="s">
        <v>320</v>
      </c>
    </row>
    <row r="284" spans="1:12" s="54" customFormat="1" ht="36.75" customHeight="1" x14ac:dyDescent="0.25">
      <c r="A284" s="81"/>
      <c r="B284" s="82" t="s">
        <v>62</v>
      </c>
      <c r="C284" s="77" t="s">
        <v>63</v>
      </c>
      <c r="D284" s="77" t="s">
        <v>60</v>
      </c>
      <c r="E284" s="78">
        <v>12.4</v>
      </c>
      <c r="F284" s="77"/>
      <c r="G284" s="83">
        <f>G273*E284</f>
        <v>1916.0480000000002</v>
      </c>
      <c r="H284" s="84">
        <f t="shared" si="32"/>
        <v>1916.0480000000002</v>
      </c>
      <c r="I284" s="80">
        <v>0</v>
      </c>
      <c r="J284" s="80">
        <f>H284*I284</f>
        <v>0</v>
      </c>
      <c r="K284" s="77" t="s">
        <v>61</v>
      </c>
      <c r="L284" s="77" t="s">
        <v>320</v>
      </c>
    </row>
    <row r="285" spans="1:12" s="54" customFormat="1" ht="36.75" customHeight="1" x14ac:dyDescent="0.25">
      <c r="A285" s="81"/>
      <c r="B285" s="82" t="s">
        <v>64</v>
      </c>
      <c r="C285" s="77" t="s">
        <v>65</v>
      </c>
      <c r="D285" s="77" t="s">
        <v>60</v>
      </c>
      <c r="E285" s="78">
        <v>12.4</v>
      </c>
      <c r="F285" s="77"/>
      <c r="G285" s="83">
        <f>G274*E285</f>
        <v>391.59199999999998</v>
      </c>
      <c r="H285" s="84">
        <f t="shared" si="32"/>
        <v>391.59199999999998</v>
      </c>
      <c r="I285" s="80">
        <v>0</v>
      </c>
      <c r="J285" s="80">
        <f>H285*I285</f>
        <v>0</v>
      </c>
      <c r="K285" s="77" t="s">
        <v>61</v>
      </c>
      <c r="L285" s="77" t="s">
        <v>320</v>
      </c>
    </row>
    <row r="286" spans="1:12" s="54" customFormat="1" ht="36.75" customHeight="1" x14ac:dyDescent="0.25">
      <c r="A286" s="81"/>
      <c r="B286" s="82" t="s">
        <v>106</v>
      </c>
      <c r="C286" s="77" t="s">
        <v>107</v>
      </c>
      <c r="D286" s="77" t="s">
        <v>60</v>
      </c>
      <c r="E286" s="78">
        <v>12.4</v>
      </c>
      <c r="F286" s="77"/>
      <c r="G286" s="83">
        <f>G275*E286</f>
        <v>1975.1959999999999</v>
      </c>
      <c r="H286" s="84">
        <f t="shared" si="32"/>
        <v>1975.1959999999999</v>
      </c>
      <c r="I286" s="80">
        <v>0</v>
      </c>
      <c r="J286" s="80">
        <f>H286*I286</f>
        <v>0</v>
      </c>
      <c r="K286" s="77" t="s">
        <v>61</v>
      </c>
      <c r="L286" s="77" t="s">
        <v>320</v>
      </c>
    </row>
    <row r="287" spans="1:12" s="54" customFormat="1" ht="36.75" customHeight="1" x14ac:dyDescent="0.25">
      <c r="A287" s="81"/>
      <c r="B287" s="82" t="s">
        <v>108</v>
      </c>
      <c r="C287" s="77" t="s">
        <v>109</v>
      </c>
      <c r="D287" s="77" t="s">
        <v>60</v>
      </c>
      <c r="E287" s="78">
        <v>12.4</v>
      </c>
      <c r="F287" s="77"/>
      <c r="G287" s="83">
        <f>G276*E287</f>
        <v>1750.6320000000001</v>
      </c>
      <c r="H287" s="84">
        <f t="shared" si="32"/>
        <v>1750.6320000000001</v>
      </c>
      <c r="I287" s="80">
        <v>0</v>
      </c>
      <c r="J287" s="80">
        <f>H287*I287</f>
        <v>0</v>
      </c>
      <c r="K287" s="77" t="s">
        <v>61</v>
      </c>
      <c r="L287" s="77" t="s">
        <v>320</v>
      </c>
    </row>
    <row r="288" spans="1:12" s="54" customFormat="1" ht="36.75" customHeight="1" x14ac:dyDescent="0.25">
      <c r="A288" s="81"/>
      <c r="B288" s="89" t="s">
        <v>66</v>
      </c>
      <c r="C288" s="77" t="s">
        <v>67</v>
      </c>
      <c r="D288" s="77" t="s">
        <v>60</v>
      </c>
      <c r="E288" s="90">
        <v>42</v>
      </c>
      <c r="F288" s="90"/>
      <c r="G288" s="83">
        <f>G277*E288</f>
        <v>1651.44</v>
      </c>
      <c r="H288" s="84">
        <f t="shared" si="32"/>
        <v>1651.44</v>
      </c>
      <c r="I288" s="80">
        <v>0</v>
      </c>
      <c r="J288" s="80">
        <f t="shared" ref="J288:J310" si="33">H288*I288</f>
        <v>0</v>
      </c>
      <c r="K288" s="77" t="s">
        <v>68</v>
      </c>
      <c r="L288" s="77" t="s">
        <v>320</v>
      </c>
    </row>
    <row r="289" spans="1:12" s="54" customFormat="1" ht="36.75" customHeight="1" x14ac:dyDescent="0.25">
      <c r="A289" s="81"/>
      <c r="B289" s="89" t="s">
        <v>110</v>
      </c>
      <c r="C289" s="77" t="s">
        <v>111</v>
      </c>
      <c r="D289" s="77" t="s">
        <v>60</v>
      </c>
      <c r="E289" s="90">
        <v>42</v>
      </c>
      <c r="F289" s="90"/>
      <c r="G289" s="83">
        <f>G272/0.25*E289</f>
        <v>433.44</v>
      </c>
      <c r="H289" s="84">
        <f t="shared" si="32"/>
        <v>433.44</v>
      </c>
      <c r="I289" s="80">
        <v>0</v>
      </c>
      <c r="J289" s="80">
        <f t="shared" si="33"/>
        <v>0</v>
      </c>
      <c r="K289" s="77" t="s">
        <v>68</v>
      </c>
      <c r="L289" s="77" t="s">
        <v>320</v>
      </c>
    </row>
    <row r="290" spans="1:12" s="54" customFormat="1" ht="35.25" customHeight="1" x14ac:dyDescent="0.25">
      <c r="A290" s="81"/>
      <c r="B290" s="91" t="s">
        <v>69</v>
      </c>
      <c r="C290" s="77" t="s">
        <v>70</v>
      </c>
      <c r="D290" s="77" t="s">
        <v>45</v>
      </c>
      <c r="E290" s="77">
        <v>0.19500000000000001</v>
      </c>
      <c r="F290" s="90"/>
      <c r="G290" s="78">
        <f>G271*E290+G273*E290*0.19+G274*E290*0.19+G275*E290*0.09+G276*E290*0.09</f>
        <v>18.7865535</v>
      </c>
      <c r="H290" s="79">
        <f t="shared" si="32"/>
        <v>18.7865535</v>
      </c>
      <c r="I290" s="80">
        <v>7875</v>
      </c>
      <c r="J290" s="80">
        <f t="shared" si="33"/>
        <v>147944.1088125</v>
      </c>
      <c r="K290" s="77" t="s">
        <v>71</v>
      </c>
      <c r="L290" s="77" t="s">
        <v>321</v>
      </c>
    </row>
    <row r="291" spans="1:12" s="54" customFormat="1" ht="35.25" customHeight="1" x14ac:dyDescent="0.25">
      <c r="A291" s="92"/>
      <c r="B291" s="91" t="s">
        <v>112</v>
      </c>
      <c r="C291" s="77" t="s">
        <v>70</v>
      </c>
      <c r="D291" s="77" t="s">
        <v>45</v>
      </c>
      <c r="E291" s="77">
        <v>0.24</v>
      </c>
      <c r="F291" s="77"/>
      <c r="G291" s="78">
        <f>G272*E291</f>
        <v>0.61919999999999997</v>
      </c>
      <c r="H291" s="79">
        <f t="shared" si="32"/>
        <v>0.61919999999999997</v>
      </c>
      <c r="I291" s="80">
        <v>7875</v>
      </c>
      <c r="J291" s="80">
        <f t="shared" si="33"/>
        <v>4876.2</v>
      </c>
      <c r="K291" s="77" t="s">
        <v>71</v>
      </c>
      <c r="L291" s="77" t="s">
        <v>321</v>
      </c>
    </row>
    <row r="292" spans="1:12" s="54" customFormat="1" ht="35.25" customHeight="1" x14ac:dyDescent="0.25">
      <c r="A292" s="92"/>
      <c r="B292" s="91" t="s">
        <v>72</v>
      </c>
      <c r="C292" s="77" t="s">
        <v>70</v>
      </c>
      <c r="D292" s="77" t="s">
        <v>45</v>
      </c>
      <c r="E292" s="77">
        <v>4.5999999999999999E-2</v>
      </c>
      <c r="F292" s="77"/>
      <c r="G292" s="78">
        <f>G277*E292</f>
        <v>1.8087199999999999</v>
      </c>
      <c r="H292" s="79">
        <f t="shared" si="32"/>
        <v>1.8087199999999999</v>
      </c>
      <c r="I292" s="80">
        <v>7875</v>
      </c>
      <c r="J292" s="80">
        <f t="shared" si="33"/>
        <v>14243.669999999998</v>
      </c>
      <c r="K292" s="77" t="s">
        <v>73</v>
      </c>
      <c r="L292" s="77" t="s">
        <v>321</v>
      </c>
    </row>
    <row r="293" spans="1:12" s="54" customFormat="1" ht="35.25" customHeight="1" x14ac:dyDescent="0.25">
      <c r="A293" s="92"/>
      <c r="B293" s="91" t="s">
        <v>74</v>
      </c>
      <c r="C293" s="77" t="s">
        <v>70</v>
      </c>
      <c r="D293" s="77" t="s">
        <v>45</v>
      </c>
      <c r="E293" s="77">
        <v>1.01</v>
      </c>
      <c r="F293" s="77"/>
      <c r="G293" s="78">
        <f>G281*E293</f>
        <v>0.56058030000000003</v>
      </c>
      <c r="H293" s="79">
        <f t="shared" si="32"/>
        <v>0.56058030000000003</v>
      </c>
      <c r="I293" s="80">
        <v>7875</v>
      </c>
      <c r="J293" s="80">
        <f t="shared" si="33"/>
        <v>4414.5698625000005</v>
      </c>
      <c r="K293" s="77" t="s">
        <v>71</v>
      </c>
      <c r="L293" s="77" t="s">
        <v>321</v>
      </c>
    </row>
    <row r="294" spans="1:12" s="54" customFormat="1" ht="35.25" customHeight="1" x14ac:dyDescent="0.25">
      <c r="A294" s="81"/>
      <c r="B294" s="89" t="s">
        <v>75</v>
      </c>
      <c r="C294" s="77" t="s">
        <v>70</v>
      </c>
      <c r="D294" s="77" t="s">
        <v>45</v>
      </c>
      <c r="E294" s="77">
        <v>6.0000000000000001E-3</v>
      </c>
      <c r="F294" s="77"/>
      <c r="G294" s="78">
        <f>G278*E294</f>
        <v>0.33600000000000002</v>
      </c>
      <c r="H294" s="79">
        <f t="shared" si="32"/>
        <v>0.33600000000000002</v>
      </c>
      <c r="I294" s="80">
        <v>7875</v>
      </c>
      <c r="J294" s="80">
        <f t="shared" si="33"/>
        <v>2646</v>
      </c>
      <c r="K294" s="77" t="s">
        <v>76</v>
      </c>
      <c r="L294" s="77" t="s">
        <v>321</v>
      </c>
    </row>
    <row r="295" spans="1:12" s="54" customFormat="1" ht="35.25" customHeight="1" x14ac:dyDescent="0.25">
      <c r="A295" s="81"/>
      <c r="B295" s="89" t="s">
        <v>77</v>
      </c>
      <c r="C295" s="77" t="s">
        <v>70</v>
      </c>
      <c r="D295" s="77" t="s">
        <v>45</v>
      </c>
      <c r="E295" s="77">
        <v>1.01</v>
      </c>
      <c r="F295" s="77"/>
      <c r="G295" s="93">
        <v>0.08</v>
      </c>
      <c r="H295" s="79">
        <f t="shared" si="32"/>
        <v>0.08</v>
      </c>
      <c r="I295" s="80">
        <v>7875</v>
      </c>
      <c r="J295" s="80">
        <f t="shared" si="33"/>
        <v>630</v>
      </c>
      <c r="K295" s="94"/>
      <c r="L295" s="77" t="s">
        <v>321</v>
      </c>
    </row>
    <row r="296" spans="1:12" s="54" customFormat="1" ht="24" customHeight="1" x14ac:dyDescent="0.25">
      <c r="A296" s="81"/>
      <c r="B296" s="89" t="s">
        <v>78</v>
      </c>
      <c r="C296" s="77" t="s">
        <v>79</v>
      </c>
      <c r="D296" s="77" t="s">
        <v>47</v>
      </c>
      <c r="E296" s="77"/>
      <c r="F296" s="77"/>
      <c r="G296" s="78">
        <v>183.5</v>
      </c>
      <c r="H296" s="79">
        <f t="shared" si="32"/>
        <v>183.5</v>
      </c>
      <c r="I296" s="80">
        <v>88.34</v>
      </c>
      <c r="J296" s="80">
        <f t="shared" si="33"/>
        <v>16210.390000000001</v>
      </c>
      <c r="K296" s="94"/>
      <c r="L296" s="77" t="s">
        <v>321</v>
      </c>
    </row>
    <row r="297" spans="1:12" s="54" customFormat="1" ht="24" customHeight="1" x14ac:dyDescent="0.25">
      <c r="A297" s="81"/>
      <c r="B297" s="89" t="s">
        <v>113</v>
      </c>
      <c r="C297" s="77" t="s">
        <v>114</v>
      </c>
      <c r="D297" s="77" t="s">
        <v>60</v>
      </c>
      <c r="E297" s="77"/>
      <c r="F297" s="77"/>
      <c r="G297" s="78">
        <v>12</v>
      </c>
      <c r="H297" s="79">
        <f t="shared" si="32"/>
        <v>12</v>
      </c>
      <c r="I297" s="80">
        <v>398.6</v>
      </c>
      <c r="J297" s="80">
        <f t="shared" si="33"/>
        <v>4783.2000000000007</v>
      </c>
      <c r="K297" s="94"/>
      <c r="L297" s="77" t="s">
        <v>321</v>
      </c>
    </row>
    <row r="298" spans="1:12" s="54" customFormat="1" ht="24" customHeight="1" x14ac:dyDescent="0.25">
      <c r="A298" s="81"/>
      <c r="B298" s="89" t="s">
        <v>115</v>
      </c>
      <c r="C298" s="77" t="s">
        <v>116</v>
      </c>
      <c r="D298" s="77" t="s">
        <v>60</v>
      </c>
      <c r="E298" s="77"/>
      <c r="F298" s="77"/>
      <c r="G298" s="78">
        <v>9</v>
      </c>
      <c r="H298" s="79">
        <f t="shared" si="32"/>
        <v>9</v>
      </c>
      <c r="I298" s="80">
        <v>465.03</v>
      </c>
      <c r="J298" s="80">
        <f t="shared" si="33"/>
        <v>4185.2699999999995</v>
      </c>
      <c r="K298" s="94"/>
      <c r="L298" s="77" t="s">
        <v>321</v>
      </c>
    </row>
    <row r="299" spans="1:12" s="54" customFormat="1" ht="24" customHeight="1" x14ac:dyDescent="0.25">
      <c r="A299" s="81"/>
      <c r="B299" s="89" t="s">
        <v>117</v>
      </c>
      <c r="C299" s="77" t="s">
        <v>118</v>
      </c>
      <c r="D299" s="77" t="s">
        <v>60</v>
      </c>
      <c r="E299" s="77"/>
      <c r="F299" s="77"/>
      <c r="G299" s="78">
        <v>1</v>
      </c>
      <c r="H299" s="79">
        <f t="shared" si="32"/>
        <v>1</v>
      </c>
      <c r="I299" s="80">
        <v>841.49</v>
      </c>
      <c r="J299" s="80">
        <f t="shared" si="33"/>
        <v>841.49</v>
      </c>
      <c r="K299" s="94"/>
      <c r="L299" s="77" t="s">
        <v>321</v>
      </c>
    </row>
    <row r="300" spans="1:12" s="54" customFormat="1" ht="24" customHeight="1" x14ac:dyDescent="0.25">
      <c r="A300" s="81"/>
      <c r="B300" s="89" t="s">
        <v>119</v>
      </c>
      <c r="C300" s="77" t="s">
        <v>120</v>
      </c>
      <c r="D300" s="77" t="s">
        <v>60</v>
      </c>
      <c r="E300" s="77"/>
      <c r="F300" s="77"/>
      <c r="G300" s="78">
        <v>10</v>
      </c>
      <c r="H300" s="79">
        <f t="shared" si="32"/>
        <v>10</v>
      </c>
      <c r="I300" s="80">
        <v>981.74</v>
      </c>
      <c r="J300" s="80">
        <f t="shared" si="33"/>
        <v>9817.4</v>
      </c>
      <c r="K300" s="94"/>
      <c r="L300" s="77" t="s">
        <v>321</v>
      </c>
    </row>
    <row r="301" spans="1:12" s="54" customFormat="1" ht="24" customHeight="1" x14ac:dyDescent="0.25">
      <c r="A301" s="81"/>
      <c r="B301" s="89" t="s">
        <v>121</v>
      </c>
      <c r="C301" s="77" t="s">
        <v>122</v>
      </c>
      <c r="D301" s="77" t="s">
        <v>60</v>
      </c>
      <c r="E301" s="77"/>
      <c r="F301" s="77"/>
      <c r="G301" s="78">
        <v>3</v>
      </c>
      <c r="H301" s="79">
        <f t="shared" si="32"/>
        <v>3</v>
      </c>
      <c r="I301" s="80">
        <v>1291.76</v>
      </c>
      <c r="J301" s="80">
        <f t="shared" si="33"/>
        <v>3875.2799999999997</v>
      </c>
      <c r="K301" s="94"/>
      <c r="L301" s="77" t="s">
        <v>321</v>
      </c>
    </row>
    <row r="302" spans="1:12" s="54" customFormat="1" ht="24" customHeight="1" x14ac:dyDescent="0.25">
      <c r="A302" s="81"/>
      <c r="B302" s="89" t="s">
        <v>123</v>
      </c>
      <c r="C302" s="77" t="s">
        <v>124</v>
      </c>
      <c r="D302" s="77" t="s">
        <v>60</v>
      </c>
      <c r="E302" s="77"/>
      <c r="F302" s="77"/>
      <c r="G302" s="78">
        <v>1</v>
      </c>
      <c r="H302" s="79">
        <f t="shared" si="32"/>
        <v>1</v>
      </c>
      <c r="I302" s="80">
        <v>1845.38</v>
      </c>
      <c r="J302" s="80">
        <f t="shared" si="33"/>
        <v>1845.38</v>
      </c>
      <c r="K302" s="94"/>
      <c r="L302" s="77" t="s">
        <v>321</v>
      </c>
    </row>
    <row r="303" spans="1:12" s="54" customFormat="1" ht="24" customHeight="1" x14ac:dyDescent="0.25">
      <c r="A303" s="81"/>
      <c r="B303" s="89" t="s">
        <v>125</v>
      </c>
      <c r="C303" s="77" t="s">
        <v>126</v>
      </c>
      <c r="D303" s="77" t="s">
        <v>60</v>
      </c>
      <c r="E303" s="77"/>
      <c r="F303" s="77"/>
      <c r="G303" s="78">
        <v>8</v>
      </c>
      <c r="H303" s="79">
        <f t="shared" si="32"/>
        <v>8</v>
      </c>
      <c r="I303" s="80">
        <v>2029.91</v>
      </c>
      <c r="J303" s="80">
        <f t="shared" si="33"/>
        <v>16239.28</v>
      </c>
      <c r="K303" s="94"/>
      <c r="L303" s="77" t="s">
        <v>321</v>
      </c>
    </row>
    <row r="304" spans="1:12" s="54" customFormat="1" ht="24" customHeight="1" x14ac:dyDescent="0.25">
      <c r="A304" s="81"/>
      <c r="B304" s="89" t="s">
        <v>127</v>
      </c>
      <c r="C304" s="77" t="s">
        <v>128</v>
      </c>
      <c r="D304" s="77" t="s">
        <v>60</v>
      </c>
      <c r="E304" s="77"/>
      <c r="F304" s="77"/>
      <c r="G304" s="78">
        <v>11</v>
      </c>
      <c r="H304" s="79">
        <f t="shared" si="32"/>
        <v>11</v>
      </c>
      <c r="I304" s="80">
        <v>2398.9899999999998</v>
      </c>
      <c r="J304" s="80">
        <f t="shared" si="33"/>
        <v>26388.89</v>
      </c>
      <c r="K304" s="94"/>
      <c r="L304" s="77" t="s">
        <v>321</v>
      </c>
    </row>
    <row r="305" spans="1:12" s="54" customFormat="1" ht="24" customHeight="1" x14ac:dyDescent="0.25">
      <c r="A305" s="81"/>
      <c r="B305" s="89" t="s">
        <v>129</v>
      </c>
      <c r="C305" s="77" t="s">
        <v>130</v>
      </c>
      <c r="D305" s="77" t="s">
        <v>60</v>
      </c>
      <c r="E305" s="77"/>
      <c r="F305" s="77"/>
      <c r="G305" s="78">
        <v>1</v>
      </c>
      <c r="H305" s="79">
        <f t="shared" si="32"/>
        <v>1</v>
      </c>
      <c r="I305" s="80">
        <v>2583.5300000000002</v>
      </c>
      <c r="J305" s="80">
        <f t="shared" si="33"/>
        <v>2583.5300000000002</v>
      </c>
      <c r="K305" s="94"/>
      <c r="L305" s="77" t="s">
        <v>321</v>
      </c>
    </row>
    <row r="306" spans="1:12" s="54" customFormat="1" ht="24" customHeight="1" x14ac:dyDescent="0.25">
      <c r="A306" s="81"/>
      <c r="B306" s="89" t="s">
        <v>92</v>
      </c>
      <c r="C306" s="77" t="s">
        <v>93</v>
      </c>
      <c r="D306" s="77" t="s">
        <v>54</v>
      </c>
      <c r="E306" s="77">
        <v>1.04</v>
      </c>
      <c r="F306" s="77"/>
      <c r="G306" s="78">
        <f>155.29*E306</f>
        <v>161.5016</v>
      </c>
      <c r="H306" s="79">
        <f t="shared" si="32"/>
        <v>161.5016</v>
      </c>
      <c r="I306" s="80">
        <v>66.349999999999994</v>
      </c>
      <c r="J306" s="80">
        <f t="shared" si="33"/>
        <v>10715.631159999999</v>
      </c>
      <c r="K306" s="94"/>
      <c r="L306" s="77" t="s">
        <v>321</v>
      </c>
    </row>
    <row r="307" spans="1:12" s="54" customFormat="1" ht="24" customHeight="1" x14ac:dyDescent="0.25">
      <c r="A307" s="81"/>
      <c r="B307" s="89" t="s">
        <v>94</v>
      </c>
      <c r="C307" s="77" t="s">
        <v>95</v>
      </c>
      <c r="D307" s="77" t="s">
        <v>54</v>
      </c>
      <c r="E307" s="77">
        <v>1.04</v>
      </c>
      <c r="F307" s="77"/>
      <c r="G307" s="78">
        <f>G280*E307</f>
        <v>42.307200000000002</v>
      </c>
      <c r="H307" s="79">
        <f t="shared" si="32"/>
        <v>42.307200000000002</v>
      </c>
      <c r="I307" s="80">
        <v>64</v>
      </c>
      <c r="J307" s="80">
        <f t="shared" si="33"/>
        <v>2707.6608000000001</v>
      </c>
      <c r="K307" s="94"/>
      <c r="L307" s="77" t="s">
        <v>321</v>
      </c>
    </row>
    <row r="308" spans="1:12" s="54" customFormat="1" ht="24" customHeight="1" x14ac:dyDescent="0.25">
      <c r="A308" s="81"/>
      <c r="B308" s="89" t="s">
        <v>131</v>
      </c>
      <c r="C308" s="77" t="s">
        <v>39</v>
      </c>
      <c r="D308" s="77" t="s">
        <v>54</v>
      </c>
      <c r="E308" s="77">
        <v>1.04</v>
      </c>
      <c r="F308" s="77"/>
      <c r="G308" s="78">
        <f>85.59*E308</f>
        <v>89.013600000000011</v>
      </c>
      <c r="H308" s="79">
        <f t="shared" si="32"/>
        <v>89.013600000000011</v>
      </c>
      <c r="I308" s="80">
        <v>64.209999999999994</v>
      </c>
      <c r="J308" s="80">
        <f t="shared" si="33"/>
        <v>5715.5632560000004</v>
      </c>
      <c r="K308" s="94"/>
      <c r="L308" s="77" t="s">
        <v>321</v>
      </c>
    </row>
    <row r="309" spans="1:12" s="54" customFormat="1" ht="24" customHeight="1" x14ac:dyDescent="0.25">
      <c r="A309" s="81"/>
      <c r="B309" s="89" t="s">
        <v>97</v>
      </c>
      <c r="C309" s="77" t="s">
        <v>39</v>
      </c>
      <c r="D309" s="77" t="s">
        <v>54</v>
      </c>
      <c r="E309" s="77">
        <v>1.04</v>
      </c>
      <c r="F309" s="77"/>
      <c r="G309" s="78">
        <f>E309*23.1</f>
        <v>24.024000000000001</v>
      </c>
      <c r="H309" s="79">
        <f t="shared" si="32"/>
        <v>24.024000000000001</v>
      </c>
      <c r="I309" s="80">
        <v>74.92</v>
      </c>
      <c r="J309" s="80">
        <f t="shared" si="33"/>
        <v>1799.8780800000002</v>
      </c>
      <c r="K309" s="94"/>
      <c r="L309" s="77" t="s">
        <v>321</v>
      </c>
    </row>
    <row r="310" spans="1:12" s="54" customFormat="1" ht="24" customHeight="1" x14ac:dyDescent="0.25">
      <c r="A310" s="81"/>
      <c r="B310" s="89" t="s">
        <v>132</v>
      </c>
      <c r="C310" s="77" t="s">
        <v>39</v>
      </c>
      <c r="D310" s="77" t="s">
        <v>54</v>
      </c>
      <c r="E310" s="77">
        <v>1.04</v>
      </c>
      <c r="F310" s="77"/>
      <c r="G310" s="78">
        <f>28.88*E310</f>
        <v>30.0352</v>
      </c>
      <c r="H310" s="79">
        <f t="shared" si="32"/>
        <v>30.0352</v>
      </c>
      <c r="I310" s="80">
        <v>75.97</v>
      </c>
      <c r="J310" s="80">
        <f t="shared" si="33"/>
        <v>2281.774144</v>
      </c>
      <c r="K310" s="94"/>
      <c r="L310" s="77" t="s">
        <v>321</v>
      </c>
    </row>
    <row r="311" spans="1:12" s="101" customFormat="1" ht="33" customHeight="1" x14ac:dyDescent="0.25">
      <c r="A311" s="95"/>
      <c r="B311" s="96" t="s">
        <v>133</v>
      </c>
      <c r="C311" s="97" t="s">
        <v>39</v>
      </c>
      <c r="D311" s="97" t="s">
        <v>99</v>
      </c>
      <c r="E311" s="97"/>
      <c r="F311" s="97"/>
      <c r="G311" s="98"/>
      <c r="H311" s="99">
        <f>J311*100/J270</f>
        <v>4.9540518920903365</v>
      </c>
      <c r="I311" s="79"/>
      <c r="J311" s="79">
        <v>50514.601200000005</v>
      </c>
      <c r="K311" s="100"/>
      <c r="L311" s="97" t="s">
        <v>321</v>
      </c>
    </row>
    <row r="312" spans="1:12" s="54" customFormat="1" ht="18.75" customHeight="1" x14ac:dyDescent="0.25">
      <c r="A312" s="60" t="s">
        <v>144</v>
      </c>
      <c r="B312" s="61" t="s">
        <v>145</v>
      </c>
      <c r="C312" s="62"/>
      <c r="D312" s="63"/>
      <c r="E312" s="62"/>
      <c r="F312" s="62"/>
      <c r="G312" s="64"/>
      <c r="H312" s="65"/>
      <c r="I312" s="65"/>
      <c r="J312" s="65">
        <f>J313+J325</f>
        <v>1354922.102315</v>
      </c>
      <c r="K312" s="86"/>
      <c r="L312" s="86"/>
    </row>
    <row r="313" spans="1:12" s="54" customFormat="1" ht="18.75" customHeight="1" x14ac:dyDescent="0.25">
      <c r="A313" s="66"/>
      <c r="B313" s="67" t="s">
        <v>34</v>
      </c>
      <c r="C313" s="68"/>
      <c r="D313" s="68"/>
      <c r="E313" s="68"/>
      <c r="F313" s="68"/>
      <c r="G313" s="69"/>
      <c r="H313" s="70"/>
      <c r="I313" s="70"/>
      <c r="J313" s="70">
        <f>SUM(J314:J324)</f>
        <v>1019662.335</v>
      </c>
      <c r="K313" s="72"/>
      <c r="L313" s="72"/>
    </row>
    <row r="314" spans="1:12" s="54" customFormat="1" ht="24.75" customHeight="1" x14ac:dyDescent="0.25">
      <c r="A314" s="66"/>
      <c r="B314" s="71" t="s">
        <v>44</v>
      </c>
      <c r="C314" s="72"/>
      <c r="D314" s="72" t="s">
        <v>45</v>
      </c>
      <c r="E314" s="72"/>
      <c r="F314" s="72"/>
      <c r="G314" s="73">
        <v>33.94</v>
      </c>
      <c r="H314" s="70">
        <f t="shared" ref="H314:H324" si="34">SUM(G314:G314)</f>
        <v>33.94</v>
      </c>
      <c r="I314" s="74">
        <v>4939</v>
      </c>
      <c r="J314" s="74">
        <f>I314*H314</f>
        <v>167629.65999999997</v>
      </c>
      <c r="K314" s="72"/>
      <c r="L314" s="72"/>
    </row>
    <row r="315" spans="1:12" s="54" customFormat="1" ht="24.75" customHeight="1" x14ac:dyDescent="0.25">
      <c r="A315" s="66"/>
      <c r="B315" s="71" t="s">
        <v>102</v>
      </c>
      <c r="C315" s="72"/>
      <c r="D315" s="72" t="s">
        <v>45</v>
      </c>
      <c r="E315" s="72"/>
      <c r="F315" s="72"/>
      <c r="G315" s="73">
        <v>2.58</v>
      </c>
      <c r="H315" s="70">
        <f t="shared" si="34"/>
        <v>2.58</v>
      </c>
      <c r="I315" s="74">
        <v>5845</v>
      </c>
      <c r="J315" s="74">
        <f t="shared" ref="J315" si="35">I315*H315</f>
        <v>15080.1</v>
      </c>
      <c r="K315" s="72"/>
      <c r="L315" s="72"/>
    </row>
    <row r="316" spans="1:12" s="54" customFormat="1" ht="24.75" customHeight="1" x14ac:dyDescent="0.25">
      <c r="A316" s="66"/>
      <c r="B316" s="71" t="s">
        <v>46</v>
      </c>
      <c r="C316" s="72"/>
      <c r="D316" s="72" t="s">
        <v>47</v>
      </c>
      <c r="E316" s="72"/>
      <c r="F316" s="72"/>
      <c r="G316" s="73">
        <v>154.52000000000001</v>
      </c>
      <c r="H316" s="70">
        <f t="shared" si="34"/>
        <v>154.52000000000001</v>
      </c>
      <c r="I316" s="74">
        <v>1461</v>
      </c>
      <c r="J316" s="74">
        <f>I316*H316</f>
        <v>225753.72</v>
      </c>
      <c r="K316" s="72"/>
      <c r="L316" s="72"/>
    </row>
    <row r="317" spans="1:12" s="54" customFormat="1" ht="24.75" customHeight="1" x14ac:dyDescent="0.25">
      <c r="A317" s="66"/>
      <c r="B317" s="71" t="s">
        <v>48</v>
      </c>
      <c r="C317" s="72"/>
      <c r="D317" s="72" t="s">
        <v>47</v>
      </c>
      <c r="E317" s="72"/>
      <c r="F317" s="72"/>
      <c r="G317" s="73">
        <v>31.58</v>
      </c>
      <c r="H317" s="70">
        <f t="shared" si="34"/>
        <v>31.58</v>
      </c>
      <c r="I317" s="74">
        <v>1461</v>
      </c>
      <c r="J317" s="74">
        <f>I317*H317</f>
        <v>46138.38</v>
      </c>
      <c r="K317" s="72"/>
      <c r="L317" s="72"/>
    </row>
    <row r="318" spans="1:12" s="54" customFormat="1" ht="24.75" customHeight="1" x14ac:dyDescent="0.25">
      <c r="A318" s="66"/>
      <c r="B318" s="71" t="s">
        <v>103</v>
      </c>
      <c r="C318" s="72"/>
      <c r="D318" s="72" t="s">
        <v>47</v>
      </c>
      <c r="E318" s="72"/>
      <c r="F318" s="72"/>
      <c r="G318" s="73">
        <v>159.29</v>
      </c>
      <c r="H318" s="70">
        <f t="shared" si="34"/>
        <v>159.29</v>
      </c>
      <c r="I318" s="74">
        <v>1461</v>
      </c>
      <c r="J318" s="74">
        <f>I318*H318</f>
        <v>232722.69</v>
      </c>
      <c r="K318" s="72"/>
      <c r="L318" s="72"/>
    </row>
    <row r="319" spans="1:12" s="54" customFormat="1" ht="24.75" customHeight="1" x14ac:dyDescent="0.25">
      <c r="A319" s="66"/>
      <c r="B319" s="71" t="s">
        <v>104</v>
      </c>
      <c r="C319" s="72"/>
      <c r="D319" s="72" t="s">
        <v>47</v>
      </c>
      <c r="E319" s="72"/>
      <c r="F319" s="72"/>
      <c r="G319" s="73">
        <v>141.18</v>
      </c>
      <c r="H319" s="70">
        <f t="shared" si="34"/>
        <v>141.18</v>
      </c>
      <c r="I319" s="74">
        <v>1461</v>
      </c>
      <c r="J319" s="74">
        <f>I319*H319</f>
        <v>206263.98</v>
      </c>
      <c r="K319" s="72"/>
      <c r="L319" s="72"/>
    </row>
    <row r="320" spans="1:12" s="54" customFormat="1" ht="24.75" customHeight="1" x14ac:dyDescent="0.25">
      <c r="A320" s="66"/>
      <c r="B320" s="71" t="s">
        <v>49</v>
      </c>
      <c r="C320" s="72"/>
      <c r="D320" s="72" t="s">
        <v>47</v>
      </c>
      <c r="E320" s="72"/>
      <c r="F320" s="72"/>
      <c r="G320" s="73">
        <v>39.32</v>
      </c>
      <c r="H320" s="70">
        <f t="shared" si="34"/>
        <v>39.32</v>
      </c>
      <c r="I320" s="74">
        <v>1610</v>
      </c>
      <c r="J320" s="74">
        <f t="shared" ref="J320:J323" si="36">I320*H320</f>
        <v>63305.2</v>
      </c>
      <c r="K320" s="72"/>
      <c r="L320" s="72"/>
    </row>
    <row r="321" spans="1:12" s="54" customFormat="1" ht="24.75" customHeight="1" x14ac:dyDescent="0.25">
      <c r="A321" s="66"/>
      <c r="B321" s="71" t="s">
        <v>50</v>
      </c>
      <c r="C321" s="72"/>
      <c r="D321" s="72" t="s">
        <v>51</v>
      </c>
      <c r="E321" s="72"/>
      <c r="F321" s="72"/>
      <c r="G321" s="73">
        <v>56</v>
      </c>
      <c r="H321" s="70">
        <f t="shared" si="34"/>
        <v>56</v>
      </c>
      <c r="I321" s="74">
        <v>803</v>
      </c>
      <c r="J321" s="74">
        <f t="shared" si="36"/>
        <v>44968</v>
      </c>
      <c r="K321" s="72"/>
      <c r="L321" s="72"/>
    </row>
    <row r="322" spans="1:12" s="54" customFormat="1" x14ac:dyDescent="0.25">
      <c r="A322" s="66"/>
      <c r="B322" s="71" t="s">
        <v>52</v>
      </c>
      <c r="C322" s="72" t="s">
        <v>105</v>
      </c>
      <c r="D322" s="72" t="s">
        <v>54</v>
      </c>
      <c r="E322" s="72"/>
      <c r="F322" s="72"/>
      <c r="G322" s="73">
        <v>137.57</v>
      </c>
      <c r="H322" s="70">
        <f t="shared" si="34"/>
        <v>137.57</v>
      </c>
      <c r="I322" s="74">
        <v>94.5</v>
      </c>
      <c r="J322" s="74">
        <f t="shared" si="36"/>
        <v>13000.365</v>
      </c>
      <c r="K322" s="72"/>
      <c r="L322" s="72"/>
    </row>
    <row r="323" spans="1:12" s="54" customFormat="1" ht="31.5" x14ac:dyDescent="0.25">
      <c r="A323" s="66"/>
      <c r="B323" s="71" t="s">
        <v>55</v>
      </c>
      <c r="C323" s="72"/>
      <c r="D323" s="72" t="s">
        <v>54</v>
      </c>
      <c r="E323" s="72"/>
      <c r="F323" s="72"/>
      <c r="G323" s="73">
        <v>40.68</v>
      </c>
      <c r="H323" s="70">
        <f t="shared" si="34"/>
        <v>40.68</v>
      </c>
      <c r="I323" s="74">
        <v>118</v>
      </c>
      <c r="J323" s="74">
        <f t="shared" si="36"/>
        <v>4800.24</v>
      </c>
      <c r="K323" s="72"/>
      <c r="L323" s="72"/>
    </row>
    <row r="324" spans="1:12" s="54" customFormat="1" ht="24.75" customHeight="1" x14ac:dyDescent="0.25">
      <c r="A324" s="66"/>
      <c r="B324" s="87" t="s">
        <v>56</v>
      </c>
      <c r="C324" s="88"/>
      <c r="D324" s="88" t="s">
        <v>45</v>
      </c>
      <c r="E324" s="88"/>
      <c r="F324" s="88"/>
      <c r="G324" s="73">
        <f>308.35*0.06*0.03</f>
        <v>0.55503000000000002</v>
      </c>
      <c r="H324" s="70">
        <f t="shared" si="34"/>
        <v>0.55503000000000002</v>
      </c>
      <c r="I324" s="74"/>
      <c r="J324" s="74"/>
      <c r="K324" s="88" t="s">
        <v>57</v>
      </c>
      <c r="L324" s="72"/>
    </row>
    <row r="325" spans="1:12" s="54" customFormat="1" x14ac:dyDescent="0.25">
      <c r="A325" s="75"/>
      <c r="B325" s="76" t="s">
        <v>38</v>
      </c>
      <c r="C325" s="77"/>
      <c r="D325" s="77"/>
      <c r="E325" s="77"/>
      <c r="F325" s="77"/>
      <c r="G325" s="78"/>
      <c r="H325" s="79"/>
      <c r="I325" s="80"/>
      <c r="J325" s="79">
        <f>SUM(J326:J354)</f>
        <v>335259.76731500006</v>
      </c>
      <c r="K325" s="77"/>
      <c r="L325" s="77"/>
    </row>
    <row r="326" spans="1:12" s="54" customFormat="1" ht="31.5" x14ac:dyDescent="0.25">
      <c r="A326" s="81"/>
      <c r="B326" s="82" t="s">
        <v>58</v>
      </c>
      <c r="C326" s="77" t="s">
        <v>59</v>
      </c>
      <c r="D326" s="77" t="s">
        <v>60</v>
      </c>
      <c r="E326" s="78">
        <v>12.4</v>
      </c>
      <c r="F326" s="77">
        <v>0.25</v>
      </c>
      <c r="G326" s="83">
        <f>G314/F326*E326</f>
        <v>1683.424</v>
      </c>
      <c r="H326" s="84">
        <f t="shared" ref="H326:H353" si="37">SUM(G326:G326)</f>
        <v>1683.424</v>
      </c>
      <c r="I326" s="80">
        <v>0</v>
      </c>
      <c r="J326" s="80">
        <f>H326*I326</f>
        <v>0</v>
      </c>
      <c r="K326" s="77" t="s">
        <v>61</v>
      </c>
      <c r="L326" s="77" t="s">
        <v>320</v>
      </c>
    </row>
    <row r="327" spans="1:12" s="54" customFormat="1" ht="31.5" x14ac:dyDescent="0.25">
      <c r="A327" s="81"/>
      <c r="B327" s="82" t="s">
        <v>62</v>
      </c>
      <c r="C327" s="77" t="s">
        <v>63</v>
      </c>
      <c r="D327" s="77" t="s">
        <v>60</v>
      </c>
      <c r="E327" s="78">
        <v>12.4</v>
      </c>
      <c r="F327" s="77"/>
      <c r="G327" s="83">
        <f>G316*E327</f>
        <v>1916.0480000000002</v>
      </c>
      <c r="H327" s="84">
        <f t="shared" si="37"/>
        <v>1916.0480000000002</v>
      </c>
      <c r="I327" s="80">
        <v>0</v>
      </c>
      <c r="J327" s="80">
        <f>H327*I327</f>
        <v>0</v>
      </c>
      <c r="K327" s="77" t="s">
        <v>61</v>
      </c>
      <c r="L327" s="77" t="s">
        <v>320</v>
      </c>
    </row>
    <row r="328" spans="1:12" s="54" customFormat="1" ht="31.5" x14ac:dyDescent="0.25">
      <c r="A328" s="81"/>
      <c r="B328" s="82" t="s">
        <v>64</v>
      </c>
      <c r="C328" s="77" t="s">
        <v>65</v>
      </c>
      <c r="D328" s="77" t="s">
        <v>60</v>
      </c>
      <c r="E328" s="78">
        <v>12.4</v>
      </c>
      <c r="F328" s="77"/>
      <c r="G328" s="83">
        <f>G317*E328</f>
        <v>391.59199999999998</v>
      </c>
      <c r="H328" s="84">
        <f t="shared" si="37"/>
        <v>391.59199999999998</v>
      </c>
      <c r="I328" s="80">
        <v>0</v>
      </c>
      <c r="J328" s="80">
        <f>H328*I328</f>
        <v>0</v>
      </c>
      <c r="K328" s="77" t="s">
        <v>61</v>
      </c>
      <c r="L328" s="77" t="s">
        <v>320</v>
      </c>
    </row>
    <row r="329" spans="1:12" s="54" customFormat="1" ht="31.5" x14ac:dyDescent="0.25">
      <c r="A329" s="81"/>
      <c r="B329" s="82" t="s">
        <v>106</v>
      </c>
      <c r="C329" s="77" t="s">
        <v>107</v>
      </c>
      <c r="D329" s="77" t="s">
        <v>60</v>
      </c>
      <c r="E329" s="78">
        <v>12.4</v>
      </c>
      <c r="F329" s="77"/>
      <c r="G329" s="83">
        <f>G318*E329</f>
        <v>1975.1959999999999</v>
      </c>
      <c r="H329" s="84">
        <f t="shared" si="37"/>
        <v>1975.1959999999999</v>
      </c>
      <c r="I329" s="80">
        <v>0</v>
      </c>
      <c r="J329" s="80">
        <f>H329*I329</f>
        <v>0</v>
      </c>
      <c r="K329" s="77" t="s">
        <v>61</v>
      </c>
      <c r="L329" s="77" t="s">
        <v>320</v>
      </c>
    </row>
    <row r="330" spans="1:12" s="54" customFormat="1" ht="31.5" x14ac:dyDescent="0.25">
      <c r="A330" s="81"/>
      <c r="B330" s="82" t="s">
        <v>108</v>
      </c>
      <c r="C330" s="77" t="s">
        <v>109</v>
      </c>
      <c r="D330" s="77" t="s">
        <v>60</v>
      </c>
      <c r="E330" s="78">
        <v>12.4</v>
      </c>
      <c r="F330" s="77"/>
      <c r="G330" s="83">
        <f>G319*E330</f>
        <v>1750.6320000000001</v>
      </c>
      <c r="H330" s="84">
        <f t="shared" si="37"/>
        <v>1750.6320000000001</v>
      </c>
      <c r="I330" s="80">
        <v>0</v>
      </c>
      <c r="J330" s="80">
        <f>H330*I330</f>
        <v>0</v>
      </c>
      <c r="K330" s="77" t="s">
        <v>61</v>
      </c>
      <c r="L330" s="77" t="s">
        <v>320</v>
      </c>
    </row>
    <row r="331" spans="1:12" s="54" customFormat="1" ht="31.5" x14ac:dyDescent="0.25">
      <c r="A331" s="81"/>
      <c r="B331" s="89" t="s">
        <v>66</v>
      </c>
      <c r="C331" s="77" t="s">
        <v>67</v>
      </c>
      <c r="D331" s="77" t="s">
        <v>60</v>
      </c>
      <c r="E331" s="90">
        <v>42</v>
      </c>
      <c r="F331" s="90"/>
      <c r="G331" s="83">
        <f>G320*E331</f>
        <v>1651.44</v>
      </c>
      <c r="H331" s="84">
        <f t="shared" si="37"/>
        <v>1651.44</v>
      </c>
      <c r="I331" s="80">
        <v>0</v>
      </c>
      <c r="J331" s="80">
        <f t="shared" ref="J331:J353" si="38">H331*I331</f>
        <v>0</v>
      </c>
      <c r="K331" s="77" t="s">
        <v>68</v>
      </c>
      <c r="L331" s="77" t="s">
        <v>320</v>
      </c>
    </row>
    <row r="332" spans="1:12" s="54" customFormat="1" ht="31.5" x14ac:dyDescent="0.25">
      <c r="A332" s="81"/>
      <c r="B332" s="89" t="s">
        <v>110</v>
      </c>
      <c r="C332" s="77" t="s">
        <v>111</v>
      </c>
      <c r="D332" s="77" t="s">
        <v>60</v>
      </c>
      <c r="E332" s="90">
        <v>42</v>
      </c>
      <c r="F332" s="90"/>
      <c r="G332" s="83">
        <f>G315/0.25*E332</f>
        <v>433.44</v>
      </c>
      <c r="H332" s="84">
        <f t="shared" si="37"/>
        <v>433.44</v>
      </c>
      <c r="I332" s="80">
        <v>0</v>
      </c>
      <c r="J332" s="80">
        <f t="shared" si="38"/>
        <v>0</v>
      </c>
      <c r="K332" s="77" t="s">
        <v>68</v>
      </c>
      <c r="L332" s="77" t="s">
        <v>320</v>
      </c>
    </row>
    <row r="333" spans="1:12" s="54" customFormat="1" ht="30.75" customHeight="1" x14ac:dyDescent="0.25">
      <c r="A333" s="81"/>
      <c r="B333" s="91" t="s">
        <v>69</v>
      </c>
      <c r="C333" s="77" t="s">
        <v>70</v>
      </c>
      <c r="D333" s="77" t="s">
        <v>45</v>
      </c>
      <c r="E333" s="77">
        <v>0.19500000000000001</v>
      </c>
      <c r="F333" s="90"/>
      <c r="G333" s="78">
        <f>G314*E333+G316*E333*0.19+G317*E333*0.19+G318*E333*0.09+G319*E333*0.09</f>
        <v>18.7865535</v>
      </c>
      <c r="H333" s="79">
        <f t="shared" si="37"/>
        <v>18.7865535</v>
      </c>
      <c r="I333" s="80">
        <v>7875</v>
      </c>
      <c r="J333" s="80">
        <f t="shared" si="38"/>
        <v>147944.1088125</v>
      </c>
      <c r="K333" s="77" t="s">
        <v>71</v>
      </c>
      <c r="L333" s="77" t="s">
        <v>321</v>
      </c>
    </row>
    <row r="334" spans="1:12" s="54" customFormat="1" ht="30.75" customHeight="1" x14ac:dyDescent="0.25">
      <c r="A334" s="92"/>
      <c r="B334" s="91" t="s">
        <v>112</v>
      </c>
      <c r="C334" s="77" t="s">
        <v>70</v>
      </c>
      <c r="D334" s="77" t="s">
        <v>45</v>
      </c>
      <c r="E334" s="77">
        <v>0.24</v>
      </c>
      <c r="F334" s="77"/>
      <c r="G334" s="78">
        <f>G315*E334</f>
        <v>0.61919999999999997</v>
      </c>
      <c r="H334" s="79">
        <f t="shared" si="37"/>
        <v>0.61919999999999997</v>
      </c>
      <c r="I334" s="80">
        <v>7875</v>
      </c>
      <c r="J334" s="80">
        <f t="shared" si="38"/>
        <v>4876.2</v>
      </c>
      <c r="K334" s="77" t="s">
        <v>71</v>
      </c>
      <c r="L334" s="77" t="s">
        <v>321</v>
      </c>
    </row>
    <row r="335" spans="1:12" s="54" customFormat="1" ht="30.75" customHeight="1" x14ac:dyDescent="0.25">
      <c r="A335" s="92"/>
      <c r="B335" s="91" t="s">
        <v>72</v>
      </c>
      <c r="C335" s="77" t="s">
        <v>70</v>
      </c>
      <c r="D335" s="77" t="s">
        <v>45</v>
      </c>
      <c r="E335" s="77">
        <v>4.5999999999999999E-2</v>
      </c>
      <c r="F335" s="77"/>
      <c r="G335" s="78">
        <f>G320*E335</f>
        <v>1.8087199999999999</v>
      </c>
      <c r="H335" s="79">
        <f t="shared" si="37"/>
        <v>1.8087199999999999</v>
      </c>
      <c r="I335" s="80">
        <v>7875</v>
      </c>
      <c r="J335" s="80">
        <f t="shared" si="38"/>
        <v>14243.669999999998</v>
      </c>
      <c r="K335" s="77" t="s">
        <v>73</v>
      </c>
      <c r="L335" s="77" t="s">
        <v>321</v>
      </c>
    </row>
    <row r="336" spans="1:12" s="54" customFormat="1" ht="30.75" customHeight="1" x14ac:dyDescent="0.25">
      <c r="A336" s="92"/>
      <c r="B336" s="91" t="s">
        <v>74</v>
      </c>
      <c r="C336" s="77" t="s">
        <v>70</v>
      </c>
      <c r="D336" s="77" t="s">
        <v>45</v>
      </c>
      <c r="E336" s="77">
        <v>1.01</v>
      </c>
      <c r="F336" s="77"/>
      <c r="G336" s="78">
        <f>G324*E336</f>
        <v>0.56058030000000003</v>
      </c>
      <c r="H336" s="79">
        <f t="shared" si="37"/>
        <v>0.56058030000000003</v>
      </c>
      <c r="I336" s="80">
        <v>7875</v>
      </c>
      <c r="J336" s="80">
        <f t="shared" si="38"/>
        <v>4414.5698625000005</v>
      </c>
      <c r="K336" s="77" t="s">
        <v>71</v>
      </c>
      <c r="L336" s="77" t="s">
        <v>321</v>
      </c>
    </row>
    <row r="337" spans="1:12" s="54" customFormat="1" ht="30.75" customHeight="1" x14ac:dyDescent="0.25">
      <c r="A337" s="81"/>
      <c r="B337" s="89" t="s">
        <v>75</v>
      </c>
      <c r="C337" s="77" t="s">
        <v>70</v>
      </c>
      <c r="D337" s="77" t="s">
        <v>45</v>
      </c>
      <c r="E337" s="77">
        <v>6.0000000000000001E-3</v>
      </c>
      <c r="F337" s="77"/>
      <c r="G337" s="78">
        <f>G321*E337</f>
        <v>0.33600000000000002</v>
      </c>
      <c r="H337" s="79">
        <f t="shared" si="37"/>
        <v>0.33600000000000002</v>
      </c>
      <c r="I337" s="80">
        <v>7875</v>
      </c>
      <c r="J337" s="80">
        <f t="shared" si="38"/>
        <v>2646</v>
      </c>
      <c r="K337" s="77" t="s">
        <v>76</v>
      </c>
      <c r="L337" s="77" t="s">
        <v>321</v>
      </c>
    </row>
    <row r="338" spans="1:12" s="54" customFormat="1" ht="30.75" customHeight="1" x14ac:dyDescent="0.25">
      <c r="A338" s="81"/>
      <c r="B338" s="89" t="s">
        <v>77</v>
      </c>
      <c r="C338" s="77" t="s">
        <v>70</v>
      </c>
      <c r="D338" s="77" t="s">
        <v>45</v>
      </c>
      <c r="E338" s="77">
        <v>1.01</v>
      </c>
      <c r="F338" s="77"/>
      <c r="G338" s="93">
        <v>0.08</v>
      </c>
      <c r="H338" s="79">
        <f t="shared" si="37"/>
        <v>0.08</v>
      </c>
      <c r="I338" s="80">
        <v>7875</v>
      </c>
      <c r="J338" s="80">
        <f t="shared" si="38"/>
        <v>630</v>
      </c>
      <c r="K338" s="94"/>
      <c r="L338" s="77" t="s">
        <v>321</v>
      </c>
    </row>
    <row r="339" spans="1:12" s="54" customFormat="1" ht="27" customHeight="1" x14ac:dyDescent="0.25">
      <c r="A339" s="81"/>
      <c r="B339" s="89" t="s">
        <v>78</v>
      </c>
      <c r="C339" s="77" t="s">
        <v>79</v>
      </c>
      <c r="D339" s="77" t="s">
        <v>47</v>
      </c>
      <c r="E339" s="77"/>
      <c r="F339" s="77"/>
      <c r="G339" s="78">
        <v>183.5</v>
      </c>
      <c r="H339" s="79">
        <f t="shared" si="37"/>
        <v>183.5</v>
      </c>
      <c r="I339" s="80">
        <v>88.34</v>
      </c>
      <c r="J339" s="80">
        <f t="shared" si="38"/>
        <v>16210.390000000001</v>
      </c>
      <c r="K339" s="94"/>
      <c r="L339" s="77" t="s">
        <v>321</v>
      </c>
    </row>
    <row r="340" spans="1:12" s="54" customFormat="1" ht="27" customHeight="1" x14ac:dyDescent="0.25">
      <c r="A340" s="81"/>
      <c r="B340" s="89" t="s">
        <v>113</v>
      </c>
      <c r="C340" s="77" t="s">
        <v>114</v>
      </c>
      <c r="D340" s="77" t="s">
        <v>60</v>
      </c>
      <c r="E340" s="77"/>
      <c r="F340" s="77"/>
      <c r="G340" s="78">
        <v>12</v>
      </c>
      <c r="H340" s="79">
        <f t="shared" si="37"/>
        <v>12</v>
      </c>
      <c r="I340" s="80">
        <v>398.6</v>
      </c>
      <c r="J340" s="80">
        <f t="shared" si="38"/>
        <v>4783.2000000000007</v>
      </c>
      <c r="K340" s="94"/>
      <c r="L340" s="77" t="s">
        <v>321</v>
      </c>
    </row>
    <row r="341" spans="1:12" s="54" customFormat="1" ht="27" customHeight="1" x14ac:dyDescent="0.25">
      <c r="A341" s="81"/>
      <c r="B341" s="89" t="s">
        <v>115</v>
      </c>
      <c r="C341" s="77" t="s">
        <v>116</v>
      </c>
      <c r="D341" s="77" t="s">
        <v>60</v>
      </c>
      <c r="E341" s="77"/>
      <c r="F341" s="77"/>
      <c r="G341" s="78">
        <v>9</v>
      </c>
      <c r="H341" s="79">
        <f t="shared" si="37"/>
        <v>9</v>
      </c>
      <c r="I341" s="80">
        <v>465.03</v>
      </c>
      <c r="J341" s="80">
        <f t="shared" si="38"/>
        <v>4185.2699999999995</v>
      </c>
      <c r="K341" s="94"/>
      <c r="L341" s="77" t="s">
        <v>321</v>
      </c>
    </row>
    <row r="342" spans="1:12" s="54" customFormat="1" ht="27" customHeight="1" x14ac:dyDescent="0.25">
      <c r="A342" s="81"/>
      <c r="B342" s="89" t="s">
        <v>117</v>
      </c>
      <c r="C342" s="77" t="s">
        <v>118</v>
      </c>
      <c r="D342" s="77" t="s">
        <v>60</v>
      </c>
      <c r="E342" s="77"/>
      <c r="F342" s="77"/>
      <c r="G342" s="78">
        <v>1</v>
      </c>
      <c r="H342" s="79">
        <f t="shared" si="37"/>
        <v>1</v>
      </c>
      <c r="I342" s="80">
        <v>841.49</v>
      </c>
      <c r="J342" s="80">
        <f t="shared" si="38"/>
        <v>841.49</v>
      </c>
      <c r="K342" s="94"/>
      <c r="L342" s="77" t="s">
        <v>321</v>
      </c>
    </row>
    <row r="343" spans="1:12" s="54" customFormat="1" ht="27" customHeight="1" x14ac:dyDescent="0.25">
      <c r="A343" s="81"/>
      <c r="B343" s="89" t="s">
        <v>119</v>
      </c>
      <c r="C343" s="77" t="s">
        <v>120</v>
      </c>
      <c r="D343" s="77" t="s">
        <v>60</v>
      </c>
      <c r="E343" s="77"/>
      <c r="F343" s="77"/>
      <c r="G343" s="78">
        <v>10</v>
      </c>
      <c r="H343" s="79">
        <f t="shared" si="37"/>
        <v>10</v>
      </c>
      <c r="I343" s="80">
        <v>981.74</v>
      </c>
      <c r="J343" s="80">
        <f t="shared" si="38"/>
        <v>9817.4</v>
      </c>
      <c r="K343" s="94"/>
      <c r="L343" s="77" t="s">
        <v>321</v>
      </c>
    </row>
    <row r="344" spans="1:12" s="54" customFormat="1" ht="27" customHeight="1" x14ac:dyDescent="0.25">
      <c r="A344" s="81"/>
      <c r="B344" s="89" t="s">
        <v>121</v>
      </c>
      <c r="C344" s="77" t="s">
        <v>122</v>
      </c>
      <c r="D344" s="77" t="s">
        <v>60</v>
      </c>
      <c r="E344" s="77"/>
      <c r="F344" s="77"/>
      <c r="G344" s="78">
        <v>3</v>
      </c>
      <c r="H344" s="79">
        <f t="shared" si="37"/>
        <v>3</v>
      </c>
      <c r="I344" s="80">
        <v>1291.76</v>
      </c>
      <c r="J344" s="80">
        <f t="shared" si="38"/>
        <v>3875.2799999999997</v>
      </c>
      <c r="K344" s="94"/>
      <c r="L344" s="77" t="s">
        <v>321</v>
      </c>
    </row>
    <row r="345" spans="1:12" s="54" customFormat="1" ht="27" customHeight="1" x14ac:dyDescent="0.25">
      <c r="A345" s="81"/>
      <c r="B345" s="89" t="s">
        <v>123</v>
      </c>
      <c r="C345" s="77" t="s">
        <v>124</v>
      </c>
      <c r="D345" s="77" t="s">
        <v>60</v>
      </c>
      <c r="E345" s="77"/>
      <c r="F345" s="77"/>
      <c r="G345" s="78">
        <v>1</v>
      </c>
      <c r="H345" s="79">
        <f t="shared" si="37"/>
        <v>1</v>
      </c>
      <c r="I345" s="80">
        <v>1845.38</v>
      </c>
      <c r="J345" s="80">
        <f t="shared" si="38"/>
        <v>1845.38</v>
      </c>
      <c r="K345" s="94"/>
      <c r="L345" s="77" t="s">
        <v>321</v>
      </c>
    </row>
    <row r="346" spans="1:12" s="54" customFormat="1" ht="27" customHeight="1" x14ac:dyDescent="0.25">
      <c r="A346" s="81"/>
      <c r="B346" s="89" t="s">
        <v>125</v>
      </c>
      <c r="C346" s="77" t="s">
        <v>126</v>
      </c>
      <c r="D346" s="77" t="s">
        <v>60</v>
      </c>
      <c r="E346" s="77"/>
      <c r="F346" s="77"/>
      <c r="G346" s="78">
        <v>8</v>
      </c>
      <c r="H346" s="79">
        <f t="shared" si="37"/>
        <v>8</v>
      </c>
      <c r="I346" s="80">
        <v>2029.91</v>
      </c>
      <c r="J346" s="80">
        <f t="shared" si="38"/>
        <v>16239.28</v>
      </c>
      <c r="K346" s="94"/>
      <c r="L346" s="77" t="s">
        <v>321</v>
      </c>
    </row>
    <row r="347" spans="1:12" s="54" customFormat="1" ht="27" customHeight="1" x14ac:dyDescent="0.25">
      <c r="A347" s="81"/>
      <c r="B347" s="89" t="s">
        <v>127</v>
      </c>
      <c r="C347" s="77" t="s">
        <v>128</v>
      </c>
      <c r="D347" s="77" t="s">
        <v>60</v>
      </c>
      <c r="E347" s="77"/>
      <c r="F347" s="77"/>
      <c r="G347" s="78">
        <v>11</v>
      </c>
      <c r="H347" s="79">
        <f t="shared" si="37"/>
        <v>11</v>
      </c>
      <c r="I347" s="80">
        <v>2398.9899999999998</v>
      </c>
      <c r="J347" s="80">
        <f t="shared" si="38"/>
        <v>26388.89</v>
      </c>
      <c r="K347" s="94"/>
      <c r="L347" s="77" t="s">
        <v>321</v>
      </c>
    </row>
    <row r="348" spans="1:12" s="54" customFormat="1" ht="27" customHeight="1" x14ac:dyDescent="0.25">
      <c r="A348" s="81"/>
      <c r="B348" s="89" t="s">
        <v>129</v>
      </c>
      <c r="C348" s="77" t="s">
        <v>130</v>
      </c>
      <c r="D348" s="77" t="s">
        <v>60</v>
      </c>
      <c r="E348" s="77"/>
      <c r="F348" s="77"/>
      <c r="G348" s="78">
        <v>1</v>
      </c>
      <c r="H348" s="79">
        <f t="shared" si="37"/>
        <v>1</v>
      </c>
      <c r="I348" s="80">
        <v>2583.5300000000002</v>
      </c>
      <c r="J348" s="80">
        <f t="shared" si="38"/>
        <v>2583.5300000000002</v>
      </c>
      <c r="K348" s="94"/>
      <c r="L348" s="77" t="s">
        <v>321</v>
      </c>
    </row>
    <row r="349" spans="1:12" s="54" customFormat="1" ht="27" customHeight="1" x14ac:dyDescent="0.25">
      <c r="A349" s="81"/>
      <c r="B349" s="89" t="s">
        <v>92</v>
      </c>
      <c r="C349" s="77" t="s">
        <v>93</v>
      </c>
      <c r="D349" s="77" t="s">
        <v>54</v>
      </c>
      <c r="E349" s="77">
        <v>1.04</v>
      </c>
      <c r="F349" s="77"/>
      <c r="G349" s="78">
        <f>155.29*E349</f>
        <v>161.5016</v>
      </c>
      <c r="H349" s="79">
        <f t="shared" si="37"/>
        <v>161.5016</v>
      </c>
      <c r="I349" s="80">
        <v>66.349999999999994</v>
      </c>
      <c r="J349" s="80">
        <f t="shared" si="38"/>
        <v>10715.631159999999</v>
      </c>
      <c r="K349" s="94"/>
      <c r="L349" s="77" t="s">
        <v>321</v>
      </c>
    </row>
    <row r="350" spans="1:12" s="54" customFormat="1" ht="27" customHeight="1" x14ac:dyDescent="0.25">
      <c r="A350" s="81"/>
      <c r="B350" s="89" t="s">
        <v>94</v>
      </c>
      <c r="C350" s="77" t="s">
        <v>95</v>
      </c>
      <c r="D350" s="77" t="s">
        <v>54</v>
      </c>
      <c r="E350" s="77">
        <v>1.04</v>
      </c>
      <c r="F350" s="77"/>
      <c r="G350" s="78">
        <f>G323*E350</f>
        <v>42.307200000000002</v>
      </c>
      <c r="H350" s="79">
        <f t="shared" si="37"/>
        <v>42.307200000000002</v>
      </c>
      <c r="I350" s="80">
        <v>64</v>
      </c>
      <c r="J350" s="80">
        <f t="shared" si="38"/>
        <v>2707.6608000000001</v>
      </c>
      <c r="K350" s="94"/>
      <c r="L350" s="77" t="s">
        <v>321</v>
      </c>
    </row>
    <row r="351" spans="1:12" s="54" customFormat="1" ht="27" customHeight="1" x14ac:dyDescent="0.25">
      <c r="A351" s="81"/>
      <c r="B351" s="89" t="s">
        <v>131</v>
      </c>
      <c r="C351" s="77" t="s">
        <v>39</v>
      </c>
      <c r="D351" s="77" t="s">
        <v>54</v>
      </c>
      <c r="E351" s="77">
        <v>1.04</v>
      </c>
      <c r="F351" s="77"/>
      <c r="G351" s="78">
        <f>85.59*E351</f>
        <v>89.013600000000011</v>
      </c>
      <c r="H351" s="79">
        <f t="shared" si="37"/>
        <v>89.013600000000011</v>
      </c>
      <c r="I351" s="80">
        <v>64.209999999999994</v>
      </c>
      <c r="J351" s="80">
        <f t="shared" si="38"/>
        <v>5715.5632560000004</v>
      </c>
      <c r="K351" s="94"/>
      <c r="L351" s="77" t="s">
        <v>321</v>
      </c>
    </row>
    <row r="352" spans="1:12" s="54" customFormat="1" ht="27" customHeight="1" x14ac:dyDescent="0.25">
      <c r="A352" s="81"/>
      <c r="B352" s="89" t="s">
        <v>97</v>
      </c>
      <c r="C352" s="77" t="s">
        <v>39</v>
      </c>
      <c r="D352" s="77" t="s">
        <v>54</v>
      </c>
      <c r="E352" s="77">
        <v>1.04</v>
      </c>
      <c r="F352" s="77"/>
      <c r="G352" s="78">
        <f>E352*23.1</f>
        <v>24.024000000000001</v>
      </c>
      <c r="H352" s="79">
        <f t="shared" si="37"/>
        <v>24.024000000000001</v>
      </c>
      <c r="I352" s="80">
        <v>74.92</v>
      </c>
      <c r="J352" s="80">
        <f t="shared" si="38"/>
        <v>1799.8780800000002</v>
      </c>
      <c r="K352" s="94"/>
      <c r="L352" s="77" t="s">
        <v>321</v>
      </c>
    </row>
    <row r="353" spans="1:12" s="54" customFormat="1" ht="27" customHeight="1" x14ac:dyDescent="0.25">
      <c r="A353" s="81"/>
      <c r="B353" s="89" t="s">
        <v>132</v>
      </c>
      <c r="C353" s="77" t="s">
        <v>39</v>
      </c>
      <c r="D353" s="77" t="s">
        <v>54</v>
      </c>
      <c r="E353" s="77">
        <v>1.04</v>
      </c>
      <c r="F353" s="77"/>
      <c r="G353" s="78">
        <f>28.88*E353</f>
        <v>30.0352</v>
      </c>
      <c r="H353" s="79">
        <f t="shared" si="37"/>
        <v>30.0352</v>
      </c>
      <c r="I353" s="80">
        <v>75.97</v>
      </c>
      <c r="J353" s="80">
        <f t="shared" si="38"/>
        <v>2281.774144</v>
      </c>
      <c r="K353" s="94"/>
      <c r="L353" s="77" t="s">
        <v>321</v>
      </c>
    </row>
    <row r="354" spans="1:12" s="101" customFormat="1" ht="34.5" customHeight="1" x14ac:dyDescent="0.25">
      <c r="A354" s="95"/>
      <c r="B354" s="96" t="s">
        <v>133</v>
      </c>
      <c r="C354" s="97" t="s">
        <v>39</v>
      </c>
      <c r="D354" s="97" t="s">
        <v>99</v>
      </c>
      <c r="E354" s="97"/>
      <c r="F354" s="97"/>
      <c r="G354" s="98"/>
      <c r="H354" s="99">
        <f>J354*100/J313</f>
        <v>4.9540518920903365</v>
      </c>
      <c r="I354" s="79"/>
      <c r="J354" s="79">
        <v>50514.601200000005</v>
      </c>
      <c r="K354" s="100"/>
      <c r="L354" s="97" t="s">
        <v>321</v>
      </c>
    </row>
    <row r="355" spans="1:12" s="54" customFormat="1" x14ac:dyDescent="0.25">
      <c r="A355" s="60" t="s">
        <v>146</v>
      </c>
      <c r="B355" s="61" t="s">
        <v>147</v>
      </c>
      <c r="C355" s="62"/>
      <c r="D355" s="63"/>
      <c r="E355" s="62"/>
      <c r="F355" s="62"/>
      <c r="G355" s="64"/>
      <c r="H355" s="65"/>
      <c r="I355" s="65"/>
      <c r="J355" s="65">
        <f>J356+J368</f>
        <v>1354922.102315</v>
      </c>
      <c r="K355" s="86"/>
      <c r="L355" s="86"/>
    </row>
    <row r="356" spans="1:12" s="54" customFormat="1" x14ac:dyDescent="0.25">
      <c r="A356" s="66"/>
      <c r="B356" s="67" t="s">
        <v>34</v>
      </c>
      <c r="C356" s="68"/>
      <c r="D356" s="68"/>
      <c r="E356" s="68"/>
      <c r="F356" s="68"/>
      <c r="G356" s="69"/>
      <c r="H356" s="70"/>
      <c r="I356" s="70"/>
      <c r="J356" s="70">
        <f>SUM(J357:J367)</f>
        <v>1019662.335</v>
      </c>
      <c r="K356" s="72"/>
      <c r="L356" s="72"/>
    </row>
    <row r="357" spans="1:12" s="54" customFormat="1" ht="25.5" customHeight="1" x14ac:dyDescent="0.25">
      <c r="A357" s="66"/>
      <c r="B357" s="71" t="s">
        <v>44</v>
      </c>
      <c r="C357" s="72"/>
      <c r="D357" s="72" t="s">
        <v>45</v>
      </c>
      <c r="E357" s="72"/>
      <c r="F357" s="72"/>
      <c r="G357" s="73">
        <v>33.94</v>
      </c>
      <c r="H357" s="70">
        <f t="shared" ref="H357:H367" si="39">SUM(G357:G357)</f>
        <v>33.94</v>
      </c>
      <c r="I357" s="74">
        <v>4939</v>
      </c>
      <c r="J357" s="74">
        <f>I357*H357</f>
        <v>167629.65999999997</v>
      </c>
      <c r="K357" s="72"/>
      <c r="L357" s="72"/>
    </row>
    <row r="358" spans="1:12" s="54" customFormat="1" ht="25.5" customHeight="1" x14ac:dyDescent="0.25">
      <c r="A358" s="66"/>
      <c r="B358" s="71" t="s">
        <v>102</v>
      </c>
      <c r="C358" s="72"/>
      <c r="D358" s="72" t="s">
        <v>45</v>
      </c>
      <c r="E358" s="72"/>
      <c r="F358" s="72"/>
      <c r="G358" s="73">
        <v>2.58</v>
      </c>
      <c r="H358" s="70">
        <f t="shared" si="39"/>
        <v>2.58</v>
      </c>
      <c r="I358" s="74">
        <v>5845</v>
      </c>
      <c r="J358" s="74">
        <f t="shared" ref="J358" si="40">I358*H358</f>
        <v>15080.1</v>
      </c>
      <c r="K358" s="72"/>
      <c r="L358" s="72"/>
    </row>
    <row r="359" spans="1:12" s="54" customFormat="1" ht="25.5" customHeight="1" x14ac:dyDescent="0.25">
      <c r="A359" s="66"/>
      <c r="B359" s="71" t="s">
        <v>46</v>
      </c>
      <c r="C359" s="72"/>
      <c r="D359" s="72" t="s">
        <v>47</v>
      </c>
      <c r="E359" s="72"/>
      <c r="F359" s="72"/>
      <c r="G359" s="73">
        <v>154.52000000000001</v>
      </c>
      <c r="H359" s="70">
        <f t="shared" si="39"/>
        <v>154.52000000000001</v>
      </c>
      <c r="I359" s="74">
        <v>1461</v>
      </c>
      <c r="J359" s="74">
        <f>I359*H359</f>
        <v>225753.72</v>
      </c>
      <c r="K359" s="72"/>
      <c r="L359" s="72"/>
    </row>
    <row r="360" spans="1:12" s="54" customFormat="1" ht="25.5" customHeight="1" x14ac:dyDescent="0.25">
      <c r="A360" s="66"/>
      <c r="B360" s="71" t="s">
        <v>48</v>
      </c>
      <c r="C360" s="72"/>
      <c r="D360" s="72" t="s">
        <v>47</v>
      </c>
      <c r="E360" s="72"/>
      <c r="F360" s="72"/>
      <c r="G360" s="73">
        <v>31.58</v>
      </c>
      <c r="H360" s="70">
        <f t="shared" si="39"/>
        <v>31.58</v>
      </c>
      <c r="I360" s="74">
        <v>1461</v>
      </c>
      <c r="J360" s="74">
        <f>I360*H360</f>
        <v>46138.38</v>
      </c>
      <c r="K360" s="72"/>
      <c r="L360" s="72"/>
    </row>
    <row r="361" spans="1:12" s="54" customFormat="1" ht="25.5" customHeight="1" x14ac:dyDescent="0.25">
      <c r="A361" s="66"/>
      <c r="B361" s="71" t="s">
        <v>103</v>
      </c>
      <c r="C361" s="72"/>
      <c r="D361" s="72" t="s">
        <v>47</v>
      </c>
      <c r="E361" s="72"/>
      <c r="F361" s="72"/>
      <c r="G361" s="73">
        <v>159.29</v>
      </c>
      <c r="H361" s="70">
        <f t="shared" si="39"/>
        <v>159.29</v>
      </c>
      <c r="I361" s="74">
        <v>1461</v>
      </c>
      <c r="J361" s="74">
        <f>I361*H361</f>
        <v>232722.69</v>
      </c>
      <c r="K361" s="72"/>
      <c r="L361" s="72"/>
    </row>
    <row r="362" spans="1:12" s="54" customFormat="1" ht="25.5" customHeight="1" x14ac:dyDescent="0.25">
      <c r="A362" s="66"/>
      <c r="B362" s="71" t="s">
        <v>104</v>
      </c>
      <c r="C362" s="72"/>
      <c r="D362" s="72" t="s">
        <v>47</v>
      </c>
      <c r="E362" s="72"/>
      <c r="F362" s="72"/>
      <c r="G362" s="73">
        <v>141.18</v>
      </c>
      <c r="H362" s="70">
        <f t="shared" si="39"/>
        <v>141.18</v>
      </c>
      <c r="I362" s="74">
        <v>1461</v>
      </c>
      <c r="J362" s="74">
        <f>I362*H362</f>
        <v>206263.98</v>
      </c>
      <c r="K362" s="72"/>
      <c r="L362" s="72"/>
    </row>
    <row r="363" spans="1:12" s="54" customFormat="1" ht="25.5" customHeight="1" x14ac:dyDescent="0.25">
      <c r="A363" s="66"/>
      <c r="B363" s="71" t="s">
        <v>49</v>
      </c>
      <c r="C363" s="72"/>
      <c r="D363" s="72" t="s">
        <v>47</v>
      </c>
      <c r="E363" s="72"/>
      <c r="F363" s="72"/>
      <c r="G363" s="73">
        <v>39.32</v>
      </c>
      <c r="H363" s="70">
        <f t="shared" si="39"/>
        <v>39.32</v>
      </c>
      <c r="I363" s="74">
        <v>1610</v>
      </c>
      <c r="J363" s="74">
        <f t="shared" ref="J363:J366" si="41">I363*H363</f>
        <v>63305.2</v>
      </c>
      <c r="K363" s="72"/>
      <c r="L363" s="72"/>
    </row>
    <row r="364" spans="1:12" s="54" customFormat="1" ht="25.5" customHeight="1" x14ac:dyDescent="0.25">
      <c r="A364" s="66"/>
      <c r="B364" s="71" t="s">
        <v>50</v>
      </c>
      <c r="C364" s="72"/>
      <c r="D364" s="72" t="s">
        <v>51</v>
      </c>
      <c r="E364" s="72"/>
      <c r="F364" s="72"/>
      <c r="G364" s="73">
        <v>56</v>
      </c>
      <c r="H364" s="70">
        <f t="shared" si="39"/>
        <v>56</v>
      </c>
      <c r="I364" s="74">
        <v>803</v>
      </c>
      <c r="J364" s="74">
        <f t="shared" si="41"/>
        <v>44968</v>
      </c>
      <c r="K364" s="72"/>
      <c r="L364" s="72"/>
    </row>
    <row r="365" spans="1:12" s="54" customFormat="1" ht="25.5" customHeight="1" x14ac:dyDescent="0.25">
      <c r="A365" s="66"/>
      <c r="B365" s="71" t="s">
        <v>52</v>
      </c>
      <c r="C365" s="72" t="s">
        <v>105</v>
      </c>
      <c r="D365" s="72" t="s">
        <v>54</v>
      </c>
      <c r="E365" s="72"/>
      <c r="F365" s="72"/>
      <c r="G365" s="73">
        <v>137.57</v>
      </c>
      <c r="H365" s="70">
        <f t="shared" si="39"/>
        <v>137.57</v>
      </c>
      <c r="I365" s="74">
        <v>94.5</v>
      </c>
      <c r="J365" s="74">
        <f t="shared" si="41"/>
        <v>13000.365</v>
      </c>
      <c r="K365" s="72"/>
      <c r="L365" s="72"/>
    </row>
    <row r="366" spans="1:12" s="54" customFormat="1" ht="31.5" x14ac:dyDescent="0.25">
      <c r="A366" s="66"/>
      <c r="B366" s="71" t="s">
        <v>55</v>
      </c>
      <c r="C366" s="72"/>
      <c r="D366" s="72" t="s">
        <v>54</v>
      </c>
      <c r="E366" s="72"/>
      <c r="F366" s="72"/>
      <c r="G366" s="73">
        <v>40.68</v>
      </c>
      <c r="H366" s="70">
        <f t="shared" si="39"/>
        <v>40.68</v>
      </c>
      <c r="I366" s="74">
        <v>118</v>
      </c>
      <c r="J366" s="74">
        <f t="shared" si="41"/>
        <v>4800.24</v>
      </c>
      <c r="K366" s="72"/>
      <c r="L366" s="72"/>
    </row>
    <row r="367" spans="1:12" s="54" customFormat="1" ht="21.75" customHeight="1" x14ac:dyDescent="0.25">
      <c r="A367" s="66"/>
      <c r="B367" s="87" t="s">
        <v>56</v>
      </c>
      <c r="C367" s="88"/>
      <c r="D367" s="88" t="s">
        <v>45</v>
      </c>
      <c r="E367" s="88"/>
      <c r="F367" s="88"/>
      <c r="G367" s="73">
        <f>308.35*0.06*0.03</f>
        <v>0.55503000000000002</v>
      </c>
      <c r="H367" s="70">
        <f t="shared" si="39"/>
        <v>0.55503000000000002</v>
      </c>
      <c r="I367" s="74"/>
      <c r="J367" s="74"/>
      <c r="K367" s="88" t="s">
        <v>57</v>
      </c>
      <c r="L367" s="72"/>
    </row>
    <row r="368" spans="1:12" s="54" customFormat="1" x14ac:dyDescent="0.25">
      <c r="A368" s="75"/>
      <c r="B368" s="76" t="s">
        <v>38</v>
      </c>
      <c r="C368" s="77"/>
      <c r="D368" s="77"/>
      <c r="E368" s="77"/>
      <c r="F368" s="77"/>
      <c r="G368" s="78"/>
      <c r="H368" s="79"/>
      <c r="I368" s="80"/>
      <c r="J368" s="79">
        <f>SUM(J369:J397)</f>
        <v>335259.76731500006</v>
      </c>
      <c r="K368" s="77"/>
      <c r="L368" s="77"/>
    </row>
    <row r="369" spans="1:12" s="54" customFormat="1" ht="31.5" x14ac:dyDescent="0.25">
      <c r="A369" s="81"/>
      <c r="B369" s="82" t="s">
        <v>58</v>
      </c>
      <c r="C369" s="77" t="s">
        <v>59</v>
      </c>
      <c r="D369" s="77" t="s">
        <v>60</v>
      </c>
      <c r="E369" s="78">
        <v>12.4</v>
      </c>
      <c r="F369" s="77">
        <v>0.25</v>
      </c>
      <c r="G369" s="83">
        <f>G357/F369*E369</f>
        <v>1683.424</v>
      </c>
      <c r="H369" s="84">
        <f t="shared" ref="H369:H396" si="42">SUM(G369:G369)</f>
        <v>1683.424</v>
      </c>
      <c r="I369" s="80">
        <v>0</v>
      </c>
      <c r="J369" s="80">
        <f>H369*I369</f>
        <v>0</v>
      </c>
      <c r="K369" s="77" t="s">
        <v>61</v>
      </c>
      <c r="L369" s="77" t="s">
        <v>320</v>
      </c>
    </row>
    <row r="370" spans="1:12" s="54" customFormat="1" ht="31.5" x14ac:dyDescent="0.25">
      <c r="A370" s="81"/>
      <c r="B370" s="82" t="s">
        <v>62</v>
      </c>
      <c r="C370" s="77" t="s">
        <v>63</v>
      </c>
      <c r="D370" s="77" t="s">
        <v>60</v>
      </c>
      <c r="E370" s="78">
        <v>12.4</v>
      </c>
      <c r="F370" s="77"/>
      <c r="G370" s="83">
        <f>G359*E370</f>
        <v>1916.0480000000002</v>
      </c>
      <c r="H370" s="84">
        <f t="shared" si="42"/>
        <v>1916.0480000000002</v>
      </c>
      <c r="I370" s="80">
        <v>0</v>
      </c>
      <c r="J370" s="80">
        <f>H370*I370</f>
        <v>0</v>
      </c>
      <c r="K370" s="77" t="s">
        <v>61</v>
      </c>
      <c r="L370" s="77" t="s">
        <v>320</v>
      </c>
    </row>
    <row r="371" spans="1:12" s="54" customFormat="1" ht="31.5" x14ac:dyDescent="0.25">
      <c r="A371" s="81"/>
      <c r="B371" s="82" t="s">
        <v>64</v>
      </c>
      <c r="C371" s="77" t="s">
        <v>65</v>
      </c>
      <c r="D371" s="77" t="s">
        <v>60</v>
      </c>
      <c r="E371" s="78">
        <v>12.4</v>
      </c>
      <c r="F371" s="77"/>
      <c r="G371" s="83">
        <f>G360*E371</f>
        <v>391.59199999999998</v>
      </c>
      <c r="H371" s="84">
        <f t="shared" si="42"/>
        <v>391.59199999999998</v>
      </c>
      <c r="I371" s="80">
        <v>0</v>
      </c>
      <c r="J371" s="80">
        <f>H371*I371</f>
        <v>0</v>
      </c>
      <c r="K371" s="77" t="s">
        <v>61</v>
      </c>
      <c r="L371" s="77" t="s">
        <v>320</v>
      </c>
    </row>
    <row r="372" spans="1:12" s="54" customFormat="1" ht="31.5" x14ac:dyDescent="0.25">
      <c r="A372" s="81"/>
      <c r="B372" s="82" t="s">
        <v>106</v>
      </c>
      <c r="C372" s="77" t="s">
        <v>107</v>
      </c>
      <c r="D372" s="77" t="s">
        <v>60</v>
      </c>
      <c r="E372" s="78">
        <v>12.4</v>
      </c>
      <c r="F372" s="77"/>
      <c r="G372" s="83">
        <f>G361*E372</f>
        <v>1975.1959999999999</v>
      </c>
      <c r="H372" s="84">
        <f t="shared" si="42"/>
        <v>1975.1959999999999</v>
      </c>
      <c r="I372" s="80">
        <v>0</v>
      </c>
      <c r="J372" s="80">
        <f>H372*I372</f>
        <v>0</v>
      </c>
      <c r="K372" s="77" t="s">
        <v>61</v>
      </c>
      <c r="L372" s="77" t="s">
        <v>320</v>
      </c>
    </row>
    <row r="373" spans="1:12" s="54" customFormat="1" ht="31.5" x14ac:dyDescent="0.25">
      <c r="A373" s="81"/>
      <c r="B373" s="82" t="s">
        <v>108</v>
      </c>
      <c r="C373" s="77" t="s">
        <v>109</v>
      </c>
      <c r="D373" s="77" t="s">
        <v>60</v>
      </c>
      <c r="E373" s="78">
        <v>12.4</v>
      </c>
      <c r="F373" s="77"/>
      <c r="G373" s="83">
        <f>G362*E373</f>
        <v>1750.6320000000001</v>
      </c>
      <c r="H373" s="84">
        <f t="shared" si="42"/>
        <v>1750.6320000000001</v>
      </c>
      <c r="I373" s="80">
        <v>0</v>
      </c>
      <c r="J373" s="80">
        <f>H373*I373</f>
        <v>0</v>
      </c>
      <c r="K373" s="77" t="s">
        <v>61</v>
      </c>
      <c r="L373" s="77" t="s">
        <v>320</v>
      </c>
    </row>
    <row r="374" spans="1:12" s="54" customFormat="1" ht="37.5" customHeight="1" x14ac:dyDescent="0.25">
      <c r="A374" s="81"/>
      <c r="B374" s="89" t="s">
        <v>66</v>
      </c>
      <c r="C374" s="77" t="s">
        <v>67</v>
      </c>
      <c r="D374" s="77" t="s">
        <v>60</v>
      </c>
      <c r="E374" s="90">
        <v>42</v>
      </c>
      <c r="F374" s="90"/>
      <c r="G374" s="83">
        <f>G363*E374</f>
        <v>1651.44</v>
      </c>
      <c r="H374" s="84">
        <f t="shared" si="42"/>
        <v>1651.44</v>
      </c>
      <c r="I374" s="80">
        <v>0</v>
      </c>
      <c r="J374" s="80">
        <f t="shared" ref="J374:J396" si="43">H374*I374</f>
        <v>0</v>
      </c>
      <c r="K374" s="77" t="s">
        <v>68</v>
      </c>
      <c r="L374" s="77" t="s">
        <v>320</v>
      </c>
    </row>
    <row r="375" spans="1:12" s="54" customFormat="1" ht="37.5" customHeight="1" x14ac:dyDescent="0.25">
      <c r="A375" s="81"/>
      <c r="B375" s="89" t="s">
        <v>110</v>
      </c>
      <c r="C375" s="77" t="s">
        <v>111</v>
      </c>
      <c r="D375" s="77" t="s">
        <v>60</v>
      </c>
      <c r="E375" s="90">
        <v>42</v>
      </c>
      <c r="F375" s="90"/>
      <c r="G375" s="83">
        <f>G358/0.25*E375</f>
        <v>433.44</v>
      </c>
      <c r="H375" s="84">
        <f t="shared" si="42"/>
        <v>433.44</v>
      </c>
      <c r="I375" s="80">
        <v>0</v>
      </c>
      <c r="J375" s="80">
        <f t="shared" si="43"/>
        <v>0</v>
      </c>
      <c r="K375" s="77" t="s">
        <v>68</v>
      </c>
      <c r="L375" s="77" t="s">
        <v>320</v>
      </c>
    </row>
    <row r="376" spans="1:12" s="54" customFormat="1" ht="30.75" customHeight="1" x14ac:dyDescent="0.25">
      <c r="A376" s="81"/>
      <c r="B376" s="91" t="s">
        <v>69</v>
      </c>
      <c r="C376" s="77" t="s">
        <v>70</v>
      </c>
      <c r="D376" s="77" t="s">
        <v>45</v>
      </c>
      <c r="E376" s="77">
        <v>0.19500000000000001</v>
      </c>
      <c r="F376" s="90"/>
      <c r="G376" s="78">
        <f>G357*E376+G359*E376*0.19+G360*E376*0.19+G361*E376*0.09+G362*E376*0.09</f>
        <v>18.7865535</v>
      </c>
      <c r="H376" s="79">
        <f t="shared" si="42"/>
        <v>18.7865535</v>
      </c>
      <c r="I376" s="80">
        <v>7875</v>
      </c>
      <c r="J376" s="80">
        <f t="shared" si="43"/>
        <v>147944.1088125</v>
      </c>
      <c r="K376" s="77" t="s">
        <v>71</v>
      </c>
      <c r="L376" s="77" t="s">
        <v>321</v>
      </c>
    </row>
    <row r="377" spans="1:12" s="54" customFormat="1" ht="30.75" customHeight="1" x14ac:dyDescent="0.25">
      <c r="A377" s="92"/>
      <c r="B377" s="91" t="s">
        <v>112</v>
      </c>
      <c r="C377" s="77" t="s">
        <v>70</v>
      </c>
      <c r="D377" s="77" t="s">
        <v>45</v>
      </c>
      <c r="E377" s="77">
        <v>0.24</v>
      </c>
      <c r="F377" s="77"/>
      <c r="G377" s="78">
        <f>G358*E377</f>
        <v>0.61919999999999997</v>
      </c>
      <c r="H377" s="79">
        <f t="shared" si="42"/>
        <v>0.61919999999999997</v>
      </c>
      <c r="I377" s="80">
        <v>7875</v>
      </c>
      <c r="J377" s="80">
        <f t="shared" si="43"/>
        <v>4876.2</v>
      </c>
      <c r="K377" s="77" t="s">
        <v>71</v>
      </c>
      <c r="L377" s="77" t="s">
        <v>321</v>
      </c>
    </row>
    <row r="378" spans="1:12" s="54" customFormat="1" ht="30.75" customHeight="1" x14ac:dyDescent="0.25">
      <c r="A378" s="92"/>
      <c r="B378" s="91" t="s">
        <v>72</v>
      </c>
      <c r="C378" s="77" t="s">
        <v>70</v>
      </c>
      <c r="D378" s="77" t="s">
        <v>45</v>
      </c>
      <c r="E378" s="77">
        <v>4.5999999999999999E-2</v>
      </c>
      <c r="F378" s="77"/>
      <c r="G378" s="78">
        <f>G363*E378</f>
        <v>1.8087199999999999</v>
      </c>
      <c r="H378" s="79">
        <f t="shared" si="42"/>
        <v>1.8087199999999999</v>
      </c>
      <c r="I378" s="80">
        <v>7875</v>
      </c>
      <c r="J378" s="80">
        <f t="shared" si="43"/>
        <v>14243.669999999998</v>
      </c>
      <c r="K378" s="77" t="s">
        <v>73</v>
      </c>
      <c r="L378" s="77" t="s">
        <v>321</v>
      </c>
    </row>
    <row r="379" spans="1:12" s="54" customFormat="1" ht="30.75" customHeight="1" x14ac:dyDescent="0.25">
      <c r="A379" s="92"/>
      <c r="B379" s="91" t="s">
        <v>74</v>
      </c>
      <c r="C379" s="77" t="s">
        <v>70</v>
      </c>
      <c r="D379" s="77" t="s">
        <v>45</v>
      </c>
      <c r="E379" s="77">
        <v>1.01</v>
      </c>
      <c r="F379" s="77"/>
      <c r="G379" s="78">
        <f>G367*E379</f>
        <v>0.56058030000000003</v>
      </c>
      <c r="H379" s="79">
        <f t="shared" si="42"/>
        <v>0.56058030000000003</v>
      </c>
      <c r="I379" s="80">
        <v>7875</v>
      </c>
      <c r="J379" s="80">
        <f t="shared" si="43"/>
        <v>4414.5698625000005</v>
      </c>
      <c r="K379" s="77" t="s">
        <v>71</v>
      </c>
      <c r="L379" s="77" t="s">
        <v>321</v>
      </c>
    </row>
    <row r="380" spans="1:12" s="54" customFormat="1" ht="30.75" customHeight="1" x14ac:dyDescent="0.25">
      <c r="A380" s="81"/>
      <c r="B380" s="89" t="s">
        <v>75</v>
      </c>
      <c r="C380" s="77" t="s">
        <v>70</v>
      </c>
      <c r="D380" s="77" t="s">
        <v>45</v>
      </c>
      <c r="E380" s="77">
        <v>6.0000000000000001E-3</v>
      </c>
      <c r="F380" s="77"/>
      <c r="G380" s="78">
        <f>G364*E380</f>
        <v>0.33600000000000002</v>
      </c>
      <c r="H380" s="79">
        <f t="shared" si="42"/>
        <v>0.33600000000000002</v>
      </c>
      <c r="I380" s="80">
        <v>7875</v>
      </c>
      <c r="J380" s="80">
        <f t="shared" si="43"/>
        <v>2646</v>
      </c>
      <c r="K380" s="77" t="s">
        <v>76</v>
      </c>
      <c r="L380" s="77" t="s">
        <v>321</v>
      </c>
    </row>
    <row r="381" spans="1:12" s="54" customFormat="1" ht="30.75" customHeight="1" x14ac:dyDescent="0.25">
      <c r="A381" s="81"/>
      <c r="B381" s="89" t="s">
        <v>77</v>
      </c>
      <c r="C381" s="77" t="s">
        <v>70</v>
      </c>
      <c r="D381" s="77" t="s">
        <v>45</v>
      </c>
      <c r="E381" s="77">
        <v>1.01</v>
      </c>
      <c r="F381" s="77"/>
      <c r="G381" s="93">
        <v>0.08</v>
      </c>
      <c r="H381" s="79">
        <f t="shared" si="42"/>
        <v>0.08</v>
      </c>
      <c r="I381" s="80">
        <v>7875</v>
      </c>
      <c r="J381" s="80">
        <f t="shared" si="43"/>
        <v>630</v>
      </c>
      <c r="K381" s="94"/>
      <c r="L381" s="77" t="s">
        <v>321</v>
      </c>
    </row>
    <row r="382" spans="1:12" s="54" customFormat="1" ht="25.5" customHeight="1" x14ac:dyDescent="0.25">
      <c r="A382" s="81"/>
      <c r="B382" s="89" t="s">
        <v>78</v>
      </c>
      <c r="C382" s="77" t="s">
        <v>79</v>
      </c>
      <c r="D382" s="77" t="s">
        <v>47</v>
      </c>
      <c r="E382" s="77"/>
      <c r="F382" s="77"/>
      <c r="G382" s="78">
        <v>183.5</v>
      </c>
      <c r="H382" s="79">
        <f t="shared" si="42"/>
        <v>183.5</v>
      </c>
      <c r="I382" s="80">
        <v>88.34</v>
      </c>
      <c r="J382" s="80">
        <f t="shared" si="43"/>
        <v>16210.390000000001</v>
      </c>
      <c r="K382" s="94"/>
      <c r="L382" s="77" t="s">
        <v>321</v>
      </c>
    </row>
    <row r="383" spans="1:12" s="54" customFormat="1" ht="25.5" customHeight="1" x14ac:dyDescent="0.25">
      <c r="A383" s="81"/>
      <c r="B383" s="89" t="s">
        <v>113</v>
      </c>
      <c r="C383" s="77" t="s">
        <v>114</v>
      </c>
      <c r="D383" s="77" t="s">
        <v>60</v>
      </c>
      <c r="E383" s="77"/>
      <c r="F383" s="77"/>
      <c r="G383" s="78">
        <v>12</v>
      </c>
      <c r="H383" s="79">
        <f t="shared" si="42"/>
        <v>12</v>
      </c>
      <c r="I383" s="80">
        <v>398.6</v>
      </c>
      <c r="J383" s="80">
        <f t="shared" si="43"/>
        <v>4783.2000000000007</v>
      </c>
      <c r="K383" s="94"/>
      <c r="L383" s="77" t="s">
        <v>321</v>
      </c>
    </row>
    <row r="384" spans="1:12" s="54" customFormat="1" ht="25.5" customHeight="1" x14ac:dyDescent="0.25">
      <c r="A384" s="81"/>
      <c r="B384" s="89" t="s">
        <v>115</v>
      </c>
      <c r="C384" s="77" t="s">
        <v>116</v>
      </c>
      <c r="D384" s="77" t="s">
        <v>60</v>
      </c>
      <c r="E384" s="77"/>
      <c r="F384" s="77"/>
      <c r="G384" s="78">
        <v>9</v>
      </c>
      <c r="H384" s="79">
        <f t="shared" si="42"/>
        <v>9</v>
      </c>
      <c r="I384" s="80">
        <v>465.03</v>
      </c>
      <c r="J384" s="80">
        <f t="shared" si="43"/>
        <v>4185.2699999999995</v>
      </c>
      <c r="K384" s="94"/>
      <c r="L384" s="77" t="s">
        <v>321</v>
      </c>
    </row>
    <row r="385" spans="1:12" s="54" customFormat="1" ht="25.5" customHeight="1" x14ac:dyDescent="0.25">
      <c r="A385" s="81"/>
      <c r="B385" s="89" t="s">
        <v>117</v>
      </c>
      <c r="C385" s="77" t="s">
        <v>118</v>
      </c>
      <c r="D385" s="77" t="s">
        <v>60</v>
      </c>
      <c r="E385" s="77"/>
      <c r="F385" s="77"/>
      <c r="G385" s="78">
        <v>1</v>
      </c>
      <c r="H385" s="79">
        <f t="shared" si="42"/>
        <v>1</v>
      </c>
      <c r="I385" s="80">
        <v>841.49</v>
      </c>
      <c r="J385" s="80">
        <f t="shared" si="43"/>
        <v>841.49</v>
      </c>
      <c r="K385" s="94"/>
      <c r="L385" s="77" t="s">
        <v>321</v>
      </c>
    </row>
    <row r="386" spans="1:12" s="54" customFormat="1" ht="25.5" customHeight="1" x14ac:dyDescent="0.25">
      <c r="A386" s="81"/>
      <c r="B386" s="89" t="s">
        <v>119</v>
      </c>
      <c r="C386" s="77" t="s">
        <v>120</v>
      </c>
      <c r="D386" s="77" t="s">
        <v>60</v>
      </c>
      <c r="E386" s="77"/>
      <c r="F386" s="77"/>
      <c r="G386" s="78">
        <v>10</v>
      </c>
      <c r="H386" s="79">
        <f t="shared" si="42"/>
        <v>10</v>
      </c>
      <c r="I386" s="80">
        <v>981.74</v>
      </c>
      <c r="J386" s="80">
        <f t="shared" si="43"/>
        <v>9817.4</v>
      </c>
      <c r="K386" s="94"/>
      <c r="L386" s="77" t="s">
        <v>321</v>
      </c>
    </row>
    <row r="387" spans="1:12" s="54" customFormat="1" ht="25.5" customHeight="1" x14ac:dyDescent="0.25">
      <c r="A387" s="81"/>
      <c r="B387" s="89" t="s">
        <v>121</v>
      </c>
      <c r="C387" s="77" t="s">
        <v>122</v>
      </c>
      <c r="D387" s="77" t="s">
        <v>60</v>
      </c>
      <c r="E387" s="77"/>
      <c r="F387" s="77"/>
      <c r="G387" s="78">
        <v>3</v>
      </c>
      <c r="H387" s="79">
        <f t="shared" si="42"/>
        <v>3</v>
      </c>
      <c r="I387" s="80">
        <v>1291.76</v>
      </c>
      <c r="J387" s="80">
        <f t="shared" si="43"/>
        <v>3875.2799999999997</v>
      </c>
      <c r="K387" s="94"/>
      <c r="L387" s="77" t="s">
        <v>321</v>
      </c>
    </row>
    <row r="388" spans="1:12" s="54" customFormat="1" ht="25.5" customHeight="1" x14ac:dyDescent="0.25">
      <c r="A388" s="81"/>
      <c r="B388" s="89" t="s">
        <v>123</v>
      </c>
      <c r="C388" s="77" t="s">
        <v>124</v>
      </c>
      <c r="D388" s="77" t="s">
        <v>60</v>
      </c>
      <c r="E388" s="77"/>
      <c r="F388" s="77"/>
      <c r="G388" s="78">
        <v>1</v>
      </c>
      <c r="H388" s="79">
        <f t="shared" si="42"/>
        <v>1</v>
      </c>
      <c r="I388" s="80">
        <v>1845.38</v>
      </c>
      <c r="J388" s="80">
        <f t="shared" si="43"/>
        <v>1845.38</v>
      </c>
      <c r="K388" s="94"/>
      <c r="L388" s="77" t="s">
        <v>321</v>
      </c>
    </row>
    <row r="389" spans="1:12" s="54" customFormat="1" ht="25.5" customHeight="1" x14ac:dyDescent="0.25">
      <c r="A389" s="81"/>
      <c r="B389" s="89" t="s">
        <v>125</v>
      </c>
      <c r="C389" s="77" t="s">
        <v>126</v>
      </c>
      <c r="D389" s="77" t="s">
        <v>60</v>
      </c>
      <c r="E389" s="77"/>
      <c r="F389" s="77"/>
      <c r="G389" s="78">
        <v>8</v>
      </c>
      <c r="H389" s="79">
        <f t="shared" si="42"/>
        <v>8</v>
      </c>
      <c r="I389" s="80">
        <v>2029.91</v>
      </c>
      <c r="J389" s="80">
        <f t="shared" si="43"/>
        <v>16239.28</v>
      </c>
      <c r="K389" s="94"/>
      <c r="L389" s="77" t="s">
        <v>321</v>
      </c>
    </row>
    <row r="390" spans="1:12" s="54" customFormat="1" ht="25.5" customHeight="1" x14ac:dyDescent="0.25">
      <c r="A390" s="81"/>
      <c r="B390" s="89" t="s">
        <v>127</v>
      </c>
      <c r="C390" s="77" t="s">
        <v>128</v>
      </c>
      <c r="D390" s="77" t="s">
        <v>60</v>
      </c>
      <c r="E390" s="77"/>
      <c r="F390" s="77"/>
      <c r="G390" s="78">
        <v>11</v>
      </c>
      <c r="H390" s="79">
        <f t="shared" si="42"/>
        <v>11</v>
      </c>
      <c r="I390" s="80">
        <v>2398.9899999999998</v>
      </c>
      <c r="J390" s="80">
        <f t="shared" si="43"/>
        <v>26388.89</v>
      </c>
      <c r="K390" s="94"/>
      <c r="L390" s="77" t="s">
        <v>321</v>
      </c>
    </row>
    <row r="391" spans="1:12" s="54" customFormat="1" ht="25.5" customHeight="1" x14ac:dyDescent="0.25">
      <c r="A391" s="81"/>
      <c r="B391" s="89" t="s">
        <v>129</v>
      </c>
      <c r="C391" s="77" t="s">
        <v>130</v>
      </c>
      <c r="D391" s="77" t="s">
        <v>60</v>
      </c>
      <c r="E391" s="77"/>
      <c r="F391" s="77"/>
      <c r="G391" s="78">
        <v>1</v>
      </c>
      <c r="H391" s="79">
        <f t="shared" si="42"/>
        <v>1</v>
      </c>
      <c r="I391" s="80">
        <v>2583.5300000000002</v>
      </c>
      <c r="J391" s="80">
        <f t="shared" si="43"/>
        <v>2583.5300000000002</v>
      </c>
      <c r="K391" s="94"/>
      <c r="L391" s="77" t="s">
        <v>321</v>
      </c>
    </row>
    <row r="392" spans="1:12" s="54" customFormat="1" ht="25.5" customHeight="1" x14ac:dyDescent="0.25">
      <c r="A392" s="81"/>
      <c r="B392" s="89" t="s">
        <v>92</v>
      </c>
      <c r="C392" s="77" t="s">
        <v>93</v>
      </c>
      <c r="D392" s="77" t="s">
        <v>54</v>
      </c>
      <c r="E392" s="77">
        <v>1.04</v>
      </c>
      <c r="F392" s="77"/>
      <c r="G392" s="78">
        <f>155.29*E392</f>
        <v>161.5016</v>
      </c>
      <c r="H392" s="79">
        <f t="shared" si="42"/>
        <v>161.5016</v>
      </c>
      <c r="I392" s="80">
        <v>66.349999999999994</v>
      </c>
      <c r="J392" s="80">
        <f t="shared" si="43"/>
        <v>10715.631159999999</v>
      </c>
      <c r="K392" s="94"/>
      <c r="L392" s="77" t="s">
        <v>321</v>
      </c>
    </row>
    <row r="393" spans="1:12" s="54" customFormat="1" ht="25.5" customHeight="1" x14ac:dyDescent="0.25">
      <c r="A393" s="81"/>
      <c r="B393" s="89" t="s">
        <v>94</v>
      </c>
      <c r="C393" s="77" t="s">
        <v>95</v>
      </c>
      <c r="D393" s="77" t="s">
        <v>54</v>
      </c>
      <c r="E393" s="77">
        <v>1.04</v>
      </c>
      <c r="F393" s="77"/>
      <c r="G393" s="78">
        <f>G366*E393</f>
        <v>42.307200000000002</v>
      </c>
      <c r="H393" s="79">
        <f t="shared" si="42"/>
        <v>42.307200000000002</v>
      </c>
      <c r="I393" s="80">
        <v>64</v>
      </c>
      <c r="J393" s="80">
        <f t="shared" si="43"/>
        <v>2707.6608000000001</v>
      </c>
      <c r="K393" s="94"/>
      <c r="L393" s="77" t="s">
        <v>321</v>
      </c>
    </row>
    <row r="394" spans="1:12" s="54" customFormat="1" ht="25.5" customHeight="1" x14ac:dyDescent="0.25">
      <c r="A394" s="81"/>
      <c r="B394" s="89" t="s">
        <v>131</v>
      </c>
      <c r="C394" s="77" t="s">
        <v>39</v>
      </c>
      <c r="D394" s="77" t="s">
        <v>54</v>
      </c>
      <c r="E394" s="77">
        <v>1.04</v>
      </c>
      <c r="F394" s="77"/>
      <c r="G394" s="78">
        <f>85.59*E394</f>
        <v>89.013600000000011</v>
      </c>
      <c r="H394" s="79">
        <f t="shared" si="42"/>
        <v>89.013600000000011</v>
      </c>
      <c r="I394" s="80">
        <v>64.209999999999994</v>
      </c>
      <c r="J394" s="80">
        <f t="shared" si="43"/>
        <v>5715.5632560000004</v>
      </c>
      <c r="K394" s="94"/>
      <c r="L394" s="77" t="s">
        <v>321</v>
      </c>
    </row>
    <row r="395" spans="1:12" s="54" customFormat="1" ht="25.5" customHeight="1" x14ac:dyDescent="0.25">
      <c r="A395" s="81"/>
      <c r="B395" s="89" t="s">
        <v>97</v>
      </c>
      <c r="C395" s="77" t="s">
        <v>39</v>
      </c>
      <c r="D395" s="77" t="s">
        <v>54</v>
      </c>
      <c r="E395" s="77">
        <v>1.04</v>
      </c>
      <c r="F395" s="77"/>
      <c r="G395" s="78">
        <f>E395*23.1</f>
        <v>24.024000000000001</v>
      </c>
      <c r="H395" s="79">
        <f t="shared" si="42"/>
        <v>24.024000000000001</v>
      </c>
      <c r="I395" s="80">
        <v>74.92</v>
      </c>
      <c r="J395" s="80">
        <f t="shared" si="43"/>
        <v>1799.8780800000002</v>
      </c>
      <c r="K395" s="94"/>
      <c r="L395" s="77" t="s">
        <v>321</v>
      </c>
    </row>
    <row r="396" spans="1:12" s="54" customFormat="1" ht="25.5" customHeight="1" x14ac:dyDescent="0.25">
      <c r="A396" s="81"/>
      <c r="B396" s="89" t="s">
        <v>132</v>
      </c>
      <c r="C396" s="77" t="s">
        <v>39</v>
      </c>
      <c r="D396" s="77" t="s">
        <v>54</v>
      </c>
      <c r="E396" s="77">
        <v>1.04</v>
      </c>
      <c r="F396" s="77"/>
      <c r="G396" s="78">
        <f>28.88*E396</f>
        <v>30.0352</v>
      </c>
      <c r="H396" s="79">
        <f t="shared" si="42"/>
        <v>30.0352</v>
      </c>
      <c r="I396" s="80">
        <v>75.97</v>
      </c>
      <c r="J396" s="80">
        <f t="shared" si="43"/>
        <v>2281.774144</v>
      </c>
      <c r="K396" s="94"/>
      <c r="L396" s="77" t="s">
        <v>321</v>
      </c>
    </row>
    <row r="397" spans="1:12" s="101" customFormat="1" ht="33" customHeight="1" x14ac:dyDescent="0.25">
      <c r="A397" s="95"/>
      <c r="B397" s="96" t="s">
        <v>133</v>
      </c>
      <c r="C397" s="97" t="s">
        <v>39</v>
      </c>
      <c r="D397" s="97" t="s">
        <v>99</v>
      </c>
      <c r="E397" s="97"/>
      <c r="F397" s="97"/>
      <c r="G397" s="98"/>
      <c r="H397" s="99">
        <f>J397*100/J356</f>
        <v>4.9540518920903365</v>
      </c>
      <c r="I397" s="79"/>
      <c r="J397" s="79">
        <v>50514.601200000005</v>
      </c>
      <c r="K397" s="100"/>
      <c r="L397" s="97" t="s">
        <v>321</v>
      </c>
    </row>
    <row r="398" spans="1:12" s="54" customFormat="1" ht="24.75" customHeight="1" x14ac:dyDescent="0.25">
      <c r="A398" s="60" t="s">
        <v>148</v>
      </c>
      <c r="B398" s="61" t="s">
        <v>149</v>
      </c>
      <c r="C398" s="62"/>
      <c r="D398" s="63"/>
      <c r="E398" s="62"/>
      <c r="F398" s="62"/>
      <c r="G398" s="64"/>
      <c r="H398" s="65"/>
      <c r="I398" s="65"/>
      <c r="J398" s="65">
        <f>J399+J411</f>
        <v>1354922.102315</v>
      </c>
      <c r="K398" s="86"/>
      <c r="L398" s="86"/>
    </row>
    <row r="399" spans="1:12" s="54" customFormat="1" ht="24.75" customHeight="1" x14ac:dyDescent="0.25">
      <c r="A399" s="66"/>
      <c r="B399" s="67" t="s">
        <v>34</v>
      </c>
      <c r="C399" s="68"/>
      <c r="D399" s="68"/>
      <c r="E399" s="68"/>
      <c r="F399" s="68"/>
      <c r="G399" s="69"/>
      <c r="H399" s="70"/>
      <c r="I399" s="70"/>
      <c r="J399" s="70">
        <f>SUM(J400:J410)</f>
        <v>1019662.335</v>
      </c>
      <c r="K399" s="72"/>
      <c r="L399" s="72"/>
    </row>
    <row r="400" spans="1:12" s="54" customFormat="1" ht="24.75" customHeight="1" x14ac:dyDescent="0.25">
      <c r="A400" s="66"/>
      <c r="B400" s="71" t="s">
        <v>44</v>
      </c>
      <c r="C400" s="72"/>
      <c r="D400" s="72" t="s">
        <v>45</v>
      </c>
      <c r="E400" s="72"/>
      <c r="F400" s="72"/>
      <c r="G400" s="73">
        <v>33.94</v>
      </c>
      <c r="H400" s="70">
        <f t="shared" ref="H400:H410" si="44">SUM(G400:G400)</f>
        <v>33.94</v>
      </c>
      <c r="I400" s="74">
        <v>4939</v>
      </c>
      <c r="J400" s="74">
        <f>I400*H400</f>
        <v>167629.65999999997</v>
      </c>
      <c r="K400" s="72"/>
      <c r="L400" s="72"/>
    </row>
    <row r="401" spans="1:12" s="54" customFormat="1" ht="24.75" customHeight="1" x14ac:dyDescent="0.25">
      <c r="A401" s="66"/>
      <c r="B401" s="71" t="s">
        <v>102</v>
      </c>
      <c r="C401" s="72"/>
      <c r="D401" s="72" t="s">
        <v>45</v>
      </c>
      <c r="E401" s="72"/>
      <c r="F401" s="72"/>
      <c r="G401" s="73">
        <v>2.58</v>
      </c>
      <c r="H401" s="70">
        <f t="shared" si="44"/>
        <v>2.58</v>
      </c>
      <c r="I401" s="74">
        <v>5845</v>
      </c>
      <c r="J401" s="74">
        <f t="shared" ref="J401" si="45">I401*H401</f>
        <v>15080.1</v>
      </c>
      <c r="K401" s="72"/>
      <c r="L401" s="72"/>
    </row>
    <row r="402" spans="1:12" s="54" customFormat="1" ht="24.75" customHeight="1" x14ac:dyDescent="0.25">
      <c r="A402" s="66"/>
      <c r="B402" s="71" t="s">
        <v>46</v>
      </c>
      <c r="C402" s="72"/>
      <c r="D402" s="72" t="s">
        <v>47</v>
      </c>
      <c r="E402" s="72"/>
      <c r="F402" s="72"/>
      <c r="G402" s="73">
        <v>154.52000000000001</v>
      </c>
      <c r="H402" s="70">
        <f t="shared" si="44"/>
        <v>154.52000000000001</v>
      </c>
      <c r="I402" s="74">
        <v>1461</v>
      </c>
      <c r="J402" s="74">
        <f>I402*H402</f>
        <v>225753.72</v>
      </c>
      <c r="K402" s="72"/>
      <c r="L402" s="72"/>
    </row>
    <row r="403" spans="1:12" s="54" customFormat="1" ht="24.75" customHeight="1" x14ac:dyDescent="0.25">
      <c r="A403" s="66"/>
      <c r="B403" s="71" t="s">
        <v>48</v>
      </c>
      <c r="C403" s="72"/>
      <c r="D403" s="72" t="s">
        <v>47</v>
      </c>
      <c r="E403" s="72"/>
      <c r="F403" s="72"/>
      <c r="G403" s="73">
        <v>31.58</v>
      </c>
      <c r="H403" s="70">
        <f t="shared" si="44"/>
        <v>31.58</v>
      </c>
      <c r="I403" s="74">
        <v>1461</v>
      </c>
      <c r="J403" s="74">
        <f>I403*H403</f>
        <v>46138.38</v>
      </c>
      <c r="K403" s="72"/>
      <c r="L403" s="72"/>
    </row>
    <row r="404" spans="1:12" s="54" customFormat="1" ht="24.75" customHeight="1" x14ac:dyDescent="0.25">
      <c r="A404" s="66"/>
      <c r="B404" s="71" t="s">
        <v>103</v>
      </c>
      <c r="C404" s="72"/>
      <c r="D404" s="72" t="s">
        <v>47</v>
      </c>
      <c r="E404" s="72"/>
      <c r="F404" s="72"/>
      <c r="G404" s="73">
        <v>159.29</v>
      </c>
      <c r="H404" s="70">
        <f t="shared" si="44"/>
        <v>159.29</v>
      </c>
      <c r="I404" s="74">
        <v>1461</v>
      </c>
      <c r="J404" s="74">
        <f>I404*H404</f>
        <v>232722.69</v>
      </c>
      <c r="K404" s="72"/>
      <c r="L404" s="72"/>
    </row>
    <row r="405" spans="1:12" s="54" customFormat="1" ht="24.75" customHeight="1" x14ac:dyDescent="0.25">
      <c r="A405" s="66"/>
      <c r="B405" s="71" t="s">
        <v>104</v>
      </c>
      <c r="C405" s="72"/>
      <c r="D405" s="72" t="s">
        <v>47</v>
      </c>
      <c r="E405" s="72"/>
      <c r="F405" s="72"/>
      <c r="G405" s="73">
        <v>141.18</v>
      </c>
      <c r="H405" s="70">
        <f t="shared" si="44"/>
        <v>141.18</v>
      </c>
      <c r="I405" s="74">
        <v>1461</v>
      </c>
      <c r="J405" s="74">
        <f>I405*H405</f>
        <v>206263.98</v>
      </c>
      <c r="K405" s="72"/>
      <c r="L405" s="72"/>
    </row>
    <row r="406" spans="1:12" s="54" customFormat="1" ht="24.75" customHeight="1" x14ac:dyDescent="0.25">
      <c r="A406" s="66"/>
      <c r="B406" s="71" t="s">
        <v>49</v>
      </c>
      <c r="C406" s="72"/>
      <c r="D406" s="72" t="s">
        <v>47</v>
      </c>
      <c r="E406" s="72"/>
      <c r="F406" s="72"/>
      <c r="G406" s="73">
        <v>39.32</v>
      </c>
      <c r="H406" s="70">
        <f t="shared" si="44"/>
        <v>39.32</v>
      </c>
      <c r="I406" s="74">
        <v>1610</v>
      </c>
      <c r="J406" s="74">
        <f t="shared" ref="J406:J409" si="46">I406*H406</f>
        <v>63305.2</v>
      </c>
      <c r="K406" s="72"/>
      <c r="L406" s="72"/>
    </row>
    <row r="407" spans="1:12" s="54" customFormat="1" ht="24.75" customHeight="1" x14ac:dyDescent="0.25">
      <c r="A407" s="66"/>
      <c r="B407" s="71" t="s">
        <v>50</v>
      </c>
      <c r="C407" s="72"/>
      <c r="D407" s="72" t="s">
        <v>51</v>
      </c>
      <c r="E407" s="72"/>
      <c r="F407" s="72"/>
      <c r="G407" s="73">
        <v>56</v>
      </c>
      <c r="H407" s="70">
        <f t="shared" si="44"/>
        <v>56</v>
      </c>
      <c r="I407" s="74">
        <v>803</v>
      </c>
      <c r="J407" s="74">
        <f t="shared" si="46"/>
        <v>44968</v>
      </c>
      <c r="K407" s="72"/>
      <c r="L407" s="72"/>
    </row>
    <row r="408" spans="1:12" s="54" customFormat="1" x14ac:dyDescent="0.25">
      <c r="A408" s="66"/>
      <c r="B408" s="71" t="s">
        <v>52</v>
      </c>
      <c r="C408" s="72" t="s">
        <v>105</v>
      </c>
      <c r="D408" s="72" t="s">
        <v>54</v>
      </c>
      <c r="E408" s="72"/>
      <c r="F408" s="72"/>
      <c r="G408" s="73">
        <v>137.57</v>
      </c>
      <c r="H408" s="70">
        <f t="shared" si="44"/>
        <v>137.57</v>
      </c>
      <c r="I408" s="74">
        <v>94.5</v>
      </c>
      <c r="J408" s="74">
        <f t="shared" si="46"/>
        <v>13000.365</v>
      </c>
      <c r="K408" s="72"/>
      <c r="L408" s="72"/>
    </row>
    <row r="409" spans="1:12" s="54" customFormat="1" ht="31.5" x14ac:dyDescent="0.25">
      <c r="A409" s="66"/>
      <c r="B409" s="71" t="s">
        <v>55</v>
      </c>
      <c r="C409" s="72"/>
      <c r="D409" s="72" t="s">
        <v>54</v>
      </c>
      <c r="E409" s="72"/>
      <c r="F409" s="72"/>
      <c r="G409" s="73">
        <v>40.68</v>
      </c>
      <c r="H409" s="70">
        <f t="shared" si="44"/>
        <v>40.68</v>
      </c>
      <c r="I409" s="74">
        <v>118</v>
      </c>
      <c r="J409" s="74">
        <f t="shared" si="46"/>
        <v>4800.24</v>
      </c>
      <c r="K409" s="72"/>
      <c r="L409" s="72"/>
    </row>
    <row r="410" spans="1:12" s="54" customFormat="1" ht="21.75" customHeight="1" x14ac:dyDescent="0.25">
      <c r="A410" s="66"/>
      <c r="B410" s="87" t="s">
        <v>56</v>
      </c>
      <c r="C410" s="88"/>
      <c r="D410" s="88" t="s">
        <v>45</v>
      </c>
      <c r="E410" s="88"/>
      <c r="F410" s="88"/>
      <c r="G410" s="73">
        <f>308.35*0.06*0.03</f>
        <v>0.55503000000000002</v>
      </c>
      <c r="H410" s="70">
        <f t="shared" si="44"/>
        <v>0.55503000000000002</v>
      </c>
      <c r="I410" s="74"/>
      <c r="J410" s="74"/>
      <c r="K410" s="88" t="s">
        <v>57</v>
      </c>
      <c r="L410" s="72"/>
    </row>
    <row r="411" spans="1:12" s="54" customFormat="1" ht="17.25" customHeight="1" x14ac:dyDescent="0.25">
      <c r="A411" s="75"/>
      <c r="B411" s="76" t="s">
        <v>38</v>
      </c>
      <c r="C411" s="77"/>
      <c r="D411" s="77"/>
      <c r="E411" s="77"/>
      <c r="F411" s="77"/>
      <c r="G411" s="78"/>
      <c r="H411" s="79"/>
      <c r="I411" s="80"/>
      <c r="J411" s="79">
        <f>SUM(J412:J440)</f>
        <v>335259.76731500006</v>
      </c>
      <c r="K411" s="77"/>
      <c r="L411" s="77"/>
    </row>
    <row r="412" spans="1:12" s="54" customFormat="1" ht="31.5" x14ac:dyDescent="0.25">
      <c r="A412" s="81"/>
      <c r="B412" s="82" t="s">
        <v>58</v>
      </c>
      <c r="C412" s="77" t="s">
        <v>59</v>
      </c>
      <c r="D412" s="77" t="s">
        <v>60</v>
      </c>
      <c r="E412" s="78">
        <v>12.4</v>
      </c>
      <c r="F412" s="77">
        <v>0.25</v>
      </c>
      <c r="G412" s="83">
        <f>G400/F412*E412</f>
        <v>1683.424</v>
      </c>
      <c r="H412" s="84">
        <f t="shared" ref="H412:H439" si="47">SUM(G412:G412)</f>
        <v>1683.424</v>
      </c>
      <c r="I412" s="80">
        <v>0</v>
      </c>
      <c r="J412" s="80">
        <f>H412*I412</f>
        <v>0</v>
      </c>
      <c r="K412" s="77" t="s">
        <v>61</v>
      </c>
      <c r="L412" s="77" t="s">
        <v>320</v>
      </c>
    </row>
    <row r="413" spans="1:12" s="54" customFormat="1" ht="31.5" x14ac:dyDescent="0.25">
      <c r="A413" s="81"/>
      <c r="B413" s="82" t="s">
        <v>62</v>
      </c>
      <c r="C413" s="77" t="s">
        <v>63</v>
      </c>
      <c r="D413" s="77" t="s">
        <v>60</v>
      </c>
      <c r="E413" s="78">
        <v>12.4</v>
      </c>
      <c r="F413" s="77"/>
      <c r="G413" s="83">
        <f>G402*E413</f>
        <v>1916.0480000000002</v>
      </c>
      <c r="H413" s="84">
        <f t="shared" si="47"/>
        <v>1916.0480000000002</v>
      </c>
      <c r="I413" s="80">
        <v>0</v>
      </c>
      <c r="J413" s="80">
        <f>H413*I413</f>
        <v>0</v>
      </c>
      <c r="K413" s="77" t="s">
        <v>61</v>
      </c>
      <c r="L413" s="77" t="s">
        <v>320</v>
      </c>
    </row>
    <row r="414" spans="1:12" s="54" customFormat="1" ht="31.5" x14ac:dyDescent="0.25">
      <c r="A414" s="81"/>
      <c r="B414" s="82" t="s">
        <v>64</v>
      </c>
      <c r="C414" s="77" t="s">
        <v>65</v>
      </c>
      <c r="D414" s="77" t="s">
        <v>60</v>
      </c>
      <c r="E414" s="78">
        <v>12.4</v>
      </c>
      <c r="F414" s="77"/>
      <c r="G414" s="83">
        <f>G403*E414</f>
        <v>391.59199999999998</v>
      </c>
      <c r="H414" s="84">
        <f t="shared" si="47"/>
        <v>391.59199999999998</v>
      </c>
      <c r="I414" s="80">
        <v>0</v>
      </c>
      <c r="J414" s="80">
        <f>H414*I414</f>
        <v>0</v>
      </c>
      <c r="K414" s="77" t="s">
        <v>61</v>
      </c>
      <c r="L414" s="77" t="s">
        <v>320</v>
      </c>
    </row>
    <row r="415" spans="1:12" s="54" customFormat="1" ht="31.5" x14ac:dyDescent="0.25">
      <c r="A415" s="81"/>
      <c r="B415" s="82" t="s">
        <v>106</v>
      </c>
      <c r="C415" s="77" t="s">
        <v>107</v>
      </c>
      <c r="D415" s="77" t="s">
        <v>60</v>
      </c>
      <c r="E415" s="78">
        <v>12.4</v>
      </c>
      <c r="F415" s="77"/>
      <c r="G415" s="83">
        <f>G404*E415</f>
        <v>1975.1959999999999</v>
      </c>
      <c r="H415" s="84">
        <f t="shared" si="47"/>
        <v>1975.1959999999999</v>
      </c>
      <c r="I415" s="80">
        <v>0</v>
      </c>
      <c r="J415" s="80">
        <f>H415*I415</f>
        <v>0</v>
      </c>
      <c r="K415" s="77" t="s">
        <v>61</v>
      </c>
      <c r="L415" s="77" t="s">
        <v>320</v>
      </c>
    </row>
    <row r="416" spans="1:12" s="54" customFormat="1" ht="31.5" x14ac:dyDescent="0.25">
      <c r="A416" s="81"/>
      <c r="B416" s="82" t="s">
        <v>108</v>
      </c>
      <c r="C416" s="77" t="s">
        <v>109</v>
      </c>
      <c r="D416" s="77" t="s">
        <v>60</v>
      </c>
      <c r="E416" s="78">
        <v>12.4</v>
      </c>
      <c r="F416" s="77"/>
      <c r="G416" s="83">
        <f>G405*E416</f>
        <v>1750.6320000000001</v>
      </c>
      <c r="H416" s="84">
        <f t="shared" si="47"/>
        <v>1750.6320000000001</v>
      </c>
      <c r="I416" s="80">
        <v>0</v>
      </c>
      <c r="J416" s="80">
        <f>H416*I416</f>
        <v>0</v>
      </c>
      <c r="K416" s="77" t="s">
        <v>61</v>
      </c>
      <c r="L416" s="77" t="s">
        <v>320</v>
      </c>
    </row>
    <row r="417" spans="1:12" s="54" customFormat="1" ht="31.5" x14ac:dyDescent="0.25">
      <c r="A417" s="81"/>
      <c r="B417" s="89" t="s">
        <v>66</v>
      </c>
      <c r="C417" s="77" t="s">
        <v>67</v>
      </c>
      <c r="D417" s="77" t="s">
        <v>60</v>
      </c>
      <c r="E417" s="90">
        <v>42</v>
      </c>
      <c r="F417" s="90"/>
      <c r="G417" s="83">
        <f>G406*E417</f>
        <v>1651.44</v>
      </c>
      <c r="H417" s="84">
        <f t="shared" si="47"/>
        <v>1651.44</v>
      </c>
      <c r="I417" s="80">
        <v>0</v>
      </c>
      <c r="J417" s="80">
        <f t="shared" ref="J417:J439" si="48">H417*I417</f>
        <v>0</v>
      </c>
      <c r="K417" s="77" t="s">
        <v>68</v>
      </c>
      <c r="L417" s="77" t="s">
        <v>320</v>
      </c>
    </row>
    <row r="418" spans="1:12" s="54" customFormat="1" ht="31.5" x14ac:dyDescent="0.25">
      <c r="A418" s="81"/>
      <c r="B418" s="89" t="s">
        <v>110</v>
      </c>
      <c r="C418" s="77" t="s">
        <v>111</v>
      </c>
      <c r="D418" s="77" t="s">
        <v>60</v>
      </c>
      <c r="E418" s="90">
        <v>42</v>
      </c>
      <c r="F418" s="90"/>
      <c r="G418" s="83">
        <f>G401/0.25*E418</f>
        <v>433.44</v>
      </c>
      <c r="H418" s="84">
        <f t="shared" si="47"/>
        <v>433.44</v>
      </c>
      <c r="I418" s="80">
        <v>0</v>
      </c>
      <c r="J418" s="80">
        <f t="shared" si="48"/>
        <v>0</v>
      </c>
      <c r="K418" s="77" t="s">
        <v>68</v>
      </c>
      <c r="L418" s="77" t="s">
        <v>320</v>
      </c>
    </row>
    <row r="419" spans="1:12" s="54" customFormat="1" ht="32.25" customHeight="1" x14ac:dyDescent="0.25">
      <c r="A419" s="81"/>
      <c r="B419" s="91" t="s">
        <v>69</v>
      </c>
      <c r="C419" s="77" t="s">
        <v>70</v>
      </c>
      <c r="D419" s="77" t="s">
        <v>45</v>
      </c>
      <c r="E419" s="77">
        <v>0.19500000000000001</v>
      </c>
      <c r="F419" s="90"/>
      <c r="G419" s="78">
        <f>G400*E419+G402*E419*0.19+G403*E419*0.19+G404*E419*0.09+G405*E419*0.09</f>
        <v>18.7865535</v>
      </c>
      <c r="H419" s="79">
        <f t="shared" si="47"/>
        <v>18.7865535</v>
      </c>
      <c r="I419" s="80">
        <v>7875</v>
      </c>
      <c r="J419" s="80">
        <f t="shared" si="48"/>
        <v>147944.1088125</v>
      </c>
      <c r="K419" s="77" t="s">
        <v>71</v>
      </c>
      <c r="L419" s="77" t="s">
        <v>321</v>
      </c>
    </row>
    <row r="420" spans="1:12" s="54" customFormat="1" ht="32.25" customHeight="1" x14ac:dyDescent="0.25">
      <c r="A420" s="92"/>
      <c r="B420" s="91" t="s">
        <v>112</v>
      </c>
      <c r="C420" s="77" t="s">
        <v>70</v>
      </c>
      <c r="D420" s="77" t="s">
        <v>45</v>
      </c>
      <c r="E420" s="77">
        <v>0.24</v>
      </c>
      <c r="F420" s="77"/>
      <c r="G420" s="78">
        <f>G401*E420</f>
        <v>0.61919999999999997</v>
      </c>
      <c r="H420" s="79">
        <f t="shared" si="47"/>
        <v>0.61919999999999997</v>
      </c>
      <c r="I420" s="80">
        <v>7875</v>
      </c>
      <c r="J420" s="80">
        <f t="shared" si="48"/>
        <v>4876.2</v>
      </c>
      <c r="K420" s="77" t="s">
        <v>71</v>
      </c>
      <c r="L420" s="77" t="s">
        <v>321</v>
      </c>
    </row>
    <row r="421" spans="1:12" s="54" customFormat="1" ht="32.25" customHeight="1" x14ac:dyDescent="0.25">
      <c r="A421" s="92"/>
      <c r="B421" s="91" t="s">
        <v>72</v>
      </c>
      <c r="C421" s="77" t="s">
        <v>70</v>
      </c>
      <c r="D421" s="77" t="s">
        <v>45</v>
      </c>
      <c r="E421" s="77">
        <v>4.5999999999999999E-2</v>
      </c>
      <c r="F421" s="77"/>
      <c r="G421" s="78">
        <f>G406*E421</f>
        <v>1.8087199999999999</v>
      </c>
      <c r="H421" s="79">
        <f t="shared" si="47"/>
        <v>1.8087199999999999</v>
      </c>
      <c r="I421" s="80">
        <v>7875</v>
      </c>
      <c r="J421" s="80">
        <f t="shared" si="48"/>
        <v>14243.669999999998</v>
      </c>
      <c r="K421" s="77" t="s">
        <v>73</v>
      </c>
      <c r="L421" s="77" t="s">
        <v>321</v>
      </c>
    </row>
    <row r="422" spans="1:12" s="54" customFormat="1" ht="32.25" customHeight="1" x14ac:dyDescent="0.25">
      <c r="A422" s="92"/>
      <c r="B422" s="91" t="s">
        <v>74</v>
      </c>
      <c r="C422" s="77" t="s">
        <v>70</v>
      </c>
      <c r="D422" s="77" t="s">
        <v>45</v>
      </c>
      <c r="E422" s="77">
        <v>1.01</v>
      </c>
      <c r="F422" s="77"/>
      <c r="G422" s="78">
        <f>G410*E422</f>
        <v>0.56058030000000003</v>
      </c>
      <c r="H422" s="79">
        <f t="shared" si="47"/>
        <v>0.56058030000000003</v>
      </c>
      <c r="I422" s="80">
        <v>7875</v>
      </c>
      <c r="J422" s="80">
        <f t="shared" si="48"/>
        <v>4414.5698625000005</v>
      </c>
      <c r="K422" s="77" t="s">
        <v>71</v>
      </c>
      <c r="L422" s="77" t="s">
        <v>321</v>
      </c>
    </row>
    <row r="423" spans="1:12" s="54" customFormat="1" ht="32.25" customHeight="1" x14ac:dyDescent="0.25">
      <c r="A423" s="81"/>
      <c r="B423" s="89" t="s">
        <v>75</v>
      </c>
      <c r="C423" s="77" t="s">
        <v>70</v>
      </c>
      <c r="D423" s="77" t="s">
        <v>45</v>
      </c>
      <c r="E423" s="77">
        <v>6.0000000000000001E-3</v>
      </c>
      <c r="F423" s="77"/>
      <c r="G423" s="78">
        <f>G407*E423</f>
        <v>0.33600000000000002</v>
      </c>
      <c r="H423" s="79">
        <f t="shared" si="47"/>
        <v>0.33600000000000002</v>
      </c>
      <c r="I423" s="80">
        <v>7875</v>
      </c>
      <c r="J423" s="80">
        <f t="shared" si="48"/>
        <v>2646</v>
      </c>
      <c r="K423" s="77" t="s">
        <v>76</v>
      </c>
      <c r="L423" s="77" t="s">
        <v>321</v>
      </c>
    </row>
    <row r="424" spans="1:12" s="54" customFormat="1" ht="32.25" customHeight="1" x14ac:dyDescent="0.25">
      <c r="A424" s="81"/>
      <c r="B424" s="89" t="s">
        <v>77</v>
      </c>
      <c r="C424" s="77" t="s">
        <v>70</v>
      </c>
      <c r="D424" s="77" t="s">
        <v>45</v>
      </c>
      <c r="E424" s="77">
        <v>1.01</v>
      </c>
      <c r="F424" s="77"/>
      <c r="G424" s="93">
        <v>0.08</v>
      </c>
      <c r="H424" s="79">
        <f t="shared" si="47"/>
        <v>0.08</v>
      </c>
      <c r="I424" s="80">
        <v>7875</v>
      </c>
      <c r="J424" s="80">
        <f t="shared" si="48"/>
        <v>630</v>
      </c>
      <c r="K424" s="94"/>
      <c r="L424" s="77" t="s">
        <v>321</v>
      </c>
    </row>
    <row r="425" spans="1:12" s="54" customFormat="1" ht="24.75" customHeight="1" x14ac:dyDescent="0.25">
      <c r="A425" s="81"/>
      <c r="B425" s="89" t="s">
        <v>78</v>
      </c>
      <c r="C425" s="77" t="s">
        <v>79</v>
      </c>
      <c r="D425" s="77" t="s">
        <v>47</v>
      </c>
      <c r="E425" s="77"/>
      <c r="F425" s="77"/>
      <c r="G425" s="78">
        <v>183.5</v>
      </c>
      <c r="H425" s="79">
        <f t="shared" si="47"/>
        <v>183.5</v>
      </c>
      <c r="I425" s="80">
        <v>88.34</v>
      </c>
      <c r="J425" s="80">
        <f t="shared" si="48"/>
        <v>16210.390000000001</v>
      </c>
      <c r="K425" s="94"/>
      <c r="L425" s="77" t="s">
        <v>321</v>
      </c>
    </row>
    <row r="426" spans="1:12" s="54" customFormat="1" ht="24.75" customHeight="1" x14ac:dyDescent="0.25">
      <c r="A426" s="81"/>
      <c r="B426" s="89" t="s">
        <v>113</v>
      </c>
      <c r="C426" s="77" t="s">
        <v>114</v>
      </c>
      <c r="D426" s="77" t="s">
        <v>60</v>
      </c>
      <c r="E426" s="77"/>
      <c r="F426" s="77"/>
      <c r="G426" s="78">
        <v>12</v>
      </c>
      <c r="H426" s="79">
        <f t="shared" si="47"/>
        <v>12</v>
      </c>
      <c r="I426" s="80">
        <v>398.6</v>
      </c>
      <c r="J426" s="80">
        <f t="shared" si="48"/>
        <v>4783.2000000000007</v>
      </c>
      <c r="K426" s="94"/>
      <c r="L426" s="77" t="s">
        <v>321</v>
      </c>
    </row>
    <row r="427" spans="1:12" s="54" customFormat="1" ht="24.75" customHeight="1" x14ac:dyDescent="0.25">
      <c r="A427" s="81"/>
      <c r="B427" s="89" t="s">
        <v>115</v>
      </c>
      <c r="C427" s="77" t="s">
        <v>116</v>
      </c>
      <c r="D427" s="77" t="s">
        <v>60</v>
      </c>
      <c r="E427" s="77"/>
      <c r="F427" s="77"/>
      <c r="G427" s="78">
        <v>9</v>
      </c>
      <c r="H427" s="79">
        <f t="shared" si="47"/>
        <v>9</v>
      </c>
      <c r="I427" s="80">
        <v>465.03</v>
      </c>
      <c r="J427" s="80">
        <f t="shared" si="48"/>
        <v>4185.2699999999995</v>
      </c>
      <c r="K427" s="94"/>
      <c r="L427" s="77" t="s">
        <v>321</v>
      </c>
    </row>
    <row r="428" spans="1:12" s="54" customFormat="1" ht="24.75" customHeight="1" x14ac:dyDescent="0.25">
      <c r="A428" s="81"/>
      <c r="B428" s="89" t="s">
        <v>117</v>
      </c>
      <c r="C428" s="77" t="s">
        <v>118</v>
      </c>
      <c r="D428" s="77" t="s">
        <v>60</v>
      </c>
      <c r="E428" s="77"/>
      <c r="F428" s="77"/>
      <c r="G428" s="78">
        <v>1</v>
      </c>
      <c r="H428" s="79">
        <f t="shared" si="47"/>
        <v>1</v>
      </c>
      <c r="I428" s="80">
        <v>841.49</v>
      </c>
      <c r="J428" s="80">
        <f t="shared" si="48"/>
        <v>841.49</v>
      </c>
      <c r="K428" s="94"/>
      <c r="L428" s="77" t="s">
        <v>321</v>
      </c>
    </row>
    <row r="429" spans="1:12" s="54" customFormat="1" ht="24.75" customHeight="1" x14ac:dyDescent="0.25">
      <c r="A429" s="81"/>
      <c r="B429" s="89" t="s">
        <v>119</v>
      </c>
      <c r="C429" s="77" t="s">
        <v>120</v>
      </c>
      <c r="D429" s="77" t="s">
        <v>60</v>
      </c>
      <c r="E429" s="77"/>
      <c r="F429" s="77"/>
      <c r="G429" s="78">
        <v>10</v>
      </c>
      <c r="H429" s="79">
        <f t="shared" si="47"/>
        <v>10</v>
      </c>
      <c r="I429" s="80">
        <v>981.74</v>
      </c>
      <c r="J429" s="80">
        <f t="shared" si="48"/>
        <v>9817.4</v>
      </c>
      <c r="K429" s="94"/>
      <c r="L429" s="77" t="s">
        <v>321</v>
      </c>
    </row>
    <row r="430" spans="1:12" s="54" customFormat="1" ht="24.75" customHeight="1" x14ac:dyDescent="0.25">
      <c r="A430" s="81"/>
      <c r="B430" s="89" t="s">
        <v>121</v>
      </c>
      <c r="C430" s="77" t="s">
        <v>122</v>
      </c>
      <c r="D430" s="77" t="s">
        <v>60</v>
      </c>
      <c r="E430" s="77"/>
      <c r="F430" s="77"/>
      <c r="G430" s="78">
        <v>3</v>
      </c>
      <c r="H430" s="79">
        <f t="shared" si="47"/>
        <v>3</v>
      </c>
      <c r="I430" s="80">
        <v>1291.76</v>
      </c>
      <c r="J430" s="80">
        <f t="shared" si="48"/>
        <v>3875.2799999999997</v>
      </c>
      <c r="K430" s="94"/>
      <c r="L430" s="77" t="s">
        <v>321</v>
      </c>
    </row>
    <row r="431" spans="1:12" s="54" customFormat="1" ht="24.75" customHeight="1" x14ac:dyDescent="0.25">
      <c r="A431" s="81"/>
      <c r="B431" s="89" t="s">
        <v>123</v>
      </c>
      <c r="C431" s="77" t="s">
        <v>124</v>
      </c>
      <c r="D431" s="77" t="s">
        <v>60</v>
      </c>
      <c r="E431" s="77"/>
      <c r="F431" s="77"/>
      <c r="G431" s="78">
        <v>1</v>
      </c>
      <c r="H431" s="79">
        <f t="shared" si="47"/>
        <v>1</v>
      </c>
      <c r="I431" s="80">
        <v>1845.38</v>
      </c>
      <c r="J431" s="80">
        <f t="shared" si="48"/>
        <v>1845.38</v>
      </c>
      <c r="K431" s="94"/>
      <c r="L431" s="77" t="s">
        <v>321</v>
      </c>
    </row>
    <row r="432" spans="1:12" s="54" customFormat="1" ht="24.75" customHeight="1" x14ac:dyDescent="0.25">
      <c r="A432" s="81"/>
      <c r="B432" s="89" t="s">
        <v>125</v>
      </c>
      <c r="C432" s="77" t="s">
        <v>126</v>
      </c>
      <c r="D432" s="77" t="s">
        <v>60</v>
      </c>
      <c r="E432" s="77"/>
      <c r="F432" s="77"/>
      <c r="G432" s="78">
        <v>8</v>
      </c>
      <c r="H432" s="79">
        <f t="shared" si="47"/>
        <v>8</v>
      </c>
      <c r="I432" s="80">
        <v>2029.91</v>
      </c>
      <c r="J432" s="80">
        <f t="shared" si="48"/>
        <v>16239.28</v>
      </c>
      <c r="K432" s="94"/>
      <c r="L432" s="77" t="s">
        <v>321</v>
      </c>
    </row>
    <row r="433" spans="1:12" s="54" customFormat="1" ht="24.75" customHeight="1" x14ac:dyDescent="0.25">
      <c r="A433" s="81"/>
      <c r="B433" s="89" t="s">
        <v>127</v>
      </c>
      <c r="C433" s="77" t="s">
        <v>128</v>
      </c>
      <c r="D433" s="77" t="s">
        <v>60</v>
      </c>
      <c r="E433" s="77"/>
      <c r="F433" s="77"/>
      <c r="G433" s="78">
        <v>11</v>
      </c>
      <c r="H433" s="79">
        <f t="shared" si="47"/>
        <v>11</v>
      </c>
      <c r="I433" s="80">
        <v>2398.9899999999998</v>
      </c>
      <c r="J433" s="80">
        <f t="shared" si="48"/>
        <v>26388.89</v>
      </c>
      <c r="K433" s="94"/>
      <c r="L433" s="77" t="s">
        <v>321</v>
      </c>
    </row>
    <row r="434" spans="1:12" s="54" customFormat="1" ht="24.75" customHeight="1" x14ac:dyDescent="0.25">
      <c r="A434" s="81"/>
      <c r="B434" s="89" t="s">
        <v>129</v>
      </c>
      <c r="C434" s="77" t="s">
        <v>130</v>
      </c>
      <c r="D434" s="77" t="s">
        <v>60</v>
      </c>
      <c r="E434" s="77"/>
      <c r="F434" s="77"/>
      <c r="G434" s="78">
        <v>1</v>
      </c>
      <c r="H434" s="79">
        <f t="shared" si="47"/>
        <v>1</v>
      </c>
      <c r="I434" s="80">
        <v>2583.5300000000002</v>
      </c>
      <c r="J434" s="80">
        <f t="shared" si="48"/>
        <v>2583.5300000000002</v>
      </c>
      <c r="K434" s="94"/>
      <c r="L434" s="77" t="s">
        <v>321</v>
      </c>
    </row>
    <row r="435" spans="1:12" s="54" customFormat="1" ht="24.75" customHeight="1" x14ac:dyDescent="0.25">
      <c r="A435" s="81"/>
      <c r="B435" s="89" t="s">
        <v>92</v>
      </c>
      <c r="C435" s="77" t="s">
        <v>93</v>
      </c>
      <c r="D435" s="77" t="s">
        <v>54</v>
      </c>
      <c r="E435" s="77">
        <v>1.04</v>
      </c>
      <c r="F435" s="77"/>
      <c r="G435" s="78">
        <f>155.29*E435</f>
        <v>161.5016</v>
      </c>
      <c r="H435" s="79">
        <f t="shared" si="47"/>
        <v>161.5016</v>
      </c>
      <c r="I435" s="80">
        <v>66.349999999999994</v>
      </c>
      <c r="J435" s="80">
        <f t="shared" si="48"/>
        <v>10715.631159999999</v>
      </c>
      <c r="K435" s="94"/>
      <c r="L435" s="77" t="s">
        <v>321</v>
      </c>
    </row>
    <row r="436" spans="1:12" s="54" customFormat="1" ht="24.75" customHeight="1" x14ac:dyDescent="0.25">
      <c r="A436" s="81"/>
      <c r="B436" s="89" t="s">
        <v>94</v>
      </c>
      <c r="C436" s="77" t="s">
        <v>95</v>
      </c>
      <c r="D436" s="77" t="s">
        <v>54</v>
      </c>
      <c r="E436" s="77">
        <v>1.04</v>
      </c>
      <c r="F436" s="77"/>
      <c r="G436" s="78">
        <f>G409*E436</f>
        <v>42.307200000000002</v>
      </c>
      <c r="H436" s="79">
        <f t="shared" si="47"/>
        <v>42.307200000000002</v>
      </c>
      <c r="I436" s="80">
        <v>64</v>
      </c>
      <c r="J436" s="80">
        <f t="shared" si="48"/>
        <v>2707.6608000000001</v>
      </c>
      <c r="K436" s="94"/>
      <c r="L436" s="77" t="s">
        <v>321</v>
      </c>
    </row>
    <row r="437" spans="1:12" s="54" customFormat="1" ht="24.75" customHeight="1" x14ac:dyDescent="0.25">
      <c r="A437" s="81"/>
      <c r="B437" s="89" t="s">
        <v>131</v>
      </c>
      <c r="C437" s="77" t="s">
        <v>39</v>
      </c>
      <c r="D437" s="77" t="s">
        <v>54</v>
      </c>
      <c r="E437" s="77">
        <v>1.04</v>
      </c>
      <c r="F437" s="77"/>
      <c r="G437" s="78">
        <f>85.59*E437</f>
        <v>89.013600000000011</v>
      </c>
      <c r="H437" s="79">
        <f t="shared" si="47"/>
        <v>89.013600000000011</v>
      </c>
      <c r="I437" s="80">
        <v>64.209999999999994</v>
      </c>
      <c r="J437" s="80">
        <f t="shared" si="48"/>
        <v>5715.5632560000004</v>
      </c>
      <c r="K437" s="94"/>
      <c r="L437" s="77" t="s">
        <v>321</v>
      </c>
    </row>
    <row r="438" spans="1:12" s="54" customFormat="1" ht="24.75" customHeight="1" x14ac:dyDescent="0.25">
      <c r="A438" s="81"/>
      <c r="B438" s="89" t="s">
        <v>97</v>
      </c>
      <c r="C438" s="77" t="s">
        <v>39</v>
      </c>
      <c r="D438" s="77" t="s">
        <v>54</v>
      </c>
      <c r="E438" s="77">
        <v>1.04</v>
      </c>
      <c r="F438" s="77"/>
      <c r="G438" s="78">
        <f>E438*23.1</f>
        <v>24.024000000000001</v>
      </c>
      <c r="H438" s="79">
        <f t="shared" si="47"/>
        <v>24.024000000000001</v>
      </c>
      <c r="I438" s="80">
        <v>74.92</v>
      </c>
      <c r="J438" s="80">
        <f t="shared" si="48"/>
        <v>1799.8780800000002</v>
      </c>
      <c r="K438" s="94"/>
      <c r="L438" s="77" t="s">
        <v>321</v>
      </c>
    </row>
    <row r="439" spans="1:12" s="54" customFormat="1" ht="24.75" customHeight="1" x14ac:dyDescent="0.25">
      <c r="A439" s="81"/>
      <c r="B439" s="89" t="s">
        <v>132</v>
      </c>
      <c r="C439" s="77" t="s">
        <v>39</v>
      </c>
      <c r="D439" s="77" t="s">
        <v>54</v>
      </c>
      <c r="E439" s="77">
        <v>1.04</v>
      </c>
      <c r="F439" s="77"/>
      <c r="G439" s="78">
        <f>28.88*E439</f>
        <v>30.0352</v>
      </c>
      <c r="H439" s="79">
        <f t="shared" si="47"/>
        <v>30.0352</v>
      </c>
      <c r="I439" s="80">
        <v>75.97</v>
      </c>
      <c r="J439" s="80">
        <f t="shared" si="48"/>
        <v>2281.774144</v>
      </c>
      <c r="K439" s="94"/>
      <c r="L439" s="77" t="s">
        <v>321</v>
      </c>
    </row>
    <row r="440" spans="1:12" s="101" customFormat="1" ht="30.75" customHeight="1" x14ac:dyDescent="0.25">
      <c r="A440" s="95"/>
      <c r="B440" s="96" t="s">
        <v>133</v>
      </c>
      <c r="C440" s="97" t="s">
        <v>39</v>
      </c>
      <c r="D440" s="97" t="s">
        <v>99</v>
      </c>
      <c r="E440" s="97"/>
      <c r="F440" s="97"/>
      <c r="G440" s="98"/>
      <c r="H440" s="99">
        <f>J440*100/J399</f>
        <v>4.9540518920903365</v>
      </c>
      <c r="I440" s="79"/>
      <c r="J440" s="79">
        <v>50514.601200000005</v>
      </c>
      <c r="K440" s="100"/>
      <c r="L440" s="97" t="s">
        <v>321</v>
      </c>
    </row>
    <row r="441" spans="1:12" s="54" customFormat="1" ht="19.5" customHeight="1" x14ac:dyDescent="0.25">
      <c r="A441" s="60" t="s">
        <v>150</v>
      </c>
      <c r="B441" s="61" t="s">
        <v>151</v>
      </c>
      <c r="C441" s="62"/>
      <c r="D441" s="63"/>
      <c r="E441" s="62"/>
      <c r="F441" s="62"/>
      <c r="G441" s="64"/>
      <c r="H441" s="65"/>
      <c r="I441" s="65"/>
      <c r="J441" s="65">
        <f>J442+J454</f>
        <v>1354922.102315</v>
      </c>
      <c r="K441" s="86"/>
      <c r="L441" s="86"/>
    </row>
    <row r="442" spans="1:12" s="54" customFormat="1" ht="19.5" customHeight="1" x14ac:dyDescent="0.25">
      <c r="A442" s="66"/>
      <c r="B442" s="67" t="s">
        <v>34</v>
      </c>
      <c r="C442" s="68"/>
      <c r="D442" s="68"/>
      <c r="E442" s="68"/>
      <c r="F442" s="68"/>
      <c r="G442" s="69"/>
      <c r="H442" s="70"/>
      <c r="I442" s="70"/>
      <c r="J442" s="70">
        <f>SUM(J443:J453)</f>
        <v>1019662.335</v>
      </c>
      <c r="K442" s="72"/>
      <c r="L442" s="72"/>
    </row>
    <row r="443" spans="1:12" s="54" customFormat="1" ht="27.75" customHeight="1" x14ac:dyDescent="0.25">
      <c r="A443" s="66"/>
      <c r="B443" s="71" t="s">
        <v>44</v>
      </c>
      <c r="C443" s="72"/>
      <c r="D443" s="72" t="s">
        <v>45</v>
      </c>
      <c r="E443" s="72"/>
      <c r="F443" s="72"/>
      <c r="G443" s="73">
        <v>33.94</v>
      </c>
      <c r="H443" s="70">
        <f t="shared" ref="H443:H453" si="49">SUM(G443:G443)</f>
        <v>33.94</v>
      </c>
      <c r="I443" s="74">
        <v>4939</v>
      </c>
      <c r="J443" s="74">
        <f>I443*H443</f>
        <v>167629.65999999997</v>
      </c>
      <c r="K443" s="72"/>
      <c r="L443" s="72"/>
    </row>
    <row r="444" spans="1:12" s="54" customFormat="1" ht="27.75" customHeight="1" x14ac:dyDescent="0.25">
      <c r="A444" s="66"/>
      <c r="B444" s="71" t="s">
        <v>102</v>
      </c>
      <c r="C444" s="72"/>
      <c r="D444" s="72" t="s">
        <v>45</v>
      </c>
      <c r="E444" s="72"/>
      <c r="F444" s="72"/>
      <c r="G444" s="73">
        <v>2.58</v>
      </c>
      <c r="H444" s="70">
        <f t="shared" si="49"/>
        <v>2.58</v>
      </c>
      <c r="I444" s="74">
        <v>5845</v>
      </c>
      <c r="J444" s="74">
        <f t="shared" ref="J444" si="50">I444*H444</f>
        <v>15080.1</v>
      </c>
      <c r="K444" s="72"/>
      <c r="L444" s="72"/>
    </row>
    <row r="445" spans="1:12" s="54" customFormat="1" ht="27.75" customHeight="1" x14ac:dyDescent="0.25">
      <c r="A445" s="66"/>
      <c r="B445" s="71" t="s">
        <v>46</v>
      </c>
      <c r="C445" s="72"/>
      <c r="D445" s="72" t="s">
        <v>47</v>
      </c>
      <c r="E445" s="72"/>
      <c r="F445" s="72"/>
      <c r="G445" s="73">
        <v>154.52000000000001</v>
      </c>
      <c r="H445" s="70">
        <f t="shared" si="49"/>
        <v>154.52000000000001</v>
      </c>
      <c r="I445" s="74">
        <v>1461</v>
      </c>
      <c r="J445" s="74">
        <f>I445*H445</f>
        <v>225753.72</v>
      </c>
      <c r="K445" s="72"/>
      <c r="L445" s="72"/>
    </row>
    <row r="446" spans="1:12" s="54" customFormat="1" ht="27.75" customHeight="1" x14ac:dyDescent="0.25">
      <c r="A446" s="66"/>
      <c r="B446" s="71" t="s">
        <v>48</v>
      </c>
      <c r="C446" s="72"/>
      <c r="D446" s="72" t="s">
        <v>47</v>
      </c>
      <c r="E446" s="72"/>
      <c r="F446" s="72"/>
      <c r="G446" s="73">
        <v>31.58</v>
      </c>
      <c r="H446" s="70">
        <f t="shared" si="49"/>
        <v>31.58</v>
      </c>
      <c r="I446" s="74">
        <v>1461</v>
      </c>
      <c r="J446" s="74">
        <f>I446*H446</f>
        <v>46138.38</v>
      </c>
      <c r="K446" s="72"/>
      <c r="L446" s="72"/>
    </row>
    <row r="447" spans="1:12" s="54" customFormat="1" ht="27.75" customHeight="1" x14ac:dyDescent="0.25">
      <c r="A447" s="66"/>
      <c r="B447" s="71" t="s">
        <v>103</v>
      </c>
      <c r="C447" s="72"/>
      <c r="D447" s="72" t="s">
        <v>47</v>
      </c>
      <c r="E447" s="72"/>
      <c r="F447" s="72"/>
      <c r="G447" s="73">
        <v>159.29</v>
      </c>
      <c r="H447" s="70">
        <f t="shared" si="49"/>
        <v>159.29</v>
      </c>
      <c r="I447" s="74">
        <v>1461</v>
      </c>
      <c r="J447" s="74">
        <f>I447*H447</f>
        <v>232722.69</v>
      </c>
      <c r="K447" s="72"/>
      <c r="L447" s="72"/>
    </row>
    <row r="448" spans="1:12" s="54" customFormat="1" ht="27.75" customHeight="1" x14ac:dyDescent="0.25">
      <c r="A448" s="66"/>
      <c r="B448" s="71" t="s">
        <v>104</v>
      </c>
      <c r="C448" s="72"/>
      <c r="D448" s="72" t="s">
        <v>47</v>
      </c>
      <c r="E448" s="72"/>
      <c r="F448" s="72"/>
      <c r="G448" s="73">
        <v>141.18</v>
      </c>
      <c r="H448" s="70">
        <f t="shared" si="49"/>
        <v>141.18</v>
      </c>
      <c r="I448" s="74">
        <v>1461</v>
      </c>
      <c r="J448" s="74">
        <f>I448*H448</f>
        <v>206263.98</v>
      </c>
      <c r="K448" s="72"/>
      <c r="L448" s="72"/>
    </row>
    <row r="449" spans="1:12" s="54" customFormat="1" ht="27.75" customHeight="1" x14ac:dyDescent="0.25">
      <c r="A449" s="66"/>
      <c r="B449" s="71" t="s">
        <v>49</v>
      </c>
      <c r="C449" s="72"/>
      <c r="D449" s="72" t="s">
        <v>47</v>
      </c>
      <c r="E449" s="72"/>
      <c r="F449" s="72"/>
      <c r="G449" s="73">
        <v>39.32</v>
      </c>
      <c r="H449" s="70">
        <f t="shared" si="49"/>
        <v>39.32</v>
      </c>
      <c r="I449" s="74">
        <v>1610</v>
      </c>
      <c r="J449" s="74">
        <f t="shared" ref="J449:J452" si="51">I449*H449</f>
        <v>63305.2</v>
      </c>
      <c r="K449" s="72"/>
      <c r="L449" s="72"/>
    </row>
    <row r="450" spans="1:12" s="54" customFormat="1" ht="27.75" customHeight="1" x14ac:dyDescent="0.25">
      <c r="A450" s="66"/>
      <c r="B450" s="71" t="s">
        <v>50</v>
      </c>
      <c r="C450" s="72"/>
      <c r="D450" s="72" t="s">
        <v>51</v>
      </c>
      <c r="E450" s="72"/>
      <c r="F450" s="72"/>
      <c r="G450" s="73">
        <v>56</v>
      </c>
      <c r="H450" s="70">
        <f t="shared" si="49"/>
        <v>56</v>
      </c>
      <c r="I450" s="74">
        <v>803</v>
      </c>
      <c r="J450" s="74">
        <f t="shared" si="51"/>
        <v>44968</v>
      </c>
      <c r="K450" s="72"/>
      <c r="L450" s="72"/>
    </row>
    <row r="451" spans="1:12" s="54" customFormat="1" ht="27.75" customHeight="1" x14ac:dyDescent="0.25">
      <c r="A451" s="66"/>
      <c r="B451" s="71" t="s">
        <v>52</v>
      </c>
      <c r="C451" s="72" t="s">
        <v>105</v>
      </c>
      <c r="D451" s="72" t="s">
        <v>54</v>
      </c>
      <c r="E451" s="72"/>
      <c r="F451" s="72"/>
      <c r="G451" s="73">
        <v>137.57</v>
      </c>
      <c r="H451" s="70">
        <f t="shared" si="49"/>
        <v>137.57</v>
      </c>
      <c r="I451" s="74">
        <v>94.5</v>
      </c>
      <c r="J451" s="74">
        <f t="shared" si="51"/>
        <v>13000.365</v>
      </c>
      <c r="K451" s="72"/>
      <c r="L451" s="72"/>
    </row>
    <row r="452" spans="1:12" s="54" customFormat="1" ht="36.75" customHeight="1" x14ac:dyDescent="0.25">
      <c r="A452" s="66"/>
      <c r="B452" s="71" t="s">
        <v>55</v>
      </c>
      <c r="C452" s="72"/>
      <c r="D452" s="72" t="s">
        <v>54</v>
      </c>
      <c r="E452" s="72"/>
      <c r="F452" s="72"/>
      <c r="G452" s="73">
        <v>40.68</v>
      </c>
      <c r="H452" s="70">
        <f t="shared" si="49"/>
        <v>40.68</v>
      </c>
      <c r="I452" s="74">
        <v>118</v>
      </c>
      <c r="J452" s="74">
        <f t="shared" si="51"/>
        <v>4800.24</v>
      </c>
      <c r="K452" s="72"/>
      <c r="L452" s="72"/>
    </row>
    <row r="453" spans="1:12" s="54" customFormat="1" ht="21" customHeight="1" x14ac:dyDescent="0.25">
      <c r="A453" s="66"/>
      <c r="B453" s="87" t="s">
        <v>56</v>
      </c>
      <c r="C453" s="88"/>
      <c r="D453" s="88" t="s">
        <v>45</v>
      </c>
      <c r="E453" s="88"/>
      <c r="F453" s="88"/>
      <c r="G453" s="73">
        <f>308.35*0.06*0.03</f>
        <v>0.55503000000000002</v>
      </c>
      <c r="H453" s="70">
        <f t="shared" si="49"/>
        <v>0.55503000000000002</v>
      </c>
      <c r="I453" s="74"/>
      <c r="J453" s="74"/>
      <c r="K453" s="88" t="s">
        <v>57</v>
      </c>
      <c r="L453" s="72"/>
    </row>
    <row r="454" spans="1:12" s="54" customFormat="1" ht="18" customHeight="1" x14ac:dyDescent="0.25">
      <c r="A454" s="75"/>
      <c r="B454" s="76" t="s">
        <v>38</v>
      </c>
      <c r="C454" s="77"/>
      <c r="D454" s="77"/>
      <c r="E454" s="77"/>
      <c r="F454" s="77"/>
      <c r="G454" s="78"/>
      <c r="H454" s="79"/>
      <c r="I454" s="80"/>
      <c r="J454" s="79">
        <f>SUM(J455:J483)</f>
        <v>335259.76731500006</v>
      </c>
      <c r="K454" s="77"/>
      <c r="L454" s="77"/>
    </row>
    <row r="455" spans="1:12" s="54" customFormat="1" ht="31.5" x14ac:dyDescent="0.25">
      <c r="A455" s="81"/>
      <c r="B455" s="82" t="s">
        <v>58</v>
      </c>
      <c r="C455" s="77" t="s">
        <v>59</v>
      </c>
      <c r="D455" s="77" t="s">
        <v>60</v>
      </c>
      <c r="E455" s="78">
        <v>12.4</v>
      </c>
      <c r="F455" s="77">
        <v>0.25</v>
      </c>
      <c r="G455" s="83">
        <f>G443/F455*E455</f>
        <v>1683.424</v>
      </c>
      <c r="H455" s="84">
        <f t="shared" ref="H455:H482" si="52">SUM(G455:G455)</f>
        <v>1683.424</v>
      </c>
      <c r="I455" s="80">
        <v>0</v>
      </c>
      <c r="J455" s="80">
        <f>H455*I455</f>
        <v>0</v>
      </c>
      <c r="K455" s="77" t="s">
        <v>61</v>
      </c>
      <c r="L455" s="77" t="s">
        <v>320</v>
      </c>
    </row>
    <row r="456" spans="1:12" s="54" customFormat="1" ht="31.5" x14ac:dyDescent="0.25">
      <c r="A456" s="81"/>
      <c r="B456" s="82" t="s">
        <v>62</v>
      </c>
      <c r="C456" s="77" t="s">
        <v>63</v>
      </c>
      <c r="D456" s="77" t="s">
        <v>60</v>
      </c>
      <c r="E456" s="78">
        <v>12.4</v>
      </c>
      <c r="F456" s="77"/>
      <c r="G456" s="83">
        <f>G445*E456</f>
        <v>1916.0480000000002</v>
      </c>
      <c r="H456" s="84">
        <f t="shared" si="52"/>
        <v>1916.0480000000002</v>
      </c>
      <c r="I456" s="80">
        <v>0</v>
      </c>
      <c r="J456" s="80">
        <f>H456*I456</f>
        <v>0</v>
      </c>
      <c r="K456" s="77" t="s">
        <v>61</v>
      </c>
      <c r="L456" s="77" t="s">
        <v>320</v>
      </c>
    </row>
    <row r="457" spans="1:12" s="54" customFormat="1" ht="31.5" x14ac:dyDescent="0.25">
      <c r="A457" s="81"/>
      <c r="B457" s="82" t="s">
        <v>64</v>
      </c>
      <c r="C457" s="77" t="s">
        <v>65</v>
      </c>
      <c r="D457" s="77" t="s">
        <v>60</v>
      </c>
      <c r="E457" s="78">
        <v>12.4</v>
      </c>
      <c r="F457" s="77"/>
      <c r="G457" s="83">
        <f>G446*E457</f>
        <v>391.59199999999998</v>
      </c>
      <c r="H457" s="84">
        <f t="shared" si="52"/>
        <v>391.59199999999998</v>
      </c>
      <c r="I457" s="80">
        <v>0</v>
      </c>
      <c r="J457" s="80">
        <f>H457*I457</f>
        <v>0</v>
      </c>
      <c r="K457" s="77" t="s">
        <v>61</v>
      </c>
      <c r="L457" s="77" t="s">
        <v>320</v>
      </c>
    </row>
    <row r="458" spans="1:12" s="54" customFormat="1" ht="31.5" x14ac:dyDescent="0.25">
      <c r="A458" s="81"/>
      <c r="B458" s="82" t="s">
        <v>106</v>
      </c>
      <c r="C458" s="77" t="s">
        <v>107</v>
      </c>
      <c r="D458" s="77" t="s">
        <v>60</v>
      </c>
      <c r="E458" s="78">
        <v>12.4</v>
      </c>
      <c r="F458" s="77"/>
      <c r="G458" s="83">
        <f>G447*E458</f>
        <v>1975.1959999999999</v>
      </c>
      <c r="H458" s="84">
        <f t="shared" si="52"/>
        <v>1975.1959999999999</v>
      </c>
      <c r="I458" s="80">
        <v>0</v>
      </c>
      <c r="J458" s="80">
        <f>H458*I458</f>
        <v>0</v>
      </c>
      <c r="K458" s="77" t="s">
        <v>61</v>
      </c>
      <c r="L458" s="77" t="s">
        <v>320</v>
      </c>
    </row>
    <row r="459" spans="1:12" s="54" customFormat="1" ht="31.5" x14ac:dyDescent="0.25">
      <c r="A459" s="81"/>
      <c r="B459" s="82" t="s">
        <v>108</v>
      </c>
      <c r="C459" s="77" t="s">
        <v>109</v>
      </c>
      <c r="D459" s="77" t="s">
        <v>60</v>
      </c>
      <c r="E459" s="78">
        <v>12.4</v>
      </c>
      <c r="F459" s="77"/>
      <c r="G459" s="83">
        <f>G448*E459</f>
        <v>1750.6320000000001</v>
      </c>
      <c r="H459" s="84">
        <f t="shared" si="52"/>
        <v>1750.6320000000001</v>
      </c>
      <c r="I459" s="80">
        <v>0</v>
      </c>
      <c r="J459" s="80">
        <f>H459*I459</f>
        <v>0</v>
      </c>
      <c r="K459" s="77" t="s">
        <v>61</v>
      </c>
      <c r="L459" s="77" t="s">
        <v>320</v>
      </c>
    </row>
    <row r="460" spans="1:12" s="54" customFormat="1" ht="31.5" x14ac:dyDescent="0.25">
      <c r="A460" s="81"/>
      <c r="B460" s="89" t="s">
        <v>66</v>
      </c>
      <c r="C460" s="77" t="s">
        <v>67</v>
      </c>
      <c r="D460" s="77" t="s">
        <v>60</v>
      </c>
      <c r="E460" s="90">
        <v>42</v>
      </c>
      <c r="F460" s="90"/>
      <c r="G460" s="83">
        <f>G449*E460</f>
        <v>1651.44</v>
      </c>
      <c r="H460" s="84">
        <f t="shared" si="52"/>
        <v>1651.44</v>
      </c>
      <c r="I460" s="80">
        <v>0</v>
      </c>
      <c r="J460" s="80">
        <f t="shared" ref="J460:J482" si="53">H460*I460</f>
        <v>0</v>
      </c>
      <c r="K460" s="77" t="s">
        <v>68</v>
      </c>
      <c r="L460" s="77" t="s">
        <v>320</v>
      </c>
    </row>
    <row r="461" spans="1:12" s="54" customFormat="1" ht="31.5" x14ac:dyDescent="0.25">
      <c r="A461" s="81"/>
      <c r="B461" s="89" t="s">
        <v>110</v>
      </c>
      <c r="C461" s="77" t="s">
        <v>111</v>
      </c>
      <c r="D461" s="77" t="s">
        <v>60</v>
      </c>
      <c r="E461" s="90">
        <v>42</v>
      </c>
      <c r="F461" s="90"/>
      <c r="G461" s="83">
        <f>G444/0.25*E461</f>
        <v>433.44</v>
      </c>
      <c r="H461" s="84">
        <f t="shared" si="52"/>
        <v>433.44</v>
      </c>
      <c r="I461" s="80">
        <v>0</v>
      </c>
      <c r="J461" s="80">
        <f t="shared" si="53"/>
        <v>0</v>
      </c>
      <c r="K461" s="77" t="s">
        <v>68</v>
      </c>
      <c r="L461" s="77" t="s">
        <v>320</v>
      </c>
    </row>
    <row r="462" spans="1:12" s="54" customFormat="1" ht="33" customHeight="1" x14ac:dyDescent="0.25">
      <c r="A462" s="81"/>
      <c r="B462" s="91" t="s">
        <v>69</v>
      </c>
      <c r="C462" s="77" t="s">
        <v>70</v>
      </c>
      <c r="D462" s="77" t="s">
        <v>45</v>
      </c>
      <c r="E462" s="77">
        <v>0.19500000000000001</v>
      </c>
      <c r="F462" s="90"/>
      <c r="G462" s="78">
        <f>G443*E462+G445*E462*0.19+G446*E462*0.19+G447*E462*0.09+G448*E462*0.09</f>
        <v>18.7865535</v>
      </c>
      <c r="H462" s="79">
        <f t="shared" si="52"/>
        <v>18.7865535</v>
      </c>
      <c r="I462" s="80">
        <v>7875</v>
      </c>
      <c r="J462" s="80">
        <f t="shared" si="53"/>
        <v>147944.1088125</v>
      </c>
      <c r="K462" s="77" t="s">
        <v>71</v>
      </c>
      <c r="L462" s="77" t="s">
        <v>321</v>
      </c>
    </row>
    <row r="463" spans="1:12" s="54" customFormat="1" ht="33" customHeight="1" x14ac:dyDescent="0.25">
      <c r="A463" s="92"/>
      <c r="B463" s="91" t="s">
        <v>112</v>
      </c>
      <c r="C463" s="77" t="s">
        <v>70</v>
      </c>
      <c r="D463" s="77" t="s">
        <v>45</v>
      </c>
      <c r="E463" s="77">
        <v>0.24</v>
      </c>
      <c r="F463" s="77"/>
      <c r="G463" s="78">
        <f>G444*E463</f>
        <v>0.61919999999999997</v>
      </c>
      <c r="H463" s="79">
        <f t="shared" si="52"/>
        <v>0.61919999999999997</v>
      </c>
      <c r="I463" s="80">
        <v>7875</v>
      </c>
      <c r="J463" s="80">
        <f t="shared" si="53"/>
        <v>4876.2</v>
      </c>
      <c r="K463" s="77" t="s">
        <v>71</v>
      </c>
      <c r="L463" s="77" t="s">
        <v>321</v>
      </c>
    </row>
    <row r="464" spans="1:12" s="54" customFormat="1" ht="33" customHeight="1" x14ac:dyDescent="0.25">
      <c r="A464" s="92"/>
      <c r="B464" s="91" t="s">
        <v>72</v>
      </c>
      <c r="C464" s="77" t="s">
        <v>70</v>
      </c>
      <c r="D464" s="77" t="s">
        <v>45</v>
      </c>
      <c r="E464" s="77">
        <v>4.5999999999999999E-2</v>
      </c>
      <c r="F464" s="77"/>
      <c r="G464" s="78">
        <f>G449*E464</f>
        <v>1.8087199999999999</v>
      </c>
      <c r="H464" s="79">
        <f t="shared" si="52"/>
        <v>1.8087199999999999</v>
      </c>
      <c r="I464" s="80">
        <v>7875</v>
      </c>
      <c r="J464" s="80">
        <f t="shared" si="53"/>
        <v>14243.669999999998</v>
      </c>
      <c r="K464" s="77" t="s">
        <v>73</v>
      </c>
      <c r="L464" s="77" t="s">
        <v>321</v>
      </c>
    </row>
    <row r="465" spans="1:12" s="54" customFormat="1" ht="33" customHeight="1" x14ac:dyDescent="0.25">
      <c r="A465" s="92"/>
      <c r="B465" s="91" t="s">
        <v>74</v>
      </c>
      <c r="C465" s="77" t="s">
        <v>70</v>
      </c>
      <c r="D465" s="77" t="s">
        <v>45</v>
      </c>
      <c r="E465" s="77">
        <v>1.01</v>
      </c>
      <c r="F465" s="77"/>
      <c r="G465" s="78">
        <f>G453*E465</f>
        <v>0.56058030000000003</v>
      </c>
      <c r="H465" s="79">
        <f t="shared" si="52"/>
        <v>0.56058030000000003</v>
      </c>
      <c r="I465" s="80">
        <v>7875</v>
      </c>
      <c r="J465" s="80">
        <f t="shared" si="53"/>
        <v>4414.5698625000005</v>
      </c>
      <c r="K465" s="77" t="s">
        <v>71</v>
      </c>
      <c r="L465" s="77" t="s">
        <v>321</v>
      </c>
    </row>
    <row r="466" spans="1:12" s="54" customFormat="1" ht="33" customHeight="1" x14ac:dyDescent="0.25">
      <c r="A466" s="81"/>
      <c r="B466" s="89" t="s">
        <v>75</v>
      </c>
      <c r="C466" s="77" t="s">
        <v>70</v>
      </c>
      <c r="D466" s="77" t="s">
        <v>45</v>
      </c>
      <c r="E466" s="77">
        <v>6.0000000000000001E-3</v>
      </c>
      <c r="F466" s="77"/>
      <c r="G466" s="78">
        <f>G450*E466</f>
        <v>0.33600000000000002</v>
      </c>
      <c r="H466" s="79">
        <f t="shared" si="52"/>
        <v>0.33600000000000002</v>
      </c>
      <c r="I466" s="80">
        <v>7875</v>
      </c>
      <c r="J466" s="80">
        <f t="shared" si="53"/>
        <v>2646</v>
      </c>
      <c r="K466" s="77" t="s">
        <v>76</v>
      </c>
      <c r="L466" s="77" t="s">
        <v>321</v>
      </c>
    </row>
    <row r="467" spans="1:12" s="54" customFormat="1" ht="33" customHeight="1" x14ac:dyDescent="0.25">
      <c r="A467" s="81"/>
      <c r="B467" s="89" t="s">
        <v>77</v>
      </c>
      <c r="C467" s="77" t="s">
        <v>70</v>
      </c>
      <c r="D467" s="77" t="s">
        <v>45</v>
      </c>
      <c r="E467" s="77">
        <v>1.01</v>
      </c>
      <c r="F467" s="77"/>
      <c r="G467" s="93">
        <v>0.08</v>
      </c>
      <c r="H467" s="79">
        <f t="shared" si="52"/>
        <v>0.08</v>
      </c>
      <c r="I467" s="80">
        <v>7875</v>
      </c>
      <c r="J467" s="80">
        <f t="shared" si="53"/>
        <v>630</v>
      </c>
      <c r="K467" s="94"/>
      <c r="L467" s="77" t="s">
        <v>321</v>
      </c>
    </row>
    <row r="468" spans="1:12" s="54" customFormat="1" ht="21.75" customHeight="1" x14ac:dyDescent="0.25">
      <c r="A468" s="81"/>
      <c r="B468" s="89" t="s">
        <v>78</v>
      </c>
      <c r="C468" s="77" t="s">
        <v>79</v>
      </c>
      <c r="D468" s="77" t="s">
        <v>47</v>
      </c>
      <c r="E468" s="77"/>
      <c r="F468" s="77"/>
      <c r="G468" s="78">
        <v>183.5</v>
      </c>
      <c r="H468" s="79">
        <f t="shared" si="52"/>
        <v>183.5</v>
      </c>
      <c r="I468" s="80">
        <v>88.34</v>
      </c>
      <c r="J468" s="80">
        <f t="shared" si="53"/>
        <v>16210.390000000001</v>
      </c>
      <c r="K468" s="94"/>
      <c r="L468" s="77" t="s">
        <v>321</v>
      </c>
    </row>
    <row r="469" spans="1:12" s="54" customFormat="1" ht="21.75" customHeight="1" x14ac:dyDescent="0.25">
      <c r="A469" s="81"/>
      <c r="B469" s="89" t="s">
        <v>113</v>
      </c>
      <c r="C469" s="77" t="s">
        <v>114</v>
      </c>
      <c r="D469" s="77" t="s">
        <v>60</v>
      </c>
      <c r="E469" s="77"/>
      <c r="F469" s="77"/>
      <c r="G469" s="78">
        <v>12</v>
      </c>
      <c r="H469" s="79">
        <f t="shared" si="52"/>
        <v>12</v>
      </c>
      <c r="I469" s="80">
        <v>398.6</v>
      </c>
      <c r="J469" s="80">
        <f t="shared" si="53"/>
        <v>4783.2000000000007</v>
      </c>
      <c r="K469" s="94"/>
      <c r="L469" s="77" t="s">
        <v>321</v>
      </c>
    </row>
    <row r="470" spans="1:12" s="54" customFormat="1" ht="21.75" customHeight="1" x14ac:dyDescent="0.25">
      <c r="A470" s="81"/>
      <c r="B470" s="89" t="s">
        <v>115</v>
      </c>
      <c r="C470" s="77" t="s">
        <v>116</v>
      </c>
      <c r="D470" s="77" t="s">
        <v>60</v>
      </c>
      <c r="E470" s="77"/>
      <c r="F470" s="77"/>
      <c r="G470" s="78">
        <v>9</v>
      </c>
      <c r="H470" s="79">
        <f t="shared" si="52"/>
        <v>9</v>
      </c>
      <c r="I470" s="80">
        <v>465.03</v>
      </c>
      <c r="J470" s="80">
        <f t="shared" si="53"/>
        <v>4185.2699999999995</v>
      </c>
      <c r="K470" s="94"/>
      <c r="L470" s="77" t="s">
        <v>321</v>
      </c>
    </row>
    <row r="471" spans="1:12" s="54" customFormat="1" ht="21.75" customHeight="1" x14ac:dyDescent="0.25">
      <c r="A471" s="81"/>
      <c r="B471" s="89" t="s">
        <v>117</v>
      </c>
      <c r="C471" s="77" t="s">
        <v>118</v>
      </c>
      <c r="D471" s="77" t="s">
        <v>60</v>
      </c>
      <c r="E471" s="77"/>
      <c r="F471" s="77"/>
      <c r="G471" s="78">
        <v>1</v>
      </c>
      <c r="H471" s="79">
        <f t="shared" si="52"/>
        <v>1</v>
      </c>
      <c r="I471" s="80">
        <v>841.49</v>
      </c>
      <c r="J471" s="80">
        <f t="shared" si="53"/>
        <v>841.49</v>
      </c>
      <c r="K471" s="94"/>
      <c r="L471" s="77" t="s">
        <v>321</v>
      </c>
    </row>
    <row r="472" spans="1:12" s="54" customFormat="1" ht="21.75" customHeight="1" x14ac:dyDescent="0.25">
      <c r="A472" s="81"/>
      <c r="B472" s="89" t="s">
        <v>119</v>
      </c>
      <c r="C472" s="77" t="s">
        <v>120</v>
      </c>
      <c r="D472" s="77" t="s">
        <v>60</v>
      </c>
      <c r="E472" s="77"/>
      <c r="F472" s="77"/>
      <c r="G472" s="78">
        <v>10</v>
      </c>
      <c r="H472" s="79">
        <f t="shared" si="52"/>
        <v>10</v>
      </c>
      <c r="I472" s="80">
        <v>981.74</v>
      </c>
      <c r="J472" s="80">
        <f t="shared" si="53"/>
        <v>9817.4</v>
      </c>
      <c r="K472" s="94"/>
      <c r="L472" s="77" t="s">
        <v>321</v>
      </c>
    </row>
    <row r="473" spans="1:12" s="54" customFormat="1" ht="21.75" customHeight="1" x14ac:dyDescent="0.25">
      <c r="A473" s="81"/>
      <c r="B473" s="89" t="s">
        <v>121</v>
      </c>
      <c r="C473" s="77" t="s">
        <v>122</v>
      </c>
      <c r="D473" s="77" t="s">
        <v>60</v>
      </c>
      <c r="E473" s="77"/>
      <c r="F473" s="77"/>
      <c r="G473" s="78">
        <v>3</v>
      </c>
      <c r="H473" s="79">
        <f t="shared" si="52"/>
        <v>3</v>
      </c>
      <c r="I473" s="80">
        <v>1291.76</v>
      </c>
      <c r="J473" s="80">
        <f t="shared" si="53"/>
        <v>3875.2799999999997</v>
      </c>
      <c r="K473" s="94"/>
      <c r="L473" s="77" t="s">
        <v>321</v>
      </c>
    </row>
    <row r="474" spans="1:12" s="54" customFormat="1" ht="21.75" customHeight="1" x14ac:dyDescent="0.25">
      <c r="A474" s="81"/>
      <c r="B474" s="89" t="s">
        <v>123</v>
      </c>
      <c r="C474" s="77" t="s">
        <v>124</v>
      </c>
      <c r="D474" s="77" t="s">
        <v>60</v>
      </c>
      <c r="E474" s="77"/>
      <c r="F474" s="77"/>
      <c r="G474" s="78">
        <v>1</v>
      </c>
      <c r="H474" s="79">
        <f t="shared" si="52"/>
        <v>1</v>
      </c>
      <c r="I474" s="80">
        <v>1845.38</v>
      </c>
      <c r="J474" s="80">
        <f t="shared" si="53"/>
        <v>1845.38</v>
      </c>
      <c r="K474" s="94"/>
      <c r="L474" s="77" t="s">
        <v>321</v>
      </c>
    </row>
    <row r="475" spans="1:12" s="54" customFormat="1" ht="21.75" customHeight="1" x14ac:dyDescent="0.25">
      <c r="A475" s="81"/>
      <c r="B475" s="89" t="s">
        <v>125</v>
      </c>
      <c r="C475" s="77" t="s">
        <v>126</v>
      </c>
      <c r="D475" s="77" t="s">
        <v>60</v>
      </c>
      <c r="E475" s="77"/>
      <c r="F475" s="77"/>
      <c r="G475" s="78">
        <v>8</v>
      </c>
      <c r="H475" s="79">
        <f t="shared" si="52"/>
        <v>8</v>
      </c>
      <c r="I475" s="80">
        <v>2029.91</v>
      </c>
      <c r="J475" s="80">
        <f t="shared" si="53"/>
        <v>16239.28</v>
      </c>
      <c r="K475" s="94"/>
      <c r="L475" s="77" t="s">
        <v>321</v>
      </c>
    </row>
    <row r="476" spans="1:12" s="54" customFormat="1" ht="21.75" customHeight="1" x14ac:dyDescent="0.25">
      <c r="A476" s="81"/>
      <c r="B476" s="89" t="s">
        <v>127</v>
      </c>
      <c r="C476" s="77" t="s">
        <v>128</v>
      </c>
      <c r="D476" s="77" t="s">
        <v>60</v>
      </c>
      <c r="E476" s="77"/>
      <c r="F476" s="77"/>
      <c r="G476" s="78">
        <v>11</v>
      </c>
      <c r="H476" s="79">
        <f t="shared" si="52"/>
        <v>11</v>
      </c>
      <c r="I476" s="80">
        <v>2398.9899999999998</v>
      </c>
      <c r="J476" s="80">
        <f t="shared" si="53"/>
        <v>26388.89</v>
      </c>
      <c r="K476" s="94"/>
      <c r="L476" s="77" t="s">
        <v>321</v>
      </c>
    </row>
    <row r="477" spans="1:12" s="54" customFormat="1" ht="21.75" customHeight="1" x14ac:dyDescent="0.25">
      <c r="A477" s="81"/>
      <c r="B477" s="89" t="s">
        <v>129</v>
      </c>
      <c r="C477" s="77" t="s">
        <v>130</v>
      </c>
      <c r="D477" s="77" t="s">
        <v>60</v>
      </c>
      <c r="E477" s="77"/>
      <c r="F477" s="77"/>
      <c r="G477" s="78">
        <v>1</v>
      </c>
      <c r="H477" s="79">
        <f t="shared" si="52"/>
        <v>1</v>
      </c>
      <c r="I477" s="80">
        <v>2583.5300000000002</v>
      </c>
      <c r="J477" s="80">
        <f t="shared" si="53"/>
        <v>2583.5300000000002</v>
      </c>
      <c r="K477" s="94"/>
      <c r="L477" s="77" t="s">
        <v>321</v>
      </c>
    </row>
    <row r="478" spans="1:12" s="54" customFormat="1" ht="21.75" customHeight="1" x14ac:dyDescent="0.25">
      <c r="A478" s="81"/>
      <c r="B478" s="89" t="s">
        <v>92</v>
      </c>
      <c r="C478" s="77" t="s">
        <v>93</v>
      </c>
      <c r="D478" s="77" t="s">
        <v>54</v>
      </c>
      <c r="E478" s="77">
        <v>1.04</v>
      </c>
      <c r="F478" s="77"/>
      <c r="G478" s="78">
        <f>155.29*E478</f>
        <v>161.5016</v>
      </c>
      <c r="H478" s="79">
        <f t="shared" si="52"/>
        <v>161.5016</v>
      </c>
      <c r="I478" s="80">
        <v>66.349999999999994</v>
      </c>
      <c r="J478" s="80">
        <f t="shared" si="53"/>
        <v>10715.631159999999</v>
      </c>
      <c r="K478" s="94"/>
      <c r="L478" s="77" t="s">
        <v>321</v>
      </c>
    </row>
    <row r="479" spans="1:12" s="54" customFormat="1" ht="21.75" customHeight="1" x14ac:dyDescent="0.25">
      <c r="A479" s="81"/>
      <c r="B479" s="89" t="s">
        <v>94</v>
      </c>
      <c r="C479" s="77" t="s">
        <v>95</v>
      </c>
      <c r="D479" s="77" t="s">
        <v>54</v>
      </c>
      <c r="E479" s="77">
        <v>1.04</v>
      </c>
      <c r="F479" s="77"/>
      <c r="G479" s="78">
        <f>G452*E479</f>
        <v>42.307200000000002</v>
      </c>
      <c r="H479" s="79">
        <f t="shared" si="52"/>
        <v>42.307200000000002</v>
      </c>
      <c r="I479" s="80">
        <v>64</v>
      </c>
      <c r="J479" s="80">
        <f t="shared" si="53"/>
        <v>2707.6608000000001</v>
      </c>
      <c r="K479" s="94"/>
      <c r="L479" s="77" t="s">
        <v>321</v>
      </c>
    </row>
    <row r="480" spans="1:12" s="54" customFormat="1" ht="21.75" customHeight="1" x14ac:dyDescent="0.25">
      <c r="A480" s="81"/>
      <c r="B480" s="89" t="s">
        <v>131</v>
      </c>
      <c r="C480" s="77" t="s">
        <v>39</v>
      </c>
      <c r="D480" s="77" t="s">
        <v>54</v>
      </c>
      <c r="E480" s="77">
        <v>1.04</v>
      </c>
      <c r="F480" s="77"/>
      <c r="G480" s="78">
        <f>85.59*E480</f>
        <v>89.013600000000011</v>
      </c>
      <c r="H480" s="79">
        <f t="shared" si="52"/>
        <v>89.013600000000011</v>
      </c>
      <c r="I480" s="80">
        <v>64.209999999999994</v>
      </c>
      <c r="J480" s="80">
        <f t="shared" si="53"/>
        <v>5715.5632560000004</v>
      </c>
      <c r="K480" s="94"/>
      <c r="L480" s="77" t="s">
        <v>321</v>
      </c>
    </row>
    <row r="481" spans="1:12" s="54" customFormat="1" ht="21.75" customHeight="1" x14ac:dyDescent="0.25">
      <c r="A481" s="81"/>
      <c r="B481" s="89" t="s">
        <v>97</v>
      </c>
      <c r="C481" s="77" t="s">
        <v>39</v>
      </c>
      <c r="D481" s="77" t="s">
        <v>54</v>
      </c>
      <c r="E481" s="77">
        <v>1.04</v>
      </c>
      <c r="F481" s="77"/>
      <c r="G481" s="78">
        <f>E481*23.1</f>
        <v>24.024000000000001</v>
      </c>
      <c r="H481" s="79">
        <f t="shared" si="52"/>
        <v>24.024000000000001</v>
      </c>
      <c r="I481" s="80">
        <v>74.92</v>
      </c>
      <c r="J481" s="80">
        <f t="shared" si="53"/>
        <v>1799.8780800000002</v>
      </c>
      <c r="K481" s="94"/>
      <c r="L481" s="77" t="s">
        <v>321</v>
      </c>
    </row>
    <row r="482" spans="1:12" s="54" customFormat="1" ht="21.75" customHeight="1" x14ac:dyDescent="0.25">
      <c r="A482" s="81"/>
      <c r="B482" s="89" t="s">
        <v>132</v>
      </c>
      <c r="C482" s="77" t="s">
        <v>39</v>
      </c>
      <c r="D482" s="77" t="s">
        <v>54</v>
      </c>
      <c r="E482" s="77">
        <v>1.04</v>
      </c>
      <c r="F482" s="77"/>
      <c r="G482" s="78">
        <f>28.88*E482</f>
        <v>30.0352</v>
      </c>
      <c r="H482" s="79">
        <f t="shared" si="52"/>
        <v>30.0352</v>
      </c>
      <c r="I482" s="80">
        <v>75.97</v>
      </c>
      <c r="J482" s="80">
        <f t="shared" si="53"/>
        <v>2281.774144</v>
      </c>
      <c r="K482" s="94"/>
      <c r="L482" s="77" t="s">
        <v>321</v>
      </c>
    </row>
    <row r="483" spans="1:12" s="101" customFormat="1" ht="35.25" customHeight="1" x14ac:dyDescent="0.25">
      <c r="A483" s="95"/>
      <c r="B483" s="96" t="s">
        <v>133</v>
      </c>
      <c r="C483" s="97" t="s">
        <v>39</v>
      </c>
      <c r="D483" s="97" t="s">
        <v>99</v>
      </c>
      <c r="E483" s="97"/>
      <c r="F483" s="97"/>
      <c r="G483" s="98"/>
      <c r="H483" s="99">
        <f>J483*100/J442</f>
        <v>4.9540518920903365</v>
      </c>
      <c r="I483" s="79"/>
      <c r="J483" s="79">
        <v>50514.601200000005</v>
      </c>
      <c r="K483" s="100"/>
      <c r="L483" s="97" t="s">
        <v>321</v>
      </c>
    </row>
    <row r="484" spans="1:12" s="54" customFormat="1" ht="21.75" customHeight="1" x14ac:dyDescent="0.25">
      <c r="A484" s="60" t="s">
        <v>152</v>
      </c>
      <c r="B484" s="61" t="s">
        <v>153</v>
      </c>
      <c r="C484" s="62"/>
      <c r="D484" s="63"/>
      <c r="E484" s="62"/>
      <c r="F484" s="62"/>
      <c r="G484" s="64"/>
      <c r="H484" s="65"/>
      <c r="I484" s="65"/>
      <c r="J484" s="65">
        <f>J485+J497</f>
        <v>1354922.102315</v>
      </c>
      <c r="K484" s="86"/>
      <c r="L484" s="86"/>
    </row>
    <row r="485" spans="1:12" s="54" customFormat="1" ht="21.75" customHeight="1" x14ac:dyDescent="0.25">
      <c r="A485" s="66"/>
      <c r="B485" s="67" t="s">
        <v>34</v>
      </c>
      <c r="C485" s="68"/>
      <c r="D485" s="68"/>
      <c r="E485" s="68"/>
      <c r="F485" s="68"/>
      <c r="G485" s="69"/>
      <c r="H485" s="70"/>
      <c r="I485" s="70"/>
      <c r="J485" s="70">
        <f>SUM(J486:J496)</f>
        <v>1019662.335</v>
      </c>
      <c r="K485" s="72"/>
      <c r="L485" s="72"/>
    </row>
    <row r="486" spans="1:12" s="54" customFormat="1" ht="21.75" customHeight="1" x14ac:dyDescent="0.25">
      <c r="A486" s="66"/>
      <c r="B486" s="71" t="s">
        <v>44</v>
      </c>
      <c r="C486" s="72"/>
      <c r="D486" s="72" t="s">
        <v>45</v>
      </c>
      <c r="E486" s="72"/>
      <c r="F486" s="72"/>
      <c r="G486" s="73">
        <v>33.94</v>
      </c>
      <c r="H486" s="70">
        <f t="shared" ref="H486:H496" si="54">SUM(G486:G486)</f>
        <v>33.94</v>
      </c>
      <c r="I486" s="74">
        <v>4939</v>
      </c>
      <c r="J486" s="74">
        <f>I486*H486</f>
        <v>167629.65999999997</v>
      </c>
      <c r="K486" s="72"/>
      <c r="L486" s="72"/>
    </row>
    <row r="487" spans="1:12" s="54" customFormat="1" ht="21.75" customHeight="1" x14ac:dyDescent="0.25">
      <c r="A487" s="66"/>
      <c r="B487" s="71" t="s">
        <v>102</v>
      </c>
      <c r="C487" s="72"/>
      <c r="D487" s="72" t="s">
        <v>45</v>
      </c>
      <c r="E487" s="72"/>
      <c r="F487" s="72"/>
      <c r="G487" s="73">
        <v>2.58</v>
      </c>
      <c r="H487" s="70">
        <f t="shared" si="54"/>
        <v>2.58</v>
      </c>
      <c r="I487" s="74">
        <v>5845</v>
      </c>
      <c r="J487" s="74">
        <f t="shared" ref="J487" si="55">I487*H487</f>
        <v>15080.1</v>
      </c>
      <c r="K487" s="72"/>
      <c r="L487" s="72"/>
    </row>
    <row r="488" spans="1:12" s="54" customFormat="1" ht="21.75" customHeight="1" x14ac:dyDescent="0.25">
      <c r="A488" s="66"/>
      <c r="B488" s="71" t="s">
        <v>46</v>
      </c>
      <c r="C488" s="72"/>
      <c r="D488" s="72" t="s">
        <v>47</v>
      </c>
      <c r="E488" s="72"/>
      <c r="F488" s="72"/>
      <c r="G488" s="73">
        <v>154.52000000000001</v>
      </c>
      <c r="H488" s="70">
        <f t="shared" si="54"/>
        <v>154.52000000000001</v>
      </c>
      <c r="I488" s="74">
        <v>1461</v>
      </c>
      <c r="J488" s="74">
        <f>I488*H488</f>
        <v>225753.72</v>
      </c>
      <c r="K488" s="72"/>
      <c r="L488" s="72"/>
    </row>
    <row r="489" spans="1:12" s="54" customFormat="1" ht="21.75" customHeight="1" x14ac:dyDescent="0.25">
      <c r="A489" s="66"/>
      <c r="B489" s="71" t="s">
        <v>48</v>
      </c>
      <c r="C489" s="72"/>
      <c r="D489" s="72" t="s">
        <v>47</v>
      </c>
      <c r="E489" s="72"/>
      <c r="F489" s="72"/>
      <c r="G489" s="73">
        <v>31.58</v>
      </c>
      <c r="H489" s="70">
        <f t="shared" si="54"/>
        <v>31.58</v>
      </c>
      <c r="I489" s="74">
        <v>1461</v>
      </c>
      <c r="J489" s="74">
        <f>I489*H489</f>
        <v>46138.38</v>
      </c>
      <c r="K489" s="72"/>
      <c r="L489" s="72"/>
    </row>
    <row r="490" spans="1:12" s="54" customFormat="1" ht="21.75" customHeight="1" x14ac:dyDescent="0.25">
      <c r="A490" s="66"/>
      <c r="B490" s="71" t="s">
        <v>103</v>
      </c>
      <c r="C490" s="72"/>
      <c r="D490" s="72" t="s">
        <v>47</v>
      </c>
      <c r="E490" s="72"/>
      <c r="F490" s="72"/>
      <c r="G490" s="73">
        <v>159.29</v>
      </c>
      <c r="H490" s="70">
        <f t="shared" si="54"/>
        <v>159.29</v>
      </c>
      <c r="I490" s="74">
        <v>1461</v>
      </c>
      <c r="J490" s="74">
        <f>I490*H490</f>
        <v>232722.69</v>
      </c>
      <c r="K490" s="72"/>
      <c r="L490" s="72"/>
    </row>
    <row r="491" spans="1:12" s="54" customFormat="1" ht="21.75" customHeight="1" x14ac:dyDescent="0.25">
      <c r="A491" s="66"/>
      <c r="B491" s="71" t="s">
        <v>104</v>
      </c>
      <c r="C491" s="72"/>
      <c r="D491" s="72" t="s">
        <v>47</v>
      </c>
      <c r="E491" s="72"/>
      <c r="F491" s="72"/>
      <c r="G491" s="73">
        <v>141.18</v>
      </c>
      <c r="H491" s="70">
        <f t="shared" si="54"/>
        <v>141.18</v>
      </c>
      <c r="I491" s="74">
        <v>1461</v>
      </c>
      <c r="J491" s="74">
        <f>I491*H491</f>
        <v>206263.98</v>
      </c>
      <c r="K491" s="72"/>
      <c r="L491" s="72"/>
    </row>
    <row r="492" spans="1:12" s="54" customFormat="1" ht="21.75" customHeight="1" x14ac:dyDescent="0.25">
      <c r="A492" s="66"/>
      <c r="B492" s="71" t="s">
        <v>49</v>
      </c>
      <c r="C492" s="72"/>
      <c r="D492" s="72" t="s">
        <v>47</v>
      </c>
      <c r="E492" s="72"/>
      <c r="F492" s="72"/>
      <c r="G492" s="73">
        <v>39.32</v>
      </c>
      <c r="H492" s="70">
        <f t="shared" si="54"/>
        <v>39.32</v>
      </c>
      <c r="I492" s="74">
        <v>1610</v>
      </c>
      <c r="J492" s="74">
        <f t="shared" ref="J492:J495" si="56">I492*H492</f>
        <v>63305.2</v>
      </c>
      <c r="K492" s="72"/>
      <c r="L492" s="72"/>
    </row>
    <row r="493" spans="1:12" s="54" customFormat="1" ht="21.75" customHeight="1" x14ac:dyDescent="0.25">
      <c r="A493" s="66"/>
      <c r="B493" s="71" t="s">
        <v>50</v>
      </c>
      <c r="C493" s="72"/>
      <c r="D493" s="72" t="s">
        <v>51</v>
      </c>
      <c r="E493" s="72"/>
      <c r="F493" s="72"/>
      <c r="G493" s="73">
        <v>56</v>
      </c>
      <c r="H493" s="70">
        <f t="shared" si="54"/>
        <v>56</v>
      </c>
      <c r="I493" s="74">
        <v>803</v>
      </c>
      <c r="J493" s="74">
        <f t="shared" si="56"/>
        <v>44968</v>
      </c>
      <c r="K493" s="72"/>
      <c r="L493" s="72"/>
    </row>
    <row r="494" spans="1:12" s="54" customFormat="1" x14ac:dyDescent="0.25">
      <c r="A494" s="66"/>
      <c r="B494" s="71" t="s">
        <v>52</v>
      </c>
      <c r="C494" s="72" t="s">
        <v>105</v>
      </c>
      <c r="D494" s="72" t="s">
        <v>54</v>
      </c>
      <c r="E494" s="72"/>
      <c r="F494" s="72"/>
      <c r="G494" s="73">
        <v>137.57</v>
      </c>
      <c r="H494" s="70">
        <f t="shared" si="54"/>
        <v>137.57</v>
      </c>
      <c r="I494" s="74">
        <v>94.5</v>
      </c>
      <c r="J494" s="74">
        <f t="shared" si="56"/>
        <v>13000.365</v>
      </c>
      <c r="K494" s="72"/>
      <c r="L494" s="72"/>
    </row>
    <row r="495" spans="1:12" s="54" customFormat="1" ht="31.5" x14ac:dyDescent="0.25">
      <c r="A495" s="66"/>
      <c r="B495" s="71" t="s">
        <v>55</v>
      </c>
      <c r="C495" s="72"/>
      <c r="D495" s="72" t="s">
        <v>54</v>
      </c>
      <c r="E495" s="72"/>
      <c r="F495" s="72"/>
      <c r="G495" s="73">
        <v>40.68</v>
      </c>
      <c r="H495" s="70">
        <f t="shared" si="54"/>
        <v>40.68</v>
      </c>
      <c r="I495" s="74">
        <v>118</v>
      </c>
      <c r="J495" s="74">
        <f t="shared" si="56"/>
        <v>4800.24</v>
      </c>
      <c r="K495" s="72"/>
      <c r="L495" s="72"/>
    </row>
    <row r="496" spans="1:12" s="54" customFormat="1" ht="21.75" customHeight="1" x14ac:dyDescent="0.25">
      <c r="A496" s="66"/>
      <c r="B496" s="87" t="s">
        <v>56</v>
      </c>
      <c r="C496" s="88"/>
      <c r="D496" s="88" t="s">
        <v>45</v>
      </c>
      <c r="E496" s="88"/>
      <c r="F496" s="88"/>
      <c r="G496" s="73">
        <f>308.35*0.06*0.03</f>
        <v>0.55503000000000002</v>
      </c>
      <c r="H496" s="70">
        <f t="shared" si="54"/>
        <v>0.55503000000000002</v>
      </c>
      <c r="I496" s="74"/>
      <c r="J496" s="74"/>
      <c r="K496" s="88" t="s">
        <v>57</v>
      </c>
      <c r="L496" s="72"/>
    </row>
    <row r="497" spans="1:12" s="54" customFormat="1" x14ac:dyDescent="0.25">
      <c r="A497" s="75"/>
      <c r="B497" s="76" t="s">
        <v>38</v>
      </c>
      <c r="C497" s="77"/>
      <c r="D497" s="77"/>
      <c r="E497" s="77"/>
      <c r="F497" s="77"/>
      <c r="G497" s="78"/>
      <c r="H497" s="79"/>
      <c r="I497" s="80"/>
      <c r="J497" s="79">
        <f>SUM(J498:J526)</f>
        <v>335259.76731500006</v>
      </c>
      <c r="K497" s="77"/>
      <c r="L497" s="77"/>
    </row>
    <row r="498" spans="1:12" s="54" customFormat="1" ht="31.5" x14ac:dyDescent="0.25">
      <c r="A498" s="81"/>
      <c r="B498" s="82" t="s">
        <v>58</v>
      </c>
      <c r="C498" s="77" t="s">
        <v>59</v>
      </c>
      <c r="D498" s="77" t="s">
        <v>60</v>
      </c>
      <c r="E498" s="78">
        <v>12.4</v>
      </c>
      <c r="F498" s="77">
        <v>0.25</v>
      </c>
      <c r="G498" s="83">
        <f>G486/F498*E498</f>
        <v>1683.424</v>
      </c>
      <c r="H498" s="84">
        <f t="shared" ref="H498:H525" si="57">SUM(G498:G498)</f>
        <v>1683.424</v>
      </c>
      <c r="I498" s="80">
        <v>0</v>
      </c>
      <c r="J498" s="80">
        <f>H498*I498</f>
        <v>0</v>
      </c>
      <c r="K498" s="77" t="s">
        <v>61</v>
      </c>
      <c r="L498" s="77" t="s">
        <v>320</v>
      </c>
    </row>
    <row r="499" spans="1:12" s="54" customFormat="1" ht="31.5" x14ac:dyDescent="0.25">
      <c r="A499" s="81"/>
      <c r="B499" s="82" t="s">
        <v>62</v>
      </c>
      <c r="C499" s="77" t="s">
        <v>63</v>
      </c>
      <c r="D499" s="77" t="s">
        <v>60</v>
      </c>
      <c r="E499" s="78">
        <v>12.4</v>
      </c>
      <c r="F499" s="77"/>
      <c r="G499" s="83">
        <f>G488*E499</f>
        <v>1916.0480000000002</v>
      </c>
      <c r="H499" s="84">
        <f t="shared" si="57"/>
        <v>1916.0480000000002</v>
      </c>
      <c r="I499" s="80">
        <v>0</v>
      </c>
      <c r="J499" s="80">
        <f>H499*I499</f>
        <v>0</v>
      </c>
      <c r="K499" s="77" t="s">
        <v>61</v>
      </c>
      <c r="L499" s="77" t="s">
        <v>320</v>
      </c>
    </row>
    <row r="500" spans="1:12" s="54" customFormat="1" ht="31.5" x14ac:dyDescent="0.25">
      <c r="A500" s="81"/>
      <c r="B500" s="82" t="s">
        <v>64</v>
      </c>
      <c r="C500" s="77" t="s">
        <v>65</v>
      </c>
      <c r="D500" s="77" t="s">
        <v>60</v>
      </c>
      <c r="E500" s="78">
        <v>12.4</v>
      </c>
      <c r="F500" s="77"/>
      <c r="G500" s="83">
        <f>G489*E500</f>
        <v>391.59199999999998</v>
      </c>
      <c r="H500" s="84">
        <f t="shared" si="57"/>
        <v>391.59199999999998</v>
      </c>
      <c r="I500" s="80">
        <v>0</v>
      </c>
      <c r="J500" s="80">
        <f>H500*I500</f>
        <v>0</v>
      </c>
      <c r="K500" s="77" t="s">
        <v>61</v>
      </c>
      <c r="L500" s="77" t="s">
        <v>320</v>
      </c>
    </row>
    <row r="501" spans="1:12" s="54" customFormat="1" ht="31.5" x14ac:dyDescent="0.25">
      <c r="A501" s="81"/>
      <c r="B501" s="82" t="s">
        <v>106</v>
      </c>
      <c r="C501" s="77" t="s">
        <v>107</v>
      </c>
      <c r="D501" s="77" t="s">
        <v>60</v>
      </c>
      <c r="E501" s="78">
        <v>12.4</v>
      </c>
      <c r="F501" s="77"/>
      <c r="G501" s="83">
        <f>G490*E501</f>
        <v>1975.1959999999999</v>
      </c>
      <c r="H501" s="84">
        <f t="shared" si="57"/>
        <v>1975.1959999999999</v>
      </c>
      <c r="I501" s="80">
        <v>0</v>
      </c>
      <c r="J501" s="80">
        <f>H501*I501</f>
        <v>0</v>
      </c>
      <c r="K501" s="77" t="s">
        <v>61</v>
      </c>
      <c r="L501" s="77" t="s">
        <v>320</v>
      </c>
    </row>
    <row r="502" spans="1:12" s="54" customFormat="1" ht="31.5" x14ac:dyDescent="0.25">
      <c r="A502" s="81"/>
      <c r="B502" s="82" t="s">
        <v>108</v>
      </c>
      <c r="C502" s="77" t="s">
        <v>109</v>
      </c>
      <c r="D502" s="77" t="s">
        <v>60</v>
      </c>
      <c r="E502" s="78">
        <v>12.4</v>
      </c>
      <c r="F502" s="77"/>
      <c r="G502" s="83">
        <f>G491*E502</f>
        <v>1750.6320000000001</v>
      </c>
      <c r="H502" s="84">
        <f t="shared" si="57"/>
        <v>1750.6320000000001</v>
      </c>
      <c r="I502" s="80">
        <v>0</v>
      </c>
      <c r="J502" s="80">
        <f>H502*I502</f>
        <v>0</v>
      </c>
      <c r="K502" s="77" t="s">
        <v>61</v>
      </c>
      <c r="L502" s="77" t="s">
        <v>320</v>
      </c>
    </row>
    <row r="503" spans="1:12" s="54" customFormat="1" ht="31.5" x14ac:dyDescent="0.25">
      <c r="A503" s="81"/>
      <c r="B503" s="89" t="s">
        <v>66</v>
      </c>
      <c r="C503" s="77" t="s">
        <v>67</v>
      </c>
      <c r="D503" s="77" t="s">
        <v>60</v>
      </c>
      <c r="E503" s="90">
        <v>42</v>
      </c>
      <c r="F503" s="90"/>
      <c r="G503" s="83">
        <f>G492*E503</f>
        <v>1651.44</v>
      </c>
      <c r="H503" s="84">
        <f t="shared" si="57"/>
        <v>1651.44</v>
      </c>
      <c r="I503" s="80">
        <v>0</v>
      </c>
      <c r="J503" s="80">
        <f t="shared" ref="J503:J525" si="58">H503*I503</f>
        <v>0</v>
      </c>
      <c r="K503" s="77" t="s">
        <v>68</v>
      </c>
      <c r="L503" s="77" t="s">
        <v>320</v>
      </c>
    </row>
    <row r="504" spans="1:12" s="54" customFormat="1" ht="31.5" x14ac:dyDescent="0.25">
      <c r="A504" s="81"/>
      <c r="B504" s="89" t="s">
        <v>110</v>
      </c>
      <c r="C504" s="77" t="s">
        <v>111</v>
      </c>
      <c r="D504" s="77" t="s">
        <v>60</v>
      </c>
      <c r="E504" s="90">
        <v>42</v>
      </c>
      <c r="F504" s="90"/>
      <c r="G504" s="83">
        <f>G487/0.25*E504</f>
        <v>433.44</v>
      </c>
      <c r="H504" s="84">
        <f t="shared" si="57"/>
        <v>433.44</v>
      </c>
      <c r="I504" s="80">
        <v>0</v>
      </c>
      <c r="J504" s="80">
        <f t="shared" si="58"/>
        <v>0</v>
      </c>
      <c r="K504" s="77" t="s">
        <v>68</v>
      </c>
      <c r="L504" s="77" t="s">
        <v>320</v>
      </c>
    </row>
    <row r="505" spans="1:12" s="54" customFormat="1" ht="31.5" customHeight="1" x14ac:dyDescent="0.25">
      <c r="A505" s="81"/>
      <c r="B505" s="91" t="s">
        <v>69</v>
      </c>
      <c r="C505" s="77" t="s">
        <v>70</v>
      </c>
      <c r="D505" s="77" t="s">
        <v>45</v>
      </c>
      <c r="E505" s="77">
        <v>0.19500000000000001</v>
      </c>
      <c r="F505" s="90"/>
      <c r="G505" s="78">
        <f>G486*E505+G488*E505*0.19+G489*E505*0.19+G490*E505*0.09+G491*E505*0.09</f>
        <v>18.7865535</v>
      </c>
      <c r="H505" s="79">
        <f t="shared" si="57"/>
        <v>18.7865535</v>
      </c>
      <c r="I505" s="80">
        <v>7875</v>
      </c>
      <c r="J505" s="80">
        <f t="shared" si="58"/>
        <v>147944.1088125</v>
      </c>
      <c r="K505" s="77" t="s">
        <v>71</v>
      </c>
      <c r="L505" s="77" t="s">
        <v>321</v>
      </c>
    </row>
    <row r="506" spans="1:12" s="54" customFormat="1" ht="31.5" customHeight="1" x14ac:dyDescent="0.25">
      <c r="A506" s="92"/>
      <c r="B506" s="91" t="s">
        <v>112</v>
      </c>
      <c r="C506" s="77" t="s">
        <v>70</v>
      </c>
      <c r="D506" s="77" t="s">
        <v>45</v>
      </c>
      <c r="E506" s="77">
        <v>0.24</v>
      </c>
      <c r="F506" s="77"/>
      <c r="G506" s="78">
        <f>G487*E506</f>
        <v>0.61919999999999997</v>
      </c>
      <c r="H506" s="79">
        <f t="shared" si="57"/>
        <v>0.61919999999999997</v>
      </c>
      <c r="I506" s="80">
        <v>7875</v>
      </c>
      <c r="J506" s="80">
        <f t="shared" si="58"/>
        <v>4876.2</v>
      </c>
      <c r="K506" s="77" t="s">
        <v>71</v>
      </c>
      <c r="L506" s="77" t="s">
        <v>321</v>
      </c>
    </row>
    <row r="507" spans="1:12" s="54" customFormat="1" ht="31.5" customHeight="1" x14ac:dyDescent="0.25">
      <c r="A507" s="92"/>
      <c r="B507" s="91" t="s">
        <v>72</v>
      </c>
      <c r="C507" s="77" t="s">
        <v>70</v>
      </c>
      <c r="D507" s="77" t="s">
        <v>45</v>
      </c>
      <c r="E507" s="77">
        <v>4.5999999999999999E-2</v>
      </c>
      <c r="F507" s="77"/>
      <c r="G507" s="78">
        <f>G492*E507</f>
        <v>1.8087199999999999</v>
      </c>
      <c r="H507" s="79">
        <f t="shared" si="57"/>
        <v>1.8087199999999999</v>
      </c>
      <c r="I507" s="80">
        <v>7875</v>
      </c>
      <c r="J507" s="80">
        <f t="shared" si="58"/>
        <v>14243.669999999998</v>
      </c>
      <c r="K507" s="77" t="s">
        <v>73</v>
      </c>
      <c r="L507" s="77" t="s">
        <v>321</v>
      </c>
    </row>
    <row r="508" spans="1:12" s="54" customFormat="1" ht="31.5" customHeight="1" x14ac:dyDescent="0.25">
      <c r="A508" s="92"/>
      <c r="B508" s="91" t="s">
        <v>74</v>
      </c>
      <c r="C508" s="77" t="s">
        <v>70</v>
      </c>
      <c r="D508" s="77" t="s">
        <v>45</v>
      </c>
      <c r="E508" s="77">
        <v>1.01</v>
      </c>
      <c r="F508" s="77"/>
      <c r="G508" s="78">
        <f>G496*E508</f>
        <v>0.56058030000000003</v>
      </c>
      <c r="H508" s="79">
        <f t="shared" si="57"/>
        <v>0.56058030000000003</v>
      </c>
      <c r="I508" s="80">
        <v>7875</v>
      </c>
      <c r="J508" s="80">
        <f t="shared" si="58"/>
        <v>4414.5698625000005</v>
      </c>
      <c r="K508" s="77" t="s">
        <v>71</v>
      </c>
      <c r="L508" s="77" t="s">
        <v>321</v>
      </c>
    </row>
    <row r="509" spans="1:12" s="54" customFormat="1" ht="31.5" customHeight="1" x14ac:dyDescent="0.25">
      <c r="A509" s="81"/>
      <c r="B509" s="89" t="s">
        <v>75</v>
      </c>
      <c r="C509" s="77" t="s">
        <v>70</v>
      </c>
      <c r="D509" s="77" t="s">
        <v>45</v>
      </c>
      <c r="E509" s="77">
        <v>6.0000000000000001E-3</v>
      </c>
      <c r="F509" s="77"/>
      <c r="G509" s="78">
        <f>G493*E509</f>
        <v>0.33600000000000002</v>
      </c>
      <c r="H509" s="79">
        <f t="shared" si="57"/>
        <v>0.33600000000000002</v>
      </c>
      <c r="I509" s="80">
        <v>7875</v>
      </c>
      <c r="J509" s="80">
        <f t="shared" si="58"/>
        <v>2646</v>
      </c>
      <c r="K509" s="77" t="s">
        <v>76</v>
      </c>
      <c r="L509" s="77" t="s">
        <v>321</v>
      </c>
    </row>
    <row r="510" spans="1:12" s="54" customFormat="1" ht="31.5" customHeight="1" x14ac:dyDescent="0.25">
      <c r="A510" s="81"/>
      <c r="B510" s="89" t="s">
        <v>77</v>
      </c>
      <c r="C510" s="77" t="s">
        <v>70</v>
      </c>
      <c r="D510" s="77" t="s">
        <v>45</v>
      </c>
      <c r="E510" s="77">
        <v>1.01</v>
      </c>
      <c r="F510" s="77"/>
      <c r="G510" s="93">
        <v>0.08</v>
      </c>
      <c r="H510" s="79">
        <f t="shared" si="57"/>
        <v>0.08</v>
      </c>
      <c r="I510" s="80">
        <v>7875</v>
      </c>
      <c r="J510" s="80">
        <f t="shared" si="58"/>
        <v>630</v>
      </c>
      <c r="K510" s="94"/>
      <c r="L510" s="77" t="s">
        <v>321</v>
      </c>
    </row>
    <row r="511" spans="1:12" s="54" customFormat="1" ht="23.25" customHeight="1" x14ac:dyDescent="0.25">
      <c r="A511" s="81"/>
      <c r="B511" s="89" t="s">
        <v>78</v>
      </c>
      <c r="C511" s="77" t="s">
        <v>79</v>
      </c>
      <c r="D511" s="77" t="s">
        <v>47</v>
      </c>
      <c r="E511" s="77"/>
      <c r="F511" s="77"/>
      <c r="G511" s="78">
        <v>183.5</v>
      </c>
      <c r="H511" s="79">
        <f t="shared" si="57"/>
        <v>183.5</v>
      </c>
      <c r="I511" s="80">
        <v>88.34</v>
      </c>
      <c r="J511" s="80">
        <f t="shared" si="58"/>
        <v>16210.390000000001</v>
      </c>
      <c r="K511" s="94"/>
      <c r="L511" s="77" t="s">
        <v>321</v>
      </c>
    </row>
    <row r="512" spans="1:12" s="54" customFormat="1" ht="23.25" customHeight="1" x14ac:dyDescent="0.25">
      <c r="A512" s="81"/>
      <c r="B512" s="89" t="s">
        <v>113</v>
      </c>
      <c r="C512" s="77" t="s">
        <v>114</v>
      </c>
      <c r="D512" s="77" t="s">
        <v>60</v>
      </c>
      <c r="E512" s="77"/>
      <c r="F512" s="77"/>
      <c r="G512" s="78">
        <v>12</v>
      </c>
      <c r="H512" s="79">
        <f t="shared" si="57"/>
        <v>12</v>
      </c>
      <c r="I512" s="80">
        <v>398.6</v>
      </c>
      <c r="J512" s="80">
        <f t="shared" si="58"/>
        <v>4783.2000000000007</v>
      </c>
      <c r="K512" s="94"/>
      <c r="L512" s="77" t="s">
        <v>321</v>
      </c>
    </row>
    <row r="513" spans="1:12" s="54" customFormat="1" ht="23.25" customHeight="1" x14ac:dyDescent="0.25">
      <c r="A513" s="81"/>
      <c r="B513" s="89" t="s">
        <v>115</v>
      </c>
      <c r="C513" s="77" t="s">
        <v>116</v>
      </c>
      <c r="D513" s="77" t="s">
        <v>60</v>
      </c>
      <c r="E513" s="77"/>
      <c r="F513" s="77"/>
      <c r="G513" s="78">
        <v>9</v>
      </c>
      <c r="H513" s="79">
        <f t="shared" si="57"/>
        <v>9</v>
      </c>
      <c r="I513" s="80">
        <v>465.03</v>
      </c>
      <c r="J513" s="80">
        <f t="shared" si="58"/>
        <v>4185.2699999999995</v>
      </c>
      <c r="K513" s="94"/>
      <c r="L513" s="77" t="s">
        <v>321</v>
      </c>
    </row>
    <row r="514" spans="1:12" s="54" customFormat="1" ht="23.25" customHeight="1" x14ac:dyDescent="0.25">
      <c r="A514" s="81"/>
      <c r="B514" s="89" t="s">
        <v>117</v>
      </c>
      <c r="C514" s="77" t="s">
        <v>118</v>
      </c>
      <c r="D514" s="77" t="s">
        <v>60</v>
      </c>
      <c r="E514" s="77"/>
      <c r="F514" s="77"/>
      <c r="G514" s="78">
        <v>1</v>
      </c>
      <c r="H514" s="79">
        <f t="shared" si="57"/>
        <v>1</v>
      </c>
      <c r="I514" s="80">
        <v>841.49</v>
      </c>
      <c r="J514" s="80">
        <f t="shared" si="58"/>
        <v>841.49</v>
      </c>
      <c r="K514" s="94"/>
      <c r="L514" s="77" t="s">
        <v>321</v>
      </c>
    </row>
    <row r="515" spans="1:12" s="54" customFormat="1" ht="23.25" customHeight="1" x14ac:dyDescent="0.25">
      <c r="A515" s="81"/>
      <c r="B515" s="89" t="s">
        <v>119</v>
      </c>
      <c r="C515" s="77" t="s">
        <v>120</v>
      </c>
      <c r="D515" s="77" t="s">
        <v>60</v>
      </c>
      <c r="E515" s="77"/>
      <c r="F515" s="77"/>
      <c r="G515" s="78">
        <v>10</v>
      </c>
      <c r="H515" s="79">
        <f t="shared" si="57"/>
        <v>10</v>
      </c>
      <c r="I515" s="80">
        <v>981.74</v>
      </c>
      <c r="J515" s="80">
        <f t="shared" si="58"/>
        <v>9817.4</v>
      </c>
      <c r="K515" s="94"/>
      <c r="L515" s="77" t="s">
        <v>321</v>
      </c>
    </row>
    <row r="516" spans="1:12" s="54" customFormat="1" ht="23.25" customHeight="1" x14ac:dyDescent="0.25">
      <c r="A516" s="81"/>
      <c r="B516" s="89" t="s">
        <v>121</v>
      </c>
      <c r="C516" s="77" t="s">
        <v>122</v>
      </c>
      <c r="D516" s="77" t="s">
        <v>60</v>
      </c>
      <c r="E516" s="77"/>
      <c r="F516" s="77"/>
      <c r="G516" s="78">
        <v>3</v>
      </c>
      <c r="H516" s="79">
        <f t="shared" si="57"/>
        <v>3</v>
      </c>
      <c r="I516" s="80">
        <v>1291.76</v>
      </c>
      <c r="J516" s="80">
        <f t="shared" si="58"/>
        <v>3875.2799999999997</v>
      </c>
      <c r="K516" s="94"/>
      <c r="L516" s="77" t="s">
        <v>321</v>
      </c>
    </row>
    <row r="517" spans="1:12" s="54" customFormat="1" ht="23.25" customHeight="1" x14ac:dyDescent="0.25">
      <c r="A517" s="81"/>
      <c r="B517" s="89" t="s">
        <v>123</v>
      </c>
      <c r="C517" s="77" t="s">
        <v>124</v>
      </c>
      <c r="D517" s="77" t="s">
        <v>60</v>
      </c>
      <c r="E517" s="77"/>
      <c r="F517" s="77"/>
      <c r="G517" s="78">
        <v>1</v>
      </c>
      <c r="H517" s="79">
        <f t="shared" si="57"/>
        <v>1</v>
      </c>
      <c r="I517" s="80">
        <v>1845.38</v>
      </c>
      <c r="J517" s="80">
        <f t="shared" si="58"/>
        <v>1845.38</v>
      </c>
      <c r="K517" s="94"/>
      <c r="L517" s="77" t="s">
        <v>321</v>
      </c>
    </row>
    <row r="518" spans="1:12" s="54" customFormat="1" ht="23.25" customHeight="1" x14ac:dyDescent="0.25">
      <c r="A518" s="81"/>
      <c r="B518" s="89" t="s">
        <v>125</v>
      </c>
      <c r="C518" s="77" t="s">
        <v>126</v>
      </c>
      <c r="D518" s="77" t="s">
        <v>60</v>
      </c>
      <c r="E518" s="77"/>
      <c r="F518" s="77"/>
      <c r="G518" s="78">
        <v>8</v>
      </c>
      <c r="H518" s="79">
        <f t="shared" si="57"/>
        <v>8</v>
      </c>
      <c r="I518" s="80">
        <v>2029.91</v>
      </c>
      <c r="J518" s="80">
        <f t="shared" si="58"/>
        <v>16239.28</v>
      </c>
      <c r="K518" s="94"/>
      <c r="L518" s="77" t="s">
        <v>321</v>
      </c>
    </row>
    <row r="519" spans="1:12" s="54" customFormat="1" ht="23.25" customHeight="1" x14ac:dyDescent="0.25">
      <c r="A519" s="81"/>
      <c r="B519" s="89" t="s">
        <v>127</v>
      </c>
      <c r="C519" s="77" t="s">
        <v>128</v>
      </c>
      <c r="D519" s="77" t="s">
        <v>60</v>
      </c>
      <c r="E519" s="77"/>
      <c r="F519" s="77"/>
      <c r="G519" s="78">
        <v>11</v>
      </c>
      <c r="H519" s="79">
        <f t="shared" si="57"/>
        <v>11</v>
      </c>
      <c r="I519" s="80">
        <v>2398.9899999999998</v>
      </c>
      <c r="J519" s="80">
        <f t="shared" si="58"/>
        <v>26388.89</v>
      </c>
      <c r="K519" s="94"/>
      <c r="L519" s="77" t="s">
        <v>321</v>
      </c>
    </row>
    <row r="520" spans="1:12" s="54" customFormat="1" ht="23.25" customHeight="1" x14ac:dyDescent="0.25">
      <c r="A520" s="81"/>
      <c r="B520" s="89" t="s">
        <v>129</v>
      </c>
      <c r="C520" s="77" t="s">
        <v>130</v>
      </c>
      <c r="D520" s="77" t="s">
        <v>60</v>
      </c>
      <c r="E520" s="77"/>
      <c r="F520" s="77"/>
      <c r="G520" s="78">
        <v>1</v>
      </c>
      <c r="H520" s="79">
        <f t="shared" si="57"/>
        <v>1</v>
      </c>
      <c r="I520" s="80">
        <v>2583.5300000000002</v>
      </c>
      <c r="J520" s="80">
        <f t="shared" si="58"/>
        <v>2583.5300000000002</v>
      </c>
      <c r="K520" s="94"/>
      <c r="L520" s="77" t="s">
        <v>321</v>
      </c>
    </row>
    <row r="521" spans="1:12" s="54" customFormat="1" ht="23.25" customHeight="1" x14ac:dyDescent="0.25">
      <c r="A521" s="81"/>
      <c r="B521" s="89" t="s">
        <v>92</v>
      </c>
      <c r="C521" s="77" t="s">
        <v>93</v>
      </c>
      <c r="D521" s="77" t="s">
        <v>54</v>
      </c>
      <c r="E521" s="77">
        <v>1.04</v>
      </c>
      <c r="F521" s="77"/>
      <c r="G521" s="78">
        <f>155.29*E521</f>
        <v>161.5016</v>
      </c>
      <c r="H521" s="79">
        <f t="shared" si="57"/>
        <v>161.5016</v>
      </c>
      <c r="I521" s="80">
        <v>66.349999999999994</v>
      </c>
      <c r="J521" s="80">
        <f t="shared" si="58"/>
        <v>10715.631159999999</v>
      </c>
      <c r="K521" s="94"/>
      <c r="L521" s="77" t="s">
        <v>321</v>
      </c>
    </row>
    <row r="522" spans="1:12" s="54" customFormat="1" ht="23.25" customHeight="1" x14ac:dyDescent="0.25">
      <c r="A522" s="81"/>
      <c r="B522" s="89" t="s">
        <v>94</v>
      </c>
      <c r="C522" s="77" t="s">
        <v>95</v>
      </c>
      <c r="D522" s="77" t="s">
        <v>54</v>
      </c>
      <c r="E522" s="77">
        <v>1.04</v>
      </c>
      <c r="F522" s="77"/>
      <c r="G522" s="78">
        <f>G495*E522</f>
        <v>42.307200000000002</v>
      </c>
      <c r="H522" s="79">
        <f t="shared" si="57"/>
        <v>42.307200000000002</v>
      </c>
      <c r="I522" s="80">
        <v>64</v>
      </c>
      <c r="J522" s="80">
        <f t="shared" si="58"/>
        <v>2707.6608000000001</v>
      </c>
      <c r="K522" s="94"/>
      <c r="L522" s="77" t="s">
        <v>321</v>
      </c>
    </row>
    <row r="523" spans="1:12" s="54" customFormat="1" ht="23.25" customHeight="1" x14ac:dyDescent="0.25">
      <c r="A523" s="81"/>
      <c r="B523" s="89" t="s">
        <v>131</v>
      </c>
      <c r="C523" s="77" t="s">
        <v>39</v>
      </c>
      <c r="D523" s="77" t="s">
        <v>54</v>
      </c>
      <c r="E523" s="77">
        <v>1.04</v>
      </c>
      <c r="F523" s="77"/>
      <c r="G523" s="78">
        <f>85.59*E523</f>
        <v>89.013600000000011</v>
      </c>
      <c r="H523" s="79">
        <f t="shared" si="57"/>
        <v>89.013600000000011</v>
      </c>
      <c r="I523" s="80">
        <v>64.209999999999994</v>
      </c>
      <c r="J523" s="80">
        <f t="shared" si="58"/>
        <v>5715.5632560000004</v>
      </c>
      <c r="K523" s="94"/>
      <c r="L523" s="77" t="s">
        <v>321</v>
      </c>
    </row>
    <row r="524" spans="1:12" s="54" customFormat="1" ht="23.25" customHeight="1" x14ac:dyDescent="0.25">
      <c r="A524" s="81"/>
      <c r="B524" s="89" t="s">
        <v>97</v>
      </c>
      <c r="C524" s="77" t="s">
        <v>39</v>
      </c>
      <c r="D524" s="77" t="s">
        <v>54</v>
      </c>
      <c r="E524" s="77">
        <v>1.04</v>
      </c>
      <c r="F524" s="77"/>
      <c r="G524" s="78">
        <f>E524*23.1</f>
        <v>24.024000000000001</v>
      </c>
      <c r="H524" s="79">
        <f t="shared" si="57"/>
        <v>24.024000000000001</v>
      </c>
      <c r="I524" s="80">
        <v>74.92</v>
      </c>
      <c r="J524" s="80">
        <f t="shared" si="58"/>
        <v>1799.8780800000002</v>
      </c>
      <c r="K524" s="94"/>
      <c r="L524" s="77" t="s">
        <v>321</v>
      </c>
    </row>
    <row r="525" spans="1:12" s="54" customFormat="1" ht="23.25" customHeight="1" x14ac:dyDescent="0.25">
      <c r="A525" s="81"/>
      <c r="B525" s="89" t="s">
        <v>132</v>
      </c>
      <c r="C525" s="77" t="s">
        <v>39</v>
      </c>
      <c r="D525" s="77" t="s">
        <v>54</v>
      </c>
      <c r="E525" s="77">
        <v>1.04</v>
      </c>
      <c r="F525" s="77"/>
      <c r="G525" s="78">
        <f>28.88*E525</f>
        <v>30.0352</v>
      </c>
      <c r="H525" s="79">
        <f t="shared" si="57"/>
        <v>30.0352</v>
      </c>
      <c r="I525" s="80">
        <v>75.97</v>
      </c>
      <c r="J525" s="80">
        <f t="shared" si="58"/>
        <v>2281.774144</v>
      </c>
      <c r="K525" s="94"/>
      <c r="L525" s="77" t="s">
        <v>321</v>
      </c>
    </row>
    <row r="526" spans="1:12" s="101" customFormat="1" ht="33.75" customHeight="1" x14ac:dyDescent="0.25">
      <c r="A526" s="95"/>
      <c r="B526" s="96" t="s">
        <v>133</v>
      </c>
      <c r="C526" s="97" t="s">
        <v>39</v>
      </c>
      <c r="D526" s="97" t="s">
        <v>99</v>
      </c>
      <c r="E526" s="97"/>
      <c r="F526" s="97"/>
      <c r="G526" s="98"/>
      <c r="H526" s="99">
        <f>J526*100/J485</f>
        <v>4.9540518920903365</v>
      </c>
      <c r="I526" s="79"/>
      <c r="J526" s="79">
        <v>50514.601200000005</v>
      </c>
      <c r="K526" s="100"/>
      <c r="L526" s="97" t="s">
        <v>321</v>
      </c>
    </row>
    <row r="527" spans="1:12" s="54" customFormat="1" x14ac:dyDescent="0.25">
      <c r="A527" s="60" t="s">
        <v>154</v>
      </c>
      <c r="B527" s="61" t="s">
        <v>155</v>
      </c>
      <c r="C527" s="62"/>
      <c r="D527" s="63"/>
      <c r="E527" s="62"/>
      <c r="F527" s="62"/>
      <c r="G527" s="64"/>
      <c r="H527" s="65"/>
      <c r="I527" s="65"/>
      <c r="J527" s="65">
        <f>J528+J540</f>
        <v>1354922.102315</v>
      </c>
      <c r="K527" s="86"/>
      <c r="L527" s="86"/>
    </row>
    <row r="528" spans="1:12" s="54" customFormat="1" x14ac:dyDescent="0.25">
      <c r="A528" s="66"/>
      <c r="B528" s="67" t="s">
        <v>34</v>
      </c>
      <c r="C528" s="68"/>
      <c r="D528" s="68"/>
      <c r="E528" s="68"/>
      <c r="F528" s="68"/>
      <c r="G528" s="69"/>
      <c r="H528" s="70"/>
      <c r="I528" s="70"/>
      <c r="J528" s="70">
        <f>SUM(J529:J539)</f>
        <v>1019662.335</v>
      </c>
      <c r="K528" s="72"/>
      <c r="L528" s="72"/>
    </row>
    <row r="529" spans="1:12" s="54" customFormat="1" ht="22.5" customHeight="1" x14ac:dyDescent="0.25">
      <c r="A529" s="66"/>
      <c r="B529" s="71" t="s">
        <v>44</v>
      </c>
      <c r="C529" s="72"/>
      <c r="D529" s="72" t="s">
        <v>45</v>
      </c>
      <c r="E529" s="72"/>
      <c r="F529" s="72"/>
      <c r="G529" s="73">
        <v>33.94</v>
      </c>
      <c r="H529" s="70">
        <f t="shared" ref="H529:H539" si="59">SUM(G529:G529)</f>
        <v>33.94</v>
      </c>
      <c r="I529" s="74">
        <v>4939</v>
      </c>
      <c r="J529" s="74">
        <f>I529*H529</f>
        <v>167629.65999999997</v>
      </c>
      <c r="K529" s="72"/>
      <c r="L529" s="72"/>
    </row>
    <row r="530" spans="1:12" s="54" customFormat="1" ht="22.5" customHeight="1" x14ac:dyDescent="0.25">
      <c r="A530" s="66"/>
      <c r="B530" s="71" t="s">
        <v>102</v>
      </c>
      <c r="C530" s="72"/>
      <c r="D530" s="72" t="s">
        <v>45</v>
      </c>
      <c r="E530" s="72"/>
      <c r="F530" s="72"/>
      <c r="G530" s="73">
        <v>2.58</v>
      </c>
      <c r="H530" s="70">
        <f t="shared" si="59"/>
        <v>2.58</v>
      </c>
      <c r="I530" s="74">
        <v>5845</v>
      </c>
      <c r="J530" s="74">
        <f t="shared" ref="J530" si="60">I530*H530</f>
        <v>15080.1</v>
      </c>
      <c r="K530" s="72"/>
      <c r="L530" s="72"/>
    </row>
    <row r="531" spans="1:12" s="54" customFormat="1" ht="22.5" customHeight="1" x14ac:dyDescent="0.25">
      <c r="A531" s="66"/>
      <c r="B531" s="71" t="s">
        <v>46</v>
      </c>
      <c r="C531" s="72"/>
      <c r="D531" s="72" t="s">
        <v>47</v>
      </c>
      <c r="E531" s="72"/>
      <c r="F531" s="72"/>
      <c r="G531" s="73">
        <v>154.52000000000001</v>
      </c>
      <c r="H531" s="70">
        <f t="shared" si="59"/>
        <v>154.52000000000001</v>
      </c>
      <c r="I531" s="74">
        <v>1461</v>
      </c>
      <c r="J531" s="74">
        <f>I531*H531</f>
        <v>225753.72</v>
      </c>
      <c r="K531" s="72"/>
      <c r="L531" s="72"/>
    </row>
    <row r="532" spans="1:12" s="54" customFormat="1" ht="22.5" customHeight="1" x14ac:dyDescent="0.25">
      <c r="A532" s="66"/>
      <c r="B532" s="71" t="s">
        <v>48</v>
      </c>
      <c r="C532" s="72"/>
      <c r="D532" s="72" t="s">
        <v>47</v>
      </c>
      <c r="E532" s="72"/>
      <c r="F532" s="72"/>
      <c r="G532" s="73">
        <v>31.58</v>
      </c>
      <c r="H532" s="70">
        <f t="shared" si="59"/>
        <v>31.58</v>
      </c>
      <c r="I532" s="74">
        <v>1461</v>
      </c>
      <c r="J532" s="74">
        <f>I532*H532</f>
        <v>46138.38</v>
      </c>
      <c r="K532" s="72"/>
      <c r="L532" s="72"/>
    </row>
    <row r="533" spans="1:12" s="54" customFormat="1" ht="22.5" customHeight="1" x14ac:dyDescent="0.25">
      <c r="A533" s="66"/>
      <c r="B533" s="71" t="s">
        <v>103</v>
      </c>
      <c r="C533" s="72"/>
      <c r="D533" s="72" t="s">
        <v>47</v>
      </c>
      <c r="E533" s="72"/>
      <c r="F533" s="72"/>
      <c r="G533" s="73">
        <v>159.29</v>
      </c>
      <c r="H533" s="70">
        <f t="shared" si="59"/>
        <v>159.29</v>
      </c>
      <c r="I533" s="74">
        <v>1461</v>
      </c>
      <c r="J533" s="74">
        <f>I533*H533</f>
        <v>232722.69</v>
      </c>
      <c r="K533" s="72"/>
      <c r="L533" s="72"/>
    </row>
    <row r="534" spans="1:12" s="54" customFormat="1" ht="22.5" customHeight="1" x14ac:dyDescent="0.25">
      <c r="A534" s="66"/>
      <c r="B534" s="71" t="s">
        <v>104</v>
      </c>
      <c r="C534" s="72"/>
      <c r="D534" s="72" t="s">
        <v>47</v>
      </c>
      <c r="E534" s="72"/>
      <c r="F534" s="72"/>
      <c r="G534" s="73">
        <v>141.18</v>
      </c>
      <c r="H534" s="70">
        <f t="shared" si="59"/>
        <v>141.18</v>
      </c>
      <c r="I534" s="74">
        <v>1461</v>
      </c>
      <c r="J534" s="74">
        <f>I534*H534</f>
        <v>206263.98</v>
      </c>
      <c r="K534" s="72"/>
      <c r="L534" s="72"/>
    </row>
    <row r="535" spans="1:12" s="54" customFormat="1" ht="22.5" customHeight="1" x14ac:dyDescent="0.25">
      <c r="A535" s="66"/>
      <c r="B535" s="71" t="s">
        <v>49</v>
      </c>
      <c r="C535" s="72"/>
      <c r="D535" s="72" t="s">
        <v>47</v>
      </c>
      <c r="E535" s="72"/>
      <c r="F535" s="72"/>
      <c r="G535" s="73">
        <v>39.32</v>
      </c>
      <c r="H535" s="70">
        <f t="shared" si="59"/>
        <v>39.32</v>
      </c>
      <c r="I535" s="74">
        <v>1610</v>
      </c>
      <c r="J535" s="74">
        <f t="shared" ref="J535:J538" si="61">I535*H535</f>
        <v>63305.2</v>
      </c>
      <c r="K535" s="72"/>
      <c r="L535" s="72"/>
    </row>
    <row r="536" spans="1:12" s="54" customFormat="1" ht="22.5" customHeight="1" x14ac:dyDescent="0.25">
      <c r="A536" s="66"/>
      <c r="B536" s="71" t="s">
        <v>50</v>
      </c>
      <c r="C536" s="72"/>
      <c r="D536" s="72" t="s">
        <v>51</v>
      </c>
      <c r="E536" s="72"/>
      <c r="F536" s="72"/>
      <c r="G536" s="73">
        <v>56</v>
      </c>
      <c r="H536" s="70">
        <f t="shared" si="59"/>
        <v>56</v>
      </c>
      <c r="I536" s="74">
        <v>803</v>
      </c>
      <c r="J536" s="74">
        <f t="shared" si="61"/>
        <v>44968</v>
      </c>
      <c r="K536" s="72"/>
      <c r="L536" s="72"/>
    </row>
    <row r="537" spans="1:12" s="54" customFormat="1" x14ac:dyDescent="0.25">
      <c r="A537" s="66"/>
      <c r="B537" s="71" t="s">
        <v>52</v>
      </c>
      <c r="C537" s="72" t="s">
        <v>105</v>
      </c>
      <c r="D537" s="72" t="s">
        <v>54</v>
      </c>
      <c r="E537" s="72"/>
      <c r="F537" s="72"/>
      <c r="G537" s="73">
        <v>137.57</v>
      </c>
      <c r="H537" s="70">
        <f t="shared" si="59"/>
        <v>137.57</v>
      </c>
      <c r="I537" s="74">
        <v>94.5</v>
      </c>
      <c r="J537" s="74">
        <f t="shared" si="61"/>
        <v>13000.365</v>
      </c>
      <c r="K537" s="72"/>
      <c r="L537" s="72"/>
    </row>
    <row r="538" spans="1:12" s="54" customFormat="1" ht="31.5" x14ac:dyDescent="0.25">
      <c r="A538" s="66"/>
      <c r="B538" s="71" t="s">
        <v>55</v>
      </c>
      <c r="C538" s="72"/>
      <c r="D538" s="72" t="s">
        <v>54</v>
      </c>
      <c r="E538" s="72"/>
      <c r="F538" s="72"/>
      <c r="G538" s="73">
        <v>40.68</v>
      </c>
      <c r="H538" s="70">
        <f t="shared" si="59"/>
        <v>40.68</v>
      </c>
      <c r="I538" s="74">
        <v>118</v>
      </c>
      <c r="J538" s="74">
        <f t="shared" si="61"/>
        <v>4800.24</v>
      </c>
      <c r="K538" s="72"/>
      <c r="L538" s="72"/>
    </row>
    <row r="539" spans="1:12" s="54" customFormat="1" ht="21" customHeight="1" x14ac:dyDescent="0.25">
      <c r="A539" s="66"/>
      <c r="B539" s="87" t="s">
        <v>56</v>
      </c>
      <c r="C539" s="88"/>
      <c r="D539" s="88" t="s">
        <v>45</v>
      </c>
      <c r="E539" s="88"/>
      <c r="F539" s="88"/>
      <c r="G539" s="73">
        <f>308.35*0.06*0.03</f>
        <v>0.55503000000000002</v>
      </c>
      <c r="H539" s="70">
        <f t="shared" si="59"/>
        <v>0.55503000000000002</v>
      </c>
      <c r="I539" s="74"/>
      <c r="J539" s="74"/>
      <c r="K539" s="88" t="s">
        <v>57</v>
      </c>
      <c r="L539" s="72"/>
    </row>
    <row r="540" spans="1:12" s="54" customFormat="1" ht="17.25" customHeight="1" x14ac:dyDescent="0.25">
      <c r="A540" s="75"/>
      <c r="B540" s="76" t="s">
        <v>38</v>
      </c>
      <c r="C540" s="77"/>
      <c r="D540" s="77"/>
      <c r="E540" s="77"/>
      <c r="F540" s="77"/>
      <c r="G540" s="78"/>
      <c r="H540" s="79"/>
      <c r="I540" s="80"/>
      <c r="J540" s="79">
        <f>SUM(J541:J569)</f>
        <v>335259.76731500006</v>
      </c>
      <c r="K540" s="77"/>
      <c r="L540" s="77"/>
    </row>
    <row r="541" spans="1:12" s="54" customFormat="1" ht="31.5" x14ac:dyDescent="0.25">
      <c r="A541" s="81"/>
      <c r="B541" s="82" t="s">
        <v>58</v>
      </c>
      <c r="C541" s="77" t="s">
        <v>59</v>
      </c>
      <c r="D541" s="77" t="s">
        <v>60</v>
      </c>
      <c r="E541" s="78">
        <v>12.4</v>
      </c>
      <c r="F541" s="77">
        <v>0.25</v>
      </c>
      <c r="G541" s="83">
        <f>G529/F541*E541</f>
        <v>1683.424</v>
      </c>
      <c r="H541" s="84">
        <f t="shared" ref="H541:H568" si="62">SUM(G541:G541)</f>
        <v>1683.424</v>
      </c>
      <c r="I541" s="80">
        <v>0</v>
      </c>
      <c r="J541" s="80">
        <f>H541*I541</f>
        <v>0</v>
      </c>
      <c r="K541" s="77" t="s">
        <v>61</v>
      </c>
      <c r="L541" s="77" t="s">
        <v>320</v>
      </c>
    </row>
    <row r="542" spans="1:12" s="54" customFormat="1" ht="31.5" x14ac:dyDescent="0.25">
      <c r="A542" s="81"/>
      <c r="B542" s="82" t="s">
        <v>62</v>
      </c>
      <c r="C542" s="77" t="s">
        <v>63</v>
      </c>
      <c r="D542" s="77" t="s">
        <v>60</v>
      </c>
      <c r="E542" s="78">
        <v>12.4</v>
      </c>
      <c r="F542" s="77"/>
      <c r="G542" s="83">
        <f>G531*E542</f>
        <v>1916.0480000000002</v>
      </c>
      <c r="H542" s="84">
        <f t="shared" si="62"/>
        <v>1916.0480000000002</v>
      </c>
      <c r="I542" s="80">
        <v>0</v>
      </c>
      <c r="J542" s="80">
        <f>H542*I542</f>
        <v>0</v>
      </c>
      <c r="K542" s="77" t="s">
        <v>61</v>
      </c>
      <c r="L542" s="77" t="s">
        <v>320</v>
      </c>
    </row>
    <row r="543" spans="1:12" s="54" customFormat="1" ht="31.5" x14ac:dyDescent="0.25">
      <c r="A543" s="81"/>
      <c r="B543" s="82" t="s">
        <v>64</v>
      </c>
      <c r="C543" s="77" t="s">
        <v>65</v>
      </c>
      <c r="D543" s="77" t="s">
        <v>60</v>
      </c>
      <c r="E543" s="78">
        <v>12.4</v>
      </c>
      <c r="F543" s="77"/>
      <c r="G543" s="83">
        <f>G532*E543</f>
        <v>391.59199999999998</v>
      </c>
      <c r="H543" s="84">
        <f t="shared" si="62"/>
        <v>391.59199999999998</v>
      </c>
      <c r="I543" s="80">
        <v>0</v>
      </c>
      <c r="J543" s="80">
        <f>H543*I543</f>
        <v>0</v>
      </c>
      <c r="K543" s="77" t="s">
        <v>61</v>
      </c>
      <c r="L543" s="77" t="s">
        <v>320</v>
      </c>
    </row>
    <row r="544" spans="1:12" s="54" customFormat="1" ht="31.5" x14ac:dyDescent="0.25">
      <c r="A544" s="81"/>
      <c r="B544" s="82" t="s">
        <v>106</v>
      </c>
      <c r="C544" s="77" t="s">
        <v>107</v>
      </c>
      <c r="D544" s="77" t="s">
        <v>60</v>
      </c>
      <c r="E544" s="78">
        <v>12.4</v>
      </c>
      <c r="F544" s="77"/>
      <c r="G544" s="83">
        <f>G533*E544</f>
        <v>1975.1959999999999</v>
      </c>
      <c r="H544" s="84">
        <f t="shared" si="62"/>
        <v>1975.1959999999999</v>
      </c>
      <c r="I544" s="80">
        <v>0</v>
      </c>
      <c r="J544" s="80">
        <f>H544*I544</f>
        <v>0</v>
      </c>
      <c r="K544" s="77" t="s">
        <v>61</v>
      </c>
      <c r="L544" s="77" t="s">
        <v>320</v>
      </c>
    </row>
    <row r="545" spans="1:12" s="54" customFormat="1" ht="31.5" x14ac:dyDescent="0.25">
      <c r="A545" s="81"/>
      <c r="B545" s="82" t="s">
        <v>108</v>
      </c>
      <c r="C545" s="77" t="s">
        <v>109</v>
      </c>
      <c r="D545" s="77" t="s">
        <v>60</v>
      </c>
      <c r="E545" s="78">
        <v>12.4</v>
      </c>
      <c r="F545" s="77"/>
      <c r="G545" s="83">
        <f>G534*E545</f>
        <v>1750.6320000000001</v>
      </c>
      <c r="H545" s="84">
        <f t="shared" si="62"/>
        <v>1750.6320000000001</v>
      </c>
      <c r="I545" s="80">
        <v>0</v>
      </c>
      <c r="J545" s="80">
        <f>H545*I545</f>
        <v>0</v>
      </c>
      <c r="K545" s="77" t="s">
        <v>61</v>
      </c>
      <c r="L545" s="77" t="s">
        <v>320</v>
      </c>
    </row>
    <row r="546" spans="1:12" s="54" customFormat="1" ht="31.5" x14ac:dyDescent="0.25">
      <c r="A546" s="81"/>
      <c r="B546" s="89" t="s">
        <v>66</v>
      </c>
      <c r="C546" s="77" t="s">
        <v>67</v>
      </c>
      <c r="D546" s="77" t="s">
        <v>60</v>
      </c>
      <c r="E546" s="90">
        <v>42</v>
      </c>
      <c r="F546" s="90"/>
      <c r="G546" s="83">
        <f>G535*E546</f>
        <v>1651.44</v>
      </c>
      <c r="H546" s="84">
        <f t="shared" si="62"/>
        <v>1651.44</v>
      </c>
      <c r="I546" s="80">
        <v>0</v>
      </c>
      <c r="J546" s="80">
        <f t="shared" ref="J546:J568" si="63">H546*I546</f>
        <v>0</v>
      </c>
      <c r="K546" s="77" t="s">
        <v>68</v>
      </c>
      <c r="L546" s="77" t="s">
        <v>320</v>
      </c>
    </row>
    <row r="547" spans="1:12" s="54" customFormat="1" ht="31.5" x14ac:dyDescent="0.25">
      <c r="A547" s="81"/>
      <c r="B547" s="89" t="s">
        <v>110</v>
      </c>
      <c r="C547" s="77" t="s">
        <v>111</v>
      </c>
      <c r="D547" s="77" t="s">
        <v>60</v>
      </c>
      <c r="E547" s="90">
        <v>42</v>
      </c>
      <c r="F547" s="90"/>
      <c r="G547" s="83">
        <f>G530/0.25*E547</f>
        <v>433.44</v>
      </c>
      <c r="H547" s="84">
        <f t="shared" si="62"/>
        <v>433.44</v>
      </c>
      <c r="I547" s="80">
        <v>0</v>
      </c>
      <c r="J547" s="80">
        <f t="shared" si="63"/>
        <v>0</v>
      </c>
      <c r="K547" s="77" t="s">
        <v>68</v>
      </c>
      <c r="L547" s="77" t="s">
        <v>320</v>
      </c>
    </row>
    <row r="548" spans="1:12" s="54" customFormat="1" ht="32.25" customHeight="1" x14ac:dyDescent="0.25">
      <c r="A548" s="81"/>
      <c r="B548" s="91" t="s">
        <v>69</v>
      </c>
      <c r="C548" s="77" t="s">
        <v>70</v>
      </c>
      <c r="D548" s="77" t="s">
        <v>45</v>
      </c>
      <c r="E548" s="77">
        <v>0.19500000000000001</v>
      </c>
      <c r="F548" s="90"/>
      <c r="G548" s="78">
        <f>G529*E548+G531*E548*0.19+G532*E548*0.19+G533*E548*0.09+G534*E548*0.09</f>
        <v>18.7865535</v>
      </c>
      <c r="H548" s="79">
        <f t="shared" si="62"/>
        <v>18.7865535</v>
      </c>
      <c r="I548" s="80">
        <v>7875</v>
      </c>
      <c r="J548" s="80">
        <f t="shared" si="63"/>
        <v>147944.1088125</v>
      </c>
      <c r="K548" s="77" t="s">
        <v>71</v>
      </c>
      <c r="L548" s="77" t="s">
        <v>321</v>
      </c>
    </row>
    <row r="549" spans="1:12" s="54" customFormat="1" ht="32.25" customHeight="1" x14ac:dyDescent="0.25">
      <c r="A549" s="92"/>
      <c r="B549" s="91" t="s">
        <v>112</v>
      </c>
      <c r="C549" s="77" t="s">
        <v>70</v>
      </c>
      <c r="D549" s="77" t="s">
        <v>45</v>
      </c>
      <c r="E549" s="77">
        <v>0.24</v>
      </c>
      <c r="F549" s="77"/>
      <c r="G549" s="78">
        <f>G530*E549</f>
        <v>0.61919999999999997</v>
      </c>
      <c r="H549" s="79">
        <f t="shared" si="62"/>
        <v>0.61919999999999997</v>
      </c>
      <c r="I549" s="80">
        <v>7875</v>
      </c>
      <c r="J549" s="80">
        <f t="shared" si="63"/>
        <v>4876.2</v>
      </c>
      <c r="K549" s="77" t="s">
        <v>71</v>
      </c>
      <c r="L549" s="77" t="s">
        <v>321</v>
      </c>
    </row>
    <row r="550" spans="1:12" s="54" customFormat="1" ht="32.25" customHeight="1" x14ac:dyDescent="0.25">
      <c r="A550" s="92"/>
      <c r="B550" s="91" t="s">
        <v>72</v>
      </c>
      <c r="C550" s="77" t="s">
        <v>70</v>
      </c>
      <c r="D550" s="77" t="s">
        <v>45</v>
      </c>
      <c r="E550" s="77">
        <v>4.5999999999999999E-2</v>
      </c>
      <c r="F550" s="77"/>
      <c r="G550" s="78">
        <f>G535*E550</f>
        <v>1.8087199999999999</v>
      </c>
      <c r="H550" s="79">
        <f t="shared" si="62"/>
        <v>1.8087199999999999</v>
      </c>
      <c r="I550" s="80">
        <v>7875</v>
      </c>
      <c r="J550" s="80">
        <f t="shared" si="63"/>
        <v>14243.669999999998</v>
      </c>
      <c r="K550" s="77" t="s">
        <v>73</v>
      </c>
      <c r="L550" s="77" t="s">
        <v>321</v>
      </c>
    </row>
    <row r="551" spans="1:12" s="54" customFormat="1" ht="32.25" customHeight="1" x14ac:dyDescent="0.25">
      <c r="A551" s="92"/>
      <c r="B551" s="91" t="s">
        <v>74</v>
      </c>
      <c r="C551" s="77" t="s">
        <v>70</v>
      </c>
      <c r="D551" s="77" t="s">
        <v>45</v>
      </c>
      <c r="E551" s="77">
        <v>1.01</v>
      </c>
      <c r="F551" s="77"/>
      <c r="G551" s="78">
        <f>G539*E551</f>
        <v>0.56058030000000003</v>
      </c>
      <c r="H551" s="79">
        <f t="shared" si="62"/>
        <v>0.56058030000000003</v>
      </c>
      <c r="I551" s="80">
        <v>7875</v>
      </c>
      <c r="J551" s="80">
        <f t="shared" si="63"/>
        <v>4414.5698625000005</v>
      </c>
      <c r="K551" s="77" t="s">
        <v>71</v>
      </c>
      <c r="L551" s="77" t="s">
        <v>321</v>
      </c>
    </row>
    <row r="552" spans="1:12" s="54" customFormat="1" ht="32.25" customHeight="1" x14ac:dyDescent="0.25">
      <c r="A552" s="81"/>
      <c r="B552" s="89" t="s">
        <v>75</v>
      </c>
      <c r="C552" s="77" t="s">
        <v>70</v>
      </c>
      <c r="D552" s="77" t="s">
        <v>45</v>
      </c>
      <c r="E552" s="77">
        <v>6.0000000000000001E-3</v>
      </c>
      <c r="F552" s="77"/>
      <c r="G552" s="78">
        <f>G536*E552</f>
        <v>0.33600000000000002</v>
      </c>
      <c r="H552" s="79">
        <f t="shared" si="62"/>
        <v>0.33600000000000002</v>
      </c>
      <c r="I552" s="80">
        <v>7875</v>
      </c>
      <c r="J552" s="80">
        <f t="shared" si="63"/>
        <v>2646</v>
      </c>
      <c r="K552" s="77" t="s">
        <v>76</v>
      </c>
      <c r="L552" s="77" t="s">
        <v>321</v>
      </c>
    </row>
    <row r="553" spans="1:12" s="54" customFormat="1" ht="32.25" customHeight="1" x14ac:dyDescent="0.25">
      <c r="A553" s="81"/>
      <c r="B553" s="89" t="s">
        <v>77</v>
      </c>
      <c r="C553" s="77" t="s">
        <v>70</v>
      </c>
      <c r="D553" s="77" t="s">
        <v>45</v>
      </c>
      <c r="E553" s="77">
        <v>1.01</v>
      </c>
      <c r="F553" s="77"/>
      <c r="G553" s="93">
        <v>0.08</v>
      </c>
      <c r="H553" s="79">
        <f t="shared" si="62"/>
        <v>0.08</v>
      </c>
      <c r="I553" s="80">
        <v>7875</v>
      </c>
      <c r="J553" s="80">
        <f t="shared" si="63"/>
        <v>630</v>
      </c>
      <c r="K553" s="94"/>
      <c r="L553" s="77" t="s">
        <v>321</v>
      </c>
    </row>
    <row r="554" spans="1:12" s="54" customFormat="1" ht="26.25" customHeight="1" x14ac:dyDescent="0.25">
      <c r="A554" s="81"/>
      <c r="B554" s="89" t="s">
        <v>78</v>
      </c>
      <c r="C554" s="77" t="s">
        <v>79</v>
      </c>
      <c r="D554" s="77" t="s">
        <v>47</v>
      </c>
      <c r="E554" s="77"/>
      <c r="F554" s="77"/>
      <c r="G554" s="78">
        <v>183.5</v>
      </c>
      <c r="H554" s="79">
        <f t="shared" si="62"/>
        <v>183.5</v>
      </c>
      <c r="I554" s="80">
        <v>88.34</v>
      </c>
      <c r="J554" s="80">
        <f t="shared" si="63"/>
        <v>16210.390000000001</v>
      </c>
      <c r="K554" s="94"/>
      <c r="L554" s="77" t="s">
        <v>321</v>
      </c>
    </row>
    <row r="555" spans="1:12" s="54" customFormat="1" ht="26.25" customHeight="1" x14ac:dyDescent="0.25">
      <c r="A555" s="81"/>
      <c r="B555" s="89" t="s">
        <v>113</v>
      </c>
      <c r="C555" s="77" t="s">
        <v>114</v>
      </c>
      <c r="D555" s="77" t="s">
        <v>60</v>
      </c>
      <c r="E555" s="77"/>
      <c r="F555" s="77"/>
      <c r="G555" s="78">
        <v>12</v>
      </c>
      <c r="H555" s="79">
        <f t="shared" si="62"/>
        <v>12</v>
      </c>
      <c r="I555" s="80">
        <v>398.6</v>
      </c>
      <c r="J555" s="80">
        <f t="shared" si="63"/>
        <v>4783.2000000000007</v>
      </c>
      <c r="K555" s="94"/>
      <c r="L555" s="77" t="s">
        <v>321</v>
      </c>
    </row>
    <row r="556" spans="1:12" s="54" customFormat="1" ht="26.25" customHeight="1" x14ac:dyDescent="0.25">
      <c r="A556" s="81"/>
      <c r="B556" s="89" t="s">
        <v>115</v>
      </c>
      <c r="C556" s="77" t="s">
        <v>116</v>
      </c>
      <c r="D556" s="77" t="s">
        <v>60</v>
      </c>
      <c r="E556" s="77"/>
      <c r="F556" s="77"/>
      <c r="G556" s="78">
        <v>9</v>
      </c>
      <c r="H556" s="79">
        <f t="shared" si="62"/>
        <v>9</v>
      </c>
      <c r="I556" s="80">
        <v>465.03</v>
      </c>
      <c r="J556" s="80">
        <f t="shared" si="63"/>
        <v>4185.2699999999995</v>
      </c>
      <c r="K556" s="94"/>
      <c r="L556" s="77" t="s">
        <v>321</v>
      </c>
    </row>
    <row r="557" spans="1:12" s="54" customFormat="1" ht="26.25" customHeight="1" x14ac:dyDescent="0.25">
      <c r="A557" s="81"/>
      <c r="B557" s="89" t="s">
        <v>117</v>
      </c>
      <c r="C557" s="77" t="s">
        <v>118</v>
      </c>
      <c r="D557" s="77" t="s">
        <v>60</v>
      </c>
      <c r="E557" s="77"/>
      <c r="F557" s="77"/>
      <c r="G557" s="78">
        <v>1</v>
      </c>
      <c r="H557" s="79">
        <f t="shared" si="62"/>
        <v>1</v>
      </c>
      <c r="I557" s="80">
        <v>841.49</v>
      </c>
      <c r="J557" s="80">
        <f t="shared" si="63"/>
        <v>841.49</v>
      </c>
      <c r="K557" s="94"/>
      <c r="L557" s="77" t="s">
        <v>321</v>
      </c>
    </row>
    <row r="558" spans="1:12" s="54" customFormat="1" ht="26.25" customHeight="1" x14ac:dyDescent="0.25">
      <c r="A558" s="81"/>
      <c r="B558" s="89" t="s">
        <v>119</v>
      </c>
      <c r="C558" s="77" t="s">
        <v>120</v>
      </c>
      <c r="D558" s="77" t="s">
        <v>60</v>
      </c>
      <c r="E558" s="77"/>
      <c r="F558" s="77"/>
      <c r="G558" s="78">
        <v>10</v>
      </c>
      <c r="H558" s="79">
        <f t="shared" si="62"/>
        <v>10</v>
      </c>
      <c r="I558" s="80">
        <v>981.74</v>
      </c>
      <c r="J558" s="80">
        <f t="shared" si="63"/>
        <v>9817.4</v>
      </c>
      <c r="K558" s="94"/>
      <c r="L558" s="77" t="s">
        <v>321</v>
      </c>
    </row>
    <row r="559" spans="1:12" s="54" customFormat="1" ht="26.25" customHeight="1" x14ac:dyDescent="0.25">
      <c r="A559" s="81"/>
      <c r="B559" s="89" t="s">
        <v>121</v>
      </c>
      <c r="C559" s="77" t="s">
        <v>122</v>
      </c>
      <c r="D559" s="77" t="s">
        <v>60</v>
      </c>
      <c r="E559" s="77"/>
      <c r="F559" s="77"/>
      <c r="G559" s="78">
        <v>3</v>
      </c>
      <c r="H559" s="79">
        <f t="shared" si="62"/>
        <v>3</v>
      </c>
      <c r="I559" s="80">
        <v>1291.76</v>
      </c>
      <c r="J559" s="80">
        <f t="shared" si="63"/>
        <v>3875.2799999999997</v>
      </c>
      <c r="K559" s="94"/>
      <c r="L559" s="77" t="s">
        <v>321</v>
      </c>
    </row>
    <row r="560" spans="1:12" s="54" customFormat="1" ht="26.25" customHeight="1" x14ac:dyDescent="0.25">
      <c r="A560" s="81"/>
      <c r="B560" s="89" t="s">
        <v>123</v>
      </c>
      <c r="C560" s="77" t="s">
        <v>124</v>
      </c>
      <c r="D560" s="77" t="s">
        <v>60</v>
      </c>
      <c r="E560" s="77"/>
      <c r="F560" s="77"/>
      <c r="G560" s="78">
        <v>1</v>
      </c>
      <c r="H560" s="79">
        <f t="shared" si="62"/>
        <v>1</v>
      </c>
      <c r="I560" s="80">
        <v>1845.38</v>
      </c>
      <c r="J560" s="80">
        <f t="shared" si="63"/>
        <v>1845.38</v>
      </c>
      <c r="K560" s="94"/>
      <c r="L560" s="77" t="s">
        <v>321</v>
      </c>
    </row>
    <row r="561" spans="1:12" s="54" customFormat="1" ht="26.25" customHeight="1" x14ac:dyDescent="0.25">
      <c r="A561" s="81"/>
      <c r="B561" s="89" t="s">
        <v>125</v>
      </c>
      <c r="C561" s="77" t="s">
        <v>126</v>
      </c>
      <c r="D561" s="77" t="s">
        <v>60</v>
      </c>
      <c r="E561" s="77"/>
      <c r="F561" s="77"/>
      <c r="G561" s="78">
        <v>8</v>
      </c>
      <c r="H561" s="79">
        <f t="shared" si="62"/>
        <v>8</v>
      </c>
      <c r="I561" s="80">
        <v>2029.91</v>
      </c>
      <c r="J561" s="80">
        <f t="shared" si="63"/>
        <v>16239.28</v>
      </c>
      <c r="K561" s="94"/>
      <c r="L561" s="77" t="s">
        <v>321</v>
      </c>
    </row>
    <row r="562" spans="1:12" s="54" customFormat="1" ht="26.25" customHeight="1" x14ac:dyDescent="0.25">
      <c r="A562" s="81"/>
      <c r="B562" s="89" t="s">
        <v>127</v>
      </c>
      <c r="C562" s="77" t="s">
        <v>128</v>
      </c>
      <c r="D562" s="77" t="s">
        <v>60</v>
      </c>
      <c r="E562" s="77"/>
      <c r="F562" s="77"/>
      <c r="G562" s="78">
        <v>11</v>
      </c>
      <c r="H562" s="79">
        <f t="shared" si="62"/>
        <v>11</v>
      </c>
      <c r="I562" s="80">
        <v>2398.9899999999998</v>
      </c>
      <c r="J562" s="80">
        <f t="shared" si="63"/>
        <v>26388.89</v>
      </c>
      <c r="K562" s="94"/>
      <c r="L562" s="77" t="s">
        <v>321</v>
      </c>
    </row>
    <row r="563" spans="1:12" s="54" customFormat="1" ht="26.25" customHeight="1" x14ac:dyDescent="0.25">
      <c r="A563" s="81"/>
      <c r="B563" s="89" t="s">
        <v>129</v>
      </c>
      <c r="C563" s="77" t="s">
        <v>130</v>
      </c>
      <c r="D563" s="77" t="s">
        <v>60</v>
      </c>
      <c r="E563" s="77"/>
      <c r="F563" s="77"/>
      <c r="G563" s="78">
        <v>1</v>
      </c>
      <c r="H563" s="79">
        <f t="shared" si="62"/>
        <v>1</v>
      </c>
      <c r="I563" s="80">
        <v>2583.5300000000002</v>
      </c>
      <c r="J563" s="80">
        <f t="shared" si="63"/>
        <v>2583.5300000000002</v>
      </c>
      <c r="K563" s="94"/>
      <c r="L563" s="77" t="s">
        <v>321</v>
      </c>
    </row>
    <row r="564" spans="1:12" s="54" customFormat="1" ht="26.25" customHeight="1" x14ac:dyDescent="0.25">
      <c r="A564" s="81"/>
      <c r="B564" s="89" t="s">
        <v>92</v>
      </c>
      <c r="C564" s="77" t="s">
        <v>93</v>
      </c>
      <c r="D564" s="77" t="s">
        <v>54</v>
      </c>
      <c r="E564" s="77">
        <v>1.04</v>
      </c>
      <c r="F564" s="77"/>
      <c r="G564" s="78">
        <f>155.29*E564</f>
        <v>161.5016</v>
      </c>
      <c r="H564" s="79">
        <f t="shared" si="62"/>
        <v>161.5016</v>
      </c>
      <c r="I564" s="80">
        <v>66.349999999999994</v>
      </c>
      <c r="J564" s="80">
        <f t="shared" si="63"/>
        <v>10715.631159999999</v>
      </c>
      <c r="K564" s="94"/>
      <c r="L564" s="77" t="s">
        <v>321</v>
      </c>
    </row>
    <row r="565" spans="1:12" s="54" customFormat="1" ht="26.25" customHeight="1" x14ac:dyDescent="0.25">
      <c r="A565" s="81"/>
      <c r="B565" s="89" t="s">
        <v>94</v>
      </c>
      <c r="C565" s="77" t="s">
        <v>95</v>
      </c>
      <c r="D565" s="77" t="s">
        <v>54</v>
      </c>
      <c r="E565" s="77">
        <v>1.04</v>
      </c>
      <c r="F565" s="77"/>
      <c r="G565" s="78">
        <f>G538*E565</f>
        <v>42.307200000000002</v>
      </c>
      <c r="H565" s="79">
        <f t="shared" si="62"/>
        <v>42.307200000000002</v>
      </c>
      <c r="I565" s="80">
        <v>64</v>
      </c>
      <c r="J565" s="80">
        <f t="shared" si="63"/>
        <v>2707.6608000000001</v>
      </c>
      <c r="K565" s="94"/>
      <c r="L565" s="77" t="s">
        <v>321</v>
      </c>
    </row>
    <row r="566" spans="1:12" s="54" customFormat="1" ht="26.25" customHeight="1" x14ac:dyDescent="0.25">
      <c r="A566" s="81"/>
      <c r="B566" s="89" t="s">
        <v>131</v>
      </c>
      <c r="C566" s="77" t="s">
        <v>39</v>
      </c>
      <c r="D566" s="77" t="s">
        <v>54</v>
      </c>
      <c r="E566" s="77">
        <v>1.04</v>
      </c>
      <c r="F566" s="77"/>
      <c r="G566" s="78">
        <f>85.59*E566</f>
        <v>89.013600000000011</v>
      </c>
      <c r="H566" s="79">
        <f t="shared" si="62"/>
        <v>89.013600000000011</v>
      </c>
      <c r="I566" s="80">
        <v>64.209999999999994</v>
      </c>
      <c r="J566" s="80">
        <f t="shared" si="63"/>
        <v>5715.5632560000004</v>
      </c>
      <c r="K566" s="94"/>
      <c r="L566" s="77" t="s">
        <v>321</v>
      </c>
    </row>
    <row r="567" spans="1:12" s="54" customFormat="1" ht="26.25" customHeight="1" x14ac:dyDescent="0.25">
      <c r="A567" s="81"/>
      <c r="B567" s="89" t="s">
        <v>97</v>
      </c>
      <c r="C567" s="77" t="s">
        <v>39</v>
      </c>
      <c r="D567" s="77" t="s">
        <v>54</v>
      </c>
      <c r="E567" s="77">
        <v>1.04</v>
      </c>
      <c r="F567" s="77"/>
      <c r="G567" s="78">
        <f>E567*23.1</f>
        <v>24.024000000000001</v>
      </c>
      <c r="H567" s="79">
        <f t="shared" si="62"/>
        <v>24.024000000000001</v>
      </c>
      <c r="I567" s="80">
        <v>74.92</v>
      </c>
      <c r="J567" s="80">
        <f t="shared" si="63"/>
        <v>1799.8780800000002</v>
      </c>
      <c r="K567" s="94"/>
      <c r="L567" s="77" t="s">
        <v>321</v>
      </c>
    </row>
    <row r="568" spans="1:12" s="54" customFormat="1" ht="26.25" customHeight="1" x14ac:dyDescent="0.25">
      <c r="A568" s="81"/>
      <c r="B568" s="89" t="s">
        <v>132</v>
      </c>
      <c r="C568" s="77" t="s">
        <v>39</v>
      </c>
      <c r="D568" s="77" t="s">
        <v>54</v>
      </c>
      <c r="E568" s="77">
        <v>1.04</v>
      </c>
      <c r="F568" s="77"/>
      <c r="G568" s="78">
        <f>28.88*E568</f>
        <v>30.0352</v>
      </c>
      <c r="H568" s="79">
        <f t="shared" si="62"/>
        <v>30.0352</v>
      </c>
      <c r="I568" s="80">
        <v>75.97</v>
      </c>
      <c r="J568" s="80">
        <f t="shared" si="63"/>
        <v>2281.774144</v>
      </c>
      <c r="K568" s="94"/>
      <c r="L568" s="77" t="s">
        <v>321</v>
      </c>
    </row>
    <row r="569" spans="1:12" s="101" customFormat="1" ht="30" customHeight="1" x14ac:dyDescent="0.25">
      <c r="A569" s="95"/>
      <c r="B569" s="96" t="s">
        <v>133</v>
      </c>
      <c r="C569" s="97" t="s">
        <v>39</v>
      </c>
      <c r="D569" s="97" t="s">
        <v>99</v>
      </c>
      <c r="E569" s="97"/>
      <c r="F569" s="97"/>
      <c r="G569" s="98"/>
      <c r="H569" s="99">
        <f>J569*100/J528</f>
        <v>4.9540518920903365</v>
      </c>
      <c r="I569" s="79"/>
      <c r="J569" s="79">
        <v>50514.601200000005</v>
      </c>
      <c r="K569" s="100"/>
      <c r="L569" s="97" t="s">
        <v>321</v>
      </c>
    </row>
    <row r="570" spans="1:12" s="54" customFormat="1" ht="23.25" customHeight="1" x14ac:dyDescent="0.25">
      <c r="A570" s="60" t="s">
        <v>156</v>
      </c>
      <c r="B570" s="61" t="s">
        <v>157</v>
      </c>
      <c r="C570" s="62"/>
      <c r="D570" s="63"/>
      <c r="E570" s="62"/>
      <c r="F570" s="62"/>
      <c r="G570" s="64"/>
      <c r="H570" s="65"/>
      <c r="I570" s="65"/>
      <c r="J570" s="65">
        <f>J571+J583</f>
        <v>1354922.102315</v>
      </c>
      <c r="K570" s="86"/>
      <c r="L570" s="86"/>
    </row>
    <row r="571" spans="1:12" s="54" customFormat="1" ht="23.25" customHeight="1" x14ac:dyDescent="0.25">
      <c r="A571" s="66"/>
      <c r="B571" s="67" t="s">
        <v>34</v>
      </c>
      <c r="C571" s="68"/>
      <c r="D571" s="68"/>
      <c r="E571" s="68"/>
      <c r="F571" s="68"/>
      <c r="G571" s="69"/>
      <c r="H571" s="70"/>
      <c r="I571" s="70"/>
      <c r="J571" s="70">
        <f>SUM(J572:J582)</f>
        <v>1019662.335</v>
      </c>
      <c r="K571" s="72"/>
      <c r="L571" s="72"/>
    </row>
    <row r="572" spans="1:12" s="54" customFormat="1" ht="23.25" customHeight="1" x14ac:dyDescent="0.25">
      <c r="A572" s="66"/>
      <c r="B572" s="71" t="s">
        <v>44</v>
      </c>
      <c r="C572" s="72"/>
      <c r="D572" s="72" t="s">
        <v>45</v>
      </c>
      <c r="E572" s="72"/>
      <c r="F572" s="72"/>
      <c r="G572" s="73">
        <v>33.94</v>
      </c>
      <c r="H572" s="70">
        <f t="shared" ref="H572:H582" si="64">SUM(G572:G572)</f>
        <v>33.94</v>
      </c>
      <c r="I572" s="74">
        <v>4939</v>
      </c>
      <c r="J572" s="74">
        <f>I572*H572</f>
        <v>167629.65999999997</v>
      </c>
      <c r="K572" s="72"/>
      <c r="L572" s="72"/>
    </row>
    <row r="573" spans="1:12" s="54" customFormat="1" ht="23.25" customHeight="1" x14ac:dyDescent="0.25">
      <c r="A573" s="66"/>
      <c r="B573" s="71" t="s">
        <v>102</v>
      </c>
      <c r="C573" s="72"/>
      <c r="D573" s="72" t="s">
        <v>45</v>
      </c>
      <c r="E573" s="72"/>
      <c r="F573" s="72"/>
      <c r="G573" s="73">
        <v>2.58</v>
      </c>
      <c r="H573" s="70">
        <f t="shared" si="64"/>
        <v>2.58</v>
      </c>
      <c r="I573" s="74">
        <v>5845</v>
      </c>
      <c r="J573" s="74">
        <f t="shared" ref="J573" si="65">I573*H573</f>
        <v>15080.1</v>
      </c>
      <c r="K573" s="72"/>
      <c r="L573" s="72"/>
    </row>
    <row r="574" spans="1:12" s="54" customFormat="1" ht="23.25" customHeight="1" x14ac:dyDescent="0.25">
      <c r="A574" s="66"/>
      <c r="B574" s="71" t="s">
        <v>46</v>
      </c>
      <c r="C574" s="72"/>
      <c r="D574" s="72" t="s">
        <v>47</v>
      </c>
      <c r="E574" s="72"/>
      <c r="F574" s="72"/>
      <c r="G574" s="73">
        <v>154.52000000000001</v>
      </c>
      <c r="H574" s="70">
        <f t="shared" si="64"/>
        <v>154.52000000000001</v>
      </c>
      <c r="I574" s="74">
        <v>1461</v>
      </c>
      <c r="J574" s="74">
        <f>I574*H574</f>
        <v>225753.72</v>
      </c>
      <c r="K574" s="72"/>
      <c r="L574" s="72"/>
    </row>
    <row r="575" spans="1:12" s="54" customFormat="1" ht="23.25" customHeight="1" x14ac:dyDescent="0.25">
      <c r="A575" s="66"/>
      <c r="B575" s="71" t="s">
        <v>48</v>
      </c>
      <c r="C575" s="72"/>
      <c r="D575" s="72" t="s">
        <v>47</v>
      </c>
      <c r="E575" s="72"/>
      <c r="F575" s="72"/>
      <c r="G575" s="73">
        <v>31.58</v>
      </c>
      <c r="H575" s="70">
        <f t="shared" si="64"/>
        <v>31.58</v>
      </c>
      <c r="I575" s="74">
        <v>1461</v>
      </c>
      <c r="J575" s="74">
        <f>I575*H575</f>
        <v>46138.38</v>
      </c>
      <c r="K575" s="72"/>
      <c r="L575" s="72"/>
    </row>
    <row r="576" spans="1:12" s="54" customFormat="1" ht="23.25" customHeight="1" x14ac:dyDescent="0.25">
      <c r="A576" s="66"/>
      <c r="B576" s="71" t="s">
        <v>103</v>
      </c>
      <c r="C576" s="72"/>
      <c r="D576" s="72" t="s">
        <v>47</v>
      </c>
      <c r="E576" s="72"/>
      <c r="F576" s="72"/>
      <c r="G576" s="73">
        <v>159.29</v>
      </c>
      <c r="H576" s="70">
        <f t="shared" si="64"/>
        <v>159.29</v>
      </c>
      <c r="I576" s="74">
        <v>1461</v>
      </c>
      <c r="J576" s="74">
        <f>I576*H576</f>
        <v>232722.69</v>
      </c>
      <c r="K576" s="72"/>
      <c r="L576" s="72"/>
    </row>
    <row r="577" spans="1:12" s="54" customFormat="1" ht="23.25" customHeight="1" x14ac:dyDescent="0.25">
      <c r="A577" s="66"/>
      <c r="B577" s="71" t="s">
        <v>104</v>
      </c>
      <c r="C577" s="72"/>
      <c r="D577" s="72" t="s">
        <v>47</v>
      </c>
      <c r="E577" s="72"/>
      <c r="F577" s="72"/>
      <c r="G577" s="73">
        <v>141.18</v>
      </c>
      <c r="H577" s="70">
        <f t="shared" si="64"/>
        <v>141.18</v>
      </c>
      <c r="I577" s="74">
        <v>1461</v>
      </c>
      <c r="J577" s="74">
        <f>I577*H577</f>
        <v>206263.98</v>
      </c>
      <c r="K577" s="72"/>
      <c r="L577" s="72"/>
    </row>
    <row r="578" spans="1:12" s="54" customFormat="1" ht="23.25" customHeight="1" x14ac:dyDescent="0.25">
      <c r="A578" s="66"/>
      <c r="B578" s="71" t="s">
        <v>49</v>
      </c>
      <c r="C578" s="72"/>
      <c r="D578" s="72" t="s">
        <v>47</v>
      </c>
      <c r="E578" s="72"/>
      <c r="F578" s="72"/>
      <c r="G578" s="73">
        <v>39.32</v>
      </c>
      <c r="H578" s="70">
        <f t="shared" si="64"/>
        <v>39.32</v>
      </c>
      <c r="I578" s="74">
        <v>1610</v>
      </c>
      <c r="J578" s="74">
        <f t="shared" ref="J578:J581" si="66">I578*H578</f>
        <v>63305.2</v>
      </c>
      <c r="K578" s="72"/>
      <c r="L578" s="72"/>
    </row>
    <row r="579" spans="1:12" s="54" customFormat="1" ht="23.25" customHeight="1" x14ac:dyDescent="0.25">
      <c r="A579" s="66"/>
      <c r="B579" s="71" t="s">
        <v>50</v>
      </c>
      <c r="C579" s="72"/>
      <c r="D579" s="72" t="s">
        <v>51</v>
      </c>
      <c r="E579" s="72"/>
      <c r="F579" s="72"/>
      <c r="G579" s="73">
        <v>56</v>
      </c>
      <c r="H579" s="70">
        <f t="shared" si="64"/>
        <v>56</v>
      </c>
      <c r="I579" s="74">
        <v>803</v>
      </c>
      <c r="J579" s="74">
        <f t="shared" si="66"/>
        <v>44968</v>
      </c>
      <c r="K579" s="72"/>
      <c r="L579" s="72"/>
    </row>
    <row r="580" spans="1:12" s="54" customFormat="1" ht="24.75" customHeight="1" x14ac:dyDescent="0.25">
      <c r="A580" s="66"/>
      <c r="B580" s="71" t="s">
        <v>52</v>
      </c>
      <c r="C580" s="72" t="s">
        <v>105</v>
      </c>
      <c r="D580" s="72" t="s">
        <v>54</v>
      </c>
      <c r="E580" s="72"/>
      <c r="F580" s="72"/>
      <c r="G580" s="73">
        <v>137.57</v>
      </c>
      <c r="H580" s="70">
        <f t="shared" si="64"/>
        <v>137.57</v>
      </c>
      <c r="I580" s="74">
        <v>94.5</v>
      </c>
      <c r="J580" s="74">
        <f t="shared" si="66"/>
        <v>13000.365</v>
      </c>
      <c r="K580" s="72"/>
      <c r="L580" s="72"/>
    </row>
    <row r="581" spans="1:12" s="54" customFormat="1" ht="31.5" x14ac:dyDescent="0.25">
      <c r="A581" s="66"/>
      <c r="B581" s="71" t="s">
        <v>55</v>
      </c>
      <c r="C581" s="72"/>
      <c r="D581" s="72" t="s">
        <v>54</v>
      </c>
      <c r="E581" s="72"/>
      <c r="F581" s="72"/>
      <c r="G581" s="73">
        <v>40.68</v>
      </c>
      <c r="H581" s="70">
        <f t="shared" si="64"/>
        <v>40.68</v>
      </c>
      <c r="I581" s="74">
        <v>118</v>
      </c>
      <c r="J581" s="74">
        <f t="shared" si="66"/>
        <v>4800.24</v>
      </c>
      <c r="K581" s="72"/>
      <c r="L581" s="72"/>
    </row>
    <row r="582" spans="1:12" s="54" customFormat="1" ht="22.5" customHeight="1" x14ac:dyDescent="0.25">
      <c r="A582" s="66"/>
      <c r="B582" s="87" t="s">
        <v>56</v>
      </c>
      <c r="C582" s="88"/>
      <c r="D582" s="88" t="s">
        <v>45</v>
      </c>
      <c r="E582" s="88"/>
      <c r="F582" s="88"/>
      <c r="G582" s="73">
        <f>308.35*0.06*0.03</f>
        <v>0.55503000000000002</v>
      </c>
      <c r="H582" s="70">
        <f t="shared" si="64"/>
        <v>0.55503000000000002</v>
      </c>
      <c r="I582" s="74"/>
      <c r="J582" s="74"/>
      <c r="K582" s="88" t="s">
        <v>57</v>
      </c>
      <c r="L582" s="72"/>
    </row>
    <row r="583" spans="1:12" s="54" customFormat="1" x14ac:dyDescent="0.25">
      <c r="A583" s="75"/>
      <c r="B583" s="76" t="s">
        <v>38</v>
      </c>
      <c r="C583" s="77"/>
      <c r="D583" s="77"/>
      <c r="E583" s="77"/>
      <c r="F583" s="77"/>
      <c r="G583" s="78"/>
      <c r="H583" s="79"/>
      <c r="I583" s="80"/>
      <c r="J583" s="79">
        <f>SUM(J584:J612)</f>
        <v>335259.76731500006</v>
      </c>
      <c r="K583" s="77"/>
      <c r="L583" s="77"/>
    </row>
    <row r="584" spans="1:12" s="54" customFormat="1" ht="31.5" x14ac:dyDescent="0.25">
      <c r="A584" s="81"/>
      <c r="B584" s="82" t="s">
        <v>58</v>
      </c>
      <c r="C584" s="77" t="s">
        <v>59</v>
      </c>
      <c r="D584" s="77" t="s">
        <v>60</v>
      </c>
      <c r="E584" s="78">
        <v>12.4</v>
      </c>
      <c r="F584" s="77">
        <v>0.25</v>
      </c>
      <c r="G584" s="83">
        <f>G572/F584*E584</f>
        <v>1683.424</v>
      </c>
      <c r="H584" s="84">
        <f t="shared" ref="H584:H611" si="67">SUM(G584:G584)</f>
        <v>1683.424</v>
      </c>
      <c r="I584" s="80">
        <v>0</v>
      </c>
      <c r="J584" s="80">
        <f>H584*I584</f>
        <v>0</v>
      </c>
      <c r="K584" s="77" t="s">
        <v>61</v>
      </c>
      <c r="L584" s="77" t="s">
        <v>320</v>
      </c>
    </row>
    <row r="585" spans="1:12" s="54" customFormat="1" ht="31.5" x14ac:dyDescent="0.25">
      <c r="A585" s="81"/>
      <c r="B585" s="82" t="s">
        <v>62</v>
      </c>
      <c r="C585" s="77" t="s">
        <v>63</v>
      </c>
      <c r="D585" s="77" t="s">
        <v>60</v>
      </c>
      <c r="E585" s="78">
        <v>12.4</v>
      </c>
      <c r="F585" s="77"/>
      <c r="G585" s="83">
        <f>G574*E585</f>
        <v>1916.0480000000002</v>
      </c>
      <c r="H585" s="84">
        <f t="shared" si="67"/>
        <v>1916.0480000000002</v>
      </c>
      <c r="I585" s="80">
        <v>0</v>
      </c>
      <c r="J585" s="80">
        <f>H585*I585</f>
        <v>0</v>
      </c>
      <c r="K585" s="77" t="s">
        <v>61</v>
      </c>
      <c r="L585" s="77" t="s">
        <v>320</v>
      </c>
    </row>
    <row r="586" spans="1:12" s="54" customFormat="1" ht="31.5" x14ac:dyDescent="0.25">
      <c r="A586" s="81"/>
      <c r="B586" s="82" t="s">
        <v>64</v>
      </c>
      <c r="C586" s="77" t="s">
        <v>65</v>
      </c>
      <c r="D586" s="77" t="s">
        <v>60</v>
      </c>
      <c r="E586" s="78">
        <v>12.4</v>
      </c>
      <c r="F586" s="77"/>
      <c r="G586" s="83">
        <f>G575*E586</f>
        <v>391.59199999999998</v>
      </c>
      <c r="H586" s="84">
        <f t="shared" si="67"/>
        <v>391.59199999999998</v>
      </c>
      <c r="I586" s="80">
        <v>0</v>
      </c>
      <c r="J586" s="80">
        <f>H586*I586</f>
        <v>0</v>
      </c>
      <c r="K586" s="77" t="s">
        <v>61</v>
      </c>
      <c r="L586" s="77" t="s">
        <v>320</v>
      </c>
    </row>
    <row r="587" spans="1:12" s="54" customFormat="1" ht="31.5" x14ac:dyDescent="0.25">
      <c r="A587" s="81"/>
      <c r="B587" s="82" t="s">
        <v>106</v>
      </c>
      <c r="C587" s="77" t="s">
        <v>107</v>
      </c>
      <c r="D587" s="77" t="s">
        <v>60</v>
      </c>
      <c r="E587" s="78">
        <v>12.4</v>
      </c>
      <c r="F587" s="77"/>
      <c r="G587" s="83">
        <f>G576*E587</f>
        <v>1975.1959999999999</v>
      </c>
      <c r="H587" s="84">
        <f t="shared" si="67"/>
        <v>1975.1959999999999</v>
      </c>
      <c r="I587" s="80">
        <v>0</v>
      </c>
      <c r="J587" s="80">
        <f>H587*I587</f>
        <v>0</v>
      </c>
      <c r="K587" s="77" t="s">
        <v>61</v>
      </c>
      <c r="L587" s="77" t="s">
        <v>320</v>
      </c>
    </row>
    <row r="588" spans="1:12" s="54" customFormat="1" ht="31.5" x14ac:dyDescent="0.25">
      <c r="A588" s="81"/>
      <c r="B588" s="82" t="s">
        <v>108</v>
      </c>
      <c r="C588" s="77" t="s">
        <v>109</v>
      </c>
      <c r="D588" s="77" t="s">
        <v>60</v>
      </c>
      <c r="E588" s="78">
        <v>12.4</v>
      </c>
      <c r="F588" s="77"/>
      <c r="G588" s="83">
        <f>G577*E588</f>
        <v>1750.6320000000001</v>
      </c>
      <c r="H588" s="84">
        <f t="shared" si="67"/>
        <v>1750.6320000000001</v>
      </c>
      <c r="I588" s="80">
        <v>0</v>
      </c>
      <c r="J588" s="80">
        <f>H588*I588</f>
        <v>0</v>
      </c>
      <c r="K588" s="77" t="s">
        <v>61</v>
      </c>
      <c r="L588" s="77" t="s">
        <v>320</v>
      </c>
    </row>
    <row r="589" spans="1:12" s="54" customFormat="1" ht="31.5" x14ac:dyDescent="0.25">
      <c r="A589" s="81"/>
      <c r="B589" s="89" t="s">
        <v>66</v>
      </c>
      <c r="C589" s="77" t="s">
        <v>67</v>
      </c>
      <c r="D589" s="77" t="s">
        <v>60</v>
      </c>
      <c r="E589" s="90">
        <v>42</v>
      </c>
      <c r="F589" s="90"/>
      <c r="G589" s="83">
        <f>G578*E589</f>
        <v>1651.44</v>
      </c>
      <c r="H589" s="84">
        <f t="shared" si="67"/>
        <v>1651.44</v>
      </c>
      <c r="I589" s="80">
        <v>0</v>
      </c>
      <c r="J589" s="80">
        <f t="shared" ref="J589:J611" si="68">H589*I589</f>
        <v>0</v>
      </c>
      <c r="K589" s="77" t="s">
        <v>68</v>
      </c>
      <c r="L589" s="77" t="s">
        <v>320</v>
      </c>
    </row>
    <row r="590" spans="1:12" s="54" customFormat="1" ht="31.5" x14ac:dyDescent="0.25">
      <c r="A590" s="81"/>
      <c r="B590" s="89" t="s">
        <v>110</v>
      </c>
      <c r="C590" s="77" t="s">
        <v>111</v>
      </c>
      <c r="D590" s="77" t="s">
        <v>60</v>
      </c>
      <c r="E590" s="90">
        <v>42</v>
      </c>
      <c r="F590" s="90"/>
      <c r="G590" s="83">
        <f>G573/0.25*E590</f>
        <v>433.44</v>
      </c>
      <c r="H590" s="84">
        <f t="shared" si="67"/>
        <v>433.44</v>
      </c>
      <c r="I590" s="80">
        <v>0</v>
      </c>
      <c r="J590" s="80">
        <f t="shared" si="68"/>
        <v>0</v>
      </c>
      <c r="K590" s="77" t="s">
        <v>68</v>
      </c>
      <c r="L590" s="77" t="s">
        <v>320</v>
      </c>
    </row>
    <row r="591" spans="1:12" s="54" customFormat="1" ht="30" customHeight="1" x14ac:dyDescent="0.25">
      <c r="A591" s="81"/>
      <c r="B591" s="91" t="s">
        <v>69</v>
      </c>
      <c r="C591" s="77" t="s">
        <v>70</v>
      </c>
      <c r="D591" s="77" t="s">
        <v>45</v>
      </c>
      <c r="E591" s="77">
        <v>0.19500000000000001</v>
      </c>
      <c r="F591" s="90"/>
      <c r="G591" s="78">
        <f>G572*E591+G574*E591*0.19+G575*E591*0.19+G576*E591*0.09+G577*E591*0.09</f>
        <v>18.7865535</v>
      </c>
      <c r="H591" s="79">
        <f t="shared" si="67"/>
        <v>18.7865535</v>
      </c>
      <c r="I591" s="80">
        <v>7875</v>
      </c>
      <c r="J591" s="80">
        <f t="shared" si="68"/>
        <v>147944.1088125</v>
      </c>
      <c r="K591" s="77" t="s">
        <v>71</v>
      </c>
      <c r="L591" s="77" t="s">
        <v>321</v>
      </c>
    </row>
    <row r="592" spans="1:12" s="54" customFormat="1" ht="30" customHeight="1" x14ac:dyDescent="0.25">
      <c r="A592" s="92"/>
      <c r="B592" s="91" t="s">
        <v>112</v>
      </c>
      <c r="C592" s="77" t="s">
        <v>70</v>
      </c>
      <c r="D592" s="77" t="s">
        <v>45</v>
      </c>
      <c r="E592" s="77">
        <v>0.24</v>
      </c>
      <c r="F592" s="77"/>
      <c r="G592" s="78">
        <f>G573*E592</f>
        <v>0.61919999999999997</v>
      </c>
      <c r="H592" s="79">
        <f t="shared" si="67"/>
        <v>0.61919999999999997</v>
      </c>
      <c r="I592" s="80">
        <v>7875</v>
      </c>
      <c r="J592" s="80">
        <f t="shared" si="68"/>
        <v>4876.2</v>
      </c>
      <c r="K592" s="77" t="s">
        <v>71</v>
      </c>
      <c r="L592" s="77" t="s">
        <v>321</v>
      </c>
    </row>
    <row r="593" spans="1:12" s="54" customFormat="1" ht="30" customHeight="1" x14ac:dyDescent="0.25">
      <c r="A593" s="92"/>
      <c r="B593" s="91" t="s">
        <v>72</v>
      </c>
      <c r="C593" s="77" t="s">
        <v>70</v>
      </c>
      <c r="D593" s="77" t="s">
        <v>45</v>
      </c>
      <c r="E593" s="77">
        <v>4.5999999999999999E-2</v>
      </c>
      <c r="F593" s="77"/>
      <c r="G593" s="78">
        <f>G578*E593</f>
        <v>1.8087199999999999</v>
      </c>
      <c r="H593" s="79">
        <f t="shared" si="67"/>
        <v>1.8087199999999999</v>
      </c>
      <c r="I593" s="80">
        <v>7875</v>
      </c>
      <c r="J593" s="80">
        <f t="shared" si="68"/>
        <v>14243.669999999998</v>
      </c>
      <c r="K593" s="77" t="s">
        <v>73</v>
      </c>
      <c r="L593" s="77" t="s">
        <v>321</v>
      </c>
    </row>
    <row r="594" spans="1:12" s="54" customFormat="1" ht="30" customHeight="1" x14ac:dyDescent="0.25">
      <c r="A594" s="92"/>
      <c r="B594" s="91" t="s">
        <v>74</v>
      </c>
      <c r="C594" s="77" t="s">
        <v>70</v>
      </c>
      <c r="D594" s="77" t="s">
        <v>45</v>
      </c>
      <c r="E594" s="77">
        <v>1.01</v>
      </c>
      <c r="F594" s="77"/>
      <c r="G594" s="78">
        <f>G582*E594</f>
        <v>0.56058030000000003</v>
      </c>
      <c r="H594" s="79">
        <f t="shared" si="67"/>
        <v>0.56058030000000003</v>
      </c>
      <c r="I594" s="80">
        <v>7875</v>
      </c>
      <c r="J594" s="80">
        <f t="shared" si="68"/>
        <v>4414.5698625000005</v>
      </c>
      <c r="K594" s="77" t="s">
        <v>71</v>
      </c>
      <c r="L594" s="77" t="s">
        <v>321</v>
      </c>
    </row>
    <row r="595" spans="1:12" s="54" customFormat="1" ht="30" customHeight="1" x14ac:dyDescent="0.25">
      <c r="A595" s="81"/>
      <c r="B595" s="89" t="s">
        <v>75</v>
      </c>
      <c r="C595" s="77" t="s">
        <v>70</v>
      </c>
      <c r="D595" s="77" t="s">
        <v>45</v>
      </c>
      <c r="E595" s="77">
        <v>6.0000000000000001E-3</v>
      </c>
      <c r="F595" s="77"/>
      <c r="G595" s="78">
        <f>G579*E595</f>
        <v>0.33600000000000002</v>
      </c>
      <c r="H595" s="79">
        <f t="shared" si="67"/>
        <v>0.33600000000000002</v>
      </c>
      <c r="I595" s="80">
        <v>7875</v>
      </c>
      <c r="J595" s="80">
        <f t="shared" si="68"/>
        <v>2646</v>
      </c>
      <c r="K595" s="77" t="s">
        <v>76</v>
      </c>
      <c r="L595" s="77" t="s">
        <v>321</v>
      </c>
    </row>
    <row r="596" spans="1:12" s="54" customFormat="1" ht="30" customHeight="1" x14ac:dyDescent="0.25">
      <c r="A596" s="81"/>
      <c r="B596" s="89" t="s">
        <v>77</v>
      </c>
      <c r="C596" s="77" t="s">
        <v>70</v>
      </c>
      <c r="D596" s="77" t="s">
        <v>45</v>
      </c>
      <c r="E596" s="77">
        <v>1.01</v>
      </c>
      <c r="F596" s="77"/>
      <c r="G596" s="93">
        <v>0.08</v>
      </c>
      <c r="H596" s="79">
        <f t="shared" si="67"/>
        <v>0.08</v>
      </c>
      <c r="I596" s="80">
        <v>7875</v>
      </c>
      <c r="J596" s="80">
        <f t="shared" si="68"/>
        <v>630</v>
      </c>
      <c r="K596" s="94"/>
      <c r="L596" s="77" t="s">
        <v>321</v>
      </c>
    </row>
    <row r="597" spans="1:12" s="54" customFormat="1" ht="23.25" customHeight="1" x14ac:dyDescent="0.25">
      <c r="A597" s="81"/>
      <c r="B597" s="89" t="s">
        <v>78</v>
      </c>
      <c r="C597" s="77" t="s">
        <v>79</v>
      </c>
      <c r="D597" s="77" t="s">
        <v>47</v>
      </c>
      <c r="E597" s="77"/>
      <c r="F597" s="77"/>
      <c r="G597" s="78">
        <v>183.5</v>
      </c>
      <c r="H597" s="79">
        <f t="shared" si="67"/>
        <v>183.5</v>
      </c>
      <c r="I597" s="80">
        <v>88.34</v>
      </c>
      <c r="J597" s="80">
        <f t="shared" si="68"/>
        <v>16210.390000000001</v>
      </c>
      <c r="K597" s="94"/>
      <c r="L597" s="77" t="s">
        <v>321</v>
      </c>
    </row>
    <row r="598" spans="1:12" s="54" customFormat="1" ht="23.25" customHeight="1" x14ac:dyDescent="0.25">
      <c r="A598" s="81"/>
      <c r="B598" s="89" t="s">
        <v>113</v>
      </c>
      <c r="C598" s="77" t="s">
        <v>114</v>
      </c>
      <c r="D598" s="77" t="s">
        <v>60</v>
      </c>
      <c r="E598" s="77"/>
      <c r="F598" s="77"/>
      <c r="G598" s="78">
        <v>12</v>
      </c>
      <c r="H598" s="79">
        <f t="shared" si="67"/>
        <v>12</v>
      </c>
      <c r="I598" s="80">
        <v>398.6</v>
      </c>
      <c r="J598" s="80">
        <f t="shared" si="68"/>
        <v>4783.2000000000007</v>
      </c>
      <c r="K598" s="94"/>
      <c r="L598" s="77" t="s">
        <v>321</v>
      </c>
    </row>
    <row r="599" spans="1:12" s="54" customFormat="1" ht="23.25" customHeight="1" x14ac:dyDescent="0.25">
      <c r="A599" s="81"/>
      <c r="B599" s="89" t="s">
        <v>115</v>
      </c>
      <c r="C599" s="77" t="s">
        <v>116</v>
      </c>
      <c r="D599" s="77" t="s">
        <v>60</v>
      </c>
      <c r="E599" s="77"/>
      <c r="F599" s="77"/>
      <c r="G599" s="78">
        <v>9</v>
      </c>
      <c r="H599" s="79">
        <f t="shared" si="67"/>
        <v>9</v>
      </c>
      <c r="I599" s="80">
        <v>465.03</v>
      </c>
      <c r="J599" s="80">
        <f t="shared" si="68"/>
        <v>4185.2699999999995</v>
      </c>
      <c r="K599" s="94"/>
      <c r="L599" s="77" t="s">
        <v>321</v>
      </c>
    </row>
    <row r="600" spans="1:12" s="54" customFormat="1" ht="23.25" customHeight="1" x14ac:dyDescent="0.25">
      <c r="A600" s="81"/>
      <c r="B600" s="89" t="s">
        <v>117</v>
      </c>
      <c r="C600" s="77" t="s">
        <v>118</v>
      </c>
      <c r="D600" s="77" t="s">
        <v>60</v>
      </c>
      <c r="E600" s="77"/>
      <c r="F600" s="77"/>
      <c r="G600" s="78">
        <v>1</v>
      </c>
      <c r="H600" s="79">
        <f t="shared" si="67"/>
        <v>1</v>
      </c>
      <c r="I600" s="80">
        <v>841.49</v>
      </c>
      <c r="J600" s="80">
        <f t="shared" si="68"/>
        <v>841.49</v>
      </c>
      <c r="K600" s="94"/>
      <c r="L600" s="77" t="s">
        <v>321</v>
      </c>
    </row>
    <row r="601" spans="1:12" s="54" customFormat="1" ht="23.25" customHeight="1" x14ac:dyDescent="0.25">
      <c r="A601" s="81"/>
      <c r="B601" s="89" t="s">
        <v>119</v>
      </c>
      <c r="C601" s="77" t="s">
        <v>120</v>
      </c>
      <c r="D601" s="77" t="s">
        <v>60</v>
      </c>
      <c r="E601" s="77"/>
      <c r="F601" s="77"/>
      <c r="G601" s="78">
        <v>10</v>
      </c>
      <c r="H601" s="79">
        <f t="shared" si="67"/>
        <v>10</v>
      </c>
      <c r="I601" s="80">
        <v>981.74</v>
      </c>
      <c r="J601" s="80">
        <f t="shared" si="68"/>
        <v>9817.4</v>
      </c>
      <c r="K601" s="94"/>
      <c r="L601" s="77" t="s">
        <v>321</v>
      </c>
    </row>
    <row r="602" spans="1:12" s="54" customFormat="1" ht="23.25" customHeight="1" x14ac:dyDescent="0.25">
      <c r="A602" s="81"/>
      <c r="B602" s="89" t="s">
        <v>121</v>
      </c>
      <c r="C602" s="77" t="s">
        <v>122</v>
      </c>
      <c r="D602" s="77" t="s">
        <v>60</v>
      </c>
      <c r="E602" s="77"/>
      <c r="F602" s="77"/>
      <c r="G602" s="78">
        <v>3</v>
      </c>
      <c r="H602" s="79">
        <f t="shared" si="67"/>
        <v>3</v>
      </c>
      <c r="I602" s="80">
        <v>1291.76</v>
      </c>
      <c r="J602" s="80">
        <f t="shared" si="68"/>
        <v>3875.2799999999997</v>
      </c>
      <c r="K602" s="94"/>
      <c r="L602" s="77" t="s">
        <v>321</v>
      </c>
    </row>
    <row r="603" spans="1:12" s="54" customFormat="1" ht="23.25" customHeight="1" x14ac:dyDescent="0.25">
      <c r="A603" s="81"/>
      <c r="B603" s="89" t="s">
        <v>123</v>
      </c>
      <c r="C603" s="77" t="s">
        <v>124</v>
      </c>
      <c r="D603" s="77" t="s">
        <v>60</v>
      </c>
      <c r="E603" s="77"/>
      <c r="F603" s="77"/>
      <c r="G603" s="78">
        <v>1</v>
      </c>
      <c r="H603" s="79">
        <f t="shared" si="67"/>
        <v>1</v>
      </c>
      <c r="I603" s="80">
        <v>1845.38</v>
      </c>
      <c r="J603" s="80">
        <f t="shared" si="68"/>
        <v>1845.38</v>
      </c>
      <c r="K603" s="94"/>
      <c r="L603" s="77" t="s">
        <v>321</v>
      </c>
    </row>
    <row r="604" spans="1:12" s="54" customFormat="1" ht="23.25" customHeight="1" x14ac:dyDescent="0.25">
      <c r="A604" s="81"/>
      <c r="B604" s="89" t="s">
        <v>125</v>
      </c>
      <c r="C604" s="77" t="s">
        <v>126</v>
      </c>
      <c r="D604" s="77" t="s">
        <v>60</v>
      </c>
      <c r="E604" s="77"/>
      <c r="F604" s="77"/>
      <c r="G604" s="78">
        <v>8</v>
      </c>
      <c r="H604" s="79">
        <f t="shared" si="67"/>
        <v>8</v>
      </c>
      <c r="I604" s="80">
        <v>2029.91</v>
      </c>
      <c r="J604" s="80">
        <f t="shared" si="68"/>
        <v>16239.28</v>
      </c>
      <c r="K604" s="94"/>
      <c r="L604" s="77" t="s">
        <v>321</v>
      </c>
    </row>
    <row r="605" spans="1:12" s="54" customFormat="1" ht="23.25" customHeight="1" x14ac:dyDescent="0.25">
      <c r="A605" s="81"/>
      <c r="B605" s="89" t="s">
        <v>127</v>
      </c>
      <c r="C605" s="77" t="s">
        <v>128</v>
      </c>
      <c r="D605" s="77" t="s">
        <v>60</v>
      </c>
      <c r="E605" s="77"/>
      <c r="F605" s="77"/>
      <c r="G605" s="78">
        <v>11</v>
      </c>
      <c r="H605" s="79">
        <f t="shared" si="67"/>
        <v>11</v>
      </c>
      <c r="I605" s="80">
        <v>2398.9899999999998</v>
      </c>
      <c r="J605" s="80">
        <f t="shared" si="68"/>
        <v>26388.89</v>
      </c>
      <c r="K605" s="94"/>
      <c r="L605" s="77" t="s">
        <v>321</v>
      </c>
    </row>
    <row r="606" spans="1:12" s="54" customFormat="1" ht="23.25" customHeight="1" x14ac:dyDescent="0.25">
      <c r="A606" s="81"/>
      <c r="B606" s="89" t="s">
        <v>129</v>
      </c>
      <c r="C606" s="77" t="s">
        <v>130</v>
      </c>
      <c r="D606" s="77" t="s">
        <v>60</v>
      </c>
      <c r="E606" s="77"/>
      <c r="F606" s="77"/>
      <c r="G606" s="78">
        <v>1</v>
      </c>
      <c r="H606" s="79">
        <f t="shared" si="67"/>
        <v>1</v>
      </c>
      <c r="I606" s="80">
        <v>2583.5300000000002</v>
      </c>
      <c r="J606" s="80">
        <f t="shared" si="68"/>
        <v>2583.5300000000002</v>
      </c>
      <c r="K606" s="94"/>
      <c r="L606" s="77" t="s">
        <v>321</v>
      </c>
    </row>
    <row r="607" spans="1:12" s="54" customFormat="1" ht="23.25" customHeight="1" x14ac:dyDescent="0.25">
      <c r="A607" s="81"/>
      <c r="B607" s="89" t="s">
        <v>92</v>
      </c>
      <c r="C607" s="77" t="s">
        <v>93</v>
      </c>
      <c r="D607" s="77" t="s">
        <v>54</v>
      </c>
      <c r="E607" s="77">
        <v>1.04</v>
      </c>
      <c r="F607" s="77"/>
      <c r="G607" s="78">
        <f>155.29*E607</f>
        <v>161.5016</v>
      </c>
      <c r="H607" s="79">
        <f t="shared" si="67"/>
        <v>161.5016</v>
      </c>
      <c r="I607" s="80">
        <v>66.349999999999994</v>
      </c>
      <c r="J607" s="80">
        <f t="shared" si="68"/>
        <v>10715.631159999999</v>
      </c>
      <c r="K607" s="94"/>
      <c r="L607" s="77" t="s">
        <v>321</v>
      </c>
    </row>
    <row r="608" spans="1:12" s="54" customFormat="1" ht="23.25" customHeight="1" x14ac:dyDescent="0.25">
      <c r="A608" s="81"/>
      <c r="B608" s="89" t="s">
        <v>94</v>
      </c>
      <c r="C608" s="77" t="s">
        <v>95</v>
      </c>
      <c r="D608" s="77" t="s">
        <v>54</v>
      </c>
      <c r="E608" s="77">
        <v>1.04</v>
      </c>
      <c r="F608" s="77"/>
      <c r="G608" s="78">
        <f>G581*E608</f>
        <v>42.307200000000002</v>
      </c>
      <c r="H608" s="79">
        <f t="shared" si="67"/>
        <v>42.307200000000002</v>
      </c>
      <c r="I608" s="80">
        <v>64</v>
      </c>
      <c r="J608" s="80">
        <f t="shared" si="68"/>
        <v>2707.6608000000001</v>
      </c>
      <c r="K608" s="94"/>
      <c r="L608" s="77" t="s">
        <v>321</v>
      </c>
    </row>
    <row r="609" spans="1:12" s="54" customFormat="1" ht="23.25" customHeight="1" x14ac:dyDescent="0.25">
      <c r="A609" s="81"/>
      <c r="B609" s="89" t="s">
        <v>131</v>
      </c>
      <c r="C609" s="77" t="s">
        <v>39</v>
      </c>
      <c r="D609" s="77" t="s">
        <v>54</v>
      </c>
      <c r="E609" s="77">
        <v>1.04</v>
      </c>
      <c r="F609" s="77"/>
      <c r="G609" s="78">
        <f>85.59*E609</f>
        <v>89.013600000000011</v>
      </c>
      <c r="H609" s="79">
        <f t="shared" si="67"/>
        <v>89.013600000000011</v>
      </c>
      <c r="I609" s="80">
        <v>64.209999999999994</v>
      </c>
      <c r="J609" s="80">
        <f t="shared" si="68"/>
        <v>5715.5632560000004</v>
      </c>
      <c r="K609" s="94"/>
      <c r="L609" s="77" t="s">
        <v>321</v>
      </c>
    </row>
    <row r="610" spans="1:12" s="54" customFormat="1" ht="23.25" customHeight="1" x14ac:dyDescent="0.25">
      <c r="A610" s="81"/>
      <c r="B610" s="89" t="s">
        <v>97</v>
      </c>
      <c r="C610" s="77" t="s">
        <v>39</v>
      </c>
      <c r="D610" s="77" t="s">
        <v>54</v>
      </c>
      <c r="E610" s="77">
        <v>1.04</v>
      </c>
      <c r="F610" s="77"/>
      <c r="G610" s="78">
        <f>E610*23.1</f>
        <v>24.024000000000001</v>
      </c>
      <c r="H610" s="79">
        <f t="shared" si="67"/>
        <v>24.024000000000001</v>
      </c>
      <c r="I610" s="80">
        <v>74.92</v>
      </c>
      <c r="J610" s="80">
        <f t="shared" si="68"/>
        <v>1799.8780800000002</v>
      </c>
      <c r="K610" s="94"/>
      <c r="L610" s="77" t="s">
        <v>321</v>
      </c>
    </row>
    <row r="611" spans="1:12" s="54" customFormat="1" ht="23.25" customHeight="1" x14ac:dyDescent="0.25">
      <c r="A611" s="81"/>
      <c r="B611" s="89" t="s">
        <v>132</v>
      </c>
      <c r="C611" s="77" t="s">
        <v>39</v>
      </c>
      <c r="D611" s="77" t="s">
        <v>54</v>
      </c>
      <c r="E611" s="77">
        <v>1.04</v>
      </c>
      <c r="F611" s="77"/>
      <c r="G611" s="78">
        <f>28.88*E611</f>
        <v>30.0352</v>
      </c>
      <c r="H611" s="79">
        <f t="shared" si="67"/>
        <v>30.0352</v>
      </c>
      <c r="I611" s="80">
        <v>75.97</v>
      </c>
      <c r="J611" s="80">
        <f t="shared" si="68"/>
        <v>2281.774144</v>
      </c>
      <c r="K611" s="94"/>
      <c r="L611" s="77" t="s">
        <v>321</v>
      </c>
    </row>
    <row r="612" spans="1:12" s="101" customFormat="1" ht="33" customHeight="1" x14ac:dyDescent="0.25">
      <c r="A612" s="95"/>
      <c r="B612" s="96" t="s">
        <v>133</v>
      </c>
      <c r="C612" s="97" t="s">
        <v>39</v>
      </c>
      <c r="D612" s="97" t="s">
        <v>99</v>
      </c>
      <c r="E612" s="97"/>
      <c r="F612" s="97"/>
      <c r="G612" s="98"/>
      <c r="H612" s="99">
        <f>J612*100/J571</f>
        <v>4.9540518920903365</v>
      </c>
      <c r="I612" s="79"/>
      <c r="J612" s="79">
        <v>50514.601200000005</v>
      </c>
      <c r="K612" s="100"/>
      <c r="L612" s="97" t="s">
        <v>321</v>
      </c>
    </row>
    <row r="613" spans="1:12" s="54" customFormat="1" x14ac:dyDescent="0.25">
      <c r="A613" s="60" t="s">
        <v>158</v>
      </c>
      <c r="B613" s="61" t="s">
        <v>159</v>
      </c>
      <c r="C613" s="62"/>
      <c r="D613" s="63"/>
      <c r="E613" s="62"/>
      <c r="F613" s="62"/>
      <c r="G613" s="64"/>
      <c r="H613" s="65"/>
      <c r="I613" s="65"/>
      <c r="J613" s="65">
        <f>J614+J626</f>
        <v>1354922.102315</v>
      </c>
      <c r="K613" s="86"/>
      <c r="L613" s="86"/>
    </row>
    <row r="614" spans="1:12" s="54" customFormat="1" x14ac:dyDescent="0.25">
      <c r="A614" s="66"/>
      <c r="B614" s="67" t="s">
        <v>34</v>
      </c>
      <c r="C614" s="68"/>
      <c r="D614" s="68"/>
      <c r="E614" s="68"/>
      <c r="F614" s="68"/>
      <c r="G614" s="69"/>
      <c r="H614" s="70"/>
      <c r="I614" s="70"/>
      <c r="J614" s="70">
        <f>SUM(J615:J625)</f>
        <v>1019662.335</v>
      </c>
      <c r="K614" s="72"/>
      <c r="L614" s="72"/>
    </row>
    <row r="615" spans="1:12" s="54" customFormat="1" ht="24" customHeight="1" x14ac:dyDescent="0.25">
      <c r="A615" s="66"/>
      <c r="B615" s="71" t="s">
        <v>44</v>
      </c>
      <c r="C615" s="72"/>
      <c r="D615" s="72" t="s">
        <v>45</v>
      </c>
      <c r="E615" s="72"/>
      <c r="F615" s="72"/>
      <c r="G615" s="73">
        <v>33.94</v>
      </c>
      <c r="H615" s="70">
        <f t="shared" ref="H615:H625" si="69">SUM(G615:G615)</f>
        <v>33.94</v>
      </c>
      <c r="I615" s="74">
        <v>4939</v>
      </c>
      <c r="J615" s="74">
        <f>I615*H615</f>
        <v>167629.65999999997</v>
      </c>
      <c r="K615" s="72"/>
      <c r="L615" s="72"/>
    </row>
    <row r="616" spans="1:12" s="54" customFormat="1" ht="24" customHeight="1" x14ac:dyDescent="0.25">
      <c r="A616" s="66"/>
      <c r="B616" s="71" t="s">
        <v>102</v>
      </c>
      <c r="C616" s="72"/>
      <c r="D616" s="72" t="s">
        <v>45</v>
      </c>
      <c r="E616" s="72"/>
      <c r="F616" s="72"/>
      <c r="G616" s="73">
        <v>2.58</v>
      </c>
      <c r="H616" s="70">
        <f t="shared" si="69"/>
        <v>2.58</v>
      </c>
      <c r="I616" s="74">
        <v>5845</v>
      </c>
      <c r="J616" s="74">
        <f t="shared" ref="J616" si="70">I616*H616</f>
        <v>15080.1</v>
      </c>
      <c r="K616" s="72"/>
      <c r="L616" s="72"/>
    </row>
    <row r="617" spans="1:12" s="54" customFormat="1" ht="24" customHeight="1" x14ac:dyDescent="0.25">
      <c r="A617" s="66"/>
      <c r="B617" s="71" t="s">
        <v>46</v>
      </c>
      <c r="C617" s="72"/>
      <c r="D617" s="72" t="s">
        <v>47</v>
      </c>
      <c r="E617" s="72"/>
      <c r="F617" s="72"/>
      <c r="G617" s="73">
        <v>154.52000000000001</v>
      </c>
      <c r="H617" s="70">
        <f t="shared" si="69"/>
        <v>154.52000000000001</v>
      </c>
      <c r="I617" s="74">
        <v>1461</v>
      </c>
      <c r="J617" s="74">
        <f>I617*H617</f>
        <v>225753.72</v>
      </c>
      <c r="K617" s="72"/>
      <c r="L617" s="72"/>
    </row>
    <row r="618" spans="1:12" s="54" customFormat="1" ht="24" customHeight="1" x14ac:dyDescent="0.25">
      <c r="A618" s="66"/>
      <c r="B618" s="71" t="s">
        <v>48</v>
      </c>
      <c r="C618" s="72"/>
      <c r="D618" s="72" t="s">
        <v>47</v>
      </c>
      <c r="E618" s="72"/>
      <c r="F618" s="72"/>
      <c r="G618" s="73">
        <v>31.58</v>
      </c>
      <c r="H618" s="70">
        <f t="shared" si="69"/>
        <v>31.58</v>
      </c>
      <c r="I618" s="74">
        <v>1461</v>
      </c>
      <c r="J618" s="74">
        <f>I618*H618</f>
        <v>46138.38</v>
      </c>
      <c r="K618" s="72"/>
      <c r="L618" s="72"/>
    </row>
    <row r="619" spans="1:12" s="54" customFormat="1" ht="24" customHeight="1" x14ac:dyDescent="0.25">
      <c r="A619" s="66"/>
      <c r="B619" s="71" t="s">
        <v>103</v>
      </c>
      <c r="C619" s="72"/>
      <c r="D619" s="72" t="s">
        <v>47</v>
      </c>
      <c r="E619" s="72"/>
      <c r="F619" s="72"/>
      <c r="G619" s="73">
        <v>159.29</v>
      </c>
      <c r="H619" s="70">
        <f t="shared" si="69"/>
        <v>159.29</v>
      </c>
      <c r="I619" s="74">
        <v>1461</v>
      </c>
      <c r="J619" s="74">
        <f>I619*H619</f>
        <v>232722.69</v>
      </c>
      <c r="K619" s="72"/>
      <c r="L619" s="72"/>
    </row>
    <row r="620" spans="1:12" s="54" customFormat="1" ht="24" customHeight="1" x14ac:dyDescent="0.25">
      <c r="A620" s="66"/>
      <c r="B620" s="71" t="s">
        <v>104</v>
      </c>
      <c r="C620" s="72"/>
      <c r="D620" s="72" t="s">
        <v>47</v>
      </c>
      <c r="E620" s="72"/>
      <c r="F620" s="72"/>
      <c r="G620" s="73">
        <v>141.18</v>
      </c>
      <c r="H620" s="70">
        <f t="shared" si="69"/>
        <v>141.18</v>
      </c>
      <c r="I620" s="74">
        <v>1461</v>
      </c>
      <c r="J620" s="74">
        <f>I620*H620</f>
        <v>206263.98</v>
      </c>
      <c r="K620" s="72"/>
      <c r="L620" s="72"/>
    </row>
    <row r="621" spans="1:12" s="54" customFormat="1" ht="24" customHeight="1" x14ac:dyDescent="0.25">
      <c r="A621" s="66"/>
      <c r="B621" s="71" t="s">
        <v>49</v>
      </c>
      <c r="C621" s="72"/>
      <c r="D621" s="72" t="s">
        <v>47</v>
      </c>
      <c r="E621" s="72"/>
      <c r="F621" s="72"/>
      <c r="G621" s="73">
        <v>39.32</v>
      </c>
      <c r="H621" s="70">
        <f t="shared" si="69"/>
        <v>39.32</v>
      </c>
      <c r="I621" s="74">
        <v>1610</v>
      </c>
      <c r="J621" s="74">
        <f t="shared" ref="J621:J624" si="71">I621*H621</f>
        <v>63305.2</v>
      </c>
      <c r="K621" s="72"/>
      <c r="L621" s="72"/>
    </row>
    <row r="622" spans="1:12" s="54" customFormat="1" ht="24" customHeight="1" x14ac:dyDescent="0.25">
      <c r="A622" s="66"/>
      <c r="B622" s="71" t="s">
        <v>50</v>
      </c>
      <c r="C622" s="72"/>
      <c r="D622" s="72" t="s">
        <v>51</v>
      </c>
      <c r="E622" s="72"/>
      <c r="F622" s="72"/>
      <c r="G622" s="73">
        <v>56</v>
      </c>
      <c r="H622" s="70">
        <f t="shared" si="69"/>
        <v>56</v>
      </c>
      <c r="I622" s="74">
        <v>803</v>
      </c>
      <c r="J622" s="74">
        <f t="shared" si="71"/>
        <v>44968</v>
      </c>
      <c r="K622" s="72"/>
      <c r="L622" s="72"/>
    </row>
    <row r="623" spans="1:12" s="54" customFormat="1" x14ac:dyDescent="0.25">
      <c r="A623" s="66"/>
      <c r="B623" s="71" t="s">
        <v>52</v>
      </c>
      <c r="C623" s="72" t="s">
        <v>105</v>
      </c>
      <c r="D623" s="72" t="s">
        <v>54</v>
      </c>
      <c r="E623" s="72"/>
      <c r="F623" s="72"/>
      <c r="G623" s="73">
        <v>137.57</v>
      </c>
      <c r="H623" s="70">
        <f t="shared" si="69"/>
        <v>137.57</v>
      </c>
      <c r="I623" s="74">
        <v>94.5</v>
      </c>
      <c r="J623" s="74">
        <f t="shared" si="71"/>
        <v>13000.365</v>
      </c>
      <c r="K623" s="72"/>
      <c r="L623" s="72"/>
    </row>
    <row r="624" spans="1:12" s="54" customFormat="1" ht="31.5" x14ac:dyDescent="0.25">
      <c r="A624" s="66"/>
      <c r="B624" s="71" t="s">
        <v>55</v>
      </c>
      <c r="C624" s="72"/>
      <c r="D624" s="72" t="s">
        <v>54</v>
      </c>
      <c r="E624" s="72"/>
      <c r="F624" s="72"/>
      <c r="G624" s="73">
        <v>40.68</v>
      </c>
      <c r="H624" s="70">
        <f t="shared" si="69"/>
        <v>40.68</v>
      </c>
      <c r="I624" s="74">
        <v>118</v>
      </c>
      <c r="J624" s="74">
        <f t="shared" si="71"/>
        <v>4800.24</v>
      </c>
      <c r="K624" s="72"/>
      <c r="L624" s="72"/>
    </row>
    <row r="625" spans="1:12" s="54" customFormat="1" ht="18" customHeight="1" x14ac:dyDescent="0.25">
      <c r="A625" s="66"/>
      <c r="B625" s="87" t="s">
        <v>56</v>
      </c>
      <c r="C625" s="88"/>
      <c r="D625" s="88" t="s">
        <v>45</v>
      </c>
      <c r="E625" s="88"/>
      <c r="F625" s="88"/>
      <c r="G625" s="73">
        <f>308.35*0.06*0.03</f>
        <v>0.55503000000000002</v>
      </c>
      <c r="H625" s="70">
        <f t="shared" si="69"/>
        <v>0.55503000000000002</v>
      </c>
      <c r="I625" s="74"/>
      <c r="J625" s="74"/>
      <c r="K625" s="88" t="s">
        <v>57</v>
      </c>
      <c r="L625" s="72"/>
    </row>
    <row r="626" spans="1:12" s="54" customFormat="1" x14ac:dyDescent="0.25">
      <c r="A626" s="75"/>
      <c r="B626" s="76" t="s">
        <v>38</v>
      </c>
      <c r="C626" s="77"/>
      <c r="D626" s="77"/>
      <c r="E626" s="77"/>
      <c r="F626" s="77"/>
      <c r="G626" s="78"/>
      <c r="H626" s="79"/>
      <c r="I626" s="80"/>
      <c r="J626" s="79">
        <f>SUM(J627:J655)</f>
        <v>335259.76731500006</v>
      </c>
      <c r="K626" s="77"/>
      <c r="L626" s="77"/>
    </row>
    <row r="627" spans="1:12" s="54" customFormat="1" ht="31.5" x14ac:dyDescent="0.25">
      <c r="A627" s="81"/>
      <c r="B627" s="82" t="s">
        <v>58</v>
      </c>
      <c r="C627" s="77" t="s">
        <v>59</v>
      </c>
      <c r="D627" s="77" t="s">
        <v>60</v>
      </c>
      <c r="E627" s="78">
        <v>12.4</v>
      </c>
      <c r="F627" s="77">
        <v>0.25</v>
      </c>
      <c r="G627" s="83">
        <f>G615/F627*E627</f>
        <v>1683.424</v>
      </c>
      <c r="H627" s="84">
        <f t="shared" ref="H627:H654" si="72">SUM(G627:G627)</f>
        <v>1683.424</v>
      </c>
      <c r="I627" s="80">
        <v>0</v>
      </c>
      <c r="J627" s="80">
        <f>H627*I627</f>
        <v>0</v>
      </c>
      <c r="K627" s="77" t="s">
        <v>61</v>
      </c>
      <c r="L627" s="77" t="s">
        <v>320</v>
      </c>
    </row>
    <row r="628" spans="1:12" s="54" customFormat="1" ht="31.5" x14ac:dyDescent="0.25">
      <c r="A628" s="81"/>
      <c r="B628" s="82" t="s">
        <v>62</v>
      </c>
      <c r="C628" s="77" t="s">
        <v>63</v>
      </c>
      <c r="D628" s="77" t="s">
        <v>60</v>
      </c>
      <c r="E628" s="78">
        <v>12.4</v>
      </c>
      <c r="F628" s="77"/>
      <c r="G628" s="83">
        <f>G617*E628</f>
        <v>1916.0480000000002</v>
      </c>
      <c r="H628" s="84">
        <f t="shared" si="72"/>
        <v>1916.0480000000002</v>
      </c>
      <c r="I628" s="80">
        <v>0</v>
      </c>
      <c r="J628" s="80">
        <f>H628*I628</f>
        <v>0</v>
      </c>
      <c r="K628" s="77" t="s">
        <v>61</v>
      </c>
      <c r="L628" s="77" t="s">
        <v>320</v>
      </c>
    </row>
    <row r="629" spans="1:12" s="54" customFormat="1" ht="31.5" x14ac:dyDescent="0.25">
      <c r="A629" s="81"/>
      <c r="B629" s="82" t="s">
        <v>64</v>
      </c>
      <c r="C629" s="77" t="s">
        <v>65</v>
      </c>
      <c r="D629" s="77" t="s">
        <v>60</v>
      </c>
      <c r="E629" s="78">
        <v>12.4</v>
      </c>
      <c r="F629" s="77"/>
      <c r="G629" s="83">
        <f>G618*E629</f>
        <v>391.59199999999998</v>
      </c>
      <c r="H629" s="84">
        <f t="shared" si="72"/>
        <v>391.59199999999998</v>
      </c>
      <c r="I629" s="80">
        <v>0</v>
      </c>
      <c r="J629" s="80">
        <f>H629*I629</f>
        <v>0</v>
      </c>
      <c r="K629" s="77" t="s">
        <v>61</v>
      </c>
      <c r="L629" s="77" t="s">
        <v>320</v>
      </c>
    </row>
    <row r="630" spans="1:12" s="54" customFormat="1" ht="31.5" x14ac:dyDescent="0.25">
      <c r="A630" s="81"/>
      <c r="B630" s="82" t="s">
        <v>106</v>
      </c>
      <c r="C630" s="77" t="s">
        <v>107</v>
      </c>
      <c r="D630" s="77" t="s">
        <v>60</v>
      </c>
      <c r="E630" s="78">
        <v>12.4</v>
      </c>
      <c r="F630" s="77"/>
      <c r="G630" s="83">
        <f>G619*E630</f>
        <v>1975.1959999999999</v>
      </c>
      <c r="H630" s="84">
        <f t="shared" si="72"/>
        <v>1975.1959999999999</v>
      </c>
      <c r="I630" s="80">
        <v>0</v>
      </c>
      <c r="J630" s="80">
        <f>H630*I630</f>
        <v>0</v>
      </c>
      <c r="K630" s="77" t="s">
        <v>61</v>
      </c>
      <c r="L630" s="77" t="s">
        <v>320</v>
      </c>
    </row>
    <row r="631" spans="1:12" s="54" customFormat="1" ht="31.5" x14ac:dyDescent="0.25">
      <c r="A631" s="81"/>
      <c r="B631" s="82" t="s">
        <v>108</v>
      </c>
      <c r="C631" s="77" t="s">
        <v>109</v>
      </c>
      <c r="D631" s="77" t="s">
        <v>60</v>
      </c>
      <c r="E631" s="78">
        <v>12.4</v>
      </c>
      <c r="F631" s="77"/>
      <c r="G631" s="83">
        <f>G620*E631</f>
        <v>1750.6320000000001</v>
      </c>
      <c r="H631" s="84">
        <f t="shared" si="72"/>
        <v>1750.6320000000001</v>
      </c>
      <c r="I631" s="80">
        <v>0</v>
      </c>
      <c r="J631" s="80">
        <f>H631*I631</f>
        <v>0</v>
      </c>
      <c r="K631" s="77" t="s">
        <v>61</v>
      </c>
      <c r="L631" s="77" t="s">
        <v>320</v>
      </c>
    </row>
    <row r="632" spans="1:12" s="54" customFormat="1" ht="36.75" customHeight="1" x14ac:dyDescent="0.25">
      <c r="A632" s="81"/>
      <c r="B632" s="89" t="s">
        <v>66</v>
      </c>
      <c r="C632" s="77" t="s">
        <v>67</v>
      </c>
      <c r="D632" s="77" t="s">
        <v>60</v>
      </c>
      <c r="E632" s="90">
        <v>42</v>
      </c>
      <c r="F632" s="90"/>
      <c r="G632" s="83">
        <f>G621*E632</f>
        <v>1651.44</v>
      </c>
      <c r="H632" s="84">
        <f t="shared" si="72"/>
        <v>1651.44</v>
      </c>
      <c r="I632" s="80">
        <v>0</v>
      </c>
      <c r="J632" s="80">
        <f t="shared" ref="J632:J654" si="73">H632*I632</f>
        <v>0</v>
      </c>
      <c r="K632" s="77" t="s">
        <v>68</v>
      </c>
      <c r="L632" s="77" t="s">
        <v>320</v>
      </c>
    </row>
    <row r="633" spans="1:12" s="54" customFormat="1" ht="31.5" x14ac:dyDescent="0.25">
      <c r="A633" s="81"/>
      <c r="B633" s="89" t="s">
        <v>110</v>
      </c>
      <c r="C633" s="77" t="s">
        <v>111</v>
      </c>
      <c r="D633" s="77" t="s">
        <v>60</v>
      </c>
      <c r="E633" s="90">
        <v>42</v>
      </c>
      <c r="F633" s="90"/>
      <c r="G633" s="83">
        <f>G616/0.25*E633</f>
        <v>433.44</v>
      </c>
      <c r="H633" s="84">
        <f t="shared" si="72"/>
        <v>433.44</v>
      </c>
      <c r="I633" s="80">
        <v>0</v>
      </c>
      <c r="J633" s="80">
        <f t="shared" si="73"/>
        <v>0</v>
      </c>
      <c r="K633" s="77" t="s">
        <v>68</v>
      </c>
      <c r="L633" s="77" t="s">
        <v>320</v>
      </c>
    </row>
    <row r="634" spans="1:12" s="54" customFormat="1" ht="34.5" customHeight="1" x14ac:dyDescent="0.25">
      <c r="A634" s="81"/>
      <c r="B634" s="91" t="s">
        <v>69</v>
      </c>
      <c r="C634" s="77" t="s">
        <v>70</v>
      </c>
      <c r="D634" s="77" t="s">
        <v>45</v>
      </c>
      <c r="E634" s="77">
        <v>0.19500000000000001</v>
      </c>
      <c r="F634" s="90"/>
      <c r="G634" s="78">
        <f>G615*E634+G617*E634*0.19+G618*E634*0.19+G619*E634*0.09+G620*E634*0.09</f>
        <v>18.7865535</v>
      </c>
      <c r="H634" s="79">
        <f t="shared" si="72"/>
        <v>18.7865535</v>
      </c>
      <c r="I634" s="80">
        <v>7875</v>
      </c>
      <c r="J634" s="80">
        <f t="shared" si="73"/>
        <v>147944.1088125</v>
      </c>
      <c r="K634" s="77" t="s">
        <v>71</v>
      </c>
      <c r="L634" s="77" t="s">
        <v>321</v>
      </c>
    </row>
    <row r="635" spans="1:12" s="54" customFormat="1" ht="34.5" customHeight="1" x14ac:dyDescent="0.25">
      <c r="A635" s="92"/>
      <c r="B635" s="91" t="s">
        <v>112</v>
      </c>
      <c r="C635" s="77" t="s">
        <v>70</v>
      </c>
      <c r="D635" s="77" t="s">
        <v>45</v>
      </c>
      <c r="E635" s="77">
        <v>0.24</v>
      </c>
      <c r="F635" s="77"/>
      <c r="G635" s="78">
        <f>G616*E635</f>
        <v>0.61919999999999997</v>
      </c>
      <c r="H635" s="79">
        <f t="shared" si="72"/>
        <v>0.61919999999999997</v>
      </c>
      <c r="I635" s="80">
        <v>7875</v>
      </c>
      <c r="J635" s="80">
        <f t="shared" si="73"/>
        <v>4876.2</v>
      </c>
      <c r="K635" s="77" t="s">
        <v>71</v>
      </c>
      <c r="L635" s="77" t="s">
        <v>321</v>
      </c>
    </row>
    <row r="636" spans="1:12" s="54" customFormat="1" ht="34.5" customHeight="1" x14ac:dyDescent="0.25">
      <c r="A636" s="92"/>
      <c r="B636" s="91" t="s">
        <v>72</v>
      </c>
      <c r="C636" s="77" t="s">
        <v>70</v>
      </c>
      <c r="D636" s="77" t="s">
        <v>45</v>
      </c>
      <c r="E636" s="77">
        <v>4.5999999999999999E-2</v>
      </c>
      <c r="F636" s="77"/>
      <c r="G636" s="78">
        <f>G621*E636</f>
        <v>1.8087199999999999</v>
      </c>
      <c r="H636" s="79">
        <f t="shared" si="72"/>
        <v>1.8087199999999999</v>
      </c>
      <c r="I636" s="80">
        <v>7875</v>
      </c>
      <c r="J636" s="80">
        <f t="shared" si="73"/>
        <v>14243.669999999998</v>
      </c>
      <c r="K636" s="77" t="s">
        <v>73</v>
      </c>
      <c r="L636" s="77" t="s">
        <v>321</v>
      </c>
    </row>
    <row r="637" spans="1:12" s="54" customFormat="1" ht="34.5" customHeight="1" x14ac:dyDescent="0.25">
      <c r="A637" s="92"/>
      <c r="B637" s="91" t="s">
        <v>74</v>
      </c>
      <c r="C637" s="77" t="s">
        <v>70</v>
      </c>
      <c r="D637" s="77" t="s">
        <v>45</v>
      </c>
      <c r="E637" s="77">
        <v>1.01</v>
      </c>
      <c r="F637" s="77"/>
      <c r="G637" s="78">
        <f>G625*E637</f>
        <v>0.56058030000000003</v>
      </c>
      <c r="H637" s="79">
        <f t="shared" si="72"/>
        <v>0.56058030000000003</v>
      </c>
      <c r="I637" s="80">
        <v>7875</v>
      </c>
      <c r="J637" s="80">
        <f t="shared" si="73"/>
        <v>4414.5698625000005</v>
      </c>
      <c r="K637" s="77" t="s">
        <v>71</v>
      </c>
      <c r="L637" s="77" t="s">
        <v>321</v>
      </c>
    </row>
    <row r="638" spans="1:12" s="54" customFormat="1" ht="34.5" customHeight="1" x14ac:dyDescent="0.25">
      <c r="A638" s="81"/>
      <c r="B638" s="89" t="s">
        <v>75</v>
      </c>
      <c r="C638" s="77" t="s">
        <v>70</v>
      </c>
      <c r="D638" s="77" t="s">
        <v>45</v>
      </c>
      <c r="E638" s="77">
        <v>6.0000000000000001E-3</v>
      </c>
      <c r="F638" s="77"/>
      <c r="G638" s="78">
        <f>G622*E638</f>
        <v>0.33600000000000002</v>
      </c>
      <c r="H638" s="79">
        <f t="shared" si="72"/>
        <v>0.33600000000000002</v>
      </c>
      <c r="I638" s="80">
        <v>7875</v>
      </c>
      <c r="J638" s="80">
        <f t="shared" si="73"/>
        <v>2646</v>
      </c>
      <c r="K638" s="77" t="s">
        <v>76</v>
      </c>
      <c r="L638" s="77" t="s">
        <v>321</v>
      </c>
    </row>
    <row r="639" spans="1:12" s="54" customFormat="1" ht="34.5" customHeight="1" x14ac:dyDescent="0.25">
      <c r="A639" s="81"/>
      <c r="B639" s="89" t="s">
        <v>77</v>
      </c>
      <c r="C639" s="77" t="s">
        <v>70</v>
      </c>
      <c r="D639" s="77" t="s">
        <v>45</v>
      </c>
      <c r="E639" s="77">
        <v>1.01</v>
      </c>
      <c r="F639" s="77"/>
      <c r="G639" s="93">
        <v>0.08</v>
      </c>
      <c r="H639" s="79">
        <f t="shared" si="72"/>
        <v>0.08</v>
      </c>
      <c r="I639" s="80">
        <v>7875</v>
      </c>
      <c r="J639" s="80">
        <f t="shared" si="73"/>
        <v>630</v>
      </c>
      <c r="K639" s="94"/>
      <c r="L639" s="77" t="s">
        <v>321</v>
      </c>
    </row>
    <row r="640" spans="1:12" s="54" customFormat="1" ht="23.25" customHeight="1" x14ac:dyDescent="0.25">
      <c r="A640" s="81"/>
      <c r="B640" s="89" t="s">
        <v>78</v>
      </c>
      <c r="C640" s="77" t="s">
        <v>79</v>
      </c>
      <c r="D640" s="77" t="s">
        <v>47</v>
      </c>
      <c r="E640" s="77"/>
      <c r="F640" s="77"/>
      <c r="G640" s="78">
        <v>183.5</v>
      </c>
      <c r="H640" s="79">
        <f t="shared" si="72"/>
        <v>183.5</v>
      </c>
      <c r="I640" s="80">
        <v>88.34</v>
      </c>
      <c r="J640" s="80">
        <f t="shared" si="73"/>
        <v>16210.390000000001</v>
      </c>
      <c r="K640" s="94"/>
      <c r="L640" s="77" t="s">
        <v>321</v>
      </c>
    </row>
    <row r="641" spans="1:12" s="54" customFormat="1" ht="23.25" customHeight="1" x14ac:dyDescent="0.25">
      <c r="A641" s="81"/>
      <c r="B641" s="89" t="s">
        <v>113</v>
      </c>
      <c r="C641" s="77" t="s">
        <v>114</v>
      </c>
      <c r="D641" s="77" t="s">
        <v>60</v>
      </c>
      <c r="E641" s="77"/>
      <c r="F641" s="77"/>
      <c r="G641" s="78">
        <v>12</v>
      </c>
      <c r="H641" s="79">
        <f t="shared" si="72"/>
        <v>12</v>
      </c>
      <c r="I641" s="80">
        <v>398.6</v>
      </c>
      <c r="J641" s="80">
        <f t="shared" si="73"/>
        <v>4783.2000000000007</v>
      </c>
      <c r="K641" s="94"/>
      <c r="L641" s="77" t="s">
        <v>321</v>
      </c>
    </row>
    <row r="642" spans="1:12" s="54" customFormat="1" ht="23.25" customHeight="1" x14ac:dyDescent="0.25">
      <c r="A642" s="81"/>
      <c r="B642" s="89" t="s">
        <v>115</v>
      </c>
      <c r="C642" s="77" t="s">
        <v>116</v>
      </c>
      <c r="D642" s="77" t="s">
        <v>60</v>
      </c>
      <c r="E642" s="77"/>
      <c r="F642" s="77"/>
      <c r="G642" s="78">
        <v>9</v>
      </c>
      <c r="H642" s="79">
        <f t="shared" si="72"/>
        <v>9</v>
      </c>
      <c r="I642" s="80">
        <v>465.03</v>
      </c>
      <c r="J642" s="80">
        <f t="shared" si="73"/>
        <v>4185.2699999999995</v>
      </c>
      <c r="K642" s="94"/>
      <c r="L642" s="77" t="s">
        <v>321</v>
      </c>
    </row>
    <row r="643" spans="1:12" s="54" customFormat="1" ht="23.25" customHeight="1" x14ac:dyDescent="0.25">
      <c r="A643" s="81"/>
      <c r="B643" s="89" t="s">
        <v>117</v>
      </c>
      <c r="C643" s="77" t="s">
        <v>118</v>
      </c>
      <c r="D643" s="77" t="s">
        <v>60</v>
      </c>
      <c r="E643" s="77"/>
      <c r="F643" s="77"/>
      <c r="G643" s="78">
        <v>1</v>
      </c>
      <c r="H643" s="79">
        <f t="shared" si="72"/>
        <v>1</v>
      </c>
      <c r="I643" s="80">
        <v>841.49</v>
      </c>
      <c r="J643" s="80">
        <f t="shared" si="73"/>
        <v>841.49</v>
      </c>
      <c r="K643" s="94"/>
      <c r="L643" s="77" t="s">
        <v>321</v>
      </c>
    </row>
    <row r="644" spans="1:12" s="54" customFormat="1" ht="23.25" customHeight="1" x14ac:dyDescent="0.25">
      <c r="A644" s="81"/>
      <c r="B644" s="89" t="s">
        <v>119</v>
      </c>
      <c r="C644" s="77" t="s">
        <v>120</v>
      </c>
      <c r="D644" s="77" t="s">
        <v>60</v>
      </c>
      <c r="E644" s="77"/>
      <c r="F644" s="77"/>
      <c r="G644" s="78">
        <v>10</v>
      </c>
      <c r="H644" s="79">
        <f t="shared" si="72"/>
        <v>10</v>
      </c>
      <c r="I644" s="80">
        <v>981.74</v>
      </c>
      <c r="J644" s="80">
        <f t="shared" si="73"/>
        <v>9817.4</v>
      </c>
      <c r="K644" s="94"/>
      <c r="L644" s="77" t="s">
        <v>321</v>
      </c>
    </row>
    <row r="645" spans="1:12" s="54" customFormat="1" ht="23.25" customHeight="1" x14ac:dyDescent="0.25">
      <c r="A645" s="81"/>
      <c r="B645" s="89" t="s">
        <v>121</v>
      </c>
      <c r="C645" s="77" t="s">
        <v>122</v>
      </c>
      <c r="D645" s="77" t="s">
        <v>60</v>
      </c>
      <c r="E645" s="77"/>
      <c r="F645" s="77"/>
      <c r="G645" s="78">
        <v>3</v>
      </c>
      <c r="H645" s="79">
        <f t="shared" si="72"/>
        <v>3</v>
      </c>
      <c r="I645" s="80">
        <v>1291.76</v>
      </c>
      <c r="J645" s="80">
        <f t="shared" si="73"/>
        <v>3875.2799999999997</v>
      </c>
      <c r="K645" s="94"/>
      <c r="L645" s="77" t="s">
        <v>321</v>
      </c>
    </row>
    <row r="646" spans="1:12" s="54" customFormat="1" ht="23.25" customHeight="1" x14ac:dyDescent="0.25">
      <c r="A646" s="81"/>
      <c r="B646" s="89" t="s">
        <v>123</v>
      </c>
      <c r="C646" s="77" t="s">
        <v>124</v>
      </c>
      <c r="D646" s="77" t="s">
        <v>60</v>
      </c>
      <c r="E646" s="77"/>
      <c r="F646" s="77"/>
      <c r="G646" s="78">
        <v>1</v>
      </c>
      <c r="H646" s="79">
        <f t="shared" si="72"/>
        <v>1</v>
      </c>
      <c r="I646" s="80">
        <v>1845.38</v>
      </c>
      <c r="J646" s="80">
        <f t="shared" si="73"/>
        <v>1845.38</v>
      </c>
      <c r="K646" s="94"/>
      <c r="L646" s="77" t="s">
        <v>321</v>
      </c>
    </row>
    <row r="647" spans="1:12" s="54" customFormat="1" ht="23.25" customHeight="1" x14ac:dyDescent="0.25">
      <c r="A647" s="81"/>
      <c r="B647" s="89" t="s">
        <v>125</v>
      </c>
      <c r="C647" s="77" t="s">
        <v>126</v>
      </c>
      <c r="D647" s="77" t="s">
        <v>60</v>
      </c>
      <c r="E647" s="77"/>
      <c r="F647" s="77"/>
      <c r="G647" s="78">
        <v>8</v>
      </c>
      <c r="H647" s="79">
        <f t="shared" si="72"/>
        <v>8</v>
      </c>
      <c r="I647" s="80">
        <v>2029.91</v>
      </c>
      <c r="J647" s="80">
        <f t="shared" si="73"/>
        <v>16239.28</v>
      </c>
      <c r="K647" s="94"/>
      <c r="L647" s="77" t="s">
        <v>321</v>
      </c>
    </row>
    <row r="648" spans="1:12" s="54" customFormat="1" ht="23.25" customHeight="1" x14ac:dyDescent="0.25">
      <c r="A648" s="81"/>
      <c r="B648" s="89" t="s">
        <v>127</v>
      </c>
      <c r="C648" s="77" t="s">
        <v>128</v>
      </c>
      <c r="D648" s="77" t="s">
        <v>60</v>
      </c>
      <c r="E648" s="77"/>
      <c r="F648" s="77"/>
      <c r="G648" s="78">
        <v>11</v>
      </c>
      <c r="H648" s="79">
        <f t="shared" si="72"/>
        <v>11</v>
      </c>
      <c r="I648" s="80">
        <v>2398.9899999999998</v>
      </c>
      <c r="J648" s="80">
        <f t="shared" si="73"/>
        <v>26388.89</v>
      </c>
      <c r="K648" s="94"/>
      <c r="L648" s="77" t="s">
        <v>321</v>
      </c>
    </row>
    <row r="649" spans="1:12" s="54" customFormat="1" ht="23.25" customHeight="1" x14ac:dyDescent="0.25">
      <c r="A649" s="81"/>
      <c r="B649" s="89" t="s">
        <v>129</v>
      </c>
      <c r="C649" s="77" t="s">
        <v>130</v>
      </c>
      <c r="D649" s="77" t="s">
        <v>60</v>
      </c>
      <c r="E649" s="77"/>
      <c r="F649" s="77"/>
      <c r="G649" s="78">
        <v>1</v>
      </c>
      <c r="H649" s="79">
        <f t="shared" si="72"/>
        <v>1</v>
      </c>
      <c r="I649" s="80">
        <v>2583.5300000000002</v>
      </c>
      <c r="J649" s="80">
        <f t="shared" si="73"/>
        <v>2583.5300000000002</v>
      </c>
      <c r="K649" s="94"/>
      <c r="L649" s="77" t="s">
        <v>321</v>
      </c>
    </row>
    <row r="650" spans="1:12" s="54" customFormat="1" ht="23.25" customHeight="1" x14ac:dyDescent="0.25">
      <c r="A650" s="81"/>
      <c r="B650" s="89" t="s">
        <v>92</v>
      </c>
      <c r="C650" s="77" t="s">
        <v>93</v>
      </c>
      <c r="D650" s="77" t="s">
        <v>54</v>
      </c>
      <c r="E650" s="77">
        <v>1.04</v>
      </c>
      <c r="F650" s="77"/>
      <c r="G650" s="78">
        <f>155.29*E650</f>
        <v>161.5016</v>
      </c>
      <c r="H650" s="79">
        <f t="shared" si="72"/>
        <v>161.5016</v>
      </c>
      <c r="I650" s="80">
        <v>66.349999999999994</v>
      </c>
      <c r="J650" s="80">
        <f t="shared" si="73"/>
        <v>10715.631159999999</v>
      </c>
      <c r="K650" s="94"/>
      <c r="L650" s="77" t="s">
        <v>321</v>
      </c>
    </row>
    <row r="651" spans="1:12" s="54" customFormat="1" ht="23.25" customHeight="1" x14ac:dyDescent="0.25">
      <c r="A651" s="81"/>
      <c r="B651" s="89" t="s">
        <v>94</v>
      </c>
      <c r="C651" s="77" t="s">
        <v>95</v>
      </c>
      <c r="D651" s="77" t="s">
        <v>54</v>
      </c>
      <c r="E651" s="77">
        <v>1.04</v>
      </c>
      <c r="F651" s="77"/>
      <c r="G651" s="78">
        <f>G624*E651</f>
        <v>42.307200000000002</v>
      </c>
      <c r="H651" s="79">
        <f t="shared" si="72"/>
        <v>42.307200000000002</v>
      </c>
      <c r="I651" s="80">
        <v>64</v>
      </c>
      <c r="J651" s="80">
        <f t="shared" si="73"/>
        <v>2707.6608000000001</v>
      </c>
      <c r="K651" s="94"/>
      <c r="L651" s="77" t="s">
        <v>321</v>
      </c>
    </row>
    <row r="652" spans="1:12" s="54" customFormat="1" ht="23.25" customHeight="1" x14ac:dyDescent="0.25">
      <c r="A652" s="81"/>
      <c r="B652" s="89" t="s">
        <v>131</v>
      </c>
      <c r="C652" s="77" t="s">
        <v>39</v>
      </c>
      <c r="D652" s="77" t="s">
        <v>54</v>
      </c>
      <c r="E652" s="77">
        <v>1.04</v>
      </c>
      <c r="F652" s="77"/>
      <c r="G652" s="78">
        <f>85.59*E652</f>
        <v>89.013600000000011</v>
      </c>
      <c r="H652" s="79">
        <f t="shared" si="72"/>
        <v>89.013600000000011</v>
      </c>
      <c r="I652" s="80">
        <v>64.209999999999994</v>
      </c>
      <c r="J652" s="80">
        <f t="shared" si="73"/>
        <v>5715.5632560000004</v>
      </c>
      <c r="K652" s="94"/>
      <c r="L652" s="77" t="s">
        <v>321</v>
      </c>
    </row>
    <row r="653" spans="1:12" s="54" customFormat="1" ht="23.25" customHeight="1" x14ac:dyDescent="0.25">
      <c r="A653" s="81"/>
      <c r="B653" s="89" t="s">
        <v>97</v>
      </c>
      <c r="C653" s="77" t="s">
        <v>39</v>
      </c>
      <c r="D653" s="77" t="s">
        <v>54</v>
      </c>
      <c r="E653" s="77">
        <v>1.04</v>
      </c>
      <c r="F653" s="77"/>
      <c r="G653" s="78">
        <f>E653*23.1</f>
        <v>24.024000000000001</v>
      </c>
      <c r="H653" s="79">
        <f t="shared" si="72"/>
        <v>24.024000000000001</v>
      </c>
      <c r="I653" s="80">
        <v>74.92</v>
      </c>
      <c r="J653" s="80">
        <f t="shared" si="73"/>
        <v>1799.8780800000002</v>
      </c>
      <c r="K653" s="94"/>
      <c r="L653" s="77" t="s">
        <v>321</v>
      </c>
    </row>
    <row r="654" spans="1:12" s="54" customFormat="1" ht="23.25" customHeight="1" x14ac:dyDescent="0.25">
      <c r="A654" s="81"/>
      <c r="B654" s="89" t="s">
        <v>132</v>
      </c>
      <c r="C654" s="77" t="s">
        <v>39</v>
      </c>
      <c r="D654" s="77" t="s">
        <v>54</v>
      </c>
      <c r="E654" s="77">
        <v>1.04</v>
      </c>
      <c r="F654" s="77"/>
      <c r="G654" s="78">
        <f>28.88*E654</f>
        <v>30.0352</v>
      </c>
      <c r="H654" s="79">
        <f t="shared" si="72"/>
        <v>30.0352</v>
      </c>
      <c r="I654" s="80">
        <v>75.97</v>
      </c>
      <c r="J654" s="80">
        <f t="shared" si="73"/>
        <v>2281.774144</v>
      </c>
      <c r="K654" s="94"/>
      <c r="L654" s="77" t="s">
        <v>321</v>
      </c>
    </row>
    <row r="655" spans="1:12" s="101" customFormat="1" ht="32.25" customHeight="1" x14ac:dyDescent="0.25">
      <c r="A655" s="95"/>
      <c r="B655" s="96" t="s">
        <v>133</v>
      </c>
      <c r="C655" s="97" t="s">
        <v>39</v>
      </c>
      <c r="D655" s="97" t="s">
        <v>99</v>
      </c>
      <c r="E655" s="97"/>
      <c r="F655" s="97"/>
      <c r="G655" s="98"/>
      <c r="H655" s="99">
        <f>J655*100/J614</f>
        <v>4.9540518920903365</v>
      </c>
      <c r="I655" s="79"/>
      <c r="J655" s="79">
        <v>50514.601200000005</v>
      </c>
      <c r="K655" s="100"/>
      <c r="L655" s="97" t="s">
        <v>321</v>
      </c>
    </row>
    <row r="656" spans="1:12" s="54" customFormat="1" ht="23.25" customHeight="1" x14ac:dyDescent="0.25">
      <c r="A656" s="60" t="s">
        <v>160</v>
      </c>
      <c r="B656" s="61" t="s">
        <v>161</v>
      </c>
      <c r="C656" s="62"/>
      <c r="D656" s="63"/>
      <c r="E656" s="62"/>
      <c r="F656" s="62"/>
      <c r="G656" s="64"/>
      <c r="H656" s="65"/>
      <c r="I656" s="65"/>
      <c r="J656" s="65">
        <f>J657+J669</f>
        <v>1354922.102315</v>
      </c>
      <c r="K656" s="86"/>
      <c r="L656" s="86"/>
    </row>
    <row r="657" spans="1:12" s="54" customFormat="1" ht="23.25" customHeight="1" x14ac:dyDescent="0.25">
      <c r="A657" s="66"/>
      <c r="B657" s="67" t="s">
        <v>34</v>
      </c>
      <c r="C657" s="68"/>
      <c r="D657" s="68"/>
      <c r="E657" s="68"/>
      <c r="F657" s="68"/>
      <c r="G657" s="69"/>
      <c r="H657" s="70"/>
      <c r="I657" s="70"/>
      <c r="J657" s="70">
        <f>SUM(J658:J668)</f>
        <v>1019662.335</v>
      </c>
      <c r="K657" s="72"/>
      <c r="L657" s="72"/>
    </row>
    <row r="658" spans="1:12" s="54" customFormat="1" ht="23.25" customHeight="1" x14ac:dyDescent="0.25">
      <c r="A658" s="66"/>
      <c r="B658" s="71" t="s">
        <v>44</v>
      </c>
      <c r="C658" s="72"/>
      <c r="D658" s="72" t="s">
        <v>45</v>
      </c>
      <c r="E658" s="72"/>
      <c r="F658" s="72"/>
      <c r="G658" s="73">
        <v>33.94</v>
      </c>
      <c r="H658" s="70">
        <f t="shared" ref="H658:H668" si="74">SUM(G658:G658)</f>
        <v>33.94</v>
      </c>
      <c r="I658" s="74">
        <v>4939</v>
      </c>
      <c r="J658" s="74">
        <f>I658*H658</f>
        <v>167629.65999999997</v>
      </c>
      <c r="K658" s="72"/>
      <c r="L658" s="72"/>
    </row>
    <row r="659" spans="1:12" s="54" customFormat="1" ht="23.25" customHeight="1" x14ac:dyDescent="0.25">
      <c r="A659" s="66"/>
      <c r="B659" s="71" t="s">
        <v>102</v>
      </c>
      <c r="C659" s="72"/>
      <c r="D659" s="72" t="s">
        <v>45</v>
      </c>
      <c r="E659" s="72"/>
      <c r="F659" s="72"/>
      <c r="G659" s="73">
        <v>2.58</v>
      </c>
      <c r="H659" s="70">
        <f t="shared" si="74"/>
        <v>2.58</v>
      </c>
      <c r="I659" s="74">
        <v>5845</v>
      </c>
      <c r="J659" s="74">
        <f t="shared" ref="J659" si="75">I659*H659</f>
        <v>15080.1</v>
      </c>
      <c r="K659" s="72"/>
      <c r="L659" s="72"/>
    </row>
    <row r="660" spans="1:12" s="54" customFormat="1" ht="23.25" customHeight="1" x14ac:dyDescent="0.25">
      <c r="A660" s="66"/>
      <c r="B660" s="71" t="s">
        <v>46</v>
      </c>
      <c r="C660" s="72"/>
      <c r="D660" s="72" t="s">
        <v>47</v>
      </c>
      <c r="E660" s="72"/>
      <c r="F660" s="72"/>
      <c r="G660" s="73">
        <v>154.52000000000001</v>
      </c>
      <c r="H660" s="70">
        <f t="shared" si="74"/>
        <v>154.52000000000001</v>
      </c>
      <c r="I660" s="74">
        <v>1461</v>
      </c>
      <c r="J660" s="74">
        <f>I660*H660</f>
        <v>225753.72</v>
      </c>
      <c r="K660" s="72"/>
      <c r="L660" s="72"/>
    </row>
    <row r="661" spans="1:12" s="54" customFormat="1" ht="23.25" customHeight="1" x14ac:dyDescent="0.25">
      <c r="A661" s="66"/>
      <c r="B661" s="71" t="s">
        <v>48</v>
      </c>
      <c r="C661" s="72"/>
      <c r="D661" s="72" t="s">
        <v>47</v>
      </c>
      <c r="E661" s="72"/>
      <c r="F661" s="72"/>
      <c r="G661" s="73">
        <v>31.58</v>
      </c>
      <c r="H661" s="70">
        <f t="shared" si="74"/>
        <v>31.58</v>
      </c>
      <c r="I661" s="74">
        <v>1461</v>
      </c>
      <c r="J661" s="74">
        <f>I661*H661</f>
        <v>46138.38</v>
      </c>
      <c r="K661" s="72"/>
      <c r="L661" s="72"/>
    </row>
    <row r="662" spans="1:12" s="54" customFormat="1" ht="23.25" customHeight="1" x14ac:dyDescent="0.25">
      <c r="A662" s="66"/>
      <c r="B662" s="71" t="s">
        <v>103</v>
      </c>
      <c r="C662" s="72"/>
      <c r="D662" s="72" t="s">
        <v>47</v>
      </c>
      <c r="E662" s="72"/>
      <c r="F662" s="72"/>
      <c r="G662" s="73">
        <v>159.29</v>
      </c>
      <c r="H662" s="70">
        <f t="shared" si="74"/>
        <v>159.29</v>
      </c>
      <c r="I662" s="74">
        <v>1461</v>
      </c>
      <c r="J662" s="74">
        <f>I662*H662</f>
        <v>232722.69</v>
      </c>
      <c r="K662" s="72"/>
      <c r="L662" s="72"/>
    </row>
    <row r="663" spans="1:12" s="54" customFormat="1" ht="23.25" customHeight="1" x14ac:dyDescent="0.25">
      <c r="A663" s="66"/>
      <c r="B663" s="71" t="s">
        <v>104</v>
      </c>
      <c r="C663" s="72"/>
      <c r="D663" s="72" t="s">
        <v>47</v>
      </c>
      <c r="E663" s="72"/>
      <c r="F663" s="72"/>
      <c r="G663" s="73">
        <v>141.18</v>
      </c>
      <c r="H663" s="70">
        <f t="shared" si="74"/>
        <v>141.18</v>
      </c>
      <c r="I663" s="74">
        <v>1461</v>
      </c>
      <c r="J663" s="74">
        <f>I663*H663</f>
        <v>206263.98</v>
      </c>
      <c r="K663" s="72"/>
      <c r="L663" s="72"/>
    </row>
    <row r="664" spans="1:12" s="54" customFormat="1" ht="23.25" customHeight="1" x14ac:dyDescent="0.25">
      <c r="A664" s="66"/>
      <c r="B664" s="71" t="s">
        <v>49</v>
      </c>
      <c r="C664" s="72"/>
      <c r="D664" s="72" t="s">
        <v>47</v>
      </c>
      <c r="E664" s="72"/>
      <c r="F664" s="72"/>
      <c r="G664" s="73">
        <v>39.32</v>
      </c>
      <c r="H664" s="70">
        <f t="shared" si="74"/>
        <v>39.32</v>
      </c>
      <c r="I664" s="74">
        <v>1610</v>
      </c>
      <c r="J664" s="74">
        <f t="shared" ref="J664:J667" si="76">I664*H664</f>
        <v>63305.2</v>
      </c>
      <c r="K664" s="72"/>
      <c r="L664" s="72"/>
    </row>
    <row r="665" spans="1:12" s="54" customFormat="1" ht="23.25" customHeight="1" x14ac:dyDescent="0.25">
      <c r="A665" s="66"/>
      <c r="B665" s="71" t="s">
        <v>50</v>
      </c>
      <c r="C665" s="72"/>
      <c r="D665" s="72" t="s">
        <v>51</v>
      </c>
      <c r="E665" s="72"/>
      <c r="F665" s="72"/>
      <c r="G665" s="73">
        <v>56</v>
      </c>
      <c r="H665" s="70">
        <f t="shared" si="74"/>
        <v>56</v>
      </c>
      <c r="I665" s="74">
        <v>803</v>
      </c>
      <c r="J665" s="74">
        <f t="shared" si="76"/>
        <v>44968</v>
      </c>
      <c r="K665" s="72"/>
      <c r="L665" s="72"/>
    </row>
    <row r="666" spans="1:12" s="54" customFormat="1" ht="26.25" customHeight="1" x14ac:dyDescent="0.25">
      <c r="A666" s="66"/>
      <c r="B666" s="71" t="s">
        <v>52</v>
      </c>
      <c r="C666" s="72" t="s">
        <v>105</v>
      </c>
      <c r="D666" s="72" t="s">
        <v>54</v>
      </c>
      <c r="E666" s="72"/>
      <c r="F666" s="72"/>
      <c r="G666" s="73">
        <v>137.57</v>
      </c>
      <c r="H666" s="70">
        <f t="shared" si="74"/>
        <v>137.57</v>
      </c>
      <c r="I666" s="74">
        <v>94.5</v>
      </c>
      <c r="J666" s="74">
        <f t="shared" si="76"/>
        <v>13000.365</v>
      </c>
      <c r="K666" s="72"/>
      <c r="L666" s="72"/>
    </row>
    <row r="667" spans="1:12" s="54" customFormat="1" ht="31.5" x14ac:dyDescent="0.25">
      <c r="A667" s="66"/>
      <c r="B667" s="71" t="s">
        <v>55</v>
      </c>
      <c r="C667" s="72"/>
      <c r="D667" s="72" t="s">
        <v>54</v>
      </c>
      <c r="E667" s="72"/>
      <c r="F667" s="72"/>
      <c r="G667" s="73">
        <v>40.68</v>
      </c>
      <c r="H667" s="70">
        <f t="shared" si="74"/>
        <v>40.68</v>
      </c>
      <c r="I667" s="74">
        <v>118</v>
      </c>
      <c r="J667" s="74">
        <f t="shared" si="76"/>
        <v>4800.24</v>
      </c>
      <c r="K667" s="72"/>
      <c r="L667" s="72"/>
    </row>
    <row r="668" spans="1:12" s="54" customFormat="1" ht="21" customHeight="1" x14ac:dyDescent="0.25">
      <c r="A668" s="66"/>
      <c r="B668" s="87" t="s">
        <v>56</v>
      </c>
      <c r="C668" s="88"/>
      <c r="D668" s="88" t="s">
        <v>45</v>
      </c>
      <c r="E668" s="88"/>
      <c r="F668" s="88"/>
      <c r="G668" s="73">
        <f>308.35*0.06*0.03</f>
        <v>0.55503000000000002</v>
      </c>
      <c r="H668" s="70">
        <f t="shared" si="74"/>
        <v>0.55503000000000002</v>
      </c>
      <c r="I668" s="74"/>
      <c r="J668" s="74"/>
      <c r="K668" s="88" t="s">
        <v>57</v>
      </c>
      <c r="L668" s="72"/>
    </row>
    <row r="669" spans="1:12" s="54" customFormat="1" x14ac:dyDescent="0.25">
      <c r="A669" s="75"/>
      <c r="B669" s="76" t="s">
        <v>38</v>
      </c>
      <c r="C669" s="77"/>
      <c r="D669" s="77"/>
      <c r="E669" s="77"/>
      <c r="F669" s="77"/>
      <c r="G669" s="78"/>
      <c r="H669" s="79"/>
      <c r="I669" s="80"/>
      <c r="J669" s="79">
        <f>SUM(J670:J698)</f>
        <v>335259.76731500006</v>
      </c>
      <c r="K669" s="77"/>
      <c r="L669" s="77"/>
    </row>
    <row r="670" spans="1:12" s="54" customFormat="1" ht="31.5" x14ac:dyDescent="0.25">
      <c r="A670" s="81"/>
      <c r="B670" s="82" t="s">
        <v>58</v>
      </c>
      <c r="C670" s="77" t="s">
        <v>59</v>
      </c>
      <c r="D670" s="77" t="s">
        <v>60</v>
      </c>
      <c r="E670" s="78">
        <v>12.4</v>
      </c>
      <c r="F670" s="77">
        <v>0.25</v>
      </c>
      <c r="G670" s="83">
        <f>G658/F670*E670</f>
        <v>1683.424</v>
      </c>
      <c r="H670" s="84">
        <f t="shared" ref="H670:H697" si="77">SUM(G670:G670)</f>
        <v>1683.424</v>
      </c>
      <c r="I670" s="80">
        <v>0</v>
      </c>
      <c r="J670" s="80">
        <f>H670*I670</f>
        <v>0</v>
      </c>
      <c r="K670" s="77" t="s">
        <v>61</v>
      </c>
      <c r="L670" s="77" t="s">
        <v>320</v>
      </c>
    </row>
    <row r="671" spans="1:12" s="54" customFormat="1" ht="31.5" x14ac:dyDescent="0.25">
      <c r="A671" s="81"/>
      <c r="B671" s="82" t="s">
        <v>62</v>
      </c>
      <c r="C671" s="77" t="s">
        <v>63</v>
      </c>
      <c r="D671" s="77" t="s">
        <v>60</v>
      </c>
      <c r="E671" s="78">
        <v>12.4</v>
      </c>
      <c r="F671" s="77"/>
      <c r="G671" s="83">
        <f>G660*E671</f>
        <v>1916.0480000000002</v>
      </c>
      <c r="H671" s="84">
        <f t="shared" si="77"/>
        <v>1916.0480000000002</v>
      </c>
      <c r="I671" s="80">
        <v>0</v>
      </c>
      <c r="J671" s="80">
        <f>H671*I671</f>
        <v>0</v>
      </c>
      <c r="K671" s="77" t="s">
        <v>61</v>
      </c>
      <c r="L671" s="77" t="s">
        <v>320</v>
      </c>
    </row>
    <row r="672" spans="1:12" s="54" customFormat="1" ht="31.5" x14ac:dyDescent="0.25">
      <c r="A672" s="81"/>
      <c r="B672" s="82" t="s">
        <v>64</v>
      </c>
      <c r="C672" s="77" t="s">
        <v>65</v>
      </c>
      <c r="D672" s="77" t="s">
        <v>60</v>
      </c>
      <c r="E672" s="78">
        <v>12.4</v>
      </c>
      <c r="F672" s="77"/>
      <c r="G672" s="83">
        <f>G661*E672</f>
        <v>391.59199999999998</v>
      </c>
      <c r="H672" s="84">
        <f t="shared" si="77"/>
        <v>391.59199999999998</v>
      </c>
      <c r="I672" s="80">
        <v>0</v>
      </c>
      <c r="J672" s="80">
        <f>H672*I672</f>
        <v>0</v>
      </c>
      <c r="K672" s="77" t="s">
        <v>61</v>
      </c>
      <c r="L672" s="77" t="s">
        <v>320</v>
      </c>
    </row>
    <row r="673" spans="1:12" s="54" customFormat="1" ht="31.5" x14ac:dyDescent="0.25">
      <c r="A673" s="81"/>
      <c r="B673" s="82" t="s">
        <v>106</v>
      </c>
      <c r="C673" s="77" t="s">
        <v>107</v>
      </c>
      <c r="D673" s="77" t="s">
        <v>60</v>
      </c>
      <c r="E673" s="78">
        <v>12.4</v>
      </c>
      <c r="F673" s="77"/>
      <c r="G673" s="83">
        <f>G662*E673</f>
        <v>1975.1959999999999</v>
      </c>
      <c r="H673" s="84">
        <f t="shared" si="77"/>
        <v>1975.1959999999999</v>
      </c>
      <c r="I673" s="80">
        <v>0</v>
      </c>
      <c r="J673" s="80">
        <f>H673*I673</f>
        <v>0</v>
      </c>
      <c r="K673" s="77" t="s">
        <v>61</v>
      </c>
      <c r="L673" s="77" t="s">
        <v>320</v>
      </c>
    </row>
    <row r="674" spans="1:12" s="54" customFormat="1" ht="31.5" x14ac:dyDescent="0.25">
      <c r="A674" s="81"/>
      <c r="B674" s="82" t="s">
        <v>108</v>
      </c>
      <c r="C674" s="77" t="s">
        <v>109</v>
      </c>
      <c r="D674" s="77" t="s">
        <v>60</v>
      </c>
      <c r="E674" s="78">
        <v>12.4</v>
      </c>
      <c r="F674" s="77"/>
      <c r="G674" s="83">
        <f>G663*E674</f>
        <v>1750.6320000000001</v>
      </c>
      <c r="H674" s="84">
        <f t="shared" si="77"/>
        <v>1750.6320000000001</v>
      </c>
      <c r="I674" s="80">
        <v>0</v>
      </c>
      <c r="J674" s="80">
        <f>H674*I674</f>
        <v>0</v>
      </c>
      <c r="K674" s="77" t="s">
        <v>61</v>
      </c>
      <c r="L674" s="77" t="s">
        <v>320</v>
      </c>
    </row>
    <row r="675" spans="1:12" s="54" customFormat="1" ht="31.5" x14ac:dyDescent="0.25">
      <c r="A675" s="81"/>
      <c r="B675" s="89" t="s">
        <v>66</v>
      </c>
      <c r="C675" s="77" t="s">
        <v>67</v>
      </c>
      <c r="D675" s="77" t="s">
        <v>60</v>
      </c>
      <c r="E675" s="90">
        <v>42</v>
      </c>
      <c r="F675" s="90"/>
      <c r="G675" s="83">
        <f>G664*E675</f>
        <v>1651.44</v>
      </c>
      <c r="H675" s="84">
        <f t="shared" si="77"/>
        <v>1651.44</v>
      </c>
      <c r="I675" s="80">
        <v>0</v>
      </c>
      <c r="J675" s="80">
        <f t="shared" ref="J675:J697" si="78">H675*I675</f>
        <v>0</v>
      </c>
      <c r="K675" s="77" t="s">
        <v>68</v>
      </c>
      <c r="L675" s="77" t="s">
        <v>320</v>
      </c>
    </row>
    <row r="676" spans="1:12" s="54" customFormat="1" ht="31.5" x14ac:dyDescent="0.25">
      <c r="A676" s="81"/>
      <c r="B676" s="89" t="s">
        <v>110</v>
      </c>
      <c r="C676" s="77" t="s">
        <v>111</v>
      </c>
      <c r="D676" s="77" t="s">
        <v>60</v>
      </c>
      <c r="E676" s="90">
        <v>42</v>
      </c>
      <c r="F676" s="90"/>
      <c r="G676" s="83">
        <f>G659/0.25*E676</f>
        <v>433.44</v>
      </c>
      <c r="H676" s="84">
        <f t="shared" si="77"/>
        <v>433.44</v>
      </c>
      <c r="I676" s="80">
        <v>0</v>
      </c>
      <c r="J676" s="80">
        <f t="shared" si="78"/>
        <v>0</v>
      </c>
      <c r="K676" s="77" t="s">
        <v>68</v>
      </c>
      <c r="L676" s="77" t="s">
        <v>320</v>
      </c>
    </row>
    <row r="677" spans="1:12" s="54" customFormat="1" ht="34.5" customHeight="1" x14ac:dyDescent="0.25">
      <c r="A677" s="81"/>
      <c r="B677" s="91" t="s">
        <v>69</v>
      </c>
      <c r="C677" s="77" t="s">
        <v>70</v>
      </c>
      <c r="D677" s="77" t="s">
        <v>45</v>
      </c>
      <c r="E677" s="77">
        <v>0.19500000000000001</v>
      </c>
      <c r="F677" s="90"/>
      <c r="G677" s="78">
        <f>G658*E677+G660*E677*0.19+G661*E677*0.19+G662*E677*0.09+G663*E677*0.09</f>
        <v>18.7865535</v>
      </c>
      <c r="H677" s="79">
        <f t="shared" si="77"/>
        <v>18.7865535</v>
      </c>
      <c r="I677" s="80">
        <v>7875</v>
      </c>
      <c r="J677" s="80">
        <f t="shared" si="78"/>
        <v>147944.1088125</v>
      </c>
      <c r="K677" s="77" t="s">
        <v>71</v>
      </c>
      <c r="L677" s="77" t="s">
        <v>321</v>
      </c>
    </row>
    <row r="678" spans="1:12" s="54" customFormat="1" ht="34.5" customHeight="1" x14ac:dyDescent="0.25">
      <c r="A678" s="92"/>
      <c r="B678" s="91" t="s">
        <v>112</v>
      </c>
      <c r="C678" s="77" t="s">
        <v>70</v>
      </c>
      <c r="D678" s="77" t="s">
        <v>45</v>
      </c>
      <c r="E678" s="77">
        <v>0.24</v>
      </c>
      <c r="F678" s="77"/>
      <c r="G678" s="78">
        <f>G659*E678</f>
        <v>0.61919999999999997</v>
      </c>
      <c r="H678" s="79">
        <f t="shared" si="77"/>
        <v>0.61919999999999997</v>
      </c>
      <c r="I678" s="80">
        <v>7875</v>
      </c>
      <c r="J678" s="80">
        <f t="shared" si="78"/>
        <v>4876.2</v>
      </c>
      <c r="K678" s="77" t="s">
        <v>71</v>
      </c>
      <c r="L678" s="77" t="s">
        <v>321</v>
      </c>
    </row>
    <row r="679" spans="1:12" s="54" customFormat="1" ht="34.5" customHeight="1" x14ac:dyDescent="0.25">
      <c r="A679" s="92"/>
      <c r="B679" s="91" t="s">
        <v>72</v>
      </c>
      <c r="C679" s="77" t="s">
        <v>70</v>
      </c>
      <c r="D679" s="77" t="s">
        <v>45</v>
      </c>
      <c r="E679" s="77">
        <v>4.5999999999999999E-2</v>
      </c>
      <c r="F679" s="77"/>
      <c r="G679" s="78">
        <f>G664*E679</f>
        <v>1.8087199999999999</v>
      </c>
      <c r="H679" s="79">
        <f t="shared" si="77"/>
        <v>1.8087199999999999</v>
      </c>
      <c r="I679" s="80">
        <v>7875</v>
      </c>
      <c r="J679" s="80">
        <f t="shared" si="78"/>
        <v>14243.669999999998</v>
      </c>
      <c r="K679" s="77" t="s">
        <v>73</v>
      </c>
      <c r="L679" s="77" t="s">
        <v>321</v>
      </c>
    </row>
    <row r="680" spans="1:12" s="54" customFormat="1" ht="34.5" customHeight="1" x14ac:dyDescent="0.25">
      <c r="A680" s="92"/>
      <c r="B680" s="91" t="s">
        <v>74</v>
      </c>
      <c r="C680" s="77" t="s">
        <v>70</v>
      </c>
      <c r="D680" s="77" t="s">
        <v>45</v>
      </c>
      <c r="E680" s="77">
        <v>1.01</v>
      </c>
      <c r="F680" s="77"/>
      <c r="G680" s="78">
        <f>G668*E680</f>
        <v>0.56058030000000003</v>
      </c>
      <c r="H680" s="79">
        <f t="shared" si="77"/>
        <v>0.56058030000000003</v>
      </c>
      <c r="I680" s="80">
        <v>7875</v>
      </c>
      <c r="J680" s="80">
        <f t="shared" si="78"/>
        <v>4414.5698625000005</v>
      </c>
      <c r="K680" s="77" t="s">
        <v>71</v>
      </c>
      <c r="L680" s="77" t="s">
        <v>321</v>
      </c>
    </row>
    <row r="681" spans="1:12" s="54" customFormat="1" ht="34.5" customHeight="1" x14ac:dyDescent="0.25">
      <c r="A681" s="81"/>
      <c r="B681" s="89" t="s">
        <v>75</v>
      </c>
      <c r="C681" s="77" t="s">
        <v>70</v>
      </c>
      <c r="D681" s="77" t="s">
        <v>45</v>
      </c>
      <c r="E681" s="77">
        <v>6.0000000000000001E-3</v>
      </c>
      <c r="F681" s="77"/>
      <c r="G681" s="78">
        <f>G665*E681</f>
        <v>0.33600000000000002</v>
      </c>
      <c r="H681" s="79">
        <f t="shared" si="77"/>
        <v>0.33600000000000002</v>
      </c>
      <c r="I681" s="80">
        <v>7875</v>
      </c>
      <c r="J681" s="80">
        <f t="shared" si="78"/>
        <v>2646</v>
      </c>
      <c r="K681" s="77" t="s">
        <v>76</v>
      </c>
      <c r="L681" s="77" t="s">
        <v>321</v>
      </c>
    </row>
    <row r="682" spans="1:12" s="54" customFormat="1" ht="34.5" customHeight="1" x14ac:dyDescent="0.25">
      <c r="A682" s="81"/>
      <c r="B682" s="89" t="s">
        <v>77</v>
      </c>
      <c r="C682" s="77" t="s">
        <v>70</v>
      </c>
      <c r="D682" s="77" t="s">
        <v>45</v>
      </c>
      <c r="E682" s="77">
        <v>1.01</v>
      </c>
      <c r="F682" s="77"/>
      <c r="G682" s="93">
        <v>0.08</v>
      </c>
      <c r="H682" s="79">
        <f t="shared" si="77"/>
        <v>0.08</v>
      </c>
      <c r="I682" s="80">
        <v>7875</v>
      </c>
      <c r="J682" s="80">
        <f t="shared" si="78"/>
        <v>630</v>
      </c>
      <c r="K682" s="94"/>
      <c r="L682" s="77" t="s">
        <v>321</v>
      </c>
    </row>
    <row r="683" spans="1:12" s="54" customFormat="1" ht="24.75" customHeight="1" x14ac:dyDescent="0.25">
      <c r="A683" s="81"/>
      <c r="B683" s="89" t="s">
        <v>78</v>
      </c>
      <c r="C683" s="77" t="s">
        <v>79</v>
      </c>
      <c r="D683" s="77" t="s">
        <v>47</v>
      </c>
      <c r="E683" s="77"/>
      <c r="F683" s="77"/>
      <c r="G683" s="78">
        <v>183.5</v>
      </c>
      <c r="H683" s="79">
        <f t="shared" si="77"/>
        <v>183.5</v>
      </c>
      <c r="I683" s="80">
        <v>88.34</v>
      </c>
      <c r="J683" s="80">
        <f t="shared" si="78"/>
        <v>16210.390000000001</v>
      </c>
      <c r="K683" s="94"/>
      <c r="L683" s="77" t="s">
        <v>321</v>
      </c>
    </row>
    <row r="684" spans="1:12" s="54" customFormat="1" ht="24.75" customHeight="1" x14ac:dyDescent="0.25">
      <c r="A684" s="81"/>
      <c r="B684" s="89" t="s">
        <v>113</v>
      </c>
      <c r="C684" s="77" t="s">
        <v>114</v>
      </c>
      <c r="D684" s="77" t="s">
        <v>60</v>
      </c>
      <c r="E684" s="77"/>
      <c r="F684" s="77"/>
      <c r="G684" s="78">
        <v>12</v>
      </c>
      <c r="H684" s="79">
        <f t="shared" si="77"/>
        <v>12</v>
      </c>
      <c r="I684" s="80">
        <v>398.6</v>
      </c>
      <c r="J684" s="80">
        <f t="shared" si="78"/>
        <v>4783.2000000000007</v>
      </c>
      <c r="K684" s="94"/>
      <c r="L684" s="77" t="s">
        <v>321</v>
      </c>
    </row>
    <row r="685" spans="1:12" s="54" customFormat="1" ht="24.75" customHeight="1" x14ac:dyDescent="0.25">
      <c r="A685" s="81"/>
      <c r="B685" s="89" t="s">
        <v>115</v>
      </c>
      <c r="C685" s="77" t="s">
        <v>116</v>
      </c>
      <c r="D685" s="77" t="s">
        <v>60</v>
      </c>
      <c r="E685" s="77"/>
      <c r="F685" s="77"/>
      <c r="G685" s="78">
        <v>9</v>
      </c>
      <c r="H685" s="79">
        <f t="shared" si="77"/>
        <v>9</v>
      </c>
      <c r="I685" s="80">
        <v>465.03</v>
      </c>
      <c r="J685" s="80">
        <f t="shared" si="78"/>
        <v>4185.2699999999995</v>
      </c>
      <c r="K685" s="94"/>
      <c r="L685" s="77" t="s">
        <v>321</v>
      </c>
    </row>
    <row r="686" spans="1:12" s="54" customFormat="1" ht="24.75" customHeight="1" x14ac:dyDescent="0.25">
      <c r="A686" s="81"/>
      <c r="B686" s="89" t="s">
        <v>117</v>
      </c>
      <c r="C686" s="77" t="s">
        <v>118</v>
      </c>
      <c r="D686" s="77" t="s">
        <v>60</v>
      </c>
      <c r="E686" s="77"/>
      <c r="F686" s="77"/>
      <c r="G686" s="78">
        <v>1</v>
      </c>
      <c r="H686" s="79">
        <f t="shared" si="77"/>
        <v>1</v>
      </c>
      <c r="I686" s="80">
        <v>841.49</v>
      </c>
      <c r="J686" s="80">
        <f t="shared" si="78"/>
        <v>841.49</v>
      </c>
      <c r="K686" s="94"/>
      <c r="L686" s="77" t="s">
        <v>321</v>
      </c>
    </row>
    <row r="687" spans="1:12" s="54" customFormat="1" ht="24.75" customHeight="1" x14ac:dyDescent="0.25">
      <c r="A687" s="81"/>
      <c r="B687" s="89" t="s">
        <v>119</v>
      </c>
      <c r="C687" s="77" t="s">
        <v>120</v>
      </c>
      <c r="D687" s="77" t="s">
        <v>60</v>
      </c>
      <c r="E687" s="77"/>
      <c r="F687" s="77"/>
      <c r="G687" s="78">
        <v>10</v>
      </c>
      <c r="H687" s="79">
        <f t="shared" si="77"/>
        <v>10</v>
      </c>
      <c r="I687" s="80">
        <v>981.74</v>
      </c>
      <c r="J687" s="80">
        <f t="shared" si="78"/>
        <v>9817.4</v>
      </c>
      <c r="K687" s="94"/>
      <c r="L687" s="77" t="s">
        <v>321</v>
      </c>
    </row>
    <row r="688" spans="1:12" s="54" customFormat="1" ht="24.75" customHeight="1" x14ac:dyDescent="0.25">
      <c r="A688" s="81"/>
      <c r="B688" s="89" t="s">
        <v>121</v>
      </c>
      <c r="C688" s="77" t="s">
        <v>122</v>
      </c>
      <c r="D688" s="77" t="s">
        <v>60</v>
      </c>
      <c r="E688" s="77"/>
      <c r="F688" s="77"/>
      <c r="G688" s="78">
        <v>3</v>
      </c>
      <c r="H688" s="79">
        <f t="shared" si="77"/>
        <v>3</v>
      </c>
      <c r="I688" s="80">
        <v>1291.76</v>
      </c>
      <c r="J688" s="80">
        <f t="shared" si="78"/>
        <v>3875.2799999999997</v>
      </c>
      <c r="K688" s="94"/>
      <c r="L688" s="77" t="s">
        <v>321</v>
      </c>
    </row>
    <row r="689" spans="1:12" s="54" customFormat="1" ht="24.75" customHeight="1" x14ac:dyDescent="0.25">
      <c r="A689" s="81"/>
      <c r="B689" s="89" t="s">
        <v>123</v>
      </c>
      <c r="C689" s="77" t="s">
        <v>124</v>
      </c>
      <c r="D689" s="77" t="s">
        <v>60</v>
      </c>
      <c r="E689" s="77"/>
      <c r="F689" s="77"/>
      <c r="G689" s="78">
        <v>1</v>
      </c>
      <c r="H689" s="79">
        <f t="shared" si="77"/>
        <v>1</v>
      </c>
      <c r="I689" s="80">
        <v>1845.38</v>
      </c>
      <c r="J689" s="80">
        <f t="shared" si="78"/>
        <v>1845.38</v>
      </c>
      <c r="K689" s="94"/>
      <c r="L689" s="77" t="s">
        <v>321</v>
      </c>
    </row>
    <row r="690" spans="1:12" s="54" customFormat="1" ht="24.75" customHeight="1" x14ac:dyDescent="0.25">
      <c r="A690" s="81"/>
      <c r="B690" s="89" t="s">
        <v>125</v>
      </c>
      <c r="C690" s="77" t="s">
        <v>126</v>
      </c>
      <c r="D690" s="77" t="s">
        <v>60</v>
      </c>
      <c r="E690" s="77"/>
      <c r="F690" s="77"/>
      <c r="G690" s="78">
        <v>8</v>
      </c>
      <c r="H690" s="79">
        <f t="shared" si="77"/>
        <v>8</v>
      </c>
      <c r="I690" s="80">
        <v>2029.91</v>
      </c>
      <c r="J690" s="80">
        <f t="shared" si="78"/>
        <v>16239.28</v>
      </c>
      <c r="K690" s="94"/>
      <c r="L690" s="77" t="s">
        <v>321</v>
      </c>
    </row>
    <row r="691" spans="1:12" s="54" customFormat="1" ht="24.75" customHeight="1" x14ac:dyDescent="0.25">
      <c r="A691" s="81"/>
      <c r="B691" s="89" t="s">
        <v>127</v>
      </c>
      <c r="C691" s="77" t="s">
        <v>128</v>
      </c>
      <c r="D691" s="77" t="s">
        <v>60</v>
      </c>
      <c r="E691" s="77"/>
      <c r="F691" s="77"/>
      <c r="G691" s="78">
        <v>11</v>
      </c>
      <c r="H691" s="79">
        <f t="shared" si="77"/>
        <v>11</v>
      </c>
      <c r="I691" s="80">
        <v>2398.9899999999998</v>
      </c>
      <c r="J691" s="80">
        <f t="shared" si="78"/>
        <v>26388.89</v>
      </c>
      <c r="K691" s="94"/>
      <c r="L691" s="77" t="s">
        <v>321</v>
      </c>
    </row>
    <row r="692" spans="1:12" s="54" customFormat="1" ht="24.75" customHeight="1" x14ac:dyDescent="0.25">
      <c r="A692" s="81"/>
      <c r="B692" s="89" t="s">
        <v>129</v>
      </c>
      <c r="C692" s="77" t="s">
        <v>130</v>
      </c>
      <c r="D692" s="77" t="s">
        <v>60</v>
      </c>
      <c r="E692" s="77"/>
      <c r="F692" s="77"/>
      <c r="G692" s="78">
        <v>1</v>
      </c>
      <c r="H692" s="79">
        <f t="shared" si="77"/>
        <v>1</v>
      </c>
      <c r="I692" s="80">
        <v>2583.5300000000002</v>
      </c>
      <c r="J692" s="80">
        <f t="shared" si="78"/>
        <v>2583.5300000000002</v>
      </c>
      <c r="K692" s="94"/>
      <c r="L692" s="77" t="s">
        <v>321</v>
      </c>
    </row>
    <row r="693" spans="1:12" s="54" customFormat="1" ht="24.75" customHeight="1" x14ac:dyDescent="0.25">
      <c r="A693" s="81"/>
      <c r="B693" s="89" t="s">
        <v>92</v>
      </c>
      <c r="C693" s="77" t="s">
        <v>93</v>
      </c>
      <c r="D693" s="77" t="s">
        <v>54</v>
      </c>
      <c r="E693" s="77">
        <v>1.04</v>
      </c>
      <c r="F693" s="77"/>
      <c r="G693" s="78">
        <f>155.29*E693</f>
        <v>161.5016</v>
      </c>
      <c r="H693" s="79">
        <f t="shared" si="77"/>
        <v>161.5016</v>
      </c>
      <c r="I693" s="80">
        <v>66.349999999999994</v>
      </c>
      <c r="J693" s="80">
        <f t="shared" si="78"/>
        <v>10715.631159999999</v>
      </c>
      <c r="K693" s="94"/>
      <c r="L693" s="77" t="s">
        <v>321</v>
      </c>
    </row>
    <row r="694" spans="1:12" s="54" customFormat="1" ht="24.75" customHeight="1" x14ac:dyDescent="0.25">
      <c r="A694" s="81"/>
      <c r="B694" s="89" t="s">
        <v>94</v>
      </c>
      <c r="C694" s="77" t="s">
        <v>95</v>
      </c>
      <c r="D694" s="77" t="s">
        <v>54</v>
      </c>
      <c r="E694" s="77">
        <v>1.04</v>
      </c>
      <c r="F694" s="77"/>
      <c r="G694" s="78">
        <f>G667*E694</f>
        <v>42.307200000000002</v>
      </c>
      <c r="H694" s="79">
        <f t="shared" si="77"/>
        <v>42.307200000000002</v>
      </c>
      <c r="I694" s="80">
        <v>64</v>
      </c>
      <c r="J694" s="80">
        <f t="shared" si="78"/>
        <v>2707.6608000000001</v>
      </c>
      <c r="K694" s="94"/>
      <c r="L694" s="77" t="s">
        <v>321</v>
      </c>
    </row>
    <row r="695" spans="1:12" s="54" customFormat="1" ht="24.75" customHeight="1" x14ac:dyDescent="0.25">
      <c r="A695" s="81"/>
      <c r="B695" s="89" t="s">
        <v>131</v>
      </c>
      <c r="C695" s="77" t="s">
        <v>39</v>
      </c>
      <c r="D695" s="77" t="s">
        <v>54</v>
      </c>
      <c r="E695" s="77">
        <v>1.04</v>
      </c>
      <c r="F695" s="77"/>
      <c r="G695" s="78">
        <f>85.59*E695</f>
        <v>89.013600000000011</v>
      </c>
      <c r="H695" s="79">
        <f t="shared" si="77"/>
        <v>89.013600000000011</v>
      </c>
      <c r="I695" s="80">
        <v>64.209999999999994</v>
      </c>
      <c r="J695" s="80">
        <f t="shared" si="78"/>
        <v>5715.5632560000004</v>
      </c>
      <c r="K695" s="94"/>
      <c r="L695" s="77" t="s">
        <v>321</v>
      </c>
    </row>
    <row r="696" spans="1:12" s="54" customFormat="1" ht="24.75" customHeight="1" x14ac:dyDescent="0.25">
      <c r="A696" s="81"/>
      <c r="B696" s="89" t="s">
        <v>97</v>
      </c>
      <c r="C696" s="77" t="s">
        <v>39</v>
      </c>
      <c r="D696" s="77" t="s">
        <v>54</v>
      </c>
      <c r="E696" s="77">
        <v>1.04</v>
      </c>
      <c r="F696" s="77"/>
      <c r="G696" s="78">
        <f>E696*23.1</f>
        <v>24.024000000000001</v>
      </c>
      <c r="H696" s="79">
        <f t="shared" si="77"/>
        <v>24.024000000000001</v>
      </c>
      <c r="I696" s="80">
        <v>74.92</v>
      </c>
      <c r="J696" s="80">
        <f t="shared" si="78"/>
        <v>1799.8780800000002</v>
      </c>
      <c r="K696" s="94"/>
      <c r="L696" s="77" t="s">
        <v>321</v>
      </c>
    </row>
    <row r="697" spans="1:12" s="54" customFormat="1" ht="24.75" customHeight="1" x14ac:dyDescent="0.25">
      <c r="A697" s="81"/>
      <c r="B697" s="89" t="s">
        <v>132</v>
      </c>
      <c r="C697" s="77" t="s">
        <v>39</v>
      </c>
      <c r="D697" s="77" t="s">
        <v>54</v>
      </c>
      <c r="E697" s="77">
        <v>1.04</v>
      </c>
      <c r="F697" s="77"/>
      <c r="G697" s="78">
        <f>28.88*E697</f>
        <v>30.0352</v>
      </c>
      <c r="H697" s="79">
        <f t="shared" si="77"/>
        <v>30.0352</v>
      </c>
      <c r="I697" s="80">
        <v>75.97</v>
      </c>
      <c r="J697" s="80">
        <f t="shared" si="78"/>
        <v>2281.774144</v>
      </c>
      <c r="K697" s="94"/>
      <c r="L697" s="77" t="s">
        <v>321</v>
      </c>
    </row>
    <row r="698" spans="1:12" s="101" customFormat="1" ht="32.25" customHeight="1" x14ac:dyDescent="0.25">
      <c r="A698" s="95"/>
      <c r="B698" s="96" t="s">
        <v>133</v>
      </c>
      <c r="C698" s="97" t="s">
        <v>39</v>
      </c>
      <c r="D698" s="97" t="s">
        <v>99</v>
      </c>
      <c r="E698" s="97"/>
      <c r="F698" s="97"/>
      <c r="G698" s="98"/>
      <c r="H698" s="99">
        <f>J698*100/J657</f>
        <v>4.9540518920903365</v>
      </c>
      <c r="I698" s="79"/>
      <c r="J698" s="79">
        <v>50514.601200000005</v>
      </c>
      <c r="K698" s="100"/>
      <c r="L698" s="97" t="s">
        <v>321</v>
      </c>
    </row>
    <row r="699" spans="1:12" s="54" customFormat="1" x14ac:dyDescent="0.25">
      <c r="A699" s="60" t="s">
        <v>162</v>
      </c>
      <c r="B699" s="61" t="s">
        <v>163</v>
      </c>
      <c r="C699" s="62"/>
      <c r="D699" s="63"/>
      <c r="E699" s="62"/>
      <c r="F699" s="62"/>
      <c r="G699" s="64"/>
      <c r="H699" s="65"/>
      <c r="I699" s="65"/>
      <c r="J699" s="65">
        <f>J700+J712</f>
        <v>1354922.102315</v>
      </c>
      <c r="K699" s="86"/>
      <c r="L699" s="86"/>
    </row>
    <row r="700" spans="1:12" s="54" customFormat="1" x14ac:dyDescent="0.25">
      <c r="A700" s="66"/>
      <c r="B700" s="67" t="s">
        <v>34</v>
      </c>
      <c r="C700" s="68"/>
      <c r="D700" s="68"/>
      <c r="E700" s="68"/>
      <c r="F700" s="68"/>
      <c r="G700" s="69"/>
      <c r="H700" s="70"/>
      <c r="I700" s="70"/>
      <c r="J700" s="70">
        <f>SUM(J701:J711)</f>
        <v>1019662.335</v>
      </c>
      <c r="K700" s="72"/>
      <c r="L700" s="72"/>
    </row>
    <row r="701" spans="1:12" s="54" customFormat="1" ht="23.25" customHeight="1" x14ac:dyDescent="0.25">
      <c r="A701" s="66"/>
      <c r="B701" s="71" t="s">
        <v>44</v>
      </c>
      <c r="C701" s="72"/>
      <c r="D701" s="72" t="s">
        <v>45</v>
      </c>
      <c r="E701" s="72"/>
      <c r="F701" s="72"/>
      <c r="G701" s="73">
        <v>33.94</v>
      </c>
      <c r="H701" s="70">
        <f t="shared" ref="H701:H711" si="79">SUM(G701:G701)</f>
        <v>33.94</v>
      </c>
      <c r="I701" s="74">
        <v>4939</v>
      </c>
      <c r="J701" s="74">
        <f>I701*H701</f>
        <v>167629.65999999997</v>
      </c>
      <c r="K701" s="72"/>
      <c r="L701" s="72"/>
    </row>
    <row r="702" spans="1:12" s="54" customFormat="1" ht="23.25" customHeight="1" x14ac:dyDescent="0.25">
      <c r="A702" s="66"/>
      <c r="B702" s="71" t="s">
        <v>102</v>
      </c>
      <c r="C702" s="72"/>
      <c r="D702" s="72" t="s">
        <v>45</v>
      </c>
      <c r="E702" s="72"/>
      <c r="F702" s="72"/>
      <c r="G702" s="73">
        <v>2.58</v>
      </c>
      <c r="H702" s="70">
        <f t="shared" si="79"/>
        <v>2.58</v>
      </c>
      <c r="I702" s="74">
        <v>5845</v>
      </c>
      <c r="J702" s="74">
        <f t="shared" ref="J702" si="80">I702*H702</f>
        <v>15080.1</v>
      </c>
      <c r="K702" s="72"/>
      <c r="L702" s="72"/>
    </row>
    <row r="703" spans="1:12" s="54" customFormat="1" ht="23.25" customHeight="1" x14ac:dyDescent="0.25">
      <c r="A703" s="66"/>
      <c r="B703" s="71" t="s">
        <v>46</v>
      </c>
      <c r="C703" s="72"/>
      <c r="D703" s="72" t="s">
        <v>47</v>
      </c>
      <c r="E703" s="72"/>
      <c r="F703" s="72"/>
      <c r="G703" s="73">
        <v>154.52000000000001</v>
      </c>
      <c r="H703" s="70">
        <f t="shared" si="79"/>
        <v>154.52000000000001</v>
      </c>
      <c r="I703" s="74">
        <v>1461</v>
      </c>
      <c r="J703" s="74">
        <f>I703*H703</f>
        <v>225753.72</v>
      </c>
      <c r="K703" s="72"/>
      <c r="L703" s="72"/>
    </row>
    <row r="704" spans="1:12" s="54" customFormat="1" ht="23.25" customHeight="1" x14ac:dyDescent="0.25">
      <c r="A704" s="66"/>
      <c r="B704" s="71" t="s">
        <v>48</v>
      </c>
      <c r="C704" s="72"/>
      <c r="D704" s="72" t="s">
        <v>47</v>
      </c>
      <c r="E704" s="72"/>
      <c r="F704" s="72"/>
      <c r="G704" s="73">
        <v>31.58</v>
      </c>
      <c r="H704" s="70">
        <f t="shared" si="79"/>
        <v>31.58</v>
      </c>
      <c r="I704" s="74">
        <v>1461</v>
      </c>
      <c r="J704" s="74">
        <f>I704*H704</f>
        <v>46138.38</v>
      </c>
      <c r="K704" s="72"/>
      <c r="L704" s="72"/>
    </row>
    <row r="705" spans="1:12" s="54" customFormat="1" ht="23.25" customHeight="1" x14ac:dyDescent="0.25">
      <c r="A705" s="66"/>
      <c r="B705" s="71" t="s">
        <v>103</v>
      </c>
      <c r="C705" s="72"/>
      <c r="D705" s="72" t="s">
        <v>47</v>
      </c>
      <c r="E705" s="72"/>
      <c r="F705" s="72"/>
      <c r="G705" s="73">
        <v>159.29</v>
      </c>
      <c r="H705" s="70">
        <f t="shared" si="79"/>
        <v>159.29</v>
      </c>
      <c r="I705" s="74">
        <v>1461</v>
      </c>
      <c r="J705" s="74">
        <f>I705*H705</f>
        <v>232722.69</v>
      </c>
      <c r="K705" s="72"/>
      <c r="L705" s="72"/>
    </row>
    <row r="706" spans="1:12" s="54" customFormat="1" ht="23.25" customHeight="1" x14ac:dyDescent="0.25">
      <c r="A706" s="66"/>
      <c r="B706" s="71" t="s">
        <v>104</v>
      </c>
      <c r="C706" s="72"/>
      <c r="D706" s="72" t="s">
        <v>47</v>
      </c>
      <c r="E706" s="72"/>
      <c r="F706" s="72"/>
      <c r="G706" s="73">
        <v>141.18</v>
      </c>
      <c r="H706" s="70">
        <f t="shared" si="79"/>
        <v>141.18</v>
      </c>
      <c r="I706" s="74">
        <v>1461</v>
      </c>
      <c r="J706" s="74">
        <f>I706*H706</f>
        <v>206263.98</v>
      </c>
      <c r="K706" s="72"/>
      <c r="L706" s="72"/>
    </row>
    <row r="707" spans="1:12" s="54" customFormat="1" ht="23.25" customHeight="1" x14ac:dyDescent="0.25">
      <c r="A707" s="66"/>
      <c r="B707" s="71" t="s">
        <v>49</v>
      </c>
      <c r="C707" s="72"/>
      <c r="D707" s="72" t="s">
        <v>47</v>
      </c>
      <c r="E707" s="72"/>
      <c r="F707" s="72"/>
      <c r="G707" s="73">
        <v>39.32</v>
      </c>
      <c r="H707" s="70">
        <f t="shared" si="79"/>
        <v>39.32</v>
      </c>
      <c r="I707" s="74">
        <v>1610</v>
      </c>
      <c r="J707" s="74">
        <f t="shared" ref="J707:J710" si="81">I707*H707</f>
        <v>63305.2</v>
      </c>
      <c r="K707" s="72"/>
      <c r="L707" s="72"/>
    </row>
    <row r="708" spans="1:12" s="54" customFormat="1" ht="23.25" customHeight="1" x14ac:dyDescent="0.25">
      <c r="A708" s="66"/>
      <c r="B708" s="71" t="s">
        <v>50</v>
      </c>
      <c r="C708" s="72"/>
      <c r="D708" s="72" t="s">
        <v>51</v>
      </c>
      <c r="E708" s="72"/>
      <c r="F708" s="72"/>
      <c r="G708" s="73">
        <v>56</v>
      </c>
      <c r="H708" s="70">
        <f t="shared" si="79"/>
        <v>56</v>
      </c>
      <c r="I708" s="74">
        <v>803</v>
      </c>
      <c r="J708" s="74">
        <f t="shared" si="81"/>
        <v>44968</v>
      </c>
      <c r="K708" s="72"/>
      <c r="L708" s="72"/>
    </row>
    <row r="709" spans="1:12" s="54" customFormat="1" ht="23.25" customHeight="1" x14ac:dyDescent="0.25">
      <c r="A709" s="66"/>
      <c r="B709" s="71" t="s">
        <v>52</v>
      </c>
      <c r="C709" s="72" t="s">
        <v>105</v>
      </c>
      <c r="D709" s="72" t="s">
        <v>54</v>
      </c>
      <c r="E709" s="72"/>
      <c r="F709" s="72"/>
      <c r="G709" s="73">
        <v>137.57</v>
      </c>
      <c r="H709" s="70">
        <f t="shared" si="79"/>
        <v>137.57</v>
      </c>
      <c r="I709" s="74">
        <v>94.5</v>
      </c>
      <c r="J709" s="74">
        <f t="shared" si="81"/>
        <v>13000.365</v>
      </c>
      <c r="K709" s="72"/>
      <c r="L709" s="72"/>
    </row>
    <row r="710" spans="1:12" s="54" customFormat="1" ht="31.5" x14ac:dyDescent="0.25">
      <c r="A710" s="66"/>
      <c r="B710" s="71" t="s">
        <v>55</v>
      </c>
      <c r="C710" s="72"/>
      <c r="D710" s="72" t="s">
        <v>54</v>
      </c>
      <c r="E710" s="72"/>
      <c r="F710" s="72"/>
      <c r="G710" s="73">
        <v>40.68</v>
      </c>
      <c r="H710" s="70">
        <f t="shared" si="79"/>
        <v>40.68</v>
      </c>
      <c r="I710" s="74">
        <v>118</v>
      </c>
      <c r="J710" s="74">
        <f t="shared" si="81"/>
        <v>4800.24</v>
      </c>
      <c r="K710" s="72"/>
      <c r="L710" s="72"/>
    </row>
    <row r="711" spans="1:12" s="54" customFormat="1" ht="19.5" customHeight="1" x14ac:dyDescent="0.25">
      <c r="A711" s="66"/>
      <c r="B711" s="87" t="s">
        <v>56</v>
      </c>
      <c r="C711" s="88"/>
      <c r="D711" s="88" t="s">
        <v>45</v>
      </c>
      <c r="E711" s="88"/>
      <c r="F711" s="88"/>
      <c r="G711" s="73">
        <f>308.35*0.06*0.03</f>
        <v>0.55503000000000002</v>
      </c>
      <c r="H711" s="70">
        <f t="shared" si="79"/>
        <v>0.55503000000000002</v>
      </c>
      <c r="I711" s="74"/>
      <c r="J711" s="74"/>
      <c r="K711" s="88" t="s">
        <v>57</v>
      </c>
      <c r="L711" s="72"/>
    </row>
    <row r="712" spans="1:12" s="54" customFormat="1" x14ac:dyDescent="0.25">
      <c r="A712" s="75"/>
      <c r="B712" s="76" t="s">
        <v>38</v>
      </c>
      <c r="C712" s="77"/>
      <c r="D712" s="77"/>
      <c r="E712" s="77"/>
      <c r="F712" s="77"/>
      <c r="G712" s="78"/>
      <c r="H712" s="79"/>
      <c r="I712" s="80"/>
      <c r="J712" s="79">
        <f>SUM(J713:J741)</f>
        <v>335259.76731500006</v>
      </c>
      <c r="K712" s="77"/>
      <c r="L712" s="77"/>
    </row>
    <row r="713" spans="1:12" s="54" customFormat="1" ht="31.5" x14ac:dyDescent="0.25">
      <c r="A713" s="81"/>
      <c r="B713" s="82" t="s">
        <v>58</v>
      </c>
      <c r="C713" s="77" t="s">
        <v>59</v>
      </c>
      <c r="D713" s="77" t="s">
        <v>60</v>
      </c>
      <c r="E713" s="78">
        <v>12.4</v>
      </c>
      <c r="F713" s="77">
        <v>0.25</v>
      </c>
      <c r="G713" s="83">
        <f>G701/F713*E713</f>
        <v>1683.424</v>
      </c>
      <c r="H713" s="84">
        <f t="shared" ref="H713:H740" si="82">SUM(G713:G713)</f>
        <v>1683.424</v>
      </c>
      <c r="I713" s="80">
        <v>0</v>
      </c>
      <c r="J713" s="80">
        <f>H713*I713</f>
        <v>0</v>
      </c>
      <c r="K713" s="77" t="s">
        <v>61</v>
      </c>
      <c r="L713" s="77" t="s">
        <v>320</v>
      </c>
    </row>
    <row r="714" spans="1:12" s="54" customFormat="1" ht="31.5" x14ac:dyDescent="0.25">
      <c r="A714" s="81"/>
      <c r="B714" s="82" t="s">
        <v>62</v>
      </c>
      <c r="C714" s="77" t="s">
        <v>63</v>
      </c>
      <c r="D714" s="77" t="s">
        <v>60</v>
      </c>
      <c r="E714" s="78">
        <v>12.4</v>
      </c>
      <c r="F714" s="77"/>
      <c r="G714" s="83">
        <f>G703*E714</f>
        <v>1916.0480000000002</v>
      </c>
      <c r="H714" s="84">
        <f t="shared" si="82"/>
        <v>1916.0480000000002</v>
      </c>
      <c r="I714" s="80">
        <v>0</v>
      </c>
      <c r="J714" s="80">
        <f>H714*I714</f>
        <v>0</v>
      </c>
      <c r="K714" s="77" t="s">
        <v>61</v>
      </c>
      <c r="L714" s="77" t="s">
        <v>320</v>
      </c>
    </row>
    <row r="715" spans="1:12" s="54" customFormat="1" ht="31.5" x14ac:dyDescent="0.25">
      <c r="A715" s="81"/>
      <c r="B715" s="82" t="s">
        <v>64</v>
      </c>
      <c r="C715" s="77" t="s">
        <v>65</v>
      </c>
      <c r="D715" s="77" t="s">
        <v>60</v>
      </c>
      <c r="E715" s="78">
        <v>12.4</v>
      </c>
      <c r="F715" s="77"/>
      <c r="G715" s="83">
        <f>G704*E715</f>
        <v>391.59199999999998</v>
      </c>
      <c r="H715" s="84">
        <f t="shared" si="82"/>
        <v>391.59199999999998</v>
      </c>
      <c r="I715" s="80">
        <v>0</v>
      </c>
      <c r="J715" s="80">
        <f>H715*I715</f>
        <v>0</v>
      </c>
      <c r="K715" s="77" t="s">
        <v>61</v>
      </c>
      <c r="L715" s="77" t="s">
        <v>320</v>
      </c>
    </row>
    <row r="716" spans="1:12" s="54" customFormat="1" ht="31.5" x14ac:dyDescent="0.25">
      <c r="A716" s="81"/>
      <c r="B716" s="82" t="s">
        <v>106</v>
      </c>
      <c r="C716" s="77" t="s">
        <v>107</v>
      </c>
      <c r="D716" s="77" t="s">
        <v>60</v>
      </c>
      <c r="E716" s="78">
        <v>12.4</v>
      </c>
      <c r="F716" s="77"/>
      <c r="G716" s="83">
        <f>G705*E716</f>
        <v>1975.1959999999999</v>
      </c>
      <c r="H716" s="84">
        <f t="shared" si="82"/>
        <v>1975.1959999999999</v>
      </c>
      <c r="I716" s="80">
        <v>0</v>
      </c>
      <c r="J716" s="80">
        <f>H716*I716</f>
        <v>0</v>
      </c>
      <c r="K716" s="77" t="s">
        <v>61</v>
      </c>
      <c r="L716" s="77" t="s">
        <v>320</v>
      </c>
    </row>
    <row r="717" spans="1:12" s="54" customFormat="1" ht="31.5" x14ac:dyDescent="0.25">
      <c r="A717" s="81"/>
      <c r="B717" s="82" t="s">
        <v>108</v>
      </c>
      <c r="C717" s="77" t="s">
        <v>109</v>
      </c>
      <c r="D717" s="77" t="s">
        <v>60</v>
      </c>
      <c r="E717" s="78">
        <v>12.4</v>
      </c>
      <c r="F717" s="77"/>
      <c r="G717" s="83">
        <f>G706*E717</f>
        <v>1750.6320000000001</v>
      </c>
      <c r="H717" s="84">
        <f t="shared" si="82"/>
        <v>1750.6320000000001</v>
      </c>
      <c r="I717" s="80">
        <v>0</v>
      </c>
      <c r="J717" s="80">
        <f>H717*I717</f>
        <v>0</v>
      </c>
      <c r="K717" s="77" t="s">
        <v>61</v>
      </c>
      <c r="L717" s="77" t="s">
        <v>320</v>
      </c>
    </row>
    <row r="718" spans="1:12" s="54" customFormat="1" ht="31.5" x14ac:dyDescent="0.25">
      <c r="A718" s="81"/>
      <c r="B718" s="89" t="s">
        <v>66</v>
      </c>
      <c r="C718" s="77" t="s">
        <v>67</v>
      </c>
      <c r="D718" s="77" t="s">
        <v>60</v>
      </c>
      <c r="E718" s="90">
        <v>42</v>
      </c>
      <c r="F718" s="90"/>
      <c r="G718" s="83">
        <f>G707*E718</f>
        <v>1651.44</v>
      </c>
      <c r="H718" s="84">
        <f t="shared" si="82"/>
        <v>1651.44</v>
      </c>
      <c r="I718" s="80">
        <v>0</v>
      </c>
      <c r="J718" s="80">
        <f t="shared" ref="J718:J740" si="83">H718*I718</f>
        <v>0</v>
      </c>
      <c r="K718" s="77" t="s">
        <v>68</v>
      </c>
      <c r="L718" s="77" t="s">
        <v>320</v>
      </c>
    </row>
    <row r="719" spans="1:12" s="54" customFormat="1" ht="31.5" x14ac:dyDescent="0.25">
      <c r="A719" s="81"/>
      <c r="B719" s="89" t="s">
        <v>110</v>
      </c>
      <c r="C719" s="77" t="s">
        <v>111</v>
      </c>
      <c r="D719" s="77" t="s">
        <v>60</v>
      </c>
      <c r="E719" s="90">
        <v>42</v>
      </c>
      <c r="F719" s="90"/>
      <c r="G719" s="83">
        <f>G702/0.25*E719</f>
        <v>433.44</v>
      </c>
      <c r="H719" s="84">
        <f t="shared" si="82"/>
        <v>433.44</v>
      </c>
      <c r="I719" s="80">
        <v>0</v>
      </c>
      <c r="J719" s="80">
        <f t="shared" si="83"/>
        <v>0</v>
      </c>
      <c r="K719" s="77" t="s">
        <v>68</v>
      </c>
      <c r="L719" s="77" t="s">
        <v>320</v>
      </c>
    </row>
    <row r="720" spans="1:12" s="54" customFormat="1" ht="32.25" customHeight="1" x14ac:dyDescent="0.25">
      <c r="A720" s="81"/>
      <c r="B720" s="91" t="s">
        <v>69</v>
      </c>
      <c r="C720" s="77" t="s">
        <v>70</v>
      </c>
      <c r="D720" s="77" t="s">
        <v>45</v>
      </c>
      <c r="E720" s="77">
        <v>0.19500000000000001</v>
      </c>
      <c r="F720" s="90"/>
      <c r="G720" s="78">
        <f>G701*E720+G703*E720*0.19+G704*E720*0.19+G705*E720*0.09+G706*E720*0.09</f>
        <v>18.7865535</v>
      </c>
      <c r="H720" s="79">
        <f t="shared" si="82"/>
        <v>18.7865535</v>
      </c>
      <c r="I720" s="80">
        <v>7875</v>
      </c>
      <c r="J720" s="80">
        <f t="shared" si="83"/>
        <v>147944.1088125</v>
      </c>
      <c r="K720" s="77" t="s">
        <v>71</v>
      </c>
      <c r="L720" s="77" t="s">
        <v>321</v>
      </c>
    </row>
    <row r="721" spans="1:12" s="54" customFormat="1" ht="32.25" customHeight="1" x14ac:dyDescent="0.25">
      <c r="A721" s="92"/>
      <c r="B721" s="91" t="s">
        <v>112</v>
      </c>
      <c r="C721" s="77" t="s">
        <v>70</v>
      </c>
      <c r="D721" s="77" t="s">
        <v>45</v>
      </c>
      <c r="E721" s="77">
        <v>0.24</v>
      </c>
      <c r="F721" s="77"/>
      <c r="G721" s="78">
        <f>G702*E721</f>
        <v>0.61919999999999997</v>
      </c>
      <c r="H721" s="79">
        <f t="shared" si="82"/>
        <v>0.61919999999999997</v>
      </c>
      <c r="I721" s="80">
        <v>7875</v>
      </c>
      <c r="J721" s="80">
        <f t="shared" si="83"/>
        <v>4876.2</v>
      </c>
      <c r="K721" s="77" t="s">
        <v>71</v>
      </c>
      <c r="L721" s="77" t="s">
        <v>321</v>
      </c>
    </row>
    <row r="722" spans="1:12" s="54" customFormat="1" ht="32.25" customHeight="1" x14ac:dyDescent="0.25">
      <c r="A722" s="92"/>
      <c r="B722" s="91" t="s">
        <v>72</v>
      </c>
      <c r="C722" s="77" t="s">
        <v>70</v>
      </c>
      <c r="D722" s="77" t="s">
        <v>45</v>
      </c>
      <c r="E722" s="77">
        <v>4.5999999999999999E-2</v>
      </c>
      <c r="F722" s="77"/>
      <c r="G722" s="78">
        <f>G707*E722</f>
        <v>1.8087199999999999</v>
      </c>
      <c r="H722" s="79">
        <f t="shared" si="82"/>
        <v>1.8087199999999999</v>
      </c>
      <c r="I722" s="80">
        <v>7875</v>
      </c>
      <c r="J722" s="80">
        <f t="shared" si="83"/>
        <v>14243.669999999998</v>
      </c>
      <c r="K722" s="77" t="s">
        <v>73</v>
      </c>
      <c r="L722" s="77" t="s">
        <v>321</v>
      </c>
    </row>
    <row r="723" spans="1:12" s="54" customFormat="1" ht="32.25" customHeight="1" x14ac:dyDescent="0.25">
      <c r="A723" s="92"/>
      <c r="B723" s="91" t="s">
        <v>74</v>
      </c>
      <c r="C723" s="77" t="s">
        <v>70</v>
      </c>
      <c r="D723" s="77" t="s">
        <v>45</v>
      </c>
      <c r="E723" s="77">
        <v>1.01</v>
      </c>
      <c r="F723" s="77"/>
      <c r="G723" s="78">
        <f>G711*E723</f>
        <v>0.56058030000000003</v>
      </c>
      <c r="H723" s="79">
        <f t="shared" si="82"/>
        <v>0.56058030000000003</v>
      </c>
      <c r="I723" s="80">
        <v>7875</v>
      </c>
      <c r="J723" s="80">
        <f t="shared" si="83"/>
        <v>4414.5698625000005</v>
      </c>
      <c r="K723" s="77" t="s">
        <v>71</v>
      </c>
      <c r="L723" s="77" t="s">
        <v>321</v>
      </c>
    </row>
    <row r="724" spans="1:12" s="54" customFormat="1" ht="32.25" customHeight="1" x14ac:dyDescent="0.25">
      <c r="A724" s="81"/>
      <c r="B724" s="89" t="s">
        <v>75</v>
      </c>
      <c r="C724" s="77" t="s">
        <v>70</v>
      </c>
      <c r="D724" s="77" t="s">
        <v>45</v>
      </c>
      <c r="E724" s="77">
        <v>6.0000000000000001E-3</v>
      </c>
      <c r="F724" s="77"/>
      <c r="G724" s="78">
        <f>G708*E724</f>
        <v>0.33600000000000002</v>
      </c>
      <c r="H724" s="79">
        <f t="shared" si="82"/>
        <v>0.33600000000000002</v>
      </c>
      <c r="I724" s="80">
        <v>7875</v>
      </c>
      <c r="J724" s="80">
        <f t="shared" si="83"/>
        <v>2646</v>
      </c>
      <c r="K724" s="77" t="s">
        <v>76</v>
      </c>
      <c r="L724" s="77" t="s">
        <v>321</v>
      </c>
    </row>
    <row r="725" spans="1:12" s="54" customFormat="1" ht="32.25" customHeight="1" x14ac:dyDescent="0.25">
      <c r="A725" s="81"/>
      <c r="B725" s="89" t="s">
        <v>77</v>
      </c>
      <c r="C725" s="77" t="s">
        <v>70</v>
      </c>
      <c r="D725" s="77" t="s">
        <v>45</v>
      </c>
      <c r="E725" s="77">
        <v>1.01</v>
      </c>
      <c r="F725" s="77"/>
      <c r="G725" s="93">
        <v>0.08</v>
      </c>
      <c r="H725" s="79">
        <f t="shared" si="82"/>
        <v>0.08</v>
      </c>
      <c r="I725" s="80">
        <v>7875</v>
      </c>
      <c r="J725" s="80">
        <f t="shared" si="83"/>
        <v>630</v>
      </c>
      <c r="K725" s="94"/>
      <c r="L725" s="77" t="s">
        <v>321</v>
      </c>
    </row>
    <row r="726" spans="1:12" s="54" customFormat="1" ht="23.25" customHeight="1" x14ac:dyDescent="0.25">
      <c r="A726" s="81"/>
      <c r="B726" s="89" t="s">
        <v>78</v>
      </c>
      <c r="C726" s="77" t="s">
        <v>79</v>
      </c>
      <c r="D726" s="77" t="s">
        <v>47</v>
      </c>
      <c r="E726" s="77"/>
      <c r="F726" s="77"/>
      <c r="G726" s="78">
        <v>183.5</v>
      </c>
      <c r="H726" s="79">
        <f t="shared" si="82"/>
        <v>183.5</v>
      </c>
      <c r="I726" s="80">
        <v>88.34</v>
      </c>
      <c r="J726" s="80">
        <f t="shared" si="83"/>
        <v>16210.390000000001</v>
      </c>
      <c r="K726" s="94"/>
      <c r="L726" s="77" t="s">
        <v>321</v>
      </c>
    </row>
    <row r="727" spans="1:12" s="54" customFormat="1" ht="23.25" customHeight="1" x14ac:dyDescent="0.25">
      <c r="A727" s="81"/>
      <c r="B727" s="89" t="s">
        <v>113</v>
      </c>
      <c r="C727" s="77" t="s">
        <v>114</v>
      </c>
      <c r="D727" s="77" t="s">
        <v>60</v>
      </c>
      <c r="E727" s="77"/>
      <c r="F727" s="77"/>
      <c r="G727" s="78">
        <v>12</v>
      </c>
      <c r="H727" s="79">
        <f t="shared" si="82"/>
        <v>12</v>
      </c>
      <c r="I727" s="80">
        <v>398.6</v>
      </c>
      <c r="J727" s="80">
        <f t="shared" si="83"/>
        <v>4783.2000000000007</v>
      </c>
      <c r="K727" s="94"/>
      <c r="L727" s="77" t="s">
        <v>321</v>
      </c>
    </row>
    <row r="728" spans="1:12" s="54" customFormat="1" ht="23.25" customHeight="1" x14ac:dyDescent="0.25">
      <c r="A728" s="81"/>
      <c r="B728" s="89" t="s">
        <v>115</v>
      </c>
      <c r="C728" s="77" t="s">
        <v>116</v>
      </c>
      <c r="D728" s="77" t="s">
        <v>60</v>
      </c>
      <c r="E728" s="77"/>
      <c r="F728" s="77"/>
      <c r="G728" s="78">
        <v>9</v>
      </c>
      <c r="H728" s="79">
        <f t="shared" si="82"/>
        <v>9</v>
      </c>
      <c r="I728" s="80">
        <v>465.03</v>
      </c>
      <c r="J728" s="80">
        <f t="shared" si="83"/>
        <v>4185.2699999999995</v>
      </c>
      <c r="K728" s="94"/>
      <c r="L728" s="77" t="s">
        <v>321</v>
      </c>
    </row>
    <row r="729" spans="1:12" s="54" customFormat="1" ht="23.25" customHeight="1" x14ac:dyDescent="0.25">
      <c r="A729" s="81"/>
      <c r="B729" s="89" t="s">
        <v>117</v>
      </c>
      <c r="C729" s="77" t="s">
        <v>118</v>
      </c>
      <c r="D729" s="77" t="s">
        <v>60</v>
      </c>
      <c r="E729" s="77"/>
      <c r="F729" s="77"/>
      <c r="G729" s="78">
        <v>1</v>
      </c>
      <c r="H729" s="79">
        <f t="shared" si="82"/>
        <v>1</v>
      </c>
      <c r="I729" s="80">
        <v>841.49</v>
      </c>
      <c r="J729" s="80">
        <f t="shared" si="83"/>
        <v>841.49</v>
      </c>
      <c r="K729" s="94"/>
      <c r="L729" s="77" t="s">
        <v>321</v>
      </c>
    </row>
    <row r="730" spans="1:12" s="54" customFormat="1" ht="23.25" customHeight="1" x14ac:dyDescent="0.25">
      <c r="A730" s="81"/>
      <c r="B730" s="89" t="s">
        <v>119</v>
      </c>
      <c r="C730" s="77" t="s">
        <v>120</v>
      </c>
      <c r="D730" s="77" t="s">
        <v>60</v>
      </c>
      <c r="E730" s="77"/>
      <c r="F730" s="77"/>
      <c r="G730" s="78">
        <v>10</v>
      </c>
      <c r="H730" s="79">
        <f t="shared" si="82"/>
        <v>10</v>
      </c>
      <c r="I730" s="80">
        <v>981.74</v>
      </c>
      <c r="J730" s="80">
        <f t="shared" si="83"/>
        <v>9817.4</v>
      </c>
      <c r="K730" s="94"/>
      <c r="L730" s="77" t="s">
        <v>321</v>
      </c>
    </row>
    <row r="731" spans="1:12" s="54" customFormat="1" ht="23.25" customHeight="1" x14ac:dyDescent="0.25">
      <c r="A731" s="81"/>
      <c r="B731" s="89" t="s">
        <v>121</v>
      </c>
      <c r="C731" s="77" t="s">
        <v>122</v>
      </c>
      <c r="D731" s="77" t="s">
        <v>60</v>
      </c>
      <c r="E731" s="77"/>
      <c r="F731" s="77"/>
      <c r="G731" s="78">
        <v>3</v>
      </c>
      <c r="H731" s="79">
        <f t="shared" si="82"/>
        <v>3</v>
      </c>
      <c r="I731" s="80">
        <v>1291.76</v>
      </c>
      <c r="J731" s="80">
        <f t="shared" si="83"/>
        <v>3875.2799999999997</v>
      </c>
      <c r="K731" s="94"/>
      <c r="L731" s="77" t="s">
        <v>321</v>
      </c>
    </row>
    <row r="732" spans="1:12" s="54" customFormat="1" ht="23.25" customHeight="1" x14ac:dyDescent="0.25">
      <c r="A732" s="81"/>
      <c r="B732" s="89" t="s">
        <v>123</v>
      </c>
      <c r="C732" s="77" t="s">
        <v>124</v>
      </c>
      <c r="D732" s="77" t="s">
        <v>60</v>
      </c>
      <c r="E732" s="77"/>
      <c r="F732" s="77"/>
      <c r="G732" s="78">
        <v>1</v>
      </c>
      <c r="H732" s="79">
        <f t="shared" si="82"/>
        <v>1</v>
      </c>
      <c r="I732" s="80">
        <v>1845.38</v>
      </c>
      <c r="J732" s="80">
        <f t="shared" si="83"/>
        <v>1845.38</v>
      </c>
      <c r="K732" s="94"/>
      <c r="L732" s="77" t="s">
        <v>321</v>
      </c>
    </row>
    <row r="733" spans="1:12" s="54" customFormat="1" ht="23.25" customHeight="1" x14ac:dyDescent="0.25">
      <c r="A733" s="81"/>
      <c r="B733" s="89" t="s">
        <v>125</v>
      </c>
      <c r="C733" s="77" t="s">
        <v>126</v>
      </c>
      <c r="D733" s="77" t="s">
        <v>60</v>
      </c>
      <c r="E733" s="77"/>
      <c r="F733" s="77"/>
      <c r="G733" s="78">
        <v>8</v>
      </c>
      <c r="H733" s="79">
        <f t="shared" si="82"/>
        <v>8</v>
      </c>
      <c r="I733" s="80">
        <v>2029.91</v>
      </c>
      <c r="J733" s="80">
        <f t="shared" si="83"/>
        <v>16239.28</v>
      </c>
      <c r="K733" s="94"/>
      <c r="L733" s="77" t="s">
        <v>321</v>
      </c>
    </row>
    <row r="734" spans="1:12" s="54" customFormat="1" ht="23.25" customHeight="1" x14ac:dyDescent="0.25">
      <c r="A734" s="81"/>
      <c r="B734" s="89" t="s">
        <v>127</v>
      </c>
      <c r="C734" s="77" t="s">
        <v>128</v>
      </c>
      <c r="D734" s="77" t="s">
        <v>60</v>
      </c>
      <c r="E734" s="77"/>
      <c r="F734" s="77"/>
      <c r="G734" s="78">
        <v>11</v>
      </c>
      <c r="H734" s="79">
        <f t="shared" si="82"/>
        <v>11</v>
      </c>
      <c r="I734" s="80">
        <v>2398.9899999999998</v>
      </c>
      <c r="J734" s="80">
        <f t="shared" si="83"/>
        <v>26388.89</v>
      </c>
      <c r="K734" s="94"/>
      <c r="L734" s="77" t="s">
        <v>321</v>
      </c>
    </row>
    <row r="735" spans="1:12" s="54" customFormat="1" ht="23.25" customHeight="1" x14ac:dyDescent="0.25">
      <c r="A735" s="81"/>
      <c r="B735" s="89" t="s">
        <v>129</v>
      </c>
      <c r="C735" s="77" t="s">
        <v>130</v>
      </c>
      <c r="D735" s="77" t="s">
        <v>60</v>
      </c>
      <c r="E735" s="77"/>
      <c r="F735" s="77"/>
      <c r="G735" s="78">
        <v>1</v>
      </c>
      <c r="H735" s="79">
        <f t="shared" si="82"/>
        <v>1</v>
      </c>
      <c r="I735" s="80">
        <v>2583.5300000000002</v>
      </c>
      <c r="J735" s="80">
        <f t="shared" si="83"/>
        <v>2583.5300000000002</v>
      </c>
      <c r="K735" s="94"/>
      <c r="L735" s="77" t="s">
        <v>321</v>
      </c>
    </row>
    <row r="736" spans="1:12" s="54" customFormat="1" ht="23.25" customHeight="1" x14ac:dyDescent="0.25">
      <c r="A736" s="81"/>
      <c r="B736" s="89" t="s">
        <v>92</v>
      </c>
      <c r="C736" s="77" t="s">
        <v>93</v>
      </c>
      <c r="D736" s="77" t="s">
        <v>54</v>
      </c>
      <c r="E736" s="77">
        <v>1.04</v>
      </c>
      <c r="F736" s="77"/>
      <c r="G736" s="78">
        <f>155.29*E736</f>
        <v>161.5016</v>
      </c>
      <c r="H736" s="79">
        <f t="shared" si="82"/>
        <v>161.5016</v>
      </c>
      <c r="I736" s="80">
        <v>66.349999999999994</v>
      </c>
      <c r="J736" s="80">
        <f t="shared" si="83"/>
        <v>10715.631159999999</v>
      </c>
      <c r="K736" s="94"/>
      <c r="L736" s="77" t="s">
        <v>321</v>
      </c>
    </row>
    <row r="737" spans="1:12" s="54" customFormat="1" ht="23.25" customHeight="1" x14ac:dyDescent="0.25">
      <c r="A737" s="81"/>
      <c r="B737" s="89" t="s">
        <v>94</v>
      </c>
      <c r="C737" s="77" t="s">
        <v>95</v>
      </c>
      <c r="D737" s="77" t="s">
        <v>54</v>
      </c>
      <c r="E737" s="77">
        <v>1.04</v>
      </c>
      <c r="F737" s="77"/>
      <c r="G737" s="78">
        <f>G710*E737</f>
        <v>42.307200000000002</v>
      </c>
      <c r="H737" s="79">
        <f t="shared" si="82"/>
        <v>42.307200000000002</v>
      </c>
      <c r="I737" s="80">
        <v>64</v>
      </c>
      <c r="J737" s="80">
        <f t="shared" si="83"/>
        <v>2707.6608000000001</v>
      </c>
      <c r="K737" s="94"/>
      <c r="L737" s="77" t="s">
        <v>321</v>
      </c>
    </row>
    <row r="738" spans="1:12" s="54" customFormat="1" ht="23.25" customHeight="1" x14ac:dyDescent="0.25">
      <c r="A738" s="81"/>
      <c r="B738" s="89" t="s">
        <v>131</v>
      </c>
      <c r="C738" s="77" t="s">
        <v>39</v>
      </c>
      <c r="D738" s="77" t="s">
        <v>54</v>
      </c>
      <c r="E738" s="77">
        <v>1.04</v>
      </c>
      <c r="F738" s="77"/>
      <c r="G738" s="78">
        <f>85.59*E738</f>
        <v>89.013600000000011</v>
      </c>
      <c r="H738" s="79">
        <f t="shared" si="82"/>
        <v>89.013600000000011</v>
      </c>
      <c r="I738" s="80">
        <v>64.209999999999994</v>
      </c>
      <c r="J738" s="80">
        <f t="shared" si="83"/>
        <v>5715.5632560000004</v>
      </c>
      <c r="K738" s="94"/>
      <c r="L738" s="77" t="s">
        <v>321</v>
      </c>
    </row>
    <row r="739" spans="1:12" s="54" customFormat="1" ht="23.25" customHeight="1" x14ac:dyDescent="0.25">
      <c r="A739" s="81"/>
      <c r="B739" s="89" t="s">
        <v>97</v>
      </c>
      <c r="C739" s="77" t="s">
        <v>39</v>
      </c>
      <c r="D739" s="77" t="s">
        <v>54</v>
      </c>
      <c r="E739" s="77">
        <v>1.04</v>
      </c>
      <c r="F739" s="77"/>
      <c r="G739" s="78">
        <f>E739*23.1</f>
        <v>24.024000000000001</v>
      </c>
      <c r="H739" s="79">
        <f t="shared" si="82"/>
        <v>24.024000000000001</v>
      </c>
      <c r="I739" s="80">
        <v>74.92</v>
      </c>
      <c r="J739" s="80">
        <f t="shared" si="83"/>
        <v>1799.8780800000002</v>
      </c>
      <c r="K739" s="94"/>
      <c r="L739" s="77" t="s">
        <v>321</v>
      </c>
    </row>
    <row r="740" spans="1:12" s="54" customFormat="1" ht="23.25" customHeight="1" x14ac:dyDescent="0.25">
      <c r="A740" s="81"/>
      <c r="B740" s="89" t="s">
        <v>132</v>
      </c>
      <c r="C740" s="77" t="s">
        <v>39</v>
      </c>
      <c r="D740" s="77" t="s">
        <v>54</v>
      </c>
      <c r="E740" s="77">
        <v>1.04</v>
      </c>
      <c r="F740" s="77"/>
      <c r="G740" s="78">
        <f>28.88*E740</f>
        <v>30.0352</v>
      </c>
      <c r="H740" s="79">
        <f t="shared" si="82"/>
        <v>30.0352</v>
      </c>
      <c r="I740" s="80">
        <v>75.97</v>
      </c>
      <c r="J740" s="80">
        <f t="shared" si="83"/>
        <v>2281.774144</v>
      </c>
      <c r="K740" s="94"/>
      <c r="L740" s="77" t="s">
        <v>321</v>
      </c>
    </row>
    <row r="741" spans="1:12" s="101" customFormat="1" ht="36.75" customHeight="1" x14ac:dyDescent="0.25">
      <c r="A741" s="95"/>
      <c r="B741" s="96" t="s">
        <v>133</v>
      </c>
      <c r="C741" s="97" t="s">
        <v>39</v>
      </c>
      <c r="D741" s="97" t="s">
        <v>99</v>
      </c>
      <c r="E741" s="97"/>
      <c r="F741" s="97"/>
      <c r="G741" s="98"/>
      <c r="H741" s="99">
        <f>J741*100/J700</f>
        <v>4.9540518920903365</v>
      </c>
      <c r="I741" s="79"/>
      <c r="J741" s="79">
        <v>50514.601200000005</v>
      </c>
      <c r="K741" s="100"/>
      <c r="L741" s="97" t="s">
        <v>321</v>
      </c>
    </row>
    <row r="742" spans="1:12" s="54" customFormat="1" x14ac:dyDescent="0.25">
      <c r="A742" s="60" t="s">
        <v>164</v>
      </c>
      <c r="B742" s="61" t="s">
        <v>165</v>
      </c>
      <c r="C742" s="62"/>
      <c r="D742" s="63"/>
      <c r="E742" s="62"/>
      <c r="F742" s="62"/>
      <c r="G742" s="64"/>
      <c r="H742" s="65"/>
      <c r="I742" s="65"/>
      <c r="J742" s="65">
        <f>J743+J755</f>
        <v>1354922.102315</v>
      </c>
      <c r="K742" s="86"/>
      <c r="L742" s="86"/>
    </row>
    <row r="743" spans="1:12" s="54" customFormat="1" x14ac:dyDescent="0.25">
      <c r="A743" s="66"/>
      <c r="B743" s="67" t="s">
        <v>34</v>
      </c>
      <c r="C743" s="68"/>
      <c r="D743" s="68"/>
      <c r="E743" s="68"/>
      <c r="F743" s="68"/>
      <c r="G743" s="69"/>
      <c r="H743" s="70"/>
      <c r="I743" s="70"/>
      <c r="J743" s="70">
        <f>SUM(J744:J754)</f>
        <v>1019662.335</v>
      </c>
      <c r="K743" s="72"/>
      <c r="L743" s="72"/>
    </row>
    <row r="744" spans="1:12" s="54" customFormat="1" ht="25.5" customHeight="1" x14ac:dyDescent="0.25">
      <c r="A744" s="66"/>
      <c r="B744" s="71" t="s">
        <v>44</v>
      </c>
      <c r="C744" s="72"/>
      <c r="D744" s="72" t="s">
        <v>45</v>
      </c>
      <c r="E744" s="72"/>
      <c r="F744" s="72"/>
      <c r="G744" s="73">
        <v>33.94</v>
      </c>
      <c r="H744" s="70">
        <f t="shared" ref="H744:H754" si="84">SUM(G744:G744)</f>
        <v>33.94</v>
      </c>
      <c r="I744" s="74">
        <v>4939</v>
      </c>
      <c r="J744" s="74">
        <f>I744*H744</f>
        <v>167629.65999999997</v>
      </c>
      <c r="K744" s="72"/>
      <c r="L744" s="72"/>
    </row>
    <row r="745" spans="1:12" s="54" customFormat="1" ht="25.5" customHeight="1" x14ac:dyDescent="0.25">
      <c r="A745" s="66"/>
      <c r="B745" s="71" t="s">
        <v>102</v>
      </c>
      <c r="C745" s="72"/>
      <c r="D745" s="72" t="s">
        <v>45</v>
      </c>
      <c r="E745" s="72"/>
      <c r="F745" s="72"/>
      <c r="G745" s="73">
        <v>2.58</v>
      </c>
      <c r="H745" s="70">
        <f t="shared" si="84"/>
        <v>2.58</v>
      </c>
      <c r="I745" s="74">
        <v>5845</v>
      </c>
      <c r="J745" s="74">
        <f t="shared" ref="J745" si="85">I745*H745</f>
        <v>15080.1</v>
      </c>
      <c r="K745" s="72"/>
      <c r="L745" s="72"/>
    </row>
    <row r="746" spans="1:12" s="54" customFormat="1" ht="25.5" customHeight="1" x14ac:dyDescent="0.25">
      <c r="A746" s="66"/>
      <c r="B746" s="71" t="s">
        <v>46</v>
      </c>
      <c r="C746" s="72"/>
      <c r="D746" s="72" t="s">
        <v>47</v>
      </c>
      <c r="E746" s="72"/>
      <c r="F746" s="72"/>
      <c r="G746" s="73">
        <v>154.52000000000001</v>
      </c>
      <c r="H746" s="70">
        <f t="shared" si="84"/>
        <v>154.52000000000001</v>
      </c>
      <c r="I746" s="74">
        <v>1461</v>
      </c>
      <c r="J746" s="74">
        <f>I746*H746</f>
        <v>225753.72</v>
      </c>
      <c r="K746" s="72"/>
      <c r="L746" s="72"/>
    </row>
    <row r="747" spans="1:12" s="54" customFormat="1" ht="25.5" customHeight="1" x14ac:dyDescent="0.25">
      <c r="A747" s="66"/>
      <c r="B747" s="71" t="s">
        <v>48</v>
      </c>
      <c r="C747" s="72"/>
      <c r="D747" s="72" t="s">
        <v>47</v>
      </c>
      <c r="E747" s="72"/>
      <c r="F747" s="72"/>
      <c r="G747" s="73">
        <v>31.58</v>
      </c>
      <c r="H747" s="70">
        <f t="shared" si="84"/>
        <v>31.58</v>
      </c>
      <c r="I747" s="74">
        <v>1461</v>
      </c>
      <c r="J747" s="74">
        <f>I747*H747</f>
        <v>46138.38</v>
      </c>
      <c r="K747" s="72"/>
      <c r="L747" s="72"/>
    </row>
    <row r="748" spans="1:12" s="54" customFormat="1" ht="25.5" customHeight="1" x14ac:dyDescent="0.25">
      <c r="A748" s="66"/>
      <c r="B748" s="71" t="s">
        <v>103</v>
      </c>
      <c r="C748" s="72"/>
      <c r="D748" s="72" t="s">
        <v>47</v>
      </c>
      <c r="E748" s="72"/>
      <c r="F748" s="72"/>
      <c r="G748" s="73">
        <v>159.29</v>
      </c>
      <c r="H748" s="70">
        <f t="shared" si="84"/>
        <v>159.29</v>
      </c>
      <c r="I748" s="74">
        <v>1461</v>
      </c>
      <c r="J748" s="74">
        <f>I748*H748</f>
        <v>232722.69</v>
      </c>
      <c r="K748" s="72"/>
      <c r="L748" s="72"/>
    </row>
    <row r="749" spans="1:12" s="54" customFormat="1" ht="25.5" customHeight="1" x14ac:dyDescent="0.25">
      <c r="A749" s="66"/>
      <c r="B749" s="71" t="s">
        <v>104</v>
      </c>
      <c r="C749" s="72"/>
      <c r="D749" s="72" t="s">
        <v>47</v>
      </c>
      <c r="E749" s="72"/>
      <c r="F749" s="72"/>
      <c r="G749" s="73">
        <v>141.18</v>
      </c>
      <c r="H749" s="70">
        <f t="shared" si="84"/>
        <v>141.18</v>
      </c>
      <c r="I749" s="74">
        <v>1461</v>
      </c>
      <c r="J749" s="74">
        <f>I749*H749</f>
        <v>206263.98</v>
      </c>
      <c r="K749" s="72"/>
      <c r="L749" s="72"/>
    </row>
    <row r="750" spans="1:12" s="54" customFormat="1" ht="25.5" customHeight="1" x14ac:dyDescent="0.25">
      <c r="A750" s="66"/>
      <c r="B750" s="71" t="s">
        <v>49</v>
      </c>
      <c r="C750" s="72"/>
      <c r="D750" s="72" t="s">
        <v>47</v>
      </c>
      <c r="E750" s="72"/>
      <c r="F750" s="72"/>
      <c r="G750" s="73">
        <v>39.32</v>
      </c>
      <c r="H750" s="70">
        <f t="shared" si="84"/>
        <v>39.32</v>
      </c>
      <c r="I750" s="74">
        <v>1610</v>
      </c>
      <c r="J750" s="74">
        <f t="shared" ref="J750:J753" si="86">I750*H750</f>
        <v>63305.2</v>
      </c>
      <c r="K750" s="72"/>
      <c r="L750" s="72"/>
    </row>
    <row r="751" spans="1:12" s="54" customFormat="1" ht="25.5" customHeight="1" x14ac:dyDescent="0.25">
      <c r="A751" s="66"/>
      <c r="B751" s="71" t="s">
        <v>50</v>
      </c>
      <c r="C751" s="72"/>
      <c r="D751" s="72" t="s">
        <v>51</v>
      </c>
      <c r="E751" s="72"/>
      <c r="F751" s="72"/>
      <c r="G751" s="73">
        <v>56</v>
      </c>
      <c r="H751" s="70">
        <f t="shared" si="84"/>
        <v>56</v>
      </c>
      <c r="I751" s="74">
        <v>803</v>
      </c>
      <c r="J751" s="74">
        <f t="shared" si="86"/>
        <v>44968</v>
      </c>
      <c r="K751" s="72"/>
      <c r="L751" s="72"/>
    </row>
    <row r="752" spans="1:12" s="54" customFormat="1" ht="25.5" customHeight="1" x14ac:dyDescent="0.25">
      <c r="A752" s="66"/>
      <c r="B752" s="71" t="s">
        <v>52</v>
      </c>
      <c r="C752" s="72" t="s">
        <v>105</v>
      </c>
      <c r="D752" s="72" t="s">
        <v>54</v>
      </c>
      <c r="E752" s="72"/>
      <c r="F752" s="72"/>
      <c r="G752" s="73">
        <v>137.57</v>
      </c>
      <c r="H752" s="70">
        <f t="shared" si="84"/>
        <v>137.57</v>
      </c>
      <c r="I752" s="74">
        <v>94.5</v>
      </c>
      <c r="J752" s="74">
        <f t="shared" si="86"/>
        <v>13000.365</v>
      </c>
      <c r="K752" s="72"/>
      <c r="L752" s="72"/>
    </row>
    <row r="753" spans="1:12" s="54" customFormat="1" ht="31.5" x14ac:dyDescent="0.25">
      <c r="A753" s="66"/>
      <c r="B753" s="71" t="s">
        <v>55</v>
      </c>
      <c r="C753" s="72"/>
      <c r="D753" s="72" t="s">
        <v>54</v>
      </c>
      <c r="E753" s="72"/>
      <c r="F753" s="72"/>
      <c r="G753" s="73">
        <v>40.68</v>
      </c>
      <c r="H753" s="70">
        <f t="shared" si="84"/>
        <v>40.68</v>
      </c>
      <c r="I753" s="74">
        <v>118</v>
      </c>
      <c r="J753" s="74">
        <f t="shared" si="86"/>
        <v>4800.24</v>
      </c>
      <c r="K753" s="72"/>
      <c r="L753" s="72"/>
    </row>
    <row r="754" spans="1:12" s="54" customFormat="1" ht="21" customHeight="1" x14ac:dyDescent="0.25">
      <c r="A754" s="66"/>
      <c r="B754" s="87" t="s">
        <v>56</v>
      </c>
      <c r="C754" s="88"/>
      <c r="D754" s="88" t="s">
        <v>45</v>
      </c>
      <c r="E754" s="88"/>
      <c r="F754" s="88"/>
      <c r="G754" s="73">
        <f>308.35*0.06*0.03</f>
        <v>0.55503000000000002</v>
      </c>
      <c r="H754" s="70">
        <f t="shared" si="84"/>
        <v>0.55503000000000002</v>
      </c>
      <c r="I754" s="74"/>
      <c r="J754" s="74"/>
      <c r="K754" s="88" t="s">
        <v>57</v>
      </c>
      <c r="L754" s="72"/>
    </row>
    <row r="755" spans="1:12" s="54" customFormat="1" x14ac:dyDescent="0.25">
      <c r="A755" s="75"/>
      <c r="B755" s="76" t="s">
        <v>38</v>
      </c>
      <c r="C755" s="77"/>
      <c r="D755" s="77"/>
      <c r="E755" s="77"/>
      <c r="F755" s="77"/>
      <c r="G755" s="78"/>
      <c r="H755" s="79"/>
      <c r="I755" s="80"/>
      <c r="J755" s="79">
        <f>SUM(J756:J784)</f>
        <v>335259.76731500006</v>
      </c>
      <c r="K755" s="77"/>
      <c r="L755" s="77"/>
    </row>
    <row r="756" spans="1:12" s="54" customFormat="1" ht="31.5" x14ac:dyDescent="0.25">
      <c r="A756" s="81"/>
      <c r="B756" s="82" t="s">
        <v>58</v>
      </c>
      <c r="C756" s="77" t="s">
        <v>59</v>
      </c>
      <c r="D756" s="77" t="s">
        <v>60</v>
      </c>
      <c r="E756" s="78">
        <v>12.4</v>
      </c>
      <c r="F756" s="77">
        <v>0.25</v>
      </c>
      <c r="G756" s="83">
        <f>G744/F756*E756</f>
        <v>1683.424</v>
      </c>
      <c r="H756" s="84">
        <f t="shared" ref="H756:H783" si="87">SUM(G756:G756)</f>
        <v>1683.424</v>
      </c>
      <c r="I756" s="80">
        <v>0</v>
      </c>
      <c r="J756" s="80">
        <f>H756*I756</f>
        <v>0</v>
      </c>
      <c r="K756" s="77" t="s">
        <v>61</v>
      </c>
      <c r="L756" s="77" t="s">
        <v>320</v>
      </c>
    </row>
    <row r="757" spans="1:12" s="54" customFormat="1" ht="31.5" x14ac:dyDescent="0.25">
      <c r="A757" s="81"/>
      <c r="B757" s="82" t="s">
        <v>62</v>
      </c>
      <c r="C757" s="77" t="s">
        <v>63</v>
      </c>
      <c r="D757" s="77" t="s">
        <v>60</v>
      </c>
      <c r="E757" s="78">
        <v>12.4</v>
      </c>
      <c r="F757" s="77"/>
      <c r="G757" s="83">
        <f>G746*E757</f>
        <v>1916.0480000000002</v>
      </c>
      <c r="H757" s="84">
        <f t="shared" si="87"/>
        <v>1916.0480000000002</v>
      </c>
      <c r="I757" s="80">
        <v>0</v>
      </c>
      <c r="J757" s="80">
        <f>H757*I757</f>
        <v>0</v>
      </c>
      <c r="K757" s="77" t="s">
        <v>61</v>
      </c>
      <c r="L757" s="77" t="s">
        <v>320</v>
      </c>
    </row>
    <row r="758" spans="1:12" s="54" customFormat="1" ht="31.5" x14ac:dyDescent="0.25">
      <c r="A758" s="81"/>
      <c r="B758" s="82" t="s">
        <v>64</v>
      </c>
      <c r="C758" s="77" t="s">
        <v>65</v>
      </c>
      <c r="D758" s="77" t="s">
        <v>60</v>
      </c>
      <c r="E758" s="78">
        <v>12.4</v>
      </c>
      <c r="F758" s="77"/>
      <c r="G758" s="83">
        <f>G747*E758</f>
        <v>391.59199999999998</v>
      </c>
      <c r="H758" s="84">
        <f t="shared" si="87"/>
        <v>391.59199999999998</v>
      </c>
      <c r="I758" s="80">
        <v>0</v>
      </c>
      <c r="J758" s="80">
        <f>H758*I758</f>
        <v>0</v>
      </c>
      <c r="K758" s="77" t="s">
        <v>61</v>
      </c>
      <c r="L758" s="77" t="s">
        <v>320</v>
      </c>
    </row>
    <row r="759" spans="1:12" s="54" customFormat="1" ht="31.5" x14ac:dyDescent="0.25">
      <c r="A759" s="81"/>
      <c r="B759" s="82" t="s">
        <v>106</v>
      </c>
      <c r="C759" s="77" t="s">
        <v>107</v>
      </c>
      <c r="D759" s="77" t="s">
        <v>60</v>
      </c>
      <c r="E759" s="78">
        <v>12.4</v>
      </c>
      <c r="F759" s="77"/>
      <c r="G759" s="83">
        <f>G748*E759</f>
        <v>1975.1959999999999</v>
      </c>
      <c r="H759" s="84">
        <f t="shared" si="87"/>
        <v>1975.1959999999999</v>
      </c>
      <c r="I759" s="80">
        <v>0</v>
      </c>
      <c r="J759" s="80">
        <f>H759*I759</f>
        <v>0</v>
      </c>
      <c r="K759" s="77" t="s">
        <v>61</v>
      </c>
      <c r="L759" s="77" t="s">
        <v>320</v>
      </c>
    </row>
    <row r="760" spans="1:12" s="54" customFormat="1" ht="31.5" x14ac:dyDescent="0.25">
      <c r="A760" s="81"/>
      <c r="B760" s="82" t="s">
        <v>108</v>
      </c>
      <c r="C760" s="77" t="s">
        <v>109</v>
      </c>
      <c r="D760" s="77" t="s">
        <v>60</v>
      </c>
      <c r="E760" s="78">
        <v>12.4</v>
      </c>
      <c r="F760" s="77"/>
      <c r="G760" s="83">
        <f>G749*E760</f>
        <v>1750.6320000000001</v>
      </c>
      <c r="H760" s="84">
        <f t="shared" si="87"/>
        <v>1750.6320000000001</v>
      </c>
      <c r="I760" s="80">
        <v>0</v>
      </c>
      <c r="J760" s="80">
        <f>H760*I760</f>
        <v>0</v>
      </c>
      <c r="K760" s="77" t="s">
        <v>61</v>
      </c>
      <c r="L760" s="77" t="s">
        <v>320</v>
      </c>
    </row>
    <row r="761" spans="1:12" s="54" customFormat="1" ht="31.5" x14ac:dyDescent="0.25">
      <c r="A761" s="81"/>
      <c r="B761" s="89" t="s">
        <v>66</v>
      </c>
      <c r="C761" s="77" t="s">
        <v>67</v>
      </c>
      <c r="D761" s="77" t="s">
        <v>60</v>
      </c>
      <c r="E761" s="90">
        <v>42</v>
      </c>
      <c r="F761" s="90"/>
      <c r="G761" s="83">
        <f>G750*E761</f>
        <v>1651.44</v>
      </c>
      <c r="H761" s="84">
        <f t="shared" si="87"/>
        <v>1651.44</v>
      </c>
      <c r="I761" s="80">
        <v>0</v>
      </c>
      <c r="J761" s="80">
        <f t="shared" ref="J761:J783" si="88">H761*I761</f>
        <v>0</v>
      </c>
      <c r="K761" s="77" t="s">
        <v>68</v>
      </c>
      <c r="L761" s="77" t="s">
        <v>320</v>
      </c>
    </row>
    <row r="762" spans="1:12" s="54" customFormat="1" ht="31.5" x14ac:dyDescent="0.25">
      <c r="A762" s="81"/>
      <c r="B762" s="89" t="s">
        <v>110</v>
      </c>
      <c r="C762" s="77" t="s">
        <v>111</v>
      </c>
      <c r="D762" s="77" t="s">
        <v>60</v>
      </c>
      <c r="E762" s="90">
        <v>42</v>
      </c>
      <c r="F762" s="90"/>
      <c r="G762" s="83">
        <f>G745/0.25*E762</f>
        <v>433.44</v>
      </c>
      <c r="H762" s="84">
        <f t="shared" si="87"/>
        <v>433.44</v>
      </c>
      <c r="I762" s="80">
        <v>0</v>
      </c>
      <c r="J762" s="80">
        <f t="shared" si="88"/>
        <v>0</v>
      </c>
      <c r="K762" s="77" t="s">
        <v>68</v>
      </c>
      <c r="L762" s="77" t="s">
        <v>320</v>
      </c>
    </row>
    <row r="763" spans="1:12" s="54" customFormat="1" ht="30.75" customHeight="1" x14ac:dyDescent="0.25">
      <c r="A763" s="81"/>
      <c r="B763" s="91" t="s">
        <v>69</v>
      </c>
      <c r="C763" s="77" t="s">
        <v>70</v>
      </c>
      <c r="D763" s="77" t="s">
        <v>45</v>
      </c>
      <c r="E763" s="77">
        <v>0.19500000000000001</v>
      </c>
      <c r="F763" s="90"/>
      <c r="G763" s="78">
        <f>G744*E763+G746*E763*0.19+G747*E763*0.19+G748*E763*0.09+G749*E763*0.09</f>
        <v>18.7865535</v>
      </c>
      <c r="H763" s="79">
        <f t="shared" si="87"/>
        <v>18.7865535</v>
      </c>
      <c r="I763" s="80">
        <v>7875</v>
      </c>
      <c r="J763" s="80">
        <f t="shared" si="88"/>
        <v>147944.1088125</v>
      </c>
      <c r="K763" s="77" t="s">
        <v>71</v>
      </c>
      <c r="L763" s="77" t="s">
        <v>321</v>
      </c>
    </row>
    <row r="764" spans="1:12" s="54" customFormat="1" ht="30.75" customHeight="1" x14ac:dyDescent="0.25">
      <c r="A764" s="92"/>
      <c r="B764" s="91" t="s">
        <v>112</v>
      </c>
      <c r="C764" s="77" t="s">
        <v>70</v>
      </c>
      <c r="D764" s="77" t="s">
        <v>45</v>
      </c>
      <c r="E764" s="77">
        <v>0.24</v>
      </c>
      <c r="F764" s="77"/>
      <c r="G764" s="78">
        <f>G745*E764</f>
        <v>0.61919999999999997</v>
      </c>
      <c r="H764" s="79">
        <f t="shared" si="87"/>
        <v>0.61919999999999997</v>
      </c>
      <c r="I764" s="80">
        <v>7875</v>
      </c>
      <c r="J764" s="80">
        <f t="shared" si="88"/>
        <v>4876.2</v>
      </c>
      <c r="K764" s="77" t="s">
        <v>71</v>
      </c>
      <c r="L764" s="77" t="s">
        <v>321</v>
      </c>
    </row>
    <row r="765" spans="1:12" s="54" customFormat="1" ht="30.75" customHeight="1" x14ac:dyDescent="0.25">
      <c r="A765" s="92"/>
      <c r="B765" s="91" t="s">
        <v>72</v>
      </c>
      <c r="C765" s="77" t="s">
        <v>70</v>
      </c>
      <c r="D765" s="77" t="s">
        <v>45</v>
      </c>
      <c r="E765" s="77">
        <v>4.5999999999999999E-2</v>
      </c>
      <c r="F765" s="77"/>
      <c r="G765" s="78">
        <f>G750*E765</f>
        <v>1.8087199999999999</v>
      </c>
      <c r="H765" s="79">
        <f t="shared" si="87"/>
        <v>1.8087199999999999</v>
      </c>
      <c r="I765" s="80">
        <v>7875</v>
      </c>
      <c r="J765" s="80">
        <f t="shared" si="88"/>
        <v>14243.669999999998</v>
      </c>
      <c r="K765" s="77" t="s">
        <v>73</v>
      </c>
      <c r="L765" s="77" t="s">
        <v>321</v>
      </c>
    </row>
    <row r="766" spans="1:12" s="54" customFormat="1" ht="30.75" customHeight="1" x14ac:dyDescent="0.25">
      <c r="A766" s="92"/>
      <c r="B766" s="91" t="s">
        <v>74</v>
      </c>
      <c r="C766" s="77" t="s">
        <v>70</v>
      </c>
      <c r="D766" s="77" t="s">
        <v>45</v>
      </c>
      <c r="E766" s="77">
        <v>1.01</v>
      </c>
      <c r="F766" s="77"/>
      <c r="G766" s="78">
        <f>G754*E766</f>
        <v>0.56058030000000003</v>
      </c>
      <c r="H766" s="79">
        <f t="shared" si="87"/>
        <v>0.56058030000000003</v>
      </c>
      <c r="I766" s="80">
        <v>7875</v>
      </c>
      <c r="J766" s="80">
        <f t="shared" si="88"/>
        <v>4414.5698625000005</v>
      </c>
      <c r="K766" s="77" t="s">
        <v>71</v>
      </c>
      <c r="L766" s="77" t="s">
        <v>321</v>
      </c>
    </row>
    <row r="767" spans="1:12" s="54" customFormat="1" ht="30.75" customHeight="1" x14ac:dyDescent="0.25">
      <c r="A767" s="81"/>
      <c r="B767" s="89" t="s">
        <v>75</v>
      </c>
      <c r="C767" s="77" t="s">
        <v>70</v>
      </c>
      <c r="D767" s="77" t="s">
        <v>45</v>
      </c>
      <c r="E767" s="77">
        <v>6.0000000000000001E-3</v>
      </c>
      <c r="F767" s="77"/>
      <c r="G767" s="78">
        <f>G751*E767</f>
        <v>0.33600000000000002</v>
      </c>
      <c r="H767" s="79">
        <f t="shared" si="87"/>
        <v>0.33600000000000002</v>
      </c>
      <c r="I767" s="80">
        <v>7875</v>
      </c>
      <c r="J767" s="80">
        <f t="shared" si="88"/>
        <v>2646</v>
      </c>
      <c r="K767" s="77" t="s">
        <v>76</v>
      </c>
      <c r="L767" s="77" t="s">
        <v>321</v>
      </c>
    </row>
    <row r="768" spans="1:12" s="54" customFormat="1" ht="30.75" customHeight="1" x14ac:dyDescent="0.25">
      <c r="A768" s="81"/>
      <c r="B768" s="89" t="s">
        <v>77</v>
      </c>
      <c r="C768" s="77" t="s">
        <v>70</v>
      </c>
      <c r="D768" s="77" t="s">
        <v>45</v>
      </c>
      <c r="E768" s="77">
        <v>1.01</v>
      </c>
      <c r="F768" s="77"/>
      <c r="G768" s="93">
        <v>0.08</v>
      </c>
      <c r="H768" s="79">
        <f t="shared" si="87"/>
        <v>0.08</v>
      </c>
      <c r="I768" s="80">
        <v>7875</v>
      </c>
      <c r="J768" s="80">
        <f t="shared" si="88"/>
        <v>630</v>
      </c>
      <c r="K768" s="94"/>
      <c r="L768" s="77" t="s">
        <v>321</v>
      </c>
    </row>
    <row r="769" spans="1:12" s="54" customFormat="1" ht="25.5" customHeight="1" x14ac:dyDescent="0.25">
      <c r="A769" s="81"/>
      <c r="B769" s="89" t="s">
        <v>78</v>
      </c>
      <c r="C769" s="77" t="s">
        <v>79</v>
      </c>
      <c r="D769" s="77" t="s">
        <v>47</v>
      </c>
      <c r="E769" s="77"/>
      <c r="F769" s="77"/>
      <c r="G769" s="78">
        <v>183.5</v>
      </c>
      <c r="H769" s="79">
        <f t="shared" si="87"/>
        <v>183.5</v>
      </c>
      <c r="I769" s="80">
        <v>88.34</v>
      </c>
      <c r="J769" s="80">
        <f t="shared" si="88"/>
        <v>16210.390000000001</v>
      </c>
      <c r="K769" s="94"/>
      <c r="L769" s="77" t="s">
        <v>321</v>
      </c>
    </row>
    <row r="770" spans="1:12" s="54" customFormat="1" ht="25.5" customHeight="1" x14ac:dyDescent="0.25">
      <c r="A770" s="81"/>
      <c r="B770" s="89" t="s">
        <v>113</v>
      </c>
      <c r="C770" s="77" t="s">
        <v>114</v>
      </c>
      <c r="D770" s="77" t="s">
        <v>60</v>
      </c>
      <c r="E770" s="77"/>
      <c r="F770" s="77"/>
      <c r="G770" s="78">
        <v>12</v>
      </c>
      <c r="H770" s="79">
        <f t="shared" si="87"/>
        <v>12</v>
      </c>
      <c r="I770" s="80">
        <v>398.6</v>
      </c>
      <c r="J770" s="80">
        <f t="shared" si="88"/>
        <v>4783.2000000000007</v>
      </c>
      <c r="K770" s="94"/>
      <c r="L770" s="77" t="s">
        <v>321</v>
      </c>
    </row>
    <row r="771" spans="1:12" s="54" customFormat="1" ht="25.5" customHeight="1" x14ac:dyDescent="0.25">
      <c r="A771" s="81"/>
      <c r="B771" s="89" t="s">
        <v>115</v>
      </c>
      <c r="C771" s="77" t="s">
        <v>116</v>
      </c>
      <c r="D771" s="77" t="s">
        <v>60</v>
      </c>
      <c r="E771" s="77"/>
      <c r="F771" s="77"/>
      <c r="G771" s="78">
        <v>9</v>
      </c>
      <c r="H771" s="79">
        <f t="shared" si="87"/>
        <v>9</v>
      </c>
      <c r="I771" s="80">
        <v>465.03</v>
      </c>
      <c r="J771" s="80">
        <f t="shared" si="88"/>
        <v>4185.2699999999995</v>
      </c>
      <c r="K771" s="94"/>
      <c r="L771" s="77" t="s">
        <v>321</v>
      </c>
    </row>
    <row r="772" spans="1:12" s="54" customFormat="1" ht="25.5" customHeight="1" x14ac:dyDescent="0.25">
      <c r="A772" s="81"/>
      <c r="B772" s="89" t="s">
        <v>117</v>
      </c>
      <c r="C772" s="77" t="s">
        <v>118</v>
      </c>
      <c r="D772" s="77" t="s">
        <v>60</v>
      </c>
      <c r="E772" s="77"/>
      <c r="F772" s="77"/>
      <c r="G772" s="78">
        <v>1</v>
      </c>
      <c r="H772" s="79">
        <f t="shared" si="87"/>
        <v>1</v>
      </c>
      <c r="I772" s="80">
        <v>841.49</v>
      </c>
      <c r="J772" s="80">
        <f t="shared" si="88"/>
        <v>841.49</v>
      </c>
      <c r="K772" s="94"/>
      <c r="L772" s="77" t="s">
        <v>321</v>
      </c>
    </row>
    <row r="773" spans="1:12" s="54" customFormat="1" ht="25.5" customHeight="1" x14ac:dyDescent="0.25">
      <c r="A773" s="81"/>
      <c r="B773" s="89" t="s">
        <v>119</v>
      </c>
      <c r="C773" s="77" t="s">
        <v>120</v>
      </c>
      <c r="D773" s="77" t="s">
        <v>60</v>
      </c>
      <c r="E773" s="77"/>
      <c r="F773" s="77"/>
      <c r="G773" s="78">
        <v>10</v>
      </c>
      <c r="H773" s="79">
        <f t="shared" si="87"/>
        <v>10</v>
      </c>
      <c r="I773" s="80">
        <v>981.74</v>
      </c>
      <c r="J773" s="80">
        <f t="shared" si="88"/>
        <v>9817.4</v>
      </c>
      <c r="K773" s="94"/>
      <c r="L773" s="77" t="s">
        <v>321</v>
      </c>
    </row>
    <row r="774" spans="1:12" s="54" customFormat="1" ht="25.5" customHeight="1" x14ac:dyDescent="0.25">
      <c r="A774" s="81"/>
      <c r="B774" s="89" t="s">
        <v>121</v>
      </c>
      <c r="C774" s="77" t="s">
        <v>122</v>
      </c>
      <c r="D774" s="77" t="s">
        <v>60</v>
      </c>
      <c r="E774" s="77"/>
      <c r="F774" s="77"/>
      <c r="G774" s="78">
        <v>3</v>
      </c>
      <c r="H774" s="79">
        <f t="shared" si="87"/>
        <v>3</v>
      </c>
      <c r="I774" s="80">
        <v>1291.76</v>
      </c>
      <c r="J774" s="80">
        <f t="shared" si="88"/>
        <v>3875.2799999999997</v>
      </c>
      <c r="K774" s="94"/>
      <c r="L774" s="77" t="s">
        <v>321</v>
      </c>
    </row>
    <row r="775" spans="1:12" s="54" customFormat="1" ht="25.5" customHeight="1" x14ac:dyDescent="0.25">
      <c r="A775" s="81"/>
      <c r="B775" s="89" t="s">
        <v>123</v>
      </c>
      <c r="C775" s="77" t="s">
        <v>124</v>
      </c>
      <c r="D775" s="77" t="s">
        <v>60</v>
      </c>
      <c r="E775" s="77"/>
      <c r="F775" s="77"/>
      <c r="G775" s="78">
        <v>1</v>
      </c>
      <c r="H775" s="79">
        <f t="shared" si="87"/>
        <v>1</v>
      </c>
      <c r="I775" s="80">
        <v>1845.38</v>
      </c>
      <c r="J775" s="80">
        <f t="shared" si="88"/>
        <v>1845.38</v>
      </c>
      <c r="K775" s="94"/>
      <c r="L775" s="77" t="s">
        <v>321</v>
      </c>
    </row>
    <row r="776" spans="1:12" s="54" customFormat="1" ht="25.5" customHeight="1" x14ac:dyDescent="0.25">
      <c r="A776" s="81"/>
      <c r="B776" s="89" t="s">
        <v>125</v>
      </c>
      <c r="C776" s="77" t="s">
        <v>126</v>
      </c>
      <c r="D776" s="77" t="s">
        <v>60</v>
      </c>
      <c r="E776" s="77"/>
      <c r="F776" s="77"/>
      <c r="G776" s="78">
        <v>8</v>
      </c>
      <c r="H776" s="79">
        <f t="shared" si="87"/>
        <v>8</v>
      </c>
      <c r="I776" s="80">
        <v>2029.91</v>
      </c>
      <c r="J776" s="80">
        <f t="shared" si="88"/>
        <v>16239.28</v>
      </c>
      <c r="K776" s="94"/>
      <c r="L776" s="77" t="s">
        <v>321</v>
      </c>
    </row>
    <row r="777" spans="1:12" s="54" customFormat="1" ht="25.5" customHeight="1" x14ac:dyDescent="0.25">
      <c r="A777" s="81"/>
      <c r="B777" s="89" t="s">
        <v>127</v>
      </c>
      <c r="C777" s="77" t="s">
        <v>128</v>
      </c>
      <c r="D777" s="77" t="s">
        <v>60</v>
      </c>
      <c r="E777" s="77"/>
      <c r="F777" s="77"/>
      <c r="G777" s="78">
        <v>11</v>
      </c>
      <c r="H777" s="79">
        <f t="shared" si="87"/>
        <v>11</v>
      </c>
      <c r="I777" s="80">
        <v>2398.9899999999998</v>
      </c>
      <c r="J777" s="80">
        <f t="shared" si="88"/>
        <v>26388.89</v>
      </c>
      <c r="K777" s="94"/>
      <c r="L777" s="77" t="s">
        <v>321</v>
      </c>
    </row>
    <row r="778" spans="1:12" s="54" customFormat="1" ht="25.5" customHeight="1" x14ac:dyDescent="0.25">
      <c r="A778" s="81"/>
      <c r="B778" s="89" t="s">
        <v>129</v>
      </c>
      <c r="C778" s="77" t="s">
        <v>130</v>
      </c>
      <c r="D778" s="77" t="s">
        <v>60</v>
      </c>
      <c r="E778" s="77"/>
      <c r="F778" s="77"/>
      <c r="G778" s="78">
        <v>1</v>
      </c>
      <c r="H778" s="79">
        <f t="shared" si="87"/>
        <v>1</v>
      </c>
      <c r="I778" s="80">
        <v>2583.5300000000002</v>
      </c>
      <c r="J778" s="80">
        <f t="shared" si="88"/>
        <v>2583.5300000000002</v>
      </c>
      <c r="K778" s="94"/>
      <c r="L778" s="77" t="s">
        <v>321</v>
      </c>
    </row>
    <row r="779" spans="1:12" s="54" customFormat="1" ht="25.5" customHeight="1" x14ac:dyDescent="0.25">
      <c r="A779" s="81"/>
      <c r="B779" s="89" t="s">
        <v>92</v>
      </c>
      <c r="C779" s="77" t="s">
        <v>93</v>
      </c>
      <c r="D779" s="77" t="s">
        <v>54</v>
      </c>
      <c r="E779" s="77">
        <v>1.04</v>
      </c>
      <c r="F779" s="77"/>
      <c r="G779" s="78">
        <f>155.29*E779</f>
        <v>161.5016</v>
      </c>
      <c r="H779" s="79">
        <f t="shared" si="87"/>
        <v>161.5016</v>
      </c>
      <c r="I779" s="80">
        <v>66.349999999999994</v>
      </c>
      <c r="J779" s="80">
        <f t="shared" si="88"/>
        <v>10715.631159999999</v>
      </c>
      <c r="K779" s="94"/>
      <c r="L779" s="77" t="s">
        <v>321</v>
      </c>
    </row>
    <row r="780" spans="1:12" s="54" customFormat="1" ht="25.5" customHeight="1" x14ac:dyDescent="0.25">
      <c r="A780" s="81"/>
      <c r="B780" s="89" t="s">
        <v>94</v>
      </c>
      <c r="C780" s="77" t="s">
        <v>95</v>
      </c>
      <c r="D780" s="77" t="s">
        <v>54</v>
      </c>
      <c r="E780" s="77">
        <v>1.04</v>
      </c>
      <c r="F780" s="77"/>
      <c r="G780" s="78">
        <f>G753*E780</f>
        <v>42.307200000000002</v>
      </c>
      <c r="H780" s="79">
        <f t="shared" si="87"/>
        <v>42.307200000000002</v>
      </c>
      <c r="I780" s="80">
        <v>64</v>
      </c>
      <c r="J780" s="80">
        <f t="shared" si="88"/>
        <v>2707.6608000000001</v>
      </c>
      <c r="K780" s="94"/>
      <c r="L780" s="77" t="s">
        <v>321</v>
      </c>
    </row>
    <row r="781" spans="1:12" s="54" customFormat="1" ht="25.5" customHeight="1" x14ac:dyDescent="0.25">
      <c r="A781" s="81"/>
      <c r="B781" s="89" t="s">
        <v>131</v>
      </c>
      <c r="C781" s="77" t="s">
        <v>39</v>
      </c>
      <c r="D781" s="77" t="s">
        <v>54</v>
      </c>
      <c r="E781" s="77">
        <v>1.04</v>
      </c>
      <c r="F781" s="77"/>
      <c r="G781" s="78">
        <f>85.59*E781</f>
        <v>89.013600000000011</v>
      </c>
      <c r="H781" s="79">
        <f t="shared" si="87"/>
        <v>89.013600000000011</v>
      </c>
      <c r="I781" s="80">
        <v>64.209999999999994</v>
      </c>
      <c r="J781" s="80">
        <f t="shared" si="88"/>
        <v>5715.5632560000004</v>
      </c>
      <c r="K781" s="94"/>
      <c r="L781" s="77" t="s">
        <v>321</v>
      </c>
    </row>
    <row r="782" spans="1:12" s="54" customFormat="1" ht="25.5" customHeight="1" x14ac:dyDescent="0.25">
      <c r="A782" s="81"/>
      <c r="B782" s="89" t="s">
        <v>97</v>
      </c>
      <c r="C782" s="77" t="s">
        <v>39</v>
      </c>
      <c r="D782" s="77" t="s">
        <v>54</v>
      </c>
      <c r="E782" s="77">
        <v>1.04</v>
      </c>
      <c r="F782" s="77"/>
      <c r="G782" s="78">
        <f>E782*23.1</f>
        <v>24.024000000000001</v>
      </c>
      <c r="H782" s="79">
        <f t="shared" si="87"/>
        <v>24.024000000000001</v>
      </c>
      <c r="I782" s="80">
        <v>74.92</v>
      </c>
      <c r="J782" s="80">
        <f t="shared" si="88"/>
        <v>1799.8780800000002</v>
      </c>
      <c r="K782" s="94"/>
      <c r="L782" s="77" t="s">
        <v>321</v>
      </c>
    </row>
    <row r="783" spans="1:12" s="54" customFormat="1" ht="25.5" customHeight="1" x14ac:dyDescent="0.25">
      <c r="A783" s="81"/>
      <c r="B783" s="89" t="s">
        <v>132</v>
      </c>
      <c r="C783" s="77" t="s">
        <v>39</v>
      </c>
      <c r="D783" s="77" t="s">
        <v>54</v>
      </c>
      <c r="E783" s="77">
        <v>1.04</v>
      </c>
      <c r="F783" s="77"/>
      <c r="G783" s="78">
        <f>28.88*E783</f>
        <v>30.0352</v>
      </c>
      <c r="H783" s="79">
        <f t="shared" si="87"/>
        <v>30.0352</v>
      </c>
      <c r="I783" s="80">
        <v>75.97</v>
      </c>
      <c r="J783" s="80">
        <f t="shared" si="88"/>
        <v>2281.774144</v>
      </c>
      <c r="K783" s="94"/>
      <c r="L783" s="77" t="s">
        <v>321</v>
      </c>
    </row>
    <row r="784" spans="1:12" s="101" customFormat="1" ht="35.25" customHeight="1" x14ac:dyDescent="0.25">
      <c r="A784" s="95"/>
      <c r="B784" s="96" t="s">
        <v>133</v>
      </c>
      <c r="C784" s="97" t="s">
        <v>39</v>
      </c>
      <c r="D784" s="97" t="s">
        <v>99</v>
      </c>
      <c r="E784" s="97"/>
      <c r="F784" s="97"/>
      <c r="G784" s="98"/>
      <c r="H784" s="99">
        <f>J784*100/J743</f>
        <v>4.9540518920903365</v>
      </c>
      <c r="I784" s="79"/>
      <c r="J784" s="79">
        <v>50514.601200000005</v>
      </c>
      <c r="K784" s="100"/>
      <c r="L784" s="97" t="s">
        <v>321</v>
      </c>
    </row>
    <row r="785" spans="1:12" s="54" customFormat="1" x14ac:dyDescent="0.25">
      <c r="A785" s="60" t="s">
        <v>166</v>
      </c>
      <c r="B785" s="61" t="s">
        <v>167</v>
      </c>
      <c r="C785" s="62"/>
      <c r="D785" s="63"/>
      <c r="E785" s="62"/>
      <c r="F785" s="62"/>
      <c r="G785" s="64"/>
      <c r="H785" s="65"/>
      <c r="I785" s="65"/>
      <c r="J785" s="65">
        <f>J786+J798</f>
        <v>1354922.102315</v>
      </c>
      <c r="K785" s="86"/>
      <c r="L785" s="86"/>
    </row>
    <row r="786" spans="1:12" s="54" customFormat="1" x14ac:dyDescent="0.25">
      <c r="A786" s="66"/>
      <c r="B786" s="67" t="s">
        <v>34</v>
      </c>
      <c r="C786" s="68"/>
      <c r="D786" s="68"/>
      <c r="E786" s="68"/>
      <c r="F786" s="68"/>
      <c r="G786" s="69"/>
      <c r="H786" s="70"/>
      <c r="I786" s="70"/>
      <c r="J786" s="70">
        <f>SUM(J787:J797)</f>
        <v>1019662.335</v>
      </c>
      <c r="K786" s="72"/>
      <c r="L786" s="72"/>
    </row>
    <row r="787" spans="1:12" s="54" customFormat="1" ht="24" customHeight="1" x14ac:dyDescent="0.25">
      <c r="A787" s="66"/>
      <c r="B787" s="71" t="s">
        <v>44</v>
      </c>
      <c r="C787" s="72"/>
      <c r="D787" s="72" t="s">
        <v>45</v>
      </c>
      <c r="E787" s="72"/>
      <c r="F787" s="72"/>
      <c r="G787" s="73">
        <v>33.94</v>
      </c>
      <c r="H787" s="70">
        <f t="shared" ref="H787:H797" si="89">SUM(G787:G787)</f>
        <v>33.94</v>
      </c>
      <c r="I787" s="74">
        <v>4939</v>
      </c>
      <c r="J787" s="74">
        <f>I787*H787</f>
        <v>167629.65999999997</v>
      </c>
      <c r="K787" s="72"/>
      <c r="L787" s="72"/>
    </row>
    <row r="788" spans="1:12" s="54" customFormat="1" ht="24" customHeight="1" x14ac:dyDescent="0.25">
      <c r="A788" s="66"/>
      <c r="B788" s="71" t="s">
        <v>102</v>
      </c>
      <c r="C788" s="72"/>
      <c r="D788" s="72" t="s">
        <v>45</v>
      </c>
      <c r="E788" s="72"/>
      <c r="F788" s="72"/>
      <c r="G788" s="73">
        <v>2.58</v>
      </c>
      <c r="H788" s="70">
        <f t="shared" si="89"/>
        <v>2.58</v>
      </c>
      <c r="I788" s="74">
        <v>5845</v>
      </c>
      <c r="J788" s="74">
        <f t="shared" ref="J788" si="90">I788*H788</f>
        <v>15080.1</v>
      </c>
      <c r="K788" s="72"/>
      <c r="L788" s="72"/>
    </row>
    <row r="789" spans="1:12" s="54" customFormat="1" ht="24" customHeight="1" x14ac:dyDescent="0.25">
      <c r="A789" s="66"/>
      <c r="B789" s="71" t="s">
        <v>46</v>
      </c>
      <c r="C789" s="72"/>
      <c r="D789" s="72" t="s">
        <v>47</v>
      </c>
      <c r="E789" s="72"/>
      <c r="F789" s="72"/>
      <c r="G789" s="73">
        <v>154.52000000000001</v>
      </c>
      <c r="H789" s="70">
        <f t="shared" si="89"/>
        <v>154.52000000000001</v>
      </c>
      <c r="I789" s="74">
        <v>1461</v>
      </c>
      <c r="J789" s="74">
        <f>I789*H789</f>
        <v>225753.72</v>
      </c>
      <c r="K789" s="72"/>
      <c r="L789" s="72"/>
    </row>
    <row r="790" spans="1:12" s="54" customFormat="1" ht="24" customHeight="1" x14ac:dyDescent="0.25">
      <c r="A790" s="66"/>
      <c r="B790" s="71" t="s">
        <v>48</v>
      </c>
      <c r="C790" s="72"/>
      <c r="D790" s="72" t="s">
        <v>47</v>
      </c>
      <c r="E790" s="72"/>
      <c r="F790" s="72"/>
      <c r="G790" s="73">
        <v>31.58</v>
      </c>
      <c r="H790" s="70">
        <f t="shared" si="89"/>
        <v>31.58</v>
      </c>
      <c r="I790" s="74">
        <v>1461</v>
      </c>
      <c r="J790" s="74">
        <f>I790*H790</f>
        <v>46138.38</v>
      </c>
      <c r="K790" s="72"/>
      <c r="L790" s="72"/>
    </row>
    <row r="791" spans="1:12" s="54" customFormat="1" ht="24" customHeight="1" x14ac:dyDescent="0.25">
      <c r="A791" s="66"/>
      <c r="B791" s="71" t="s">
        <v>103</v>
      </c>
      <c r="C791" s="72"/>
      <c r="D791" s="72" t="s">
        <v>47</v>
      </c>
      <c r="E791" s="72"/>
      <c r="F791" s="72"/>
      <c r="G791" s="73">
        <v>159.29</v>
      </c>
      <c r="H791" s="70">
        <f t="shared" si="89"/>
        <v>159.29</v>
      </c>
      <c r="I791" s="74">
        <v>1461</v>
      </c>
      <c r="J791" s="74">
        <f>I791*H791</f>
        <v>232722.69</v>
      </c>
      <c r="K791" s="72"/>
      <c r="L791" s="72"/>
    </row>
    <row r="792" spans="1:12" s="54" customFormat="1" ht="24" customHeight="1" x14ac:dyDescent="0.25">
      <c r="A792" s="66"/>
      <c r="B792" s="71" t="s">
        <v>104</v>
      </c>
      <c r="C792" s="72"/>
      <c r="D792" s="72" t="s">
        <v>47</v>
      </c>
      <c r="E792" s="72"/>
      <c r="F792" s="72"/>
      <c r="G792" s="73">
        <v>141.18</v>
      </c>
      <c r="H792" s="70">
        <f t="shared" si="89"/>
        <v>141.18</v>
      </c>
      <c r="I792" s="74">
        <v>1461</v>
      </c>
      <c r="J792" s="74">
        <f>I792*H792</f>
        <v>206263.98</v>
      </c>
      <c r="K792" s="72"/>
      <c r="L792" s="72"/>
    </row>
    <row r="793" spans="1:12" s="54" customFormat="1" ht="24" customHeight="1" x14ac:dyDescent="0.25">
      <c r="A793" s="66"/>
      <c r="B793" s="71" t="s">
        <v>49</v>
      </c>
      <c r="C793" s="72"/>
      <c r="D793" s="72" t="s">
        <v>47</v>
      </c>
      <c r="E793" s="72"/>
      <c r="F793" s="72"/>
      <c r="G793" s="73">
        <v>39.32</v>
      </c>
      <c r="H793" s="70">
        <f t="shared" si="89"/>
        <v>39.32</v>
      </c>
      <c r="I793" s="74">
        <v>1610</v>
      </c>
      <c r="J793" s="74">
        <f t="shared" ref="J793:J796" si="91">I793*H793</f>
        <v>63305.2</v>
      </c>
      <c r="K793" s="72"/>
      <c r="L793" s="72"/>
    </row>
    <row r="794" spans="1:12" s="54" customFormat="1" ht="24" customHeight="1" x14ac:dyDescent="0.25">
      <c r="A794" s="66"/>
      <c r="B794" s="71" t="s">
        <v>50</v>
      </c>
      <c r="C794" s="72"/>
      <c r="D794" s="72" t="s">
        <v>51</v>
      </c>
      <c r="E794" s="72"/>
      <c r="F794" s="72"/>
      <c r="G794" s="73">
        <v>56</v>
      </c>
      <c r="H794" s="70">
        <f t="shared" si="89"/>
        <v>56</v>
      </c>
      <c r="I794" s="74">
        <v>803</v>
      </c>
      <c r="J794" s="74">
        <f t="shared" si="91"/>
        <v>44968</v>
      </c>
      <c r="K794" s="72"/>
      <c r="L794" s="72"/>
    </row>
    <row r="795" spans="1:12" s="54" customFormat="1" ht="24" customHeight="1" x14ac:dyDescent="0.25">
      <c r="A795" s="66"/>
      <c r="B795" s="71" t="s">
        <v>52</v>
      </c>
      <c r="C795" s="72" t="s">
        <v>105</v>
      </c>
      <c r="D795" s="72" t="s">
        <v>54</v>
      </c>
      <c r="E795" s="72"/>
      <c r="F795" s="72"/>
      <c r="G795" s="73">
        <v>137.57</v>
      </c>
      <c r="H795" s="70">
        <f t="shared" si="89"/>
        <v>137.57</v>
      </c>
      <c r="I795" s="74">
        <v>94.5</v>
      </c>
      <c r="J795" s="74">
        <f t="shared" si="91"/>
        <v>13000.365</v>
      </c>
      <c r="K795" s="72"/>
      <c r="L795" s="72"/>
    </row>
    <row r="796" spans="1:12" s="54" customFormat="1" ht="31.5" x14ac:dyDescent="0.25">
      <c r="A796" s="66"/>
      <c r="B796" s="71" t="s">
        <v>55</v>
      </c>
      <c r="C796" s="72"/>
      <c r="D796" s="72" t="s">
        <v>54</v>
      </c>
      <c r="E796" s="72"/>
      <c r="F796" s="72"/>
      <c r="G796" s="73">
        <v>40.68</v>
      </c>
      <c r="H796" s="70">
        <f t="shared" si="89"/>
        <v>40.68</v>
      </c>
      <c r="I796" s="74">
        <v>118</v>
      </c>
      <c r="J796" s="74">
        <f t="shared" si="91"/>
        <v>4800.24</v>
      </c>
      <c r="K796" s="72"/>
      <c r="L796" s="72"/>
    </row>
    <row r="797" spans="1:12" s="54" customFormat="1" ht="25.5" customHeight="1" x14ac:dyDescent="0.25">
      <c r="A797" s="66"/>
      <c r="B797" s="87" t="s">
        <v>56</v>
      </c>
      <c r="C797" s="88"/>
      <c r="D797" s="88" t="s">
        <v>45</v>
      </c>
      <c r="E797" s="88"/>
      <c r="F797" s="88"/>
      <c r="G797" s="73">
        <f>308.35*0.06*0.03</f>
        <v>0.55503000000000002</v>
      </c>
      <c r="H797" s="70">
        <f t="shared" si="89"/>
        <v>0.55503000000000002</v>
      </c>
      <c r="I797" s="74"/>
      <c r="J797" s="74"/>
      <c r="K797" s="88" t="s">
        <v>57</v>
      </c>
      <c r="L797" s="72"/>
    </row>
    <row r="798" spans="1:12" s="54" customFormat="1" x14ac:dyDescent="0.25">
      <c r="A798" s="75"/>
      <c r="B798" s="76" t="s">
        <v>38</v>
      </c>
      <c r="C798" s="77"/>
      <c r="D798" s="77"/>
      <c r="E798" s="77"/>
      <c r="F798" s="77"/>
      <c r="G798" s="78"/>
      <c r="H798" s="79"/>
      <c r="I798" s="80"/>
      <c r="J798" s="79">
        <f>SUM(J799:J827)</f>
        <v>335259.76731500006</v>
      </c>
      <c r="K798" s="77"/>
      <c r="L798" s="77"/>
    </row>
    <row r="799" spans="1:12" s="54" customFormat="1" ht="31.5" x14ac:dyDescent="0.25">
      <c r="A799" s="81"/>
      <c r="B799" s="82" t="s">
        <v>58</v>
      </c>
      <c r="C799" s="77" t="s">
        <v>59</v>
      </c>
      <c r="D799" s="77" t="s">
        <v>60</v>
      </c>
      <c r="E799" s="78">
        <v>12.4</v>
      </c>
      <c r="F799" s="77">
        <v>0.25</v>
      </c>
      <c r="G799" s="83">
        <f>G787/F799*E799</f>
        <v>1683.424</v>
      </c>
      <c r="H799" s="84">
        <f t="shared" ref="H799:H826" si="92">SUM(G799:G799)</f>
        <v>1683.424</v>
      </c>
      <c r="I799" s="80">
        <v>0</v>
      </c>
      <c r="J799" s="80">
        <f>H799*I799</f>
        <v>0</v>
      </c>
      <c r="K799" s="77" t="s">
        <v>61</v>
      </c>
      <c r="L799" s="77" t="s">
        <v>320</v>
      </c>
    </row>
    <row r="800" spans="1:12" s="54" customFormat="1" ht="31.5" x14ac:dyDescent="0.25">
      <c r="A800" s="81"/>
      <c r="B800" s="82" t="s">
        <v>62</v>
      </c>
      <c r="C800" s="77" t="s">
        <v>63</v>
      </c>
      <c r="D800" s="77" t="s">
        <v>60</v>
      </c>
      <c r="E800" s="78">
        <v>12.4</v>
      </c>
      <c r="F800" s="77"/>
      <c r="G800" s="83">
        <f>G789*E800</f>
        <v>1916.0480000000002</v>
      </c>
      <c r="H800" s="84">
        <f t="shared" si="92"/>
        <v>1916.0480000000002</v>
      </c>
      <c r="I800" s="80">
        <v>0</v>
      </c>
      <c r="J800" s="80">
        <f>H800*I800</f>
        <v>0</v>
      </c>
      <c r="K800" s="77" t="s">
        <v>61</v>
      </c>
      <c r="L800" s="77" t="s">
        <v>320</v>
      </c>
    </row>
    <row r="801" spans="1:12" s="54" customFormat="1" ht="31.5" x14ac:dyDescent="0.25">
      <c r="A801" s="81"/>
      <c r="B801" s="82" t="s">
        <v>64</v>
      </c>
      <c r="C801" s="77" t="s">
        <v>65</v>
      </c>
      <c r="D801" s="77" t="s">
        <v>60</v>
      </c>
      <c r="E801" s="78">
        <v>12.4</v>
      </c>
      <c r="F801" s="77"/>
      <c r="G801" s="83">
        <f>G790*E801</f>
        <v>391.59199999999998</v>
      </c>
      <c r="H801" s="84">
        <f t="shared" si="92"/>
        <v>391.59199999999998</v>
      </c>
      <c r="I801" s="80">
        <v>0</v>
      </c>
      <c r="J801" s="80">
        <f>H801*I801</f>
        <v>0</v>
      </c>
      <c r="K801" s="77" t="s">
        <v>61</v>
      </c>
      <c r="L801" s="77" t="s">
        <v>320</v>
      </c>
    </row>
    <row r="802" spans="1:12" s="54" customFormat="1" ht="31.5" x14ac:dyDescent="0.25">
      <c r="A802" s="81"/>
      <c r="B802" s="82" t="s">
        <v>106</v>
      </c>
      <c r="C802" s="77" t="s">
        <v>107</v>
      </c>
      <c r="D802" s="77" t="s">
        <v>60</v>
      </c>
      <c r="E802" s="78">
        <v>12.4</v>
      </c>
      <c r="F802" s="77"/>
      <c r="G802" s="83">
        <f>G791*E802</f>
        <v>1975.1959999999999</v>
      </c>
      <c r="H802" s="84">
        <f t="shared" si="92"/>
        <v>1975.1959999999999</v>
      </c>
      <c r="I802" s="80">
        <v>0</v>
      </c>
      <c r="J802" s="80">
        <f>H802*I802</f>
        <v>0</v>
      </c>
      <c r="K802" s="77" t="s">
        <v>61</v>
      </c>
      <c r="L802" s="77" t="s">
        <v>320</v>
      </c>
    </row>
    <row r="803" spans="1:12" s="54" customFormat="1" ht="31.5" x14ac:dyDescent="0.25">
      <c r="A803" s="81"/>
      <c r="B803" s="82" t="s">
        <v>108</v>
      </c>
      <c r="C803" s="77" t="s">
        <v>109</v>
      </c>
      <c r="D803" s="77" t="s">
        <v>60</v>
      </c>
      <c r="E803" s="78">
        <v>12.4</v>
      </c>
      <c r="F803" s="77"/>
      <c r="G803" s="83">
        <f>G792*E803</f>
        <v>1750.6320000000001</v>
      </c>
      <c r="H803" s="84">
        <f t="shared" si="92"/>
        <v>1750.6320000000001</v>
      </c>
      <c r="I803" s="80">
        <v>0</v>
      </c>
      <c r="J803" s="80">
        <f>H803*I803</f>
        <v>0</v>
      </c>
      <c r="K803" s="77" t="s">
        <v>61</v>
      </c>
      <c r="L803" s="77" t="s">
        <v>320</v>
      </c>
    </row>
    <row r="804" spans="1:12" s="54" customFormat="1" ht="31.5" x14ac:dyDescent="0.25">
      <c r="A804" s="81"/>
      <c r="B804" s="89" t="s">
        <v>66</v>
      </c>
      <c r="C804" s="77" t="s">
        <v>67</v>
      </c>
      <c r="D804" s="77" t="s">
        <v>60</v>
      </c>
      <c r="E804" s="90">
        <v>42</v>
      </c>
      <c r="F804" s="90"/>
      <c r="G804" s="83">
        <f>G793*E804</f>
        <v>1651.44</v>
      </c>
      <c r="H804" s="84">
        <f t="shared" si="92"/>
        <v>1651.44</v>
      </c>
      <c r="I804" s="80">
        <v>0</v>
      </c>
      <c r="J804" s="80">
        <f t="shared" ref="J804:J826" si="93">H804*I804</f>
        <v>0</v>
      </c>
      <c r="K804" s="77" t="s">
        <v>68</v>
      </c>
      <c r="L804" s="77" t="s">
        <v>320</v>
      </c>
    </row>
    <row r="805" spans="1:12" s="54" customFormat="1" ht="31.5" x14ac:dyDescent="0.25">
      <c r="A805" s="81"/>
      <c r="B805" s="89" t="s">
        <v>110</v>
      </c>
      <c r="C805" s="77" t="s">
        <v>111</v>
      </c>
      <c r="D805" s="77" t="s">
        <v>60</v>
      </c>
      <c r="E805" s="90">
        <v>42</v>
      </c>
      <c r="F805" s="90"/>
      <c r="G805" s="83">
        <f>G788/0.25*E805</f>
        <v>433.44</v>
      </c>
      <c r="H805" s="84">
        <f t="shared" si="92"/>
        <v>433.44</v>
      </c>
      <c r="I805" s="80">
        <v>0</v>
      </c>
      <c r="J805" s="80">
        <f t="shared" si="93"/>
        <v>0</v>
      </c>
      <c r="K805" s="77" t="s">
        <v>68</v>
      </c>
      <c r="L805" s="77" t="s">
        <v>320</v>
      </c>
    </row>
    <row r="806" spans="1:12" s="54" customFormat="1" ht="30.75" customHeight="1" x14ac:dyDescent="0.25">
      <c r="A806" s="81"/>
      <c r="B806" s="91" t="s">
        <v>69</v>
      </c>
      <c r="C806" s="77" t="s">
        <v>70</v>
      </c>
      <c r="D806" s="77" t="s">
        <v>45</v>
      </c>
      <c r="E806" s="77">
        <v>0.19500000000000001</v>
      </c>
      <c r="F806" s="90"/>
      <c r="G806" s="78">
        <f>G787*E806+G789*E806*0.19+G790*E806*0.19+G791*E806*0.09+G792*E806*0.09</f>
        <v>18.7865535</v>
      </c>
      <c r="H806" s="79">
        <f t="shared" si="92"/>
        <v>18.7865535</v>
      </c>
      <c r="I806" s="80">
        <v>7875</v>
      </c>
      <c r="J806" s="80">
        <f t="shared" si="93"/>
        <v>147944.1088125</v>
      </c>
      <c r="K806" s="77" t="s">
        <v>71</v>
      </c>
      <c r="L806" s="77" t="s">
        <v>321</v>
      </c>
    </row>
    <row r="807" spans="1:12" s="54" customFormat="1" ht="30.75" customHeight="1" x14ac:dyDescent="0.25">
      <c r="A807" s="92"/>
      <c r="B807" s="91" t="s">
        <v>112</v>
      </c>
      <c r="C807" s="77" t="s">
        <v>70</v>
      </c>
      <c r="D807" s="77" t="s">
        <v>45</v>
      </c>
      <c r="E807" s="77">
        <v>0.24</v>
      </c>
      <c r="F807" s="77"/>
      <c r="G807" s="78">
        <f>G788*E807</f>
        <v>0.61919999999999997</v>
      </c>
      <c r="H807" s="79">
        <f t="shared" si="92"/>
        <v>0.61919999999999997</v>
      </c>
      <c r="I807" s="80">
        <v>7875</v>
      </c>
      <c r="J807" s="80">
        <f t="shared" si="93"/>
        <v>4876.2</v>
      </c>
      <c r="K807" s="77" t="s">
        <v>71</v>
      </c>
      <c r="L807" s="77" t="s">
        <v>321</v>
      </c>
    </row>
    <row r="808" spans="1:12" s="54" customFormat="1" ht="30.75" customHeight="1" x14ac:dyDescent="0.25">
      <c r="A808" s="92"/>
      <c r="B808" s="91" t="s">
        <v>72</v>
      </c>
      <c r="C808" s="77" t="s">
        <v>70</v>
      </c>
      <c r="D808" s="77" t="s">
        <v>45</v>
      </c>
      <c r="E808" s="77">
        <v>4.5999999999999999E-2</v>
      </c>
      <c r="F808" s="77"/>
      <c r="G808" s="78">
        <f>G793*E808</f>
        <v>1.8087199999999999</v>
      </c>
      <c r="H808" s="79">
        <f t="shared" si="92"/>
        <v>1.8087199999999999</v>
      </c>
      <c r="I808" s="80">
        <v>7875</v>
      </c>
      <c r="J808" s="80">
        <f t="shared" si="93"/>
        <v>14243.669999999998</v>
      </c>
      <c r="K808" s="77" t="s">
        <v>73</v>
      </c>
      <c r="L808" s="77" t="s">
        <v>321</v>
      </c>
    </row>
    <row r="809" spans="1:12" s="54" customFormat="1" ht="30.75" customHeight="1" x14ac:dyDescent="0.25">
      <c r="A809" s="92"/>
      <c r="B809" s="91" t="s">
        <v>74</v>
      </c>
      <c r="C809" s="77" t="s">
        <v>70</v>
      </c>
      <c r="D809" s="77" t="s">
        <v>45</v>
      </c>
      <c r="E809" s="77">
        <v>1.01</v>
      </c>
      <c r="F809" s="77"/>
      <c r="G809" s="78">
        <f>G797*E809</f>
        <v>0.56058030000000003</v>
      </c>
      <c r="H809" s="79">
        <f t="shared" si="92"/>
        <v>0.56058030000000003</v>
      </c>
      <c r="I809" s="80">
        <v>7875</v>
      </c>
      <c r="J809" s="80">
        <f t="shared" si="93"/>
        <v>4414.5698625000005</v>
      </c>
      <c r="K809" s="77" t="s">
        <v>71</v>
      </c>
      <c r="L809" s="77" t="s">
        <v>321</v>
      </c>
    </row>
    <row r="810" spans="1:12" s="54" customFormat="1" ht="30.75" customHeight="1" x14ac:dyDescent="0.25">
      <c r="A810" s="81"/>
      <c r="B810" s="89" t="s">
        <v>75</v>
      </c>
      <c r="C810" s="77" t="s">
        <v>70</v>
      </c>
      <c r="D810" s="77" t="s">
        <v>45</v>
      </c>
      <c r="E810" s="77">
        <v>6.0000000000000001E-3</v>
      </c>
      <c r="F810" s="77"/>
      <c r="G810" s="78">
        <f>G794*E810</f>
        <v>0.33600000000000002</v>
      </c>
      <c r="H810" s="79">
        <f t="shared" si="92"/>
        <v>0.33600000000000002</v>
      </c>
      <c r="I810" s="80">
        <v>7875</v>
      </c>
      <c r="J810" s="80">
        <f t="shared" si="93"/>
        <v>2646</v>
      </c>
      <c r="K810" s="77" t="s">
        <v>76</v>
      </c>
      <c r="L810" s="77" t="s">
        <v>321</v>
      </c>
    </row>
    <row r="811" spans="1:12" s="54" customFormat="1" ht="30.75" customHeight="1" x14ac:dyDescent="0.25">
      <c r="A811" s="81"/>
      <c r="B811" s="89" t="s">
        <v>77</v>
      </c>
      <c r="C811" s="77" t="s">
        <v>70</v>
      </c>
      <c r="D811" s="77" t="s">
        <v>45</v>
      </c>
      <c r="E811" s="77">
        <v>1.01</v>
      </c>
      <c r="F811" s="77"/>
      <c r="G811" s="93">
        <v>0.08</v>
      </c>
      <c r="H811" s="79">
        <f t="shared" si="92"/>
        <v>0.08</v>
      </c>
      <c r="I811" s="80">
        <v>7875</v>
      </c>
      <c r="J811" s="80">
        <f t="shared" si="93"/>
        <v>630</v>
      </c>
      <c r="K811" s="94"/>
      <c r="L811" s="77" t="s">
        <v>321</v>
      </c>
    </row>
    <row r="812" spans="1:12" s="54" customFormat="1" ht="30.75" customHeight="1" x14ac:dyDescent="0.25">
      <c r="A812" s="81"/>
      <c r="B812" s="89" t="s">
        <v>78</v>
      </c>
      <c r="C812" s="77" t="s">
        <v>79</v>
      </c>
      <c r="D812" s="77" t="s">
        <v>47</v>
      </c>
      <c r="E812" s="77"/>
      <c r="F812" s="77"/>
      <c r="G812" s="78">
        <v>183.5</v>
      </c>
      <c r="H812" s="79">
        <f t="shared" si="92"/>
        <v>183.5</v>
      </c>
      <c r="I812" s="80">
        <v>88.34</v>
      </c>
      <c r="J812" s="80">
        <f t="shared" si="93"/>
        <v>16210.390000000001</v>
      </c>
      <c r="K812" s="94"/>
      <c r="L812" s="77" t="s">
        <v>321</v>
      </c>
    </row>
    <row r="813" spans="1:12" s="54" customFormat="1" ht="22.5" customHeight="1" x14ac:dyDescent="0.25">
      <c r="A813" s="81"/>
      <c r="B813" s="89" t="s">
        <v>113</v>
      </c>
      <c r="C813" s="77" t="s">
        <v>114</v>
      </c>
      <c r="D813" s="77" t="s">
        <v>60</v>
      </c>
      <c r="E813" s="77"/>
      <c r="F813" s="77"/>
      <c r="G813" s="78">
        <v>12</v>
      </c>
      <c r="H813" s="79">
        <f t="shared" si="92"/>
        <v>12</v>
      </c>
      <c r="I813" s="80">
        <v>398.6</v>
      </c>
      <c r="J813" s="80">
        <f t="shared" si="93"/>
        <v>4783.2000000000007</v>
      </c>
      <c r="K813" s="94"/>
      <c r="L813" s="77" t="s">
        <v>321</v>
      </c>
    </row>
    <row r="814" spans="1:12" s="54" customFormat="1" ht="22.5" customHeight="1" x14ac:dyDescent="0.25">
      <c r="A814" s="81"/>
      <c r="B814" s="89" t="s">
        <v>115</v>
      </c>
      <c r="C814" s="77" t="s">
        <v>116</v>
      </c>
      <c r="D814" s="77" t="s">
        <v>60</v>
      </c>
      <c r="E814" s="77"/>
      <c r="F814" s="77"/>
      <c r="G814" s="78">
        <v>9</v>
      </c>
      <c r="H814" s="79">
        <f t="shared" si="92"/>
        <v>9</v>
      </c>
      <c r="I814" s="80">
        <v>465.03</v>
      </c>
      <c r="J814" s="80">
        <f t="shared" si="93"/>
        <v>4185.2699999999995</v>
      </c>
      <c r="K814" s="94"/>
      <c r="L814" s="77" t="s">
        <v>321</v>
      </c>
    </row>
    <row r="815" spans="1:12" s="54" customFormat="1" ht="22.5" customHeight="1" x14ac:dyDescent="0.25">
      <c r="A815" s="81"/>
      <c r="B815" s="89" t="s">
        <v>117</v>
      </c>
      <c r="C815" s="77" t="s">
        <v>118</v>
      </c>
      <c r="D815" s="77" t="s">
        <v>60</v>
      </c>
      <c r="E815" s="77"/>
      <c r="F815" s="77"/>
      <c r="G815" s="78">
        <v>1</v>
      </c>
      <c r="H815" s="79">
        <f t="shared" si="92"/>
        <v>1</v>
      </c>
      <c r="I815" s="80">
        <v>841.49</v>
      </c>
      <c r="J815" s="80">
        <f t="shared" si="93"/>
        <v>841.49</v>
      </c>
      <c r="K815" s="94"/>
      <c r="L815" s="77" t="s">
        <v>321</v>
      </c>
    </row>
    <row r="816" spans="1:12" s="54" customFormat="1" ht="22.5" customHeight="1" x14ac:dyDescent="0.25">
      <c r="A816" s="81"/>
      <c r="B816" s="89" t="s">
        <v>119</v>
      </c>
      <c r="C816" s="77" t="s">
        <v>120</v>
      </c>
      <c r="D816" s="77" t="s">
        <v>60</v>
      </c>
      <c r="E816" s="77"/>
      <c r="F816" s="77"/>
      <c r="G816" s="78">
        <v>10</v>
      </c>
      <c r="H816" s="79">
        <f t="shared" si="92"/>
        <v>10</v>
      </c>
      <c r="I816" s="80">
        <v>981.74</v>
      </c>
      <c r="J816" s="80">
        <f t="shared" si="93"/>
        <v>9817.4</v>
      </c>
      <c r="K816" s="94"/>
      <c r="L816" s="77" t="s">
        <v>321</v>
      </c>
    </row>
    <row r="817" spans="1:12" s="54" customFormat="1" ht="22.5" customHeight="1" x14ac:dyDescent="0.25">
      <c r="A817" s="81"/>
      <c r="B817" s="89" t="s">
        <v>121</v>
      </c>
      <c r="C817" s="77" t="s">
        <v>122</v>
      </c>
      <c r="D817" s="77" t="s">
        <v>60</v>
      </c>
      <c r="E817" s="77"/>
      <c r="F817" s="77"/>
      <c r="G817" s="78">
        <v>3</v>
      </c>
      <c r="H817" s="79">
        <f t="shared" si="92"/>
        <v>3</v>
      </c>
      <c r="I817" s="80">
        <v>1291.76</v>
      </c>
      <c r="J817" s="80">
        <f t="shared" si="93"/>
        <v>3875.2799999999997</v>
      </c>
      <c r="K817" s="94"/>
      <c r="L817" s="77" t="s">
        <v>321</v>
      </c>
    </row>
    <row r="818" spans="1:12" s="54" customFormat="1" ht="22.5" customHeight="1" x14ac:dyDescent="0.25">
      <c r="A818" s="81"/>
      <c r="B818" s="89" t="s">
        <v>123</v>
      </c>
      <c r="C818" s="77" t="s">
        <v>124</v>
      </c>
      <c r="D818" s="77" t="s">
        <v>60</v>
      </c>
      <c r="E818" s="77"/>
      <c r="F818" s="77"/>
      <c r="G818" s="78">
        <v>1</v>
      </c>
      <c r="H818" s="79">
        <f t="shared" si="92"/>
        <v>1</v>
      </c>
      <c r="I818" s="80">
        <v>1845.38</v>
      </c>
      <c r="J818" s="80">
        <f t="shared" si="93"/>
        <v>1845.38</v>
      </c>
      <c r="K818" s="94"/>
      <c r="L818" s="77" t="s">
        <v>321</v>
      </c>
    </row>
    <row r="819" spans="1:12" s="54" customFormat="1" ht="22.5" customHeight="1" x14ac:dyDescent="0.25">
      <c r="A819" s="81"/>
      <c r="B819" s="89" t="s">
        <v>125</v>
      </c>
      <c r="C819" s="77" t="s">
        <v>126</v>
      </c>
      <c r="D819" s="77" t="s">
        <v>60</v>
      </c>
      <c r="E819" s="77"/>
      <c r="F819" s="77"/>
      <c r="G819" s="78">
        <v>8</v>
      </c>
      <c r="H819" s="79">
        <f t="shared" si="92"/>
        <v>8</v>
      </c>
      <c r="I819" s="80">
        <v>2029.91</v>
      </c>
      <c r="J819" s="80">
        <f t="shared" si="93"/>
        <v>16239.28</v>
      </c>
      <c r="K819" s="94"/>
      <c r="L819" s="77" t="s">
        <v>321</v>
      </c>
    </row>
    <row r="820" spans="1:12" s="54" customFormat="1" ht="22.5" customHeight="1" x14ac:dyDescent="0.25">
      <c r="A820" s="81"/>
      <c r="B820" s="89" t="s">
        <v>127</v>
      </c>
      <c r="C820" s="77" t="s">
        <v>128</v>
      </c>
      <c r="D820" s="77" t="s">
        <v>60</v>
      </c>
      <c r="E820" s="77"/>
      <c r="F820" s="77"/>
      <c r="G820" s="78">
        <v>11</v>
      </c>
      <c r="H820" s="79">
        <f t="shared" si="92"/>
        <v>11</v>
      </c>
      <c r="I820" s="80">
        <v>2398.9899999999998</v>
      </c>
      <c r="J820" s="80">
        <f t="shared" si="93"/>
        <v>26388.89</v>
      </c>
      <c r="K820" s="94"/>
      <c r="L820" s="77" t="s">
        <v>321</v>
      </c>
    </row>
    <row r="821" spans="1:12" s="54" customFormat="1" ht="22.5" customHeight="1" x14ac:dyDescent="0.25">
      <c r="A821" s="81"/>
      <c r="B821" s="89" t="s">
        <v>129</v>
      </c>
      <c r="C821" s="77" t="s">
        <v>130</v>
      </c>
      <c r="D821" s="77" t="s">
        <v>60</v>
      </c>
      <c r="E821" s="77"/>
      <c r="F821" s="77"/>
      <c r="G821" s="78">
        <v>1</v>
      </c>
      <c r="H821" s="79">
        <f t="shared" si="92"/>
        <v>1</v>
      </c>
      <c r="I821" s="80">
        <v>2583.5300000000002</v>
      </c>
      <c r="J821" s="80">
        <f t="shared" si="93"/>
        <v>2583.5300000000002</v>
      </c>
      <c r="K821" s="94"/>
      <c r="L821" s="77" t="s">
        <v>321</v>
      </c>
    </row>
    <row r="822" spans="1:12" s="54" customFormat="1" ht="22.5" customHeight="1" x14ac:dyDescent="0.25">
      <c r="A822" s="81"/>
      <c r="B822" s="89" t="s">
        <v>92</v>
      </c>
      <c r="C822" s="77" t="s">
        <v>93</v>
      </c>
      <c r="D822" s="77" t="s">
        <v>54</v>
      </c>
      <c r="E822" s="77">
        <v>1.04</v>
      </c>
      <c r="F822" s="77"/>
      <c r="G822" s="78">
        <f>155.29*E822</f>
        <v>161.5016</v>
      </c>
      <c r="H822" s="79">
        <f t="shared" si="92"/>
        <v>161.5016</v>
      </c>
      <c r="I822" s="80">
        <v>66.349999999999994</v>
      </c>
      <c r="J822" s="80">
        <f t="shared" si="93"/>
        <v>10715.631159999999</v>
      </c>
      <c r="K822" s="94"/>
      <c r="L822" s="77" t="s">
        <v>321</v>
      </c>
    </row>
    <row r="823" spans="1:12" s="54" customFormat="1" ht="22.5" customHeight="1" x14ac:dyDescent="0.25">
      <c r="A823" s="81"/>
      <c r="B823" s="89" t="s">
        <v>94</v>
      </c>
      <c r="C823" s="77" t="s">
        <v>95</v>
      </c>
      <c r="D823" s="77" t="s">
        <v>54</v>
      </c>
      <c r="E823" s="77">
        <v>1.04</v>
      </c>
      <c r="F823" s="77"/>
      <c r="G823" s="78">
        <f>G796*E823</f>
        <v>42.307200000000002</v>
      </c>
      <c r="H823" s="79">
        <f t="shared" si="92"/>
        <v>42.307200000000002</v>
      </c>
      <c r="I823" s="80">
        <v>64</v>
      </c>
      <c r="J823" s="80">
        <f t="shared" si="93"/>
        <v>2707.6608000000001</v>
      </c>
      <c r="K823" s="94"/>
      <c r="L823" s="77" t="s">
        <v>321</v>
      </c>
    </row>
    <row r="824" spans="1:12" s="54" customFormat="1" ht="22.5" customHeight="1" x14ac:dyDescent="0.25">
      <c r="A824" s="81"/>
      <c r="B824" s="89" t="s">
        <v>131</v>
      </c>
      <c r="C824" s="77" t="s">
        <v>39</v>
      </c>
      <c r="D824" s="77" t="s">
        <v>54</v>
      </c>
      <c r="E824" s="77">
        <v>1.04</v>
      </c>
      <c r="F824" s="77"/>
      <c r="G824" s="78">
        <f>85.59*E824</f>
        <v>89.013600000000011</v>
      </c>
      <c r="H824" s="79">
        <f t="shared" si="92"/>
        <v>89.013600000000011</v>
      </c>
      <c r="I824" s="80">
        <v>64.209999999999994</v>
      </c>
      <c r="J824" s="80">
        <f t="shared" si="93"/>
        <v>5715.5632560000004</v>
      </c>
      <c r="K824" s="94"/>
      <c r="L824" s="77" t="s">
        <v>321</v>
      </c>
    </row>
    <row r="825" spans="1:12" s="54" customFormat="1" ht="22.5" customHeight="1" x14ac:dyDescent="0.25">
      <c r="A825" s="81"/>
      <c r="B825" s="89" t="s">
        <v>97</v>
      </c>
      <c r="C825" s="77" t="s">
        <v>39</v>
      </c>
      <c r="D825" s="77" t="s">
        <v>54</v>
      </c>
      <c r="E825" s="77">
        <v>1.04</v>
      </c>
      <c r="F825" s="77"/>
      <c r="G825" s="78">
        <f>E825*23.1</f>
        <v>24.024000000000001</v>
      </c>
      <c r="H825" s="79">
        <f t="shared" si="92"/>
        <v>24.024000000000001</v>
      </c>
      <c r="I825" s="80">
        <v>74.92</v>
      </c>
      <c r="J825" s="80">
        <f t="shared" si="93"/>
        <v>1799.8780800000002</v>
      </c>
      <c r="K825" s="94"/>
      <c r="L825" s="77" t="s">
        <v>321</v>
      </c>
    </row>
    <row r="826" spans="1:12" s="54" customFormat="1" ht="22.5" customHeight="1" x14ac:dyDescent="0.25">
      <c r="A826" s="81"/>
      <c r="B826" s="89" t="s">
        <v>132</v>
      </c>
      <c r="C826" s="77" t="s">
        <v>39</v>
      </c>
      <c r="D826" s="77" t="s">
        <v>54</v>
      </c>
      <c r="E826" s="77">
        <v>1.04</v>
      </c>
      <c r="F826" s="77"/>
      <c r="G826" s="78">
        <f>28.88*E826</f>
        <v>30.0352</v>
      </c>
      <c r="H826" s="79">
        <f t="shared" si="92"/>
        <v>30.0352</v>
      </c>
      <c r="I826" s="80">
        <v>75.97</v>
      </c>
      <c r="J826" s="80">
        <f t="shared" si="93"/>
        <v>2281.774144</v>
      </c>
      <c r="K826" s="94"/>
      <c r="L826" s="77" t="s">
        <v>321</v>
      </c>
    </row>
    <row r="827" spans="1:12" s="101" customFormat="1" ht="40.5" customHeight="1" x14ac:dyDescent="0.25">
      <c r="A827" s="95"/>
      <c r="B827" s="96" t="s">
        <v>133</v>
      </c>
      <c r="C827" s="97" t="s">
        <v>39</v>
      </c>
      <c r="D827" s="97" t="s">
        <v>99</v>
      </c>
      <c r="E827" s="97"/>
      <c r="F827" s="97"/>
      <c r="G827" s="98"/>
      <c r="H827" s="99">
        <f>J827*100/J786</f>
        <v>4.9540518920903365</v>
      </c>
      <c r="I827" s="79"/>
      <c r="J827" s="79">
        <v>50514.601200000005</v>
      </c>
      <c r="K827" s="100"/>
      <c r="L827" s="97" t="s">
        <v>321</v>
      </c>
    </row>
    <row r="828" spans="1:12" s="54" customFormat="1" ht="19.5" customHeight="1" x14ac:dyDescent="0.25">
      <c r="A828" s="60" t="s">
        <v>168</v>
      </c>
      <c r="B828" s="61" t="s">
        <v>169</v>
      </c>
      <c r="C828" s="62"/>
      <c r="D828" s="63"/>
      <c r="E828" s="62"/>
      <c r="F828" s="62"/>
      <c r="G828" s="64"/>
      <c r="H828" s="65"/>
      <c r="I828" s="65"/>
      <c r="J828" s="65">
        <f>J829+J841</f>
        <v>1354922.102315</v>
      </c>
      <c r="K828" s="86"/>
      <c r="L828" s="86"/>
    </row>
    <row r="829" spans="1:12" s="54" customFormat="1" ht="19.5" customHeight="1" x14ac:dyDescent="0.25">
      <c r="A829" s="66"/>
      <c r="B829" s="67" t="s">
        <v>34</v>
      </c>
      <c r="C829" s="68"/>
      <c r="D829" s="68"/>
      <c r="E829" s="68"/>
      <c r="F829" s="68"/>
      <c r="G829" s="69"/>
      <c r="H829" s="70"/>
      <c r="I829" s="70"/>
      <c r="J829" s="70">
        <f>SUM(J830:J840)</f>
        <v>1019662.335</v>
      </c>
      <c r="K829" s="72"/>
      <c r="L829" s="72"/>
    </row>
    <row r="830" spans="1:12" s="54" customFormat="1" ht="22.5" customHeight="1" x14ac:dyDescent="0.25">
      <c r="A830" s="66"/>
      <c r="B830" s="71" t="s">
        <v>44</v>
      </c>
      <c r="C830" s="72"/>
      <c r="D830" s="72" t="s">
        <v>45</v>
      </c>
      <c r="E830" s="72"/>
      <c r="F830" s="72"/>
      <c r="G830" s="73">
        <v>33.94</v>
      </c>
      <c r="H830" s="70">
        <f t="shared" ref="H830:H840" si="94">SUM(G830:G830)</f>
        <v>33.94</v>
      </c>
      <c r="I830" s="74">
        <v>4939</v>
      </c>
      <c r="J830" s="74">
        <f>I830*H830</f>
        <v>167629.65999999997</v>
      </c>
      <c r="K830" s="72"/>
      <c r="L830" s="72"/>
    </row>
    <row r="831" spans="1:12" s="54" customFormat="1" ht="22.5" customHeight="1" x14ac:dyDescent="0.25">
      <c r="A831" s="66"/>
      <c r="B831" s="71" t="s">
        <v>102</v>
      </c>
      <c r="C831" s="72"/>
      <c r="D831" s="72" t="s">
        <v>45</v>
      </c>
      <c r="E831" s="72"/>
      <c r="F831" s="72"/>
      <c r="G831" s="73">
        <v>2.58</v>
      </c>
      <c r="H831" s="70">
        <f t="shared" si="94"/>
        <v>2.58</v>
      </c>
      <c r="I831" s="74">
        <v>5845</v>
      </c>
      <c r="J831" s="74">
        <f t="shared" ref="J831" si="95">I831*H831</f>
        <v>15080.1</v>
      </c>
      <c r="K831" s="72"/>
      <c r="L831" s="72"/>
    </row>
    <row r="832" spans="1:12" s="54" customFormat="1" ht="22.5" customHeight="1" x14ac:dyDescent="0.25">
      <c r="A832" s="66"/>
      <c r="B832" s="71" t="s">
        <v>46</v>
      </c>
      <c r="C832" s="72"/>
      <c r="D832" s="72" t="s">
        <v>47</v>
      </c>
      <c r="E832" s="72"/>
      <c r="F832" s="72"/>
      <c r="G832" s="73">
        <v>154.52000000000001</v>
      </c>
      <c r="H832" s="70">
        <f t="shared" si="94"/>
        <v>154.52000000000001</v>
      </c>
      <c r="I832" s="74">
        <v>1461</v>
      </c>
      <c r="J832" s="74">
        <f>I832*H832</f>
        <v>225753.72</v>
      </c>
      <c r="K832" s="72"/>
      <c r="L832" s="72"/>
    </row>
    <row r="833" spans="1:12" s="54" customFormat="1" ht="22.5" customHeight="1" x14ac:dyDescent="0.25">
      <c r="A833" s="66"/>
      <c r="B833" s="71" t="s">
        <v>48</v>
      </c>
      <c r="C833" s="72"/>
      <c r="D833" s="72" t="s">
        <v>47</v>
      </c>
      <c r="E833" s="72"/>
      <c r="F833" s="72"/>
      <c r="G833" s="73">
        <v>31.58</v>
      </c>
      <c r="H833" s="70">
        <f t="shared" si="94"/>
        <v>31.58</v>
      </c>
      <c r="I833" s="74">
        <v>1461</v>
      </c>
      <c r="J833" s="74">
        <f>I833*H833</f>
        <v>46138.38</v>
      </c>
      <c r="K833" s="72"/>
      <c r="L833" s="72"/>
    </row>
    <row r="834" spans="1:12" s="54" customFormat="1" ht="22.5" customHeight="1" x14ac:dyDescent="0.25">
      <c r="A834" s="66"/>
      <c r="B834" s="71" t="s">
        <v>103</v>
      </c>
      <c r="C834" s="72"/>
      <c r="D834" s="72" t="s">
        <v>47</v>
      </c>
      <c r="E834" s="72"/>
      <c r="F834" s="72"/>
      <c r="G834" s="73">
        <v>159.29</v>
      </c>
      <c r="H834" s="70">
        <f t="shared" si="94"/>
        <v>159.29</v>
      </c>
      <c r="I834" s="74">
        <v>1461</v>
      </c>
      <c r="J834" s="74">
        <f>I834*H834</f>
        <v>232722.69</v>
      </c>
      <c r="K834" s="72"/>
      <c r="L834" s="72"/>
    </row>
    <row r="835" spans="1:12" s="54" customFormat="1" ht="22.5" customHeight="1" x14ac:dyDescent="0.25">
      <c r="A835" s="66"/>
      <c r="B835" s="71" t="s">
        <v>104</v>
      </c>
      <c r="C835" s="72"/>
      <c r="D835" s="72" t="s">
        <v>47</v>
      </c>
      <c r="E835" s="72"/>
      <c r="F835" s="72"/>
      <c r="G835" s="73">
        <v>141.18</v>
      </c>
      <c r="H835" s="70">
        <f t="shared" si="94"/>
        <v>141.18</v>
      </c>
      <c r="I835" s="74">
        <v>1461</v>
      </c>
      <c r="J835" s="74">
        <f>I835*H835</f>
        <v>206263.98</v>
      </c>
      <c r="K835" s="72"/>
      <c r="L835" s="72"/>
    </row>
    <row r="836" spans="1:12" s="54" customFormat="1" ht="22.5" customHeight="1" x14ac:dyDescent="0.25">
      <c r="A836" s="66"/>
      <c r="B836" s="71" t="s">
        <v>49</v>
      </c>
      <c r="C836" s="72"/>
      <c r="D836" s="72" t="s">
        <v>47</v>
      </c>
      <c r="E836" s="72"/>
      <c r="F836" s="72"/>
      <c r="G836" s="73">
        <v>39.32</v>
      </c>
      <c r="H836" s="70">
        <f t="shared" si="94"/>
        <v>39.32</v>
      </c>
      <c r="I836" s="74">
        <v>1610</v>
      </c>
      <c r="J836" s="74">
        <f t="shared" ref="J836:J839" si="96">I836*H836</f>
        <v>63305.2</v>
      </c>
      <c r="K836" s="72"/>
      <c r="L836" s="72"/>
    </row>
    <row r="837" spans="1:12" s="54" customFormat="1" ht="22.5" customHeight="1" x14ac:dyDescent="0.25">
      <c r="A837" s="66"/>
      <c r="B837" s="71" t="s">
        <v>50</v>
      </c>
      <c r="C837" s="72"/>
      <c r="D837" s="72" t="s">
        <v>51</v>
      </c>
      <c r="E837" s="72"/>
      <c r="F837" s="72"/>
      <c r="G837" s="73">
        <v>56</v>
      </c>
      <c r="H837" s="70">
        <f t="shared" si="94"/>
        <v>56</v>
      </c>
      <c r="I837" s="74">
        <v>803</v>
      </c>
      <c r="J837" s="74">
        <f t="shared" si="96"/>
        <v>44968</v>
      </c>
      <c r="K837" s="72"/>
      <c r="L837" s="72"/>
    </row>
    <row r="838" spans="1:12" s="54" customFormat="1" ht="22.5" customHeight="1" x14ac:dyDescent="0.25">
      <c r="A838" s="66"/>
      <c r="B838" s="71" t="s">
        <v>52</v>
      </c>
      <c r="C838" s="72" t="s">
        <v>105</v>
      </c>
      <c r="D838" s="72" t="s">
        <v>54</v>
      </c>
      <c r="E838" s="72"/>
      <c r="F838" s="72"/>
      <c r="G838" s="73">
        <v>137.57</v>
      </c>
      <c r="H838" s="70">
        <f t="shared" si="94"/>
        <v>137.57</v>
      </c>
      <c r="I838" s="74">
        <v>94.5</v>
      </c>
      <c r="J838" s="74">
        <f t="shared" si="96"/>
        <v>13000.365</v>
      </c>
      <c r="K838" s="72"/>
      <c r="L838" s="72"/>
    </row>
    <row r="839" spans="1:12" s="54" customFormat="1" ht="35.25" customHeight="1" x14ac:dyDescent="0.25">
      <c r="A839" s="66"/>
      <c r="B839" s="71" t="s">
        <v>55</v>
      </c>
      <c r="C839" s="72"/>
      <c r="D839" s="72" t="s">
        <v>54</v>
      </c>
      <c r="E839" s="72"/>
      <c r="F839" s="72"/>
      <c r="G839" s="73">
        <v>40.68</v>
      </c>
      <c r="H839" s="70">
        <f t="shared" si="94"/>
        <v>40.68</v>
      </c>
      <c r="I839" s="74">
        <v>118</v>
      </c>
      <c r="J839" s="74">
        <f t="shared" si="96"/>
        <v>4800.24</v>
      </c>
      <c r="K839" s="72"/>
      <c r="L839" s="72"/>
    </row>
    <row r="840" spans="1:12" s="54" customFormat="1" ht="21.75" customHeight="1" x14ac:dyDescent="0.25">
      <c r="A840" s="66"/>
      <c r="B840" s="87" t="s">
        <v>56</v>
      </c>
      <c r="C840" s="88"/>
      <c r="D840" s="88" t="s">
        <v>45</v>
      </c>
      <c r="E840" s="88"/>
      <c r="F840" s="88"/>
      <c r="G840" s="73">
        <f>308.35*0.06*0.03</f>
        <v>0.55503000000000002</v>
      </c>
      <c r="H840" s="70">
        <f t="shared" si="94"/>
        <v>0.55503000000000002</v>
      </c>
      <c r="I840" s="74"/>
      <c r="J840" s="74"/>
      <c r="K840" s="88" t="s">
        <v>57</v>
      </c>
      <c r="L840" s="72"/>
    </row>
    <row r="841" spans="1:12" s="54" customFormat="1" x14ac:dyDescent="0.25">
      <c r="A841" s="75"/>
      <c r="B841" s="76" t="s">
        <v>38</v>
      </c>
      <c r="C841" s="77"/>
      <c r="D841" s="77"/>
      <c r="E841" s="77"/>
      <c r="F841" s="77"/>
      <c r="G841" s="78"/>
      <c r="H841" s="79"/>
      <c r="I841" s="80"/>
      <c r="J841" s="79">
        <f>SUM(J842:J870)</f>
        <v>335259.76731500006</v>
      </c>
      <c r="K841" s="77"/>
      <c r="L841" s="77"/>
    </row>
    <row r="842" spans="1:12" s="54" customFormat="1" ht="31.5" x14ac:dyDescent="0.25">
      <c r="A842" s="81"/>
      <c r="B842" s="82" t="s">
        <v>58</v>
      </c>
      <c r="C842" s="77" t="s">
        <v>59</v>
      </c>
      <c r="D842" s="77" t="s">
        <v>60</v>
      </c>
      <c r="E842" s="78">
        <v>12.4</v>
      </c>
      <c r="F842" s="77">
        <v>0.25</v>
      </c>
      <c r="G842" s="83">
        <f>G830/F842*E842</f>
        <v>1683.424</v>
      </c>
      <c r="H842" s="84">
        <f t="shared" ref="H842:H869" si="97">SUM(G842:G842)</f>
        <v>1683.424</v>
      </c>
      <c r="I842" s="80">
        <v>0</v>
      </c>
      <c r="J842" s="80">
        <f>H842*I842</f>
        <v>0</v>
      </c>
      <c r="K842" s="77" t="s">
        <v>61</v>
      </c>
      <c r="L842" s="77" t="s">
        <v>320</v>
      </c>
    </row>
    <row r="843" spans="1:12" s="54" customFormat="1" ht="31.5" x14ac:dyDescent="0.25">
      <c r="A843" s="81"/>
      <c r="B843" s="82" t="s">
        <v>62</v>
      </c>
      <c r="C843" s="77" t="s">
        <v>63</v>
      </c>
      <c r="D843" s="77" t="s">
        <v>60</v>
      </c>
      <c r="E843" s="78">
        <v>12.4</v>
      </c>
      <c r="F843" s="77"/>
      <c r="G843" s="83">
        <f>G832*E843</f>
        <v>1916.0480000000002</v>
      </c>
      <c r="H843" s="84">
        <f t="shared" si="97"/>
        <v>1916.0480000000002</v>
      </c>
      <c r="I843" s="80">
        <v>0</v>
      </c>
      <c r="J843" s="80">
        <f>H843*I843</f>
        <v>0</v>
      </c>
      <c r="K843" s="77" t="s">
        <v>61</v>
      </c>
      <c r="L843" s="77" t="s">
        <v>320</v>
      </c>
    </row>
    <row r="844" spans="1:12" s="54" customFormat="1" ht="31.5" x14ac:dyDescent="0.25">
      <c r="A844" s="81"/>
      <c r="B844" s="82" t="s">
        <v>64</v>
      </c>
      <c r="C844" s="77" t="s">
        <v>65</v>
      </c>
      <c r="D844" s="77" t="s">
        <v>60</v>
      </c>
      <c r="E844" s="78">
        <v>12.4</v>
      </c>
      <c r="F844" s="77"/>
      <c r="G844" s="83">
        <f>G833*E844</f>
        <v>391.59199999999998</v>
      </c>
      <c r="H844" s="84">
        <f t="shared" si="97"/>
        <v>391.59199999999998</v>
      </c>
      <c r="I844" s="80">
        <v>0</v>
      </c>
      <c r="J844" s="80">
        <f>H844*I844</f>
        <v>0</v>
      </c>
      <c r="K844" s="77" t="s">
        <v>61</v>
      </c>
      <c r="L844" s="77" t="s">
        <v>320</v>
      </c>
    </row>
    <row r="845" spans="1:12" s="54" customFormat="1" ht="31.5" x14ac:dyDescent="0.25">
      <c r="A845" s="81"/>
      <c r="B845" s="82" t="s">
        <v>106</v>
      </c>
      <c r="C845" s="77" t="s">
        <v>107</v>
      </c>
      <c r="D845" s="77" t="s">
        <v>60</v>
      </c>
      <c r="E845" s="78">
        <v>12.4</v>
      </c>
      <c r="F845" s="77"/>
      <c r="G845" s="83">
        <f>G834*E845</f>
        <v>1975.1959999999999</v>
      </c>
      <c r="H845" s="84">
        <f t="shared" si="97"/>
        <v>1975.1959999999999</v>
      </c>
      <c r="I845" s="80">
        <v>0</v>
      </c>
      <c r="J845" s="80">
        <f>H845*I845</f>
        <v>0</v>
      </c>
      <c r="K845" s="77" t="s">
        <v>61</v>
      </c>
      <c r="L845" s="77" t="s">
        <v>320</v>
      </c>
    </row>
    <row r="846" spans="1:12" s="54" customFormat="1" ht="31.5" x14ac:dyDescent="0.25">
      <c r="A846" s="81"/>
      <c r="B846" s="82" t="s">
        <v>108</v>
      </c>
      <c r="C846" s="77" t="s">
        <v>109</v>
      </c>
      <c r="D846" s="77" t="s">
        <v>60</v>
      </c>
      <c r="E846" s="78">
        <v>12.4</v>
      </c>
      <c r="F846" s="77"/>
      <c r="G846" s="83">
        <f>G835*E846</f>
        <v>1750.6320000000001</v>
      </c>
      <c r="H846" s="84">
        <f t="shared" si="97"/>
        <v>1750.6320000000001</v>
      </c>
      <c r="I846" s="80">
        <v>0</v>
      </c>
      <c r="J846" s="80">
        <f>H846*I846</f>
        <v>0</v>
      </c>
      <c r="K846" s="77" t="s">
        <v>61</v>
      </c>
      <c r="L846" s="77" t="s">
        <v>320</v>
      </c>
    </row>
    <row r="847" spans="1:12" s="54" customFormat="1" ht="31.5" x14ac:dyDescent="0.25">
      <c r="A847" s="81"/>
      <c r="B847" s="89" t="s">
        <v>66</v>
      </c>
      <c r="C847" s="77" t="s">
        <v>67</v>
      </c>
      <c r="D847" s="77" t="s">
        <v>60</v>
      </c>
      <c r="E847" s="90">
        <v>42</v>
      </c>
      <c r="F847" s="90"/>
      <c r="G847" s="83">
        <f>G836*E847</f>
        <v>1651.44</v>
      </c>
      <c r="H847" s="84">
        <f t="shared" si="97"/>
        <v>1651.44</v>
      </c>
      <c r="I847" s="80">
        <v>0</v>
      </c>
      <c r="J847" s="80">
        <f t="shared" ref="J847:J869" si="98">H847*I847</f>
        <v>0</v>
      </c>
      <c r="K847" s="77" t="s">
        <v>68</v>
      </c>
      <c r="L847" s="77" t="s">
        <v>320</v>
      </c>
    </row>
    <row r="848" spans="1:12" s="54" customFormat="1" ht="31.5" x14ac:dyDescent="0.25">
      <c r="A848" s="81"/>
      <c r="B848" s="89" t="s">
        <v>110</v>
      </c>
      <c r="C848" s="77" t="s">
        <v>111</v>
      </c>
      <c r="D848" s="77" t="s">
        <v>60</v>
      </c>
      <c r="E848" s="90">
        <v>42</v>
      </c>
      <c r="F848" s="90"/>
      <c r="G848" s="83">
        <f>G831/0.25*E848</f>
        <v>433.44</v>
      </c>
      <c r="H848" s="84">
        <f t="shared" si="97"/>
        <v>433.44</v>
      </c>
      <c r="I848" s="80">
        <v>0</v>
      </c>
      <c r="J848" s="80">
        <f t="shared" si="98"/>
        <v>0</v>
      </c>
      <c r="K848" s="77" t="s">
        <v>68</v>
      </c>
      <c r="L848" s="77" t="s">
        <v>320</v>
      </c>
    </row>
    <row r="849" spans="1:12" s="54" customFormat="1" ht="30.75" customHeight="1" x14ac:dyDescent="0.25">
      <c r="A849" s="81"/>
      <c r="B849" s="91" t="s">
        <v>69</v>
      </c>
      <c r="C849" s="77" t="s">
        <v>70</v>
      </c>
      <c r="D849" s="77" t="s">
        <v>45</v>
      </c>
      <c r="E849" s="77">
        <v>0.19500000000000001</v>
      </c>
      <c r="F849" s="90"/>
      <c r="G849" s="78">
        <f>G830*E849+G832*E849*0.19+G833*E849*0.19+G834*E849*0.09+G835*E849*0.09</f>
        <v>18.7865535</v>
      </c>
      <c r="H849" s="79">
        <f t="shared" si="97"/>
        <v>18.7865535</v>
      </c>
      <c r="I849" s="80">
        <v>7875</v>
      </c>
      <c r="J849" s="80">
        <f t="shared" si="98"/>
        <v>147944.1088125</v>
      </c>
      <c r="K849" s="77" t="s">
        <v>71</v>
      </c>
      <c r="L849" s="77" t="s">
        <v>321</v>
      </c>
    </row>
    <row r="850" spans="1:12" s="54" customFormat="1" ht="30.75" customHeight="1" x14ac:dyDescent="0.25">
      <c r="A850" s="92"/>
      <c r="B850" s="91" t="s">
        <v>112</v>
      </c>
      <c r="C850" s="77" t="s">
        <v>70</v>
      </c>
      <c r="D850" s="77" t="s">
        <v>45</v>
      </c>
      <c r="E850" s="77">
        <v>0.24</v>
      </c>
      <c r="F850" s="77"/>
      <c r="G850" s="78">
        <f>G831*E850</f>
        <v>0.61919999999999997</v>
      </c>
      <c r="H850" s="79">
        <f t="shared" si="97"/>
        <v>0.61919999999999997</v>
      </c>
      <c r="I850" s="80">
        <v>7875</v>
      </c>
      <c r="J850" s="80">
        <f t="shared" si="98"/>
        <v>4876.2</v>
      </c>
      <c r="K850" s="77" t="s">
        <v>71</v>
      </c>
      <c r="L850" s="77" t="s">
        <v>321</v>
      </c>
    </row>
    <row r="851" spans="1:12" s="54" customFormat="1" ht="30.75" customHeight="1" x14ac:dyDescent="0.25">
      <c r="A851" s="92"/>
      <c r="B851" s="91" t="s">
        <v>72</v>
      </c>
      <c r="C851" s="77" t="s">
        <v>70</v>
      </c>
      <c r="D851" s="77" t="s">
        <v>45</v>
      </c>
      <c r="E851" s="77">
        <v>4.5999999999999999E-2</v>
      </c>
      <c r="F851" s="77"/>
      <c r="G851" s="78">
        <f>G836*E851</f>
        <v>1.8087199999999999</v>
      </c>
      <c r="H851" s="79">
        <f t="shared" si="97"/>
        <v>1.8087199999999999</v>
      </c>
      <c r="I851" s="80">
        <v>7875</v>
      </c>
      <c r="J851" s="80">
        <f t="shared" si="98"/>
        <v>14243.669999999998</v>
      </c>
      <c r="K851" s="77" t="s">
        <v>73</v>
      </c>
      <c r="L851" s="77" t="s">
        <v>321</v>
      </c>
    </row>
    <row r="852" spans="1:12" s="54" customFormat="1" ht="30.75" customHeight="1" x14ac:dyDescent="0.25">
      <c r="A852" s="92"/>
      <c r="B852" s="91" t="s">
        <v>74</v>
      </c>
      <c r="C852" s="77" t="s">
        <v>70</v>
      </c>
      <c r="D852" s="77" t="s">
        <v>45</v>
      </c>
      <c r="E852" s="77">
        <v>1.01</v>
      </c>
      <c r="F852" s="77"/>
      <c r="G852" s="78">
        <f>G840*E852</f>
        <v>0.56058030000000003</v>
      </c>
      <c r="H852" s="79">
        <f t="shared" si="97"/>
        <v>0.56058030000000003</v>
      </c>
      <c r="I852" s="80">
        <v>7875</v>
      </c>
      <c r="J852" s="80">
        <f t="shared" si="98"/>
        <v>4414.5698625000005</v>
      </c>
      <c r="K852" s="77" t="s">
        <v>71</v>
      </c>
      <c r="L852" s="77" t="s">
        <v>321</v>
      </c>
    </row>
    <row r="853" spans="1:12" s="54" customFormat="1" ht="30.75" customHeight="1" x14ac:dyDescent="0.25">
      <c r="A853" s="81"/>
      <c r="B853" s="89" t="s">
        <v>75</v>
      </c>
      <c r="C853" s="77" t="s">
        <v>70</v>
      </c>
      <c r="D853" s="77" t="s">
        <v>45</v>
      </c>
      <c r="E853" s="77">
        <v>6.0000000000000001E-3</v>
      </c>
      <c r="F853" s="77"/>
      <c r="G853" s="78">
        <f>G837*E853</f>
        <v>0.33600000000000002</v>
      </c>
      <c r="H853" s="79">
        <f t="shared" si="97"/>
        <v>0.33600000000000002</v>
      </c>
      <c r="I853" s="80">
        <v>7875</v>
      </c>
      <c r="J853" s="80">
        <f t="shared" si="98"/>
        <v>2646</v>
      </c>
      <c r="K853" s="77" t="s">
        <v>76</v>
      </c>
      <c r="L853" s="77" t="s">
        <v>321</v>
      </c>
    </row>
    <row r="854" spans="1:12" s="54" customFormat="1" ht="30.75" customHeight="1" x14ac:dyDescent="0.25">
      <c r="A854" s="81"/>
      <c r="B854" s="89" t="s">
        <v>77</v>
      </c>
      <c r="C854" s="77" t="s">
        <v>70</v>
      </c>
      <c r="D854" s="77" t="s">
        <v>45</v>
      </c>
      <c r="E854" s="77">
        <v>1.01</v>
      </c>
      <c r="F854" s="77"/>
      <c r="G854" s="93">
        <v>0.08</v>
      </c>
      <c r="H854" s="79">
        <f t="shared" si="97"/>
        <v>0.08</v>
      </c>
      <c r="I854" s="80">
        <v>7875</v>
      </c>
      <c r="J854" s="80">
        <f t="shared" si="98"/>
        <v>630</v>
      </c>
      <c r="K854" s="94"/>
      <c r="L854" s="77" t="s">
        <v>321</v>
      </c>
    </row>
    <row r="855" spans="1:12" s="54" customFormat="1" ht="26.25" customHeight="1" x14ac:dyDescent="0.25">
      <c r="A855" s="81"/>
      <c r="B855" s="89" t="s">
        <v>78</v>
      </c>
      <c r="C855" s="77" t="s">
        <v>79</v>
      </c>
      <c r="D855" s="77" t="s">
        <v>47</v>
      </c>
      <c r="E855" s="77"/>
      <c r="F855" s="77"/>
      <c r="G855" s="78">
        <v>183.5</v>
      </c>
      <c r="H855" s="79">
        <f t="shared" si="97"/>
        <v>183.5</v>
      </c>
      <c r="I855" s="80">
        <v>88.34</v>
      </c>
      <c r="J855" s="80">
        <f t="shared" si="98"/>
        <v>16210.390000000001</v>
      </c>
      <c r="K855" s="94"/>
      <c r="L855" s="77" t="s">
        <v>321</v>
      </c>
    </row>
    <row r="856" spans="1:12" s="54" customFormat="1" ht="26.25" customHeight="1" x14ac:dyDescent="0.25">
      <c r="A856" s="81"/>
      <c r="B856" s="89" t="s">
        <v>113</v>
      </c>
      <c r="C856" s="77" t="s">
        <v>114</v>
      </c>
      <c r="D856" s="77" t="s">
        <v>60</v>
      </c>
      <c r="E856" s="77"/>
      <c r="F856" s="77"/>
      <c r="G856" s="78">
        <v>12</v>
      </c>
      <c r="H856" s="79">
        <f t="shared" si="97"/>
        <v>12</v>
      </c>
      <c r="I856" s="80">
        <v>398.6</v>
      </c>
      <c r="J856" s="80">
        <f t="shared" si="98"/>
        <v>4783.2000000000007</v>
      </c>
      <c r="K856" s="94"/>
      <c r="L856" s="77" t="s">
        <v>321</v>
      </c>
    </row>
    <row r="857" spans="1:12" s="54" customFormat="1" ht="26.25" customHeight="1" x14ac:dyDescent="0.25">
      <c r="A857" s="81"/>
      <c r="B857" s="89" t="s">
        <v>115</v>
      </c>
      <c r="C857" s="77" t="s">
        <v>116</v>
      </c>
      <c r="D857" s="77" t="s">
        <v>60</v>
      </c>
      <c r="E857" s="77"/>
      <c r="F857" s="77"/>
      <c r="G857" s="78">
        <v>9</v>
      </c>
      <c r="H857" s="79">
        <f t="shared" si="97"/>
        <v>9</v>
      </c>
      <c r="I857" s="80">
        <v>465.03</v>
      </c>
      <c r="J857" s="80">
        <f t="shared" si="98"/>
        <v>4185.2699999999995</v>
      </c>
      <c r="K857" s="94"/>
      <c r="L857" s="77" t="s">
        <v>321</v>
      </c>
    </row>
    <row r="858" spans="1:12" s="54" customFormat="1" ht="26.25" customHeight="1" x14ac:dyDescent="0.25">
      <c r="A858" s="81"/>
      <c r="B858" s="89" t="s">
        <v>117</v>
      </c>
      <c r="C858" s="77" t="s">
        <v>118</v>
      </c>
      <c r="D858" s="77" t="s">
        <v>60</v>
      </c>
      <c r="E858" s="77"/>
      <c r="F858" s="77"/>
      <c r="G858" s="78">
        <v>1</v>
      </c>
      <c r="H858" s="79">
        <f t="shared" si="97"/>
        <v>1</v>
      </c>
      <c r="I858" s="80">
        <v>841.49</v>
      </c>
      <c r="J858" s="80">
        <f t="shared" si="98"/>
        <v>841.49</v>
      </c>
      <c r="K858" s="94"/>
      <c r="L858" s="77" t="s">
        <v>321</v>
      </c>
    </row>
    <row r="859" spans="1:12" s="54" customFormat="1" ht="26.25" customHeight="1" x14ac:dyDescent="0.25">
      <c r="A859" s="81"/>
      <c r="B859" s="89" t="s">
        <v>119</v>
      </c>
      <c r="C859" s="77" t="s">
        <v>120</v>
      </c>
      <c r="D859" s="77" t="s">
        <v>60</v>
      </c>
      <c r="E859" s="77"/>
      <c r="F859" s="77"/>
      <c r="G859" s="78">
        <v>10</v>
      </c>
      <c r="H859" s="79">
        <f t="shared" si="97"/>
        <v>10</v>
      </c>
      <c r="I859" s="80">
        <v>981.74</v>
      </c>
      <c r="J859" s="80">
        <f t="shared" si="98"/>
        <v>9817.4</v>
      </c>
      <c r="K859" s="94"/>
      <c r="L859" s="77" t="s">
        <v>321</v>
      </c>
    </row>
    <row r="860" spans="1:12" s="54" customFormat="1" ht="26.25" customHeight="1" x14ac:dyDescent="0.25">
      <c r="A860" s="81"/>
      <c r="B860" s="89" t="s">
        <v>121</v>
      </c>
      <c r="C860" s="77" t="s">
        <v>122</v>
      </c>
      <c r="D860" s="77" t="s">
        <v>60</v>
      </c>
      <c r="E860" s="77"/>
      <c r="F860" s="77"/>
      <c r="G860" s="78">
        <v>3</v>
      </c>
      <c r="H860" s="79">
        <f t="shared" si="97"/>
        <v>3</v>
      </c>
      <c r="I860" s="80">
        <v>1291.76</v>
      </c>
      <c r="J860" s="80">
        <f t="shared" si="98"/>
        <v>3875.2799999999997</v>
      </c>
      <c r="K860" s="94"/>
      <c r="L860" s="77" t="s">
        <v>321</v>
      </c>
    </row>
    <row r="861" spans="1:12" s="54" customFormat="1" ht="26.25" customHeight="1" x14ac:dyDescent="0.25">
      <c r="A861" s="81"/>
      <c r="B861" s="89" t="s">
        <v>123</v>
      </c>
      <c r="C861" s="77" t="s">
        <v>124</v>
      </c>
      <c r="D861" s="77" t="s">
        <v>60</v>
      </c>
      <c r="E861" s="77"/>
      <c r="F861" s="77"/>
      <c r="G861" s="78">
        <v>1</v>
      </c>
      <c r="H861" s="79">
        <f t="shared" si="97"/>
        <v>1</v>
      </c>
      <c r="I861" s="80">
        <v>1845.38</v>
      </c>
      <c r="J861" s="80">
        <f t="shared" si="98"/>
        <v>1845.38</v>
      </c>
      <c r="K861" s="94"/>
      <c r="L861" s="77" t="s">
        <v>321</v>
      </c>
    </row>
    <row r="862" spans="1:12" s="54" customFormat="1" ht="26.25" customHeight="1" x14ac:dyDescent="0.25">
      <c r="A862" s="81"/>
      <c r="B862" s="89" t="s">
        <v>125</v>
      </c>
      <c r="C862" s="77" t="s">
        <v>126</v>
      </c>
      <c r="D862" s="77" t="s">
        <v>60</v>
      </c>
      <c r="E862" s="77"/>
      <c r="F862" s="77"/>
      <c r="G862" s="78">
        <v>8</v>
      </c>
      <c r="H862" s="79">
        <f t="shared" si="97"/>
        <v>8</v>
      </c>
      <c r="I862" s="80">
        <v>2029.91</v>
      </c>
      <c r="J862" s="80">
        <f t="shared" si="98"/>
        <v>16239.28</v>
      </c>
      <c r="K862" s="94"/>
      <c r="L862" s="77" t="s">
        <v>321</v>
      </c>
    </row>
    <row r="863" spans="1:12" s="54" customFormat="1" ht="26.25" customHeight="1" x14ac:dyDescent="0.25">
      <c r="A863" s="81"/>
      <c r="B863" s="89" t="s">
        <v>127</v>
      </c>
      <c r="C863" s="77" t="s">
        <v>128</v>
      </c>
      <c r="D863" s="77" t="s">
        <v>60</v>
      </c>
      <c r="E863" s="77"/>
      <c r="F863" s="77"/>
      <c r="G863" s="78">
        <v>11</v>
      </c>
      <c r="H863" s="79">
        <f t="shared" si="97"/>
        <v>11</v>
      </c>
      <c r="I863" s="80">
        <v>2398.9899999999998</v>
      </c>
      <c r="J863" s="80">
        <f t="shared" si="98"/>
        <v>26388.89</v>
      </c>
      <c r="K863" s="94"/>
      <c r="L863" s="77" t="s">
        <v>321</v>
      </c>
    </row>
    <row r="864" spans="1:12" s="54" customFormat="1" ht="26.25" customHeight="1" x14ac:dyDescent="0.25">
      <c r="A864" s="81"/>
      <c r="B864" s="89" t="s">
        <v>129</v>
      </c>
      <c r="C864" s="77" t="s">
        <v>130</v>
      </c>
      <c r="D864" s="77" t="s">
        <v>60</v>
      </c>
      <c r="E864" s="77"/>
      <c r="F864" s="77"/>
      <c r="G864" s="78">
        <v>1</v>
      </c>
      <c r="H864" s="79">
        <f t="shared" si="97"/>
        <v>1</v>
      </c>
      <c r="I864" s="80">
        <v>2583.5300000000002</v>
      </c>
      <c r="J864" s="80">
        <f t="shared" si="98"/>
        <v>2583.5300000000002</v>
      </c>
      <c r="K864" s="94"/>
      <c r="L864" s="77" t="s">
        <v>321</v>
      </c>
    </row>
    <row r="865" spans="1:12" s="54" customFormat="1" ht="26.25" customHeight="1" x14ac:dyDescent="0.25">
      <c r="A865" s="81"/>
      <c r="B865" s="89" t="s">
        <v>92</v>
      </c>
      <c r="C865" s="77" t="s">
        <v>93</v>
      </c>
      <c r="D865" s="77" t="s">
        <v>54</v>
      </c>
      <c r="E865" s="77">
        <v>1.04</v>
      </c>
      <c r="F865" s="77"/>
      <c r="G865" s="78">
        <f>155.29*E865</f>
        <v>161.5016</v>
      </c>
      <c r="H865" s="79">
        <f t="shared" si="97"/>
        <v>161.5016</v>
      </c>
      <c r="I865" s="80">
        <v>66.349999999999994</v>
      </c>
      <c r="J865" s="80">
        <f t="shared" si="98"/>
        <v>10715.631159999999</v>
      </c>
      <c r="K865" s="94"/>
      <c r="L865" s="77" t="s">
        <v>321</v>
      </c>
    </row>
    <row r="866" spans="1:12" s="54" customFormat="1" ht="26.25" customHeight="1" x14ac:dyDescent="0.25">
      <c r="A866" s="81"/>
      <c r="B866" s="89" t="s">
        <v>94</v>
      </c>
      <c r="C866" s="77" t="s">
        <v>95</v>
      </c>
      <c r="D866" s="77" t="s">
        <v>54</v>
      </c>
      <c r="E866" s="77">
        <v>1.04</v>
      </c>
      <c r="F866" s="77"/>
      <c r="G866" s="78">
        <f>G839*E866</f>
        <v>42.307200000000002</v>
      </c>
      <c r="H866" s="79">
        <f t="shared" si="97"/>
        <v>42.307200000000002</v>
      </c>
      <c r="I866" s="80">
        <v>64</v>
      </c>
      <c r="J866" s="80">
        <f t="shared" si="98"/>
        <v>2707.6608000000001</v>
      </c>
      <c r="K866" s="94"/>
      <c r="L866" s="77" t="s">
        <v>321</v>
      </c>
    </row>
    <row r="867" spans="1:12" s="54" customFormat="1" ht="26.25" customHeight="1" x14ac:dyDescent="0.25">
      <c r="A867" s="81"/>
      <c r="B867" s="89" t="s">
        <v>131</v>
      </c>
      <c r="C867" s="77" t="s">
        <v>39</v>
      </c>
      <c r="D867" s="77" t="s">
        <v>54</v>
      </c>
      <c r="E867" s="77">
        <v>1.04</v>
      </c>
      <c r="F867" s="77"/>
      <c r="G867" s="78">
        <f>85.59*E867</f>
        <v>89.013600000000011</v>
      </c>
      <c r="H867" s="79">
        <f t="shared" si="97"/>
        <v>89.013600000000011</v>
      </c>
      <c r="I867" s="80">
        <v>64.209999999999994</v>
      </c>
      <c r="J867" s="80">
        <f t="shared" si="98"/>
        <v>5715.5632560000004</v>
      </c>
      <c r="K867" s="94"/>
      <c r="L867" s="77" t="s">
        <v>321</v>
      </c>
    </row>
    <row r="868" spans="1:12" s="54" customFormat="1" ht="26.25" customHeight="1" x14ac:dyDescent="0.25">
      <c r="A868" s="81"/>
      <c r="B868" s="89" t="s">
        <v>97</v>
      </c>
      <c r="C868" s="77" t="s">
        <v>39</v>
      </c>
      <c r="D868" s="77" t="s">
        <v>54</v>
      </c>
      <c r="E868" s="77">
        <v>1.04</v>
      </c>
      <c r="F868" s="77"/>
      <c r="G868" s="78">
        <f>E868*23.1</f>
        <v>24.024000000000001</v>
      </c>
      <c r="H868" s="79">
        <f t="shared" si="97"/>
        <v>24.024000000000001</v>
      </c>
      <c r="I868" s="80">
        <v>74.92</v>
      </c>
      <c r="J868" s="80">
        <f t="shared" si="98"/>
        <v>1799.8780800000002</v>
      </c>
      <c r="K868" s="94"/>
      <c r="L868" s="77" t="s">
        <v>321</v>
      </c>
    </row>
    <row r="869" spans="1:12" s="54" customFormat="1" ht="26.25" customHeight="1" x14ac:dyDescent="0.25">
      <c r="A869" s="81"/>
      <c r="B869" s="89" t="s">
        <v>132</v>
      </c>
      <c r="C869" s="77" t="s">
        <v>39</v>
      </c>
      <c r="D869" s="77" t="s">
        <v>54</v>
      </c>
      <c r="E869" s="77">
        <v>1.04</v>
      </c>
      <c r="F869" s="77"/>
      <c r="G869" s="78">
        <f>28.88*E869</f>
        <v>30.0352</v>
      </c>
      <c r="H869" s="79">
        <f t="shared" si="97"/>
        <v>30.0352</v>
      </c>
      <c r="I869" s="80">
        <v>75.97</v>
      </c>
      <c r="J869" s="80">
        <f t="shared" si="98"/>
        <v>2281.774144</v>
      </c>
      <c r="K869" s="94"/>
      <c r="L869" s="77" t="s">
        <v>321</v>
      </c>
    </row>
    <row r="870" spans="1:12" s="101" customFormat="1" ht="33.75" customHeight="1" x14ac:dyDescent="0.25">
      <c r="A870" s="95"/>
      <c r="B870" s="96" t="s">
        <v>133</v>
      </c>
      <c r="C870" s="97" t="s">
        <v>39</v>
      </c>
      <c r="D870" s="97" t="s">
        <v>99</v>
      </c>
      <c r="E870" s="97"/>
      <c r="F870" s="97"/>
      <c r="G870" s="98"/>
      <c r="H870" s="99">
        <f>J870*100/J829</f>
        <v>4.9540518920903365</v>
      </c>
      <c r="I870" s="79"/>
      <c r="J870" s="79">
        <v>50514.601200000005</v>
      </c>
      <c r="K870" s="100"/>
      <c r="L870" s="97" t="s">
        <v>321</v>
      </c>
    </row>
    <row r="871" spans="1:12" s="54" customFormat="1" x14ac:dyDescent="0.25">
      <c r="A871" s="60" t="s">
        <v>170</v>
      </c>
      <c r="B871" s="61" t="s">
        <v>171</v>
      </c>
      <c r="C871" s="62"/>
      <c r="D871" s="63"/>
      <c r="E871" s="62"/>
      <c r="F871" s="62"/>
      <c r="G871" s="64"/>
      <c r="H871" s="65"/>
      <c r="I871" s="65"/>
      <c r="J871" s="65">
        <f>J872+J884</f>
        <v>1354922.102315</v>
      </c>
      <c r="K871" s="86"/>
      <c r="L871" s="86"/>
    </row>
    <row r="872" spans="1:12" s="54" customFormat="1" x14ac:dyDescent="0.25">
      <c r="A872" s="66"/>
      <c r="B872" s="67" t="s">
        <v>34</v>
      </c>
      <c r="C872" s="68"/>
      <c r="D872" s="68"/>
      <c r="E872" s="68"/>
      <c r="F872" s="68"/>
      <c r="G872" s="69"/>
      <c r="H872" s="70"/>
      <c r="I872" s="70"/>
      <c r="J872" s="70">
        <f>SUM(J873:J883)</f>
        <v>1019662.335</v>
      </c>
      <c r="K872" s="72"/>
      <c r="L872" s="72"/>
    </row>
    <row r="873" spans="1:12" s="54" customFormat="1" ht="22.5" customHeight="1" x14ac:dyDescent="0.25">
      <c r="A873" s="66"/>
      <c r="B873" s="71" t="s">
        <v>44</v>
      </c>
      <c r="C873" s="72"/>
      <c r="D873" s="72" t="s">
        <v>45</v>
      </c>
      <c r="E873" s="72"/>
      <c r="F873" s="72"/>
      <c r="G873" s="73">
        <v>33.94</v>
      </c>
      <c r="H873" s="70">
        <f t="shared" ref="H873:H883" si="99">SUM(G873:G873)</f>
        <v>33.94</v>
      </c>
      <c r="I873" s="74">
        <v>4939</v>
      </c>
      <c r="J873" s="74">
        <f>I873*H873</f>
        <v>167629.65999999997</v>
      </c>
      <c r="K873" s="72"/>
      <c r="L873" s="72"/>
    </row>
    <row r="874" spans="1:12" s="54" customFormat="1" ht="22.5" customHeight="1" x14ac:dyDescent="0.25">
      <c r="A874" s="66"/>
      <c r="B874" s="71" t="s">
        <v>102</v>
      </c>
      <c r="C874" s="72"/>
      <c r="D874" s="72" t="s">
        <v>45</v>
      </c>
      <c r="E874" s="72"/>
      <c r="F874" s="72"/>
      <c r="G874" s="73">
        <v>2.58</v>
      </c>
      <c r="H874" s="70">
        <f t="shared" si="99"/>
        <v>2.58</v>
      </c>
      <c r="I874" s="74">
        <v>5845</v>
      </c>
      <c r="J874" s="74">
        <f t="shared" ref="J874" si="100">I874*H874</f>
        <v>15080.1</v>
      </c>
      <c r="K874" s="72"/>
      <c r="L874" s="72"/>
    </row>
    <row r="875" spans="1:12" s="54" customFormat="1" ht="22.5" customHeight="1" x14ac:dyDescent="0.25">
      <c r="A875" s="66"/>
      <c r="B875" s="71" t="s">
        <v>46</v>
      </c>
      <c r="C875" s="72"/>
      <c r="D875" s="72" t="s">
        <v>47</v>
      </c>
      <c r="E875" s="72"/>
      <c r="F875" s="72"/>
      <c r="G875" s="73">
        <v>154.52000000000001</v>
      </c>
      <c r="H875" s="70">
        <f t="shared" si="99"/>
        <v>154.52000000000001</v>
      </c>
      <c r="I875" s="74">
        <v>1461</v>
      </c>
      <c r="J875" s="74">
        <f>I875*H875</f>
        <v>225753.72</v>
      </c>
      <c r="K875" s="72"/>
      <c r="L875" s="72"/>
    </row>
    <row r="876" spans="1:12" s="54" customFormat="1" ht="22.5" customHeight="1" x14ac:dyDescent="0.25">
      <c r="A876" s="66"/>
      <c r="B876" s="71" t="s">
        <v>48</v>
      </c>
      <c r="C876" s="72"/>
      <c r="D876" s="72" t="s">
        <v>47</v>
      </c>
      <c r="E876" s="72"/>
      <c r="F876" s="72"/>
      <c r="G876" s="73">
        <v>31.58</v>
      </c>
      <c r="H876" s="70">
        <f t="shared" si="99"/>
        <v>31.58</v>
      </c>
      <c r="I876" s="74">
        <v>1461</v>
      </c>
      <c r="J876" s="74">
        <f>I876*H876</f>
        <v>46138.38</v>
      </c>
      <c r="K876" s="72"/>
      <c r="L876" s="72"/>
    </row>
    <row r="877" spans="1:12" s="54" customFormat="1" ht="22.5" customHeight="1" x14ac:dyDescent="0.25">
      <c r="A877" s="66"/>
      <c r="B877" s="71" t="s">
        <v>103</v>
      </c>
      <c r="C877" s="72"/>
      <c r="D877" s="72" t="s">
        <v>47</v>
      </c>
      <c r="E877" s="72"/>
      <c r="F877" s="72"/>
      <c r="G877" s="73">
        <v>159.29</v>
      </c>
      <c r="H877" s="70">
        <f t="shared" si="99"/>
        <v>159.29</v>
      </c>
      <c r="I877" s="74">
        <v>1461</v>
      </c>
      <c r="J877" s="74">
        <f>I877*H877</f>
        <v>232722.69</v>
      </c>
      <c r="K877" s="72"/>
      <c r="L877" s="72"/>
    </row>
    <row r="878" spans="1:12" s="54" customFormat="1" ht="22.5" customHeight="1" x14ac:dyDescent="0.25">
      <c r="A878" s="66"/>
      <c r="B878" s="71" t="s">
        <v>104</v>
      </c>
      <c r="C878" s="72"/>
      <c r="D878" s="72" t="s">
        <v>47</v>
      </c>
      <c r="E878" s="72"/>
      <c r="F878" s="72"/>
      <c r="G878" s="73">
        <v>141.18</v>
      </c>
      <c r="H878" s="70">
        <f t="shared" si="99"/>
        <v>141.18</v>
      </c>
      <c r="I878" s="74">
        <v>1461</v>
      </c>
      <c r="J878" s="74">
        <f>I878*H878</f>
        <v>206263.98</v>
      </c>
      <c r="K878" s="72"/>
      <c r="L878" s="72"/>
    </row>
    <row r="879" spans="1:12" s="54" customFormat="1" ht="22.5" customHeight="1" x14ac:dyDescent="0.25">
      <c r="A879" s="66"/>
      <c r="B879" s="71" t="s">
        <v>49</v>
      </c>
      <c r="C879" s="72"/>
      <c r="D879" s="72" t="s">
        <v>47</v>
      </c>
      <c r="E879" s="72"/>
      <c r="F879" s="72"/>
      <c r="G879" s="73">
        <v>39.32</v>
      </c>
      <c r="H879" s="70">
        <f t="shared" si="99"/>
        <v>39.32</v>
      </c>
      <c r="I879" s="74">
        <v>1610</v>
      </c>
      <c r="J879" s="74">
        <f t="shared" ref="J879:J882" si="101">I879*H879</f>
        <v>63305.2</v>
      </c>
      <c r="K879" s="72"/>
      <c r="L879" s="72"/>
    </row>
    <row r="880" spans="1:12" s="54" customFormat="1" ht="22.5" customHeight="1" x14ac:dyDescent="0.25">
      <c r="A880" s="66"/>
      <c r="B880" s="71" t="s">
        <v>50</v>
      </c>
      <c r="C880" s="72"/>
      <c r="D880" s="72" t="s">
        <v>51</v>
      </c>
      <c r="E880" s="72"/>
      <c r="F880" s="72"/>
      <c r="G880" s="73">
        <v>56</v>
      </c>
      <c r="H880" s="70">
        <f t="shared" si="99"/>
        <v>56</v>
      </c>
      <c r="I880" s="74">
        <v>803</v>
      </c>
      <c r="J880" s="74">
        <f t="shared" si="101"/>
        <v>44968</v>
      </c>
      <c r="K880" s="72"/>
      <c r="L880" s="72"/>
    </row>
    <row r="881" spans="1:12" s="54" customFormat="1" ht="22.5" customHeight="1" x14ac:dyDescent="0.25">
      <c r="A881" s="66"/>
      <c r="B881" s="71" t="s">
        <v>52</v>
      </c>
      <c r="C881" s="72" t="s">
        <v>105</v>
      </c>
      <c r="D881" s="72" t="s">
        <v>54</v>
      </c>
      <c r="E881" s="72"/>
      <c r="F881" s="72"/>
      <c r="G881" s="73">
        <v>137.57</v>
      </c>
      <c r="H881" s="70">
        <f t="shared" si="99"/>
        <v>137.57</v>
      </c>
      <c r="I881" s="74">
        <v>94.5</v>
      </c>
      <c r="J881" s="74">
        <f t="shared" si="101"/>
        <v>13000.365</v>
      </c>
      <c r="K881" s="72"/>
      <c r="L881" s="72"/>
    </row>
    <row r="882" spans="1:12" s="54" customFormat="1" ht="31.5" x14ac:dyDescent="0.25">
      <c r="A882" s="66"/>
      <c r="B882" s="71" t="s">
        <v>55</v>
      </c>
      <c r="C882" s="72"/>
      <c r="D882" s="72" t="s">
        <v>54</v>
      </c>
      <c r="E882" s="72"/>
      <c r="F882" s="72"/>
      <c r="G882" s="73">
        <v>40.68</v>
      </c>
      <c r="H882" s="70">
        <f t="shared" si="99"/>
        <v>40.68</v>
      </c>
      <c r="I882" s="74">
        <v>118</v>
      </c>
      <c r="J882" s="74">
        <f t="shared" si="101"/>
        <v>4800.24</v>
      </c>
      <c r="K882" s="72"/>
      <c r="L882" s="72"/>
    </row>
    <row r="883" spans="1:12" s="54" customFormat="1" ht="24.75" customHeight="1" x14ac:dyDescent="0.25">
      <c r="A883" s="66"/>
      <c r="B883" s="87" t="s">
        <v>56</v>
      </c>
      <c r="C883" s="88"/>
      <c r="D883" s="88" t="s">
        <v>45</v>
      </c>
      <c r="E883" s="88"/>
      <c r="F883" s="88"/>
      <c r="G883" s="73">
        <f>308.35*0.06*0.03</f>
        <v>0.55503000000000002</v>
      </c>
      <c r="H883" s="70">
        <f t="shared" si="99"/>
        <v>0.55503000000000002</v>
      </c>
      <c r="I883" s="74"/>
      <c r="J883" s="74"/>
      <c r="K883" s="88" t="s">
        <v>57</v>
      </c>
      <c r="L883" s="72"/>
    </row>
    <row r="884" spans="1:12" s="54" customFormat="1" x14ac:dyDescent="0.25">
      <c r="A884" s="75"/>
      <c r="B884" s="76" t="s">
        <v>38</v>
      </c>
      <c r="C884" s="77"/>
      <c r="D884" s="77"/>
      <c r="E884" s="77"/>
      <c r="F884" s="77"/>
      <c r="G884" s="78"/>
      <c r="H884" s="79"/>
      <c r="I884" s="80"/>
      <c r="J884" s="79">
        <f>SUM(J885:J913)</f>
        <v>335259.76731500006</v>
      </c>
      <c r="K884" s="77"/>
      <c r="L884" s="77"/>
    </row>
    <row r="885" spans="1:12" s="54" customFormat="1" ht="31.5" x14ac:dyDescent="0.25">
      <c r="A885" s="81"/>
      <c r="B885" s="82" t="s">
        <v>58</v>
      </c>
      <c r="C885" s="77" t="s">
        <v>59</v>
      </c>
      <c r="D885" s="77" t="s">
        <v>60</v>
      </c>
      <c r="E885" s="78">
        <v>12.4</v>
      </c>
      <c r="F885" s="77">
        <v>0.25</v>
      </c>
      <c r="G885" s="83">
        <f>G873/F885*E885</f>
        <v>1683.424</v>
      </c>
      <c r="H885" s="84">
        <f t="shared" ref="H885:H912" si="102">SUM(G885:G885)</f>
        <v>1683.424</v>
      </c>
      <c r="I885" s="80">
        <v>0</v>
      </c>
      <c r="J885" s="80">
        <f>H885*I885</f>
        <v>0</v>
      </c>
      <c r="K885" s="77" t="s">
        <v>61</v>
      </c>
      <c r="L885" s="77" t="s">
        <v>320</v>
      </c>
    </row>
    <row r="886" spans="1:12" s="54" customFormat="1" ht="31.5" x14ac:dyDescent="0.25">
      <c r="A886" s="81"/>
      <c r="B886" s="82" t="s">
        <v>62</v>
      </c>
      <c r="C886" s="77" t="s">
        <v>63</v>
      </c>
      <c r="D886" s="77" t="s">
        <v>60</v>
      </c>
      <c r="E886" s="78">
        <v>12.4</v>
      </c>
      <c r="F886" s="77"/>
      <c r="G886" s="83">
        <f>G875*E886</f>
        <v>1916.0480000000002</v>
      </c>
      <c r="H886" s="84">
        <f t="shared" si="102"/>
        <v>1916.0480000000002</v>
      </c>
      <c r="I886" s="80">
        <v>0</v>
      </c>
      <c r="J886" s="80">
        <f>H886*I886</f>
        <v>0</v>
      </c>
      <c r="K886" s="77" t="s">
        <v>61</v>
      </c>
      <c r="L886" s="77" t="s">
        <v>320</v>
      </c>
    </row>
    <row r="887" spans="1:12" s="54" customFormat="1" ht="31.5" x14ac:dyDescent="0.25">
      <c r="A887" s="81"/>
      <c r="B887" s="82" t="s">
        <v>64</v>
      </c>
      <c r="C887" s="77" t="s">
        <v>65</v>
      </c>
      <c r="D887" s="77" t="s">
        <v>60</v>
      </c>
      <c r="E887" s="78">
        <v>12.4</v>
      </c>
      <c r="F887" s="77"/>
      <c r="G887" s="83">
        <f>G876*E887</f>
        <v>391.59199999999998</v>
      </c>
      <c r="H887" s="84">
        <f t="shared" si="102"/>
        <v>391.59199999999998</v>
      </c>
      <c r="I887" s="80">
        <v>0</v>
      </c>
      <c r="J887" s="80">
        <f>H887*I887</f>
        <v>0</v>
      </c>
      <c r="K887" s="77" t="s">
        <v>61</v>
      </c>
      <c r="L887" s="77" t="s">
        <v>320</v>
      </c>
    </row>
    <row r="888" spans="1:12" s="54" customFormat="1" ht="31.5" x14ac:dyDescent="0.25">
      <c r="A888" s="81"/>
      <c r="B888" s="82" t="s">
        <v>106</v>
      </c>
      <c r="C888" s="77" t="s">
        <v>107</v>
      </c>
      <c r="D888" s="77" t="s">
        <v>60</v>
      </c>
      <c r="E888" s="78">
        <v>12.4</v>
      </c>
      <c r="F888" s="77"/>
      <c r="G888" s="83">
        <f>G877*E888</f>
        <v>1975.1959999999999</v>
      </c>
      <c r="H888" s="84">
        <f t="shared" si="102"/>
        <v>1975.1959999999999</v>
      </c>
      <c r="I888" s="80">
        <v>0</v>
      </c>
      <c r="J888" s="80">
        <f>H888*I888</f>
        <v>0</v>
      </c>
      <c r="K888" s="77" t="s">
        <v>61</v>
      </c>
      <c r="L888" s="77" t="s">
        <v>320</v>
      </c>
    </row>
    <row r="889" spans="1:12" s="54" customFormat="1" ht="31.5" x14ac:dyDescent="0.25">
      <c r="A889" s="81"/>
      <c r="B889" s="82" t="s">
        <v>108</v>
      </c>
      <c r="C889" s="77" t="s">
        <v>109</v>
      </c>
      <c r="D889" s="77" t="s">
        <v>60</v>
      </c>
      <c r="E889" s="78">
        <v>12.4</v>
      </c>
      <c r="F889" s="77"/>
      <c r="G889" s="83">
        <f>G878*E889</f>
        <v>1750.6320000000001</v>
      </c>
      <c r="H889" s="84">
        <f t="shared" si="102"/>
        <v>1750.6320000000001</v>
      </c>
      <c r="I889" s="80">
        <v>0</v>
      </c>
      <c r="J889" s="80">
        <f>H889*I889</f>
        <v>0</v>
      </c>
      <c r="K889" s="77" t="s">
        <v>61</v>
      </c>
      <c r="L889" s="77" t="s">
        <v>320</v>
      </c>
    </row>
    <row r="890" spans="1:12" s="54" customFormat="1" ht="31.5" x14ac:dyDescent="0.25">
      <c r="A890" s="81"/>
      <c r="B890" s="89" t="s">
        <v>66</v>
      </c>
      <c r="C890" s="77" t="s">
        <v>67</v>
      </c>
      <c r="D890" s="77" t="s">
        <v>60</v>
      </c>
      <c r="E890" s="90">
        <v>42</v>
      </c>
      <c r="F890" s="90"/>
      <c r="G890" s="83">
        <f>G879*E890</f>
        <v>1651.44</v>
      </c>
      <c r="H890" s="84">
        <f t="shared" si="102"/>
        <v>1651.44</v>
      </c>
      <c r="I890" s="80">
        <v>0</v>
      </c>
      <c r="J890" s="80">
        <f t="shared" ref="J890:J912" si="103">H890*I890</f>
        <v>0</v>
      </c>
      <c r="K890" s="77" t="s">
        <v>68</v>
      </c>
      <c r="L890" s="77" t="s">
        <v>320</v>
      </c>
    </row>
    <row r="891" spans="1:12" s="54" customFormat="1" ht="31.5" x14ac:dyDescent="0.25">
      <c r="A891" s="81"/>
      <c r="B891" s="89" t="s">
        <v>110</v>
      </c>
      <c r="C891" s="77" t="s">
        <v>111</v>
      </c>
      <c r="D891" s="77" t="s">
        <v>60</v>
      </c>
      <c r="E891" s="90">
        <v>42</v>
      </c>
      <c r="F891" s="90"/>
      <c r="G891" s="83">
        <f>G874/0.25*E891</f>
        <v>433.44</v>
      </c>
      <c r="H891" s="84">
        <f t="shared" si="102"/>
        <v>433.44</v>
      </c>
      <c r="I891" s="80">
        <v>0</v>
      </c>
      <c r="J891" s="80">
        <f t="shared" si="103"/>
        <v>0</v>
      </c>
      <c r="K891" s="77" t="s">
        <v>68</v>
      </c>
      <c r="L891" s="77" t="s">
        <v>320</v>
      </c>
    </row>
    <row r="892" spans="1:12" s="54" customFormat="1" ht="33" customHeight="1" x14ac:dyDescent="0.25">
      <c r="A892" s="81"/>
      <c r="B892" s="91" t="s">
        <v>69</v>
      </c>
      <c r="C892" s="77" t="s">
        <v>70</v>
      </c>
      <c r="D892" s="77" t="s">
        <v>45</v>
      </c>
      <c r="E892" s="77">
        <v>0.19500000000000001</v>
      </c>
      <c r="F892" s="90"/>
      <c r="G892" s="78">
        <f>G873*E892+G875*E892*0.19+G876*E892*0.19+G877*E892*0.09+G878*E892*0.09</f>
        <v>18.7865535</v>
      </c>
      <c r="H892" s="79">
        <f t="shared" si="102"/>
        <v>18.7865535</v>
      </c>
      <c r="I892" s="80">
        <v>7875</v>
      </c>
      <c r="J892" s="80">
        <f t="shared" si="103"/>
        <v>147944.1088125</v>
      </c>
      <c r="K892" s="77" t="s">
        <v>71</v>
      </c>
      <c r="L892" s="77" t="s">
        <v>321</v>
      </c>
    </row>
    <row r="893" spans="1:12" s="54" customFormat="1" ht="33" customHeight="1" x14ac:dyDescent="0.25">
      <c r="A893" s="92"/>
      <c r="B893" s="91" t="s">
        <v>112</v>
      </c>
      <c r="C893" s="77" t="s">
        <v>70</v>
      </c>
      <c r="D893" s="77" t="s">
        <v>45</v>
      </c>
      <c r="E893" s="77">
        <v>0.24</v>
      </c>
      <c r="F893" s="77"/>
      <c r="G893" s="78">
        <f>G874*E893</f>
        <v>0.61919999999999997</v>
      </c>
      <c r="H893" s="79">
        <f t="shared" si="102"/>
        <v>0.61919999999999997</v>
      </c>
      <c r="I893" s="80">
        <v>7875</v>
      </c>
      <c r="J893" s="80">
        <f t="shared" si="103"/>
        <v>4876.2</v>
      </c>
      <c r="K893" s="77" t="s">
        <v>71</v>
      </c>
      <c r="L893" s="77" t="s">
        <v>321</v>
      </c>
    </row>
    <row r="894" spans="1:12" s="54" customFormat="1" ht="33" customHeight="1" x14ac:dyDescent="0.25">
      <c r="A894" s="92"/>
      <c r="B894" s="91" t="s">
        <v>72</v>
      </c>
      <c r="C894" s="77" t="s">
        <v>70</v>
      </c>
      <c r="D894" s="77" t="s">
        <v>45</v>
      </c>
      <c r="E894" s="77">
        <v>4.5999999999999999E-2</v>
      </c>
      <c r="F894" s="77"/>
      <c r="G894" s="78">
        <f>G879*E894</f>
        <v>1.8087199999999999</v>
      </c>
      <c r="H894" s="79">
        <f t="shared" si="102"/>
        <v>1.8087199999999999</v>
      </c>
      <c r="I894" s="80">
        <v>7875</v>
      </c>
      <c r="J894" s="80">
        <f t="shared" si="103"/>
        <v>14243.669999999998</v>
      </c>
      <c r="K894" s="77" t="s">
        <v>73</v>
      </c>
      <c r="L894" s="77" t="s">
        <v>321</v>
      </c>
    </row>
    <row r="895" spans="1:12" s="54" customFormat="1" ht="33" customHeight="1" x14ac:dyDescent="0.25">
      <c r="A895" s="92"/>
      <c r="B895" s="91" t="s">
        <v>74</v>
      </c>
      <c r="C895" s="77" t="s">
        <v>70</v>
      </c>
      <c r="D895" s="77" t="s">
        <v>45</v>
      </c>
      <c r="E895" s="77">
        <v>1.01</v>
      </c>
      <c r="F895" s="77"/>
      <c r="G895" s="78">
        <f>G883*E895</f>
        <v>0.56058030000000003</v>
      </c>
      <c r="H895" s="79">
        <f t="shared" si="102"/>
        <v>0.56058030000000003</v>
      </c>
      <c r="I895" s="80">
        <v>7875</v>
      </c>
      <c r="J895" s="80">
        <f t="shared" si="103"/>
        <v>4414.5698625000005</v>
      </c>
      <c r="K895" s="77" t="s">
        <v>71</v>
      </c>
      <c r="L895" s="77" t="s">
        <v>321</v>
      </c>
    </row>
    <row r="896" spans="1:12" s="54" customFormat="1" ht="33" customHeight="1" x14ac:dyDescent="0.25">
      <c r="A896" s="81"/>
      <c r="B896" s="89" t="s">
        <v>75</v>
      </c>
      <c r="C896" s="77" t="s">
        <v>70</v>
      </c>
      <c r="D896" s="77" t="s">
        <v>45</v>
      </c>
      <c r="E896" s="77">
        <v>6.0000000000000001E-3</v>
      </c>
      <c r="F896" s="77"/>
      <c r="G896" s="78">
        <f>G880*E896</f>
        <v>0.33600000000000002</v>
      </c>
      <c r="H896" s="79">
        <f t="shared" si="102"/>
        <v>0.33600000000000002</v>
      </c>
      <c r="I896" s="80">
        <v>7875</v>
      </c>
      <c r="J896" s="80">
        <f t="shared" si="103"/>
        <v>2646</v>
      </c>
      <c r="K896" s="77" t="s">
        <v>76</v>
      </c>
      <c r="L896" s="77" t="s">
        <v>321</v>
      </c>
    </row>
    <row r="897" spans="1:12" s="54" customFormat="1" ht="33" customHeight="1" x14ac:dyDescent="0.25">
      <c r="A897" s="81"/>
      <c r="B897" s="89" t="s">
        <v>77</v>
      </c>
      <c r="C897" s="77" t="s">
        <v>70</v>
      </c>
      <c r="D897" s="77" t="s">
        <v>45</v>
      </c>
      <c r="E897" s="77">
        <v>1.01</v>
      </c>
      <c r="F897" s="77"/>
      <c r="G897" s="93">
        <v>0.08</v>
      </c>
      <c r="H897" s="79">
        <f t="shared" si="102"/>
        <v>0.08</v>
      </c>
      <c r="I897" s="80">
        <v>7875</v>
      </c>
      <c r="J897" s="80">
        <f t="shared" si="103"/>
        <v>630</v>
      </c>
      <c r="K897" s="94"/>
      <c r="L897" s="77" t="s">
        <v>321</v>
      </c>
    </row>
    <row r="898" spans="1:12" s="54" customFormat="1" ht="26.25" customHeight="1" x14ac:dyDescent="0.25">
      <c r="A898" s="81"/>
      <c r="B898" s="89" t="s">
        <v>78</v>
      </c>
      <c r="C898" s="77" t="s">
        <v>79</v>
      </c>
      <c r="D898" s="77" t="s">
        <v>47</v>
      </c>
      <c r="E898" s="77"/>
      <c r="F898" s="77"/>
      <c r="G898" s="78">
        <v>183.5</v>
      </c>
      <c r="H898" s="79">
        <f t="shared" si="102"/>
        <v>183.5</v>
      </c>
      <c r="I898" s="80">
        <v>88.34</v>
      </c>
      <c r="J898" s="80">
        <f t="shared" si="103"/>
        <v>16210.390000000001</v>
      </c>
      <c r="K898" s="94"/>
      <c r="L898" s="77" t="s">
        <v>321</v>
      </c>
    </row>
    <row r="899" spans="1:12" s="54" customFormat="1" ht="26.25" customHeight="1" x14ac:dyDescent="0.25">
      <c r="A899" s="81"/>
      <c r="B899" s="89" t="s">
        <v>113</v>
      </c>
      <c r="C899" s="77" t="s">
        <v>114</v>
      </c>
      <c r="D899" s="77" t="s">
        <v>60</v>
      </c>
      <c r="E899" s="77"/>
      <c r="F899" s="77"/>
      <c r="G899" s="78">
        <v>12</v>
      </c>
      <c r="H899" s="79">
        <f t="shared" si="102"/>
        <v>12</v>
      </c>
      <c r="I899" s="80">
        <v>398.6</v>
      </c>
      <c r="J899" s="80">
        <f t="shared" si="103"/>
        <v>4783.2000000000007</v>
      </c>
      <c r="K899" s="94"/>
      <c r="L899" s="77" t="s">
        <v>321</v>
      </c>
    </row>
    <row r="900" spans="1:12" s="54" customFormat="1" ht="26.25" customHeight="1" x14ac:dyDescent="0.25">
      <c r="A900" s="81"/>
      <c r="B900" s="89" t="s">
        <v>115</v>
      </c>
      <c r="C900" s="77" t="s">
        <v>116</v>
      </c>
      <c r="D900" s="77" t="s">
        <v>60</v>
      </c>
      <c r="E900" s="77"/>
      <c r="F900" s="77"/>
      <c r="G900" s="78">
        <v>9</v>
      </c>
      <c r="H900" s="79">
        <f t="shared" si="102"/>
        <v>9</v>
      </c>
      <c r="I900" s="80">
        <v>465.03</v>
      </c>
      <c r="J900" s="80">
        <f t="shared" si="103"/>
        <v>4185.2699999999995</v>
      </c>
      <c r="K900" s="94"/>
      <c r="L900" s="77" t="s">
        <v>321</v>
      </c>
    </row>
    <row r="901" spans="1:12" s="54" customFormat="1" ht="26.25" customHeight="1" x14ac:dyDescent="0.25">
      <c r="A901" s="81"/>
      <c r="B901" s="89" t="s">
        <v>117</v>
      </c>
      <c r="C901" s="77" t="s">
        <v>118</v>
      </c>
      <c r="D901" s="77" t="s">
        <v>60</v>
      </c>
      <c r="E901" s="77"/>
      <c r="F901" s="77"/>
      <c r="G901" s="78">
        <v>1</v>
      </c>
      <c r="H901" s="79">
        <f t="shared" si="102"/>
        <v>1</v>
      </c>
      <c r="I901" s="80">
        <v>841.49</v>
      </c>
      <c r="J901" s="80">
        <f t="shared" si="103"/>
        <v>841.49</v>
      </c>
      <c r="K901" s="94"/>
      <c r="L901" s="77" t="s">
        <v>321</v>
      </c>
    </row>
    <row r="902" spans="1:12" s="54" customFormat="1" ht="26.25" customHeight="1" x14ac:dyDescent="0.25">
      <c r="A902" s="81"/>
      <c r="B902" s="89" t="s">
        <v>119</v>
      </c>
      <c r="C902" s="77" t="s">
        <v>120</v>
      </c>
      <c r="D902" s="77" t="s">
        <v>60</v>
      </c>
      <c r="E902" s="77"/>
      <c r="F902" s="77"/>
      <c r="G902" s="78">
        <v>10</v>
      </c>
      <c r="H902" s="79">
        <f t="shared" si="102"/>
        <v>10</v>
      </c>
      <c r="I902" s="80">
        <v>981.74</v>
      </c>
      <c r="J902" s="80">
        <f t="shared" si="103"/>
        <v>9817.4</v>
      </c>
      <c r="K902" s="94"/>
      <c r="L902" s="77" t="s">
        <v>321</v>
      </c>
    </row>
    <row r="903" spans="1:12" s="54" customFormat="1" ht="26.25" customHeight="1" x14ac:dyDescent="0.25">
      <c r="A903" s="81"/>
      <c r="B903" s="89" t="s">
        <v>121</v>
      </c>
      <c r="C903" s="77" t="s">
        <v>122</v>
      </c>
      <c r="D903" s="77" t="s">
        <v>60</v>
      </c>
      <c r="E903" s="77"/>
      <c r="F903" s="77"/>
      <c r="G903" s="78">
        <v>3</v>
      </c>
      <c r="H903" s="79">
        <f t="shared" si="102"/>
        <v>3</v>
      </c>
      <c r="I903" s="80">
        <v>1291.76</v>
      </c>
      <c r="J903" s="80">
        <f t="shared" si="103"/>
        <v>3875.2799999999997</v>
      </c>
      <c r="K903" s="94"/>
      <c r="L903" s="77" t="s">
        <v>321</v>
      </c>
    </row>
    <row r="904" spans="1:12" s="54" customFormat="1" ht="26.25" customHeight="1" x14ac:dyDescent="0.25">
      <c r="A904" s="81"/>
      <c r="B904" s="89" t="s">
        <v>123</v>
      </c>
      <c r="C904" s="77" t="s">
        <v>124</v>
      </c>
      <c r="D904" s="77" t="s">
        <v>60</v>
      </c>
      <c r="E904" s="77"/>
      <c r="F904" s="77"/>
      <c r="G904" s="78">
        <v>1</v>
      </c>
      <c r="H904" s="79">
        <f t="shared" si="102"/>
        <v>1</v>
      </c>
      <c r="I904" s="80">
        <v>1845.38</v>
      </c>
      <c r="J904" s="80">
        <f t="shared" si="103"/>
        <v>1845.38</v>
      </c>
      <c r="K904" s="94"/>
      <c r="L904" s="77" t="s">
        <v>321</v>
      </c>
    </row>
    <row r="905" spans="1:12" s="54" customFormat="1" ht="26.25" customHeight="1" x14ac:dyDescent="0.25">
      <c r="A905" s="81"/>
      <c r="B905" s="89" t="s">
        <v>125</v>
      </c>
      <c r="C905" s="77" t="s">
        <v>126</v>
      </c>
      <c r="D905" s="77" t="s">
        <v>60</v>
      </c>
      <c r="E905" s="77"/>
      <c r="F905" s="77"/>
      <c r="G905" s="78">
        <v>8</v>
      </c>
      <c r="H905" s="79">
        <f t="shared" si="102"/>
        <v>8</v>
      </c>
      <c r="I905" s="80">
        <v>2029.91</v>
      </c>
      <c r="J905" s="80">
        <f t="shared" si="103"/>
        <v>16239.28</v>
      </c>
      <c r="K905" s="94"/>
      <c r="L905" s="77" t="s">
        <v>321</v>
      </c>
    </row>
    <row r="906" spans="1:12" s="54" customFormat="1" ht="26.25" customHeight="1" x14ac:dyDescent="0.25">
      <c r="A906" s="81"/>
      <c r="B906" s="89" t="s">
        <v>127</v>
      </c>
      <c r="C906" s="77" t="s">
        <v>128</v>
      </c>
      <c r="D906" s="77" t="s">
        <v>60</v>
      </c>
      <c r="E906" s="77"/>
      <c r="F906" s="77"/>
      <c r="G906" s="78">
        <v>11</v>
      </c>
      <c r="H906" s="79">
        <f t="shared" si="102"/>
        <v>11</v>
      </c>
      <c r="I906" s="80">
        <v>2398.9899999999998</v>
      </c>
      <c r="J906" s="80">
        <f t="shared" si="103"/>
        <v>26388.89</v>
      </c>
      <c r="K906" s="94"/>
      <c r="L906" s="77" t="s">
        <v>321</v>
      </c>
    </row>
    <row r="907" spans="1:12" s="54" customFormat="1" ht="26.25" customHeight="1" x14ac:dyDescent="0.25">
      <c r="A907" s="81"/>
      <c r="B907" s="89" t="s">
        <v>129</v>
      </c>
      <c r="C907" s="77" t="s">
        <v>130</v>
      </c>
      <c r="D907" s="77" t="s">
        <v>60</v>
      </c>
      <c r="E907" s="77"/>
      <c r="F907" s="77"/>
      <c r="G907" s="78">
        <v>1</v>
      </c>
      <c r="H907" s="79">
        <f t="shared" si="102"/>
        <v>1</v>
      </c>
      <c r="I907" s="80">
        <v>2583.5300000000002</v>
      </c>
      <c r="J907" s="80">
        <f t="shared" si="103"/>
        <v>2583.5300000000002</v>
      </c>
      <c r="K907" s="94"/>
      <c r="L907" s="77" t="s">
        <v>321</v>
      </c>
    </row>
    <row r="908" spans="1:12" s="54" customFormat="1" ht="26.25" customHeight="1" x14ac:dyDescent="0.25">
      <c r="A908" s="81"/>
      <c r="B908" s="89" t="s">
        <v>92</v>
      </c>
      <c r="C908" s="77" t="s">
        <v>93</v>
      </c>
      <c r="D908" s="77" t="s">
        <v>54</v>
      </c>
      <c r="E908" s="77">
        <v>1.04</v>
      </c>
      <c r="F908" s="77"/>
      <c r="G908" s="78">
        <f>155.29*E908</f>
        <v>161.5016</v>
      </c>
      <c r="H908" s="79">
        <f t="shared" si="102"/>
        <v>161.5016</v>
      </c>
      <c r="I908" s="80">
        <v>66.349999999999994</v>
      </c>
      <c r="J908" s="80">
        <f t="shared" si="103"/>
        <v>10715.631159999999</v>
      </c>
      <c r="K908" s="94"/>
      <c r="L908" s="77" t="s">
        <v>321</v>
      </c>
    </row>
    <row r="909" spans="1:12" s="54" customFormat="1" ht="26.25" customHeight="1" x14ac:dyDescent="0.25">
      <c r="A909" s="81"/>
      <c r="B909" s="89" t="s">
        <v>94</v>
      </c>
      <c r="C909" s="77" t="s">
        <v>95</v>
      </c>
      <c r="D909" s="77" t="s">
        <v>54</v>
      </c>
      <c r="E909" s="77">
        <v>1.04</v>
      </c>
      <c r="F909" s="77"/>
      <c r="G909" s="78">
        <f>G882*E909</f>
        <v>42.307200000000002</v>
      </c>
      <c r="H909" s="79">
        <f t="shared" si="102"/>
        <v>42.307200000000002</v>
      </c>
      <c r="I909" s="80">
        <v>64</v>
      </c>
      <c r="J909" s="80">
        <f t="shared" si="103"/>
        <v>2707.6608000000001</v>
      </c>
      <c r="K909" s="94"/>
      <c r="L909" s="77" t="s">
        <v>321</v>
      </c>
    </row>
    <row r="910" spans="1:12" s="54" customFormat="1" ht="26.25" customHeight="1" x14ac:dyDescent="0.25">
      <c r="A910" s="81"/>
      <c r="B910" s="89" t="s">
        <v>131</v>
      </c>
      <c r="C910" s="77" t="s">
        <v>39</v>
      </c>
      <c r="D910" s="77" t="s">
        <v>54</v>
      </c>
      <c r="E910" s="77">
        <v>1.04</v>
      </c>
      <c r="F910" s="77"/>
      <c r="G910" s="78">
        <f>85.59*E910</f>
        <v>89.013600000000011</v>
      </c>
      <c r="H910" s="79">
        <f t="shared" si="102"/>
        <v>89.013600000000011</v>
      </c>
      <c r="I910" s="80">
        <v>64.209999999999994</v>
      </c>
      <c r="J910" s="80">
        <f t="shared" si="103"/>
        <v>5715.5632560000004</v>
      </c>
      <c r="K910" s="94"/>
      <c r="L910" s="77" t="s">
        <v>321</v>
      </c>
    </row>
    <row r="911" spans="1:12" s="54" customFormat="1" ht="26.25" customHeight="1" x14ac:dyDescent="0.25">
      <c r="A911" s="81"/>
      <c r="B911" s="89" t="s">
        <v>97</v>
      </c>
      <c r="C911" s="77" t="s">
        <v>39</v>
      </c>
      <c r="D911" s="77" t="s">
        <v>54</v>
      </c>
      <c r="E911" s="77">
        <v>1.04</v>
      </c>
      <c r="F911" s="77"/>
      <c r="G911" s="78">
        <f>E911*23.1</f>
        <v>24.024000000000001</v>
      </c>
      <c r="H911" s="79">
        <f t="shared" si="102"/>
        <v>24.024000000000001</v>
      </c>
      <c r="I911" s="80">
        <v>74.92</v>
      </c>
      <c r="J911" s="80">
        <f t="shared" si="103"/>
        <v>1799.8780800000002</v>
      </c>
      <c r="K911" s="94"/>
      <c r="L911" s="77" t="s">
        <v>321</v>
      </c>
    </row>
    <row r="912" spans="1:12" s="54" customFormat="1" ht="26.25" customHeight="1" x14ac:dyDescent="0.25">
      <c r="A912" s="81"/>
      <c r="B912" s="89" t="s">
        <v>132</v>
      </c>
      <c r="C912" s="77" t="s">
        <v>39</v>
      </c>
      <c r="D912" s="77" t="s">
        <v>54</v>
      </c>
      <c r="E912" s="77">
        <v>1.04</v>
      </c>
      <c r="F912" s="77"/>
      <c r="G912" s="78">
        <f>28.88*E912</f>
        <v>30.0352</v>
      </c>
      <c r="H912" s="79">
        <f t="shared" si="102"/>
        <v>30.0352</v>
      </c>
      <c r="I912" s="80">
        <v>75.97</v>
      </c>
      <c r="J912" s="80">
        <f t="shared" si="103"/>
        <v>2281.774144</v>
      </c>
      <c r="K912" s="94"/>
      <c r="L912" s="77" t="s">
        <v>321</v>
      </c>
    </row>
    <row r="913" spans="1:12" s="101" customFormat="1" ht="37.5" customHeight="1" x14ac:dyDescent="0.25">
      <c r="A913" s="95"/>
      <c r="B913" s="96" t="s">
        <v>133</v>
      </c>
      <c r="C913" s="97" t="s">
        <v>39</v>
      </c>
      <c r="D913" s="97" t="s">
        <v>99</v>
      </c>
      <c r="E913" s="97"/>
      <c r="F913" s="97"/>
      <c r="G913" s="98"/>
      <c r="H913" s="99">
        <f>J913*100/J872</f>
        <v>4.9540518920903365</v>
      </c>
      <c r="I913" s="79"/>
      <c r="J913" s="79">
        <v>50514.601200000005</v>
      </c>
      <c r="K913" s="100"/>
      <c r="L913" s="97" t="s">
        <v>321</v>
      </c>
    </row>
    <row r="914" spans="1:12" s="54" customFormat="1" ht="18" customHeight="1" x14ac:dyDescent="0.25">
      <c r="A914" s="60" t="s">
        <v>172</v>
      </c>
      <c r="B914" s="61" t="s">
        <v>173</v>
      </c>
      <c r="C914" s="62"/>
      <c r="D914" s="63"/>
      <c r="E914" s="62"/>
      <c r="F914" s="62"/>
      <c r="G914" s="64"/>
      <c r="H914" s="65"/>
      <c r="I914" s="65"/>
      <c r="J914" s="65">
        <f>J915+J927</f>
        <v>1354922.102315</v>
      </c>
      <c r="K914" s="86"/>
      <c r="L914" s="86"/>
    </row>
    <row r="915" spans="1:12" s="54" customFormat="1" ht="18" customHeight="1" x14ac:dyDescent="0.25">
      <c r="A915" s="66"/>
      <c r="B915" s="67" t="s">
        <v>34</v>
      </c>
      <c r="C915" s="68"/>
      <c r="D915" s="68"/>
      <c r="E915" s="68"/>
      <c r="F915" s="68"/>
      <c r="G915" s="69"/>
      <c r="H915" s="70"/>
      <c r="I915" s="70"/>
      <c r="J915" s="70">
        <f>SUM(J916:J926)</f>
        <v>1019662.335</v>
      </c>
      <c r="K915" s="72"/>
      <c r="L915" s="72"/>
    </row>
    <row r="916" spans="1:12" s="54" customFormat="1" ht="23.25" customHeight="1" x14ac:dyDescent="0.25">
      <c r="A916" s="66"/>
      <c r="B916" s="71" t="s">
        <v>44</v>
      </c>
      <c r="C916" s="72"/>
      <c r="D916" s="72" t="s">
        <v>45</v>
      </c>
      <c r="E916" s="72"/>
      <c r="F916" s="72"/>
      <c r="G916" s="73">
        <v>33.94</v>
      </c>
      <c r="H916" s="70">
        <f t="shared" ref="H916:H926" si="104">SUM(G916:G916)</f>
        <v>33.94</v>
      </c>
      <c r="I916" s="74">
        <v>4939</v>
      </c>
      <c r="J916" s="74">
        <f>I916*H916</f>
        <v>167629.65999999997</v>
      </c>
      <c r="K916" s="72"/>
      <c r="L916" s="72"/>
    </row>
    <row r="917" spans="1:12" s="54" customFormat="1" ht="23.25" customHeight="1" x14ac:dyDescent="0.25">
      <c r="A917" s="66"/>
      <c r="B917" s="71" t="s">
        <v>102</v>
      </c>
      <c r="C917" s="72"/>
      <c r="D917" s="72" t="s">
        <v>45</v>
      </c>
      <c r="E917" s="72"/>
      <c r="F917" s="72"/>
      <c r="G917" s="73">
        <v>2.58</v>
      </c>
      <c r="H917" s="70">
        <f t="shared" si="104"/>
        <v>2.58</v>
      </c>
      <c r="I917" s="74">
        <v>5845</v>
      </c>
      <c r="J917" s="74">
        <f t="shared" ref="J917" si="105">I917*H917</f>
        <v>15080.1</v>
      </c>
      <c r="K917" s="72"/>
      <c r="L917" s="72"/>
    </row>
    <row r="918" spans="1:12" s="54" customFormat="1" ht="23.25" customHeight="1" x14ac:dyDescent="0.25">
      <c r="A918" s="66"/>
      <c r="B918" s="71" t="s">
        <v>46</v>
      </c>
      <c r="C918" s="72"/>
      <c r="D918" s="72" t="s">
        <v>47</v>
      </c>
      <c r="E918" s="72"/>
      <c r="F918" s="72"/>
      <c r="G918" s="73">
        <v>154.52000000000001</v>
      </c>
      <c r="H918" s="70">
        <f t="shared" si="104"/>
        <v>154.52000000000001</v>
      </c>
      <c r="I918" s="74">
        <v>1461</v>
      </c>
      <c r="J918" s="74">
        <f>I918*H918</f>
        <v>225753.72</v>
      </c>
      <c r="K918" s="72"/>
      <c r="L918" s="72"/>
    </row>
    <row r="919" spans="1:12" s="54" customFormat="1" ht="23.25" customHeight="1" x14ac:dyDescent="0.25">
      <c r="A919" s="66"/>
      <c r="B919" s="71" t="s">
        <v>48</v>
      </c>
      <c r="C919" s="72"/>
      <c r="D919" s="72" t="s">
        <v>47</v>
      </c>
      <c r="E919" s="72"/>
      <c r="F919" s="72"/>
      <c r="G919" s="73">
        <v>31.58</v>
      </c>
      <c r="H919" s="70">
        <f t="shared" si="104"/>
        <v>31.58</v>
      </c>
      <c r="I919" s="74">
        <v>1461</v>
      </c>
      <c r="J919" s="74">
        <f>I919*H919</f>
        <v>46138.38</v>
      </c>
      <c r="K919" s="72"/>
      <c r="L919" s="72"/>
    </row>
    <row r="920" spans="1:12" s="54" customFormat="1" ht="23.25" customHeight="1" x14ac:dyDescent="0.25">
      <c r="A920" s="66"/>
      <c r="B920" s="71" t="s">
        <v>103</v>
      </c>
      <c r="C920" s="72"/>
      <c r="D920" s="72" t="s">
        <v>47</v>
      </c>
      <c r="E920" s="72"/>
      <c r="F920" s="72"/>
      <c r="G920" s="73">
        <v>159.29</v>
      </c>
      <c r="H920" s="70">
        <f t="shared" si="104"/>
        <v>159.29</v>
      </c>
      <c r="I920" s="74">
        <v>1461</v>
      </c>
      <c r="J920" s="74">
        <f>I920*H920</f>
        <v>232722.69</v>
      </c>
      <c r="K920" s="72"/>
      <c r="L920" s="72"/>
    </row>
    <row r="921" spans="1:12" s="54" customFormat="1" ht="23.25" customHeight="1" x14ac:dyDescent="0.25">
      <c r="A921" s="66"/>
      <c r="B921" s="71" t="s">
        <v>104</v>
      </c>
      <c r="C921" s="72"/>
      <c r="D921" s="72" t="s">
        <v>47</v>
      </c>
      <c r="E921" s="72"/>
      <c r="F921" s="72"/>
      <c r="G921" s="73">
        <v>141.18</v>
      </c>
      <c r="H921" s="70">
        <f t="shared" si="104"/>
        <v>141.18</v>
      </c>
      <c r="I921" s="74">
        <v>1461</v>
      </c>
      <c r="J921" s="74">
        <f>I921*H921</f>
        <v>206263.98</v>
      </c>
      <c r="K921" s="72"/>
      <c r="L921" s="72"/>
    </row>
    <row r="922" spans="1:12" s="54" customFormat="1" ht="23.25" customHeight="1" x14ac:dyDescent="0.25">
      <c r="A922" s="66"/>
      <c r="B922" s="71" t="s">
        <v>49</v>
      </c>
      <c r="C922" s="72"/>
      <c r="D922" s="72" t="s">
        <v>47</v>
      </c>
      <c r="E922" s="72"/>
      <c r="F922" s="72"/>
      <c r="G922" s="73">
        <v>39.32</v>
      </c>
      <c r="H922" s="70">
        <f t="shared" si="104"/>
        <v>39.32</v>
      </c>
      <c r="I922" s="74">
        <v>1610</v>
      </c>
      <c r="J922" s="74">
        <f t="shared" ref="J922:J925" si="106">I922*H922</f>
        <v>63305.2</v>
      </c>
      <c r="K922" s="72"/>
      <c r="L922" s="72"/>
    </row>
    <row r="923" spans="1:12" s="54" customFormat="1" ht="23.25" customHeight="1" x14ac:dyDescent="0.25">
      <c r="A923" s="66"/>
      <c r="B923" s="71" t="s">
        <v>50</v>
      </c>
      <c r="C923" s="72"/>
      <c r="D923" s="72" t="s">
        <v>51</v>
      </c>
      <c r="E923" s="72"/>
      <c r="F923" s="72"/>
      <c r="G923" s="73">
        <v>56</v>
      </c>
      <c r="H923" s="70">
        <f t="shared" si="104"/>
        <v>56</v>
      </c>
      <c r="I923" s="74">
        <v>803</v>
      </c>
      <c r="J923" s="74">
        <f t="shared" si="106"/>
        <v>44968</v>
      </c>
      <c r="K923" s="72"/>
      <c r="L923" s="72"/>
    </row>
    <row r="924" spans="1:12" s="54" customFormat="1" x14ac:dyDescent="0.25">
      <c r="A924" s="66"/>
      <c r="B924" s="71" t="s">
        <v>52</v>
      </c>
      <c r="C924" s="72" t="s">
        <v>105</v>
      </c>
      <c r="D924" s="72" t="s">
        <v>54</v>
      </c>
      <c r="E924" s="72"/>
      <c r="F924" s="72"/>
      <c r="G924" s="73">
        <v>137.57</v>
      </c>
      <c r="H924" s="70">
        <f t="shared" si="104"/>
        <v>137.57</v>
      </c>
      <c r="I924" s="74">
        <v>94.5</v>
      </c>
      <c r="J924" s="74">
        <f t="shared" si="106"/>
        <v>13000.365</v>
      </c>
      <c r="K924" s="72"/>
      <c r="L924" s="72"/>
    </row>
    <row r="925" spans="1:12" s="54" customFormat="1" ht="31.5" x14ac:dyDescent="0.25">
      <c r="A925" s="66"/>
      <c r="B925" s="71" t="s">
        <v>55</v>
      </c>
      <c r="C925" s="72"/>
      <c r="D925" s="72" t="s">
        <v>54</v>
      </c>
      <c r="E925" s="72"/>
      <c r="F925" s="72"/>
      <c r="G925" s="73">
        <v>40.68</v>
      </c>
      <c r="H925" s="70">
        <f t="shared" si="104"/>
        <v>40.68</v>
      </c>
      <c r="I925" s="74">
        <v>118</v>
      </c>
      <c r="J925" s="74">
        <f t="shared" si="106"/>
        <v>4800.24</v>
      </c>
      <c r="K925" s="72"/>
      <c r="L925" s="72"/>
    </row>
    <row r="926" spans="1:12" s="54" customFormat="1" ht="21" customHeight="1" x14ac:dyDescent="0.25">
      <c r="A926" s="66"/>
      <c r="B926" s="87" t="s">
        <v>56</v>
      </c>
      <c r="C926" s="88"/>
      <c r="D926" s="88" t="s">
        <v>45</v>
      </c>
      <c r="E926" s="88"/>
      <c r="F926" s="88"/>
      <c r="G926" s="73">
        <f>308.35*0.06*0.03</f>
        <v>0.55503000000000002</v>
      </c>
      <c r="H926" s="70">
        <f t="shared" si="104"/>
        <v>0.55503000000000002</v>
      </c>
      <c r="I926" s="74"/>
      <c r="J926" s="74"/>
      <c r="K926" s="88" t="s">
        <v>57</v>
      </c>
      <c r="L926" s="72"/>
    </row>
    <row r="927" spans="1:12" s="54" customFormat="1" x14ac:dyDescent="0.25">
      <c r="A927" s="75"/>
      <c r="B927" s="76" t="s">
        <v>38</v>
      </c>
      <c r="C927" s="77"/>
      <c r="D927" s="77"/>
      <c r="E927" s="77"/>
      <c r="F927" s="77"/>
      <c r="G927" s="78"/>
      <c r="H927" s="79"/>
      <c r="I927" s="80"/>
      <c r="J927" s="79">
        <f>SUM(J928:J956)</f>
        <v>335259.76731500006</v>
      </c>
      <c r="K927" s="77"/>
      <c r="L927" s="77"/>
    </row>
    <row r="928" spans="1:12" s="54" customFormat="1" ht="31.5" x14ac:dyDescent="0.25">
      <c r="A928" s="81"/>
      <c r="B928" s="82" t="s">
        <v>58</v>
      </c>
      <c r="C928" s="77" t="s">
        <v>59</v>
      </c>
      <c r="D928" s="77" t="s">
        <v>60</v>
      </c>
      <c r="E928" s="78">
        <v>12.4</v>
      </c>
      <c r="F928" s="77">
        <v>0.25</v>
      </c>
      <c r="G928" s="83">
        <f>G916/F928*E928</f>
        <v>1683.424</v>
      </c>
      <c r="H928" s="84">
        <f t="shared" ref="H928:H955" si="107">SUM(G928:G928)</f>
        <v>1683.424</v>
      </c>
      <c r="I928" s="80">
        <v>0</v>
      </c>
      <c r="J928" s="80">
        <f>H928*I928</f>
        <v>0</v>
      </c>
      <c r="K928" s="77" t="s">
        <v>61</v>
      </c>
      <c r="L928" s="77" t="s">
        <v>320</v>
      </c>
    </row>
    <row r="929" spans="1:12" s="54" customFormat="1" ht="31.5" x14ac:dyDescent="0.25">
      <c r="A929" s="81"/>
      <c r="B929" s="82" t="s">
        <v>62</v>
      </c>
      <c r="C929" s="77" t="s">
        <v>63</v>
      </c>
      <c r="D929" s="77" t="s">
        <v>60</v>
      </c>
      <c r="E929" s="78">
        <v>12.4</v>
      </c>
      <c r="F929" s="77"/>
      <c r="G929" s="83">
        <f>G918*E929</f>
        <v>1916.0480000000002</v>
      </c>
      <c r="H929" s="84">
        <f t="shared" si="107"/>
        <v>1916.0480000000002</v>
      </c>
      <c r="I929" s="80">
        <v>0</v>
      </c>
      <c r="J929" s="80">
        <f>H929*I929</f>
        <v>0</v>
      </c>
      <c r="K929" s="77" t="s">
        <v>61</v>
      </c>
      <c r="L929" s="77" t="s">
        <v>320</v>
      </c>
    </row>
    <row r="930" spans="1:12" s="54" customFormat="1" ht="31.5" x14ac:dyDescent="0.25">
      <c r="A930" s="81"/>
      <c r="B930" s="82" t="s">
        <v>64</v>
      </c>
      <c r="C930" s="77" t="s">
        <v>65</v>
      </c>
      <c r="D930" s="77" t="s">
        <v>60</v>
      </c>
      <c r="E930" s="78">
        <v>12.4</v>
      </c>
      <c r="F930" s="77"/>
      <c r="G930" s="83">
        <f>G919*E930</f>
        <v>391.59199999999998</v>
      </c>
      <c r="H930" s="84">
        <f t="shared" si="107"/>
        <v>391.59199999999998</v>
      </c>
      <c r="I930" s="80">
        <v>0</v>
      </c>
      <c r="J930" s="80">
        <f>H930*I930</f>
        <v>0</v>
      </c>
      <c r="K930" s="77" t="s">
        <v>61</v>
      </c>
      <c r="L930" s="77" t="s">
        <v>320</v>
      </c>
    </row>
    <row r="931" spans="1:12" s="54" customFormat="1" ht="31.5" x14ac:dyDescent="0.25">
      <c r="A931" s="81"/>
      <c r="B931" s="82" t="s">
        <v>106</v>
      </c>
      <c r="C931" s="77" t="s">
        <v>107</v>
      </c>
      <c r="D931" s="77" t="s">
        <v>60</v>
      </c>
      <c r="E931" s="78">
        <v>12.4</v>
      </c>
      <c r="F931" s="77"/>
      <c r="G931" s="83">
        <f>G920*E931</f>
        <v>1975.1959999999999</v>
      </c>
      <c r="H931" s="84">
        <f t="shared" si="107"/>
        <v>1975.1959999999999</v>
      </c>
      <c r="I931" s="80">
        <v>0</v>
      </c>
      <c r="J931" s="80">
        <f>H931*I931</f>
        <v>0</v>
      </c>
      <c r="K931" s="77" t="s">
        <v>61</v>
      </c>
      <c r="L931" s="77" t="s">
        <v>320</v>
      </c>
    </row>
    <row r="932" spans="1:12" s="54" customFormat="1" ht="31.5" x14ac:dyDescent="0.25">
      <c r="A932" s="81"/>
      <c r="B932" s="82" t="s">
        <v>108</v>
      </c>
      <c r="C932" s="77" t="s">
        <v>109</v>
      </c>
      <c r="D932" s="77" t="s">
        <v>60</v>
      </c>
      <c r="E932" s="78">
        <v>12.4</v>
      </c>
      <c r="F932" s="77"/>
      <c r="G932" s="83">
        <f>G921*E932</f>
        <v>1750.6320000000001</v>
      </c>
      <c r="H932" s="84">
        <f t="shared" si="107"/>
        <v>1750.6320000000001</v>
      </c>
      <c r="I932" s="80">
        <v>0</v>
      </c>
      <c r="J932" s="80">
        <f>H932*I932</f>
        <v>0</v>
      </c>
      <c r="K932" s="77" t="s">
        <v>61</v>
      </c>
      <c r="L932" s="77" t="s">
        <v>320</v>
      </c>
    </row>
    <row r="933" spans="1:12" s="54" customFormat="1" ht="31.5" x14ac:dyDescent="0.25">
      <c r="A933" s="81"/>
      <c r="B933" s="89" t="s">
        <v>66</v>
      </c>
      <c r="C933" s="77" t="s">
        <v>67</v>
      </c>
      <c r="D933" s="77" t="s">
        <v>60</v>
      </c>
      <c r="E933" s="90">
        <v>42</v>
      </c>
      <c r="F933" s="90"/>
      <c r="G933" s="83">
        <f>G922*E933</f>
        <v>1651.44</v>
      </c>
      <c r="H933" s="84">
        <f t="shared" si="107"/>
        <v>1651.44</v>
      </c>
      <c r="I933" s="80">
        <v>0</v>
      </c>
      <c r="J933" s="80">
        <f t="shared" ref="J933:J955" si="108">H933*I933</f>
        <v>0</v>
      </c>
      <c r="K933" s="77" t="s">
        <v>68</v>
      </c>
      <c r="L933" s="77" t="s">
        <v>320</v>
      </c>
    </row>
    <row r="934" spans="1:12" s="54" customFormat="1" ht="31.5" x14ac:dyDescent="0.25">
      <c r="A934" s="81"/>
      <c r="B934" s="89" t="s">
        <v>110</v>
      </c>
      <c r="C934" s="77" t="s">
        <v>111</v>
      </c>
      <c r="D934" s="77" t="s">
        <v>60</v>
      </c>
      <c r="E934" s="90">
        <v>42</v>
      </c>
      <c r="F934" s="90"/>
      <c r="G934" s="83">
        <f>G917/0.25*E934</f>
        <v>433.44</v>
      </c>
      <c r="H934" s="84">
        <f t="shared" si="107"/>
        <v>433.44</v>
      </c>
      <c r="I934" s="80">
        <v>0</v>
      </c>
      <c r="J934" s="80">
        <f t="shared" si="108"/>
        <v>0</v>
      </c>
      <c r="K934" s="77" t="s">
        <v>68</v>
      </c>
      <c r="L934" s="77" t="s">
        <v>320</v>
      </c>
    </row>
    <row r="935" spans="1:12" s="54" customFormat="1" ht="32.25" customHeight="1" x14ac:dyDescent="0.25">
      <c r="A935" s="81"/>
      <c r="B935" s="91" t="s">
        <v>69</v>
      </c>
      <c r="C935" s="77" t="s">
        <v>70</v>
      </c>
      <c r="D935" s="77" t="s">
        <v>45</v>
      </c>
      <c r="E935" s="77">
        <v>0.19500000000000001</v>
      </c>
      <c r="F935" s="90"/>
      <c r="G935" s="78">
        <f>G916*E935+G918*E935*0.19+G919*E935*0.19+G920*E935*0.09+G921*E935*0.09</f>
        <v>18.7865535</v>
      </c>
      <c r="H935" s="79">
        <f t="shared" si="107"/>
        <v>18.7865535</v>
      </c>
      <c r="I935" s="80">
        <v>7875</v>
      </c>
      <c r="J935" s="80">
        <f t="shared" si="108"/>
        <v>147944.1088125</v>
      </c>
      <c r="K935" s="77" t="s">
        <v>71</v>
      </c>
      <c r="L935" s="77" t="s">
        <v>321</v>
      </c>
    </row>
    <row r="936" spans="1:12" s="54" customFormat="1" ht="32.25" customHeight="1" x14ac:dyDescent="0.25">
      <c r="A936" s="92"/>
      <c r="B936" s="91" t="s">
        <v>112</v>
      </c>
      <c r="C936" s="77" t="s">
        <v>70</v>
      </c>
      <c r="D936" s="77" t="s">
        <v>45</v>
      </c>
      <c r="E936" s="77">
        <v>0.24</v>
      </c>
      <c r="F936" s="77"/>
      <c r="G936" s="78">
        <f>G917*E936</f>
        <v>0.61919999999999997</v>
      </c>
      <c r="H936" s="79">
        <f t="shared" si="107"/>
        <v>0.61919999999999997</v>
      </c>
      <c r="I936" s="80">
        <v>7875</v>
      </c>
      <c r="J936" s="80">
        <f t="shared" si="108"/>
        <v>4876.2</v>
      </c>
      <c r="K936" s="77" t="s">
        <v>71</v>
      </c>
      <c r="L936" s="77" t="s">
        <v>321</v>
      </c>
    </row>
    <row r="937" spans="1:12" s="54" customFormat="1" ht="32.25" customHeight="1" x14ac:dyDescent="0.25">
      <c r="A937" s="92"/>
      <c r="B937" s="91" t="s">
        <v>72</v>
      </c>
      <c r="C937" s="77" t="s">
        <v>70</v>
      </c>
      <c r="D937" s="77" t="s">
        <v>45</v>
      </c>
      <c r="E937" s="77">
        <v>4.5999999999999999E-2</v>
      </c>
      <c r="F937" s="77"/>
      <c r="G937" s="78">
        <f>G922*E937</f>
        <v>1.8087199999999999</v>
      </c>
      <c r="H937" s="79">
        <f t="shared" si="107"/>
        <v>1.8087199999999999</v>
      </c>
      <c r="I937" s="80">
        <v>7875</v>
      </c>
      <c r="J937" s="80">
        <f t="shared" si="108"/>
        <v>14243.669999999998</v>
      </c>
      <c r="K937" s="77" t="s">
        <v>73</v>
      </c>
      <c r="L937" s="77" t="s">
        <v>321</v>
      </c>
    </row>
    <row r="938" spans="1:12" s="54" customFormat="1" ht="32.25" customHeight="1" x14ac:dyDescent="0.25">
      <c r="A938" s="92"/>
      <c r="B938" s="91" t="s">
        <v>74</v>
      </c>
      <c r="C938" s="77" t="s">
        <v>70</v>
      </c>
      <c r="D938" s="77" t="s">
        <v>45</v>
      </c>
      <c r="E938" s="77">
        <v>1.01</v>
      </c>
      <c r="F938" s="77"/>
      <c r="G938" s="78">
        <f>G926*E938</f>
        <v>0.56058030000000003</v>
      </c>
      <c r="H938" s="79">
        <f t="shared" si="107"/>
        <v>0.56058030000000003</v>
      </c>
      <c r="I938" s="80">
        <v>7875</v>
      </c>
      <c r="J938" s="80">
        <f t="shared" si="108"/>
        <v>4414.5698625000005</v>
      </c>
      <c r="K938" s="77" t="s">
        <v>71</v>
      </c>
      <c r="L938" s="77" t="s">
        <v>321</v>
      </c>
    </row>
    <row r="939" spans="1:12" s="54" customFormat="1" ht="32.25" customHeight="1" x14ac:dyDescent="0.25">
      <c r="A939" s="81"/>
      <c r="B939" s="89" t="s">
        <v>75</v>
      </c>
      <c r="C939" s="77" t="s">
        <v>70</v>
      </c>
      <c r="D939" s="77" t="s">
        <v>45</v>
      </c>
      <c r="E939" s="77">
        <v>6.0000000000000001E-3</v>
      </c>
      <c r="F939" s="77"/>
      <c r="G939" s="78">
        <f>G923*E939</f>
        <v>0.33600000000000002</v>
      </c>
      <c r="H939" s="79">
        <f t="shared" si="107"/>
        <v>0.33600000000000002</v>
      </c>
      <c r="I939" s="80">
        <v>7875</v>
      </c>
      <c r="J939" s="80">
        <f t="shared" si="108"/>
        <v>2646</v>
      </c>
      <c r="K939" s="77" t="s">
        <v>76</v>
      </c>
      <c r="L939" s="77" t="s">
        <v>321</v>
      </c>
    </row>
    <row r="940" spans="1:12" s="54" customFormat="1" ht="32.25" customHeight="1" x14ac:dyDescent="0.25">
      <c r="A940" s="81"/>
      <c r="B940" s="89" t="s">
        <v>77</v>
      </c>
      <c r="C940" s="77" t="s">
        <v>70</v>
      </c>
      <c r="D940" s="77" t="s">
        <v>45</v>
      </c>
      <c r="E940" s="77">
        <v>1.01</v>
      </c>
      <c r="F940" s="77"/>
      <c r="G940" s="93">
        <v>0.08</v>
      </c>
      <c r="H940" s="79">
        <f t="shared" si="107"/>
        <v>0.08</v>
      </c>
      <c r="I940" s="80">
        <v>7875</v>
      </c>
      <c r="J940" s="80">
        <f t="shared" si="108"/>
        <v>630</v>
      </c>
      <c r="K940" s="94"/>
      <c r="L940" s="77" t="s">
        <v>321</v>
      </c>
    </row>
    <row r="941" spans="1:12" s="54" customFormat="1" ht="24" customHeight="1" x14ac:dyDescent="0.25">
      <c r="A941" s="81"/>
      <c r="B941" s="89" t="s">
        <v>78</v>
      </c>
      <c r="C941" s="77" t="s">
        <v>79</v>
      </c>
      <c r="D941" s="77" t="s">
        <v>47</v>
      </c>
      <c r="E941" s="77"/>
      <c r="F941" s="77"/>
      <c r="G941" s="78">
        <v>183.5</v>
      </c>
      <c r="H941" s="79">
        <f t="shared" si="107"/>
        <v>183.5</v>
      </c>
      <c r="I941" s="80">
        <v>88.34</v>
      </c>
      <c r="J941" s="80">
        <f t="shared" si="108"/>
        <v>16210.390000000001</v>
      </c>
      <c r="K941" s="94"/>
      <c r="L941" s="77" t="s">
        <v>321</v>
      </c>
    </row>
    <row r="942" spans="1:12" s="54" customFormat="1" ht="24" customHeight="1" x14ac:dyDescent="0.25">
      <c r="A942" s="81"/>
      <c r="B942" s="89" t="s">
        <v>113</v>
      </c>
      <c r="C942" s="77" t="s">
        <v>114</v>
      </c>
      <c r="D942" s="77" t="s">
        <v>60</v>
      </c>
      <c r="E942" s="77"/>
      <c r="F942" s="77"/>
      <c r="G942" s="78">
        <v>12</v>
      </c>
      <c r="H942" s="79">
        <f t="shared" si="107"/>
        <v>12</v>
      </c>
      <c r="I942" s="80">
        <v>398.6</v>
      </c>
      <c r="J942" s="80">
        <f t="shared" si="108"/>
        <v>4783.2000000000007</v>
      </c>
      <c r="K942" s="94"/>
      <c r="L942" s="77" t="s">
        <v>321</v>
      </c>
    </row>
    <row r="943" spans="1:12" s="54" customFormat="1" ht="24" customHeight="1" x14ac:dyDescent="0.25">
      <c r="A943" s="81"/>
      <c r="B943" s="89" t="s">
        <v>115</v>
      </c>
      <c r="C943" s="77" t="s">
        <v>116</v>
      </c>
      <c r="D943" s="77" t="s">
        <v>60</v>
      </c>
      <c r="E943" s="77"/>
      <c r="F943" s="77"/>
      <c r="G943" s="78">
        <v>9</v>
      </c>
      <c r="H943" s="79">
        <f t="shared" si="107"/>
        <v>9</v>
      </c>
      <c r="I943" s="80">
        <v>465.03</v>
      </c>
      <c r="J943" s="80">
        <f t="shared" si="108"/>
        <v>4185.2699999999995</v>
      </c>
      <c r="K943" s="94"/>
      <c r="L943" s="77" t="s">
        <v>321</v>
      </c>
    </row>
    <row r="944" spans="1:12" s="54" customFormat="1" ht="24" customHeight="1" x14ac:dyDescent="0.25">
      <c r="A944" s="81"/>
      <c r="B944" s="89" t="s">
        <v>117</v>
      </c>
      <c r="C944" s="77" t="s">
        <v>118</v>
      </c>
      <c r="D944" s="77" t="s">
        <v>60</v>
      </c>
      <c r="E944" s="77"/>
      <c r="F944" s="77"/>
      <c r="G944" s="78">
        <v>1</v>
      </c>
      <c r="H944" s="79">
        <f t="shared" si="107"/>
        <v>1</v>
      </c>
      <c r="I944" s="80">
        <v>841.49</v>
      </c>
      <c r="J944" s="80">
        <f t="shared" si="108"/>
        <v>841.49</v>
      </c>
      <c r="K944" s="94"/>
      <c r="L944" s="77" t="s">
        <v>321</v>
      </c>
    </row>
    <row r="945" spans="1:12" s="54" customFormat="1" ht="24" customHeight="1" x14ac:dyDescent="0.25">
      <c r="A945" s="81"/>
      <c r="B945" s="89" t="s">
        <v>119</v>
      </c>
      <c r="C945" s="77" t="s">
        <v>120</v>
      </c>
      <c r="D945" s="77" t="s">
        <v>60</v>
      </c>
      <c r="E945" s="77"/>
      <c r="F945" s="77"/>
      <c r="G945" s="78">
        <v>10</v>
      </c>
      <c r="H945" s="79">
        <f t="shared" si="107"/>
        <v>10</v>
      </c>
      <c r="I945" s="80">
        <v>981.74</v>
      </c>
      <c r="J945" s="80">
        <f t="shared" si="108"/>
        <v>9817.4</v>
      </c>
      <c r="K945" s="94"/>
      <c r="L945" s="77" t="s">
        <v>321</v>
      </c>
    </row>
    <row r="946" spans="1:12" s="54" customFormat="1" ht="24" customHeight="1" x14ac:dyDescent="0.25">
      <c r="A946" s="81"/>
      <c r="B946" s="89" t="s">
        <v>121</v>
      </c>
      <c r="C946" s="77" t="s">
        <v>122</v>
      </c>
      <c r="D946" s="77" t="s">
        <v>60</v>
      </c>
      <c r="E946" s="77"/>
      <c r="F946" s="77"/>
      <c r="G946" s="78">
        <v>3</v>
      </c>
      <c r="H946" s="79">
        <f t="shared" si="107"/>
        <v>3</v>
      </c>
      <c r="I946" s="80">
        <v>1291.76</v>
      </c>
      <c r="J946" s="80">
        <f t="shared" si="108"/>
        <v>3875.2799999999997</v>
      </c>
      <c r="K946" s="94"/>
      <c r="L946" s="77" t="s">
        <v>321</v>
      </c>
    </row>
    <row r="947" spans="1:12" s="54" customFormat="1" ht="24" customHeight="1" x14ac:dyDescent="0.25">
      <c r="A947" s="81"/>
      <c r="B947" s="89" t="s">
        <v>123</v>
      </c>
      <c r="C947" s="77" t="s">
        <v>124</v>
      </c>
      <c r="D947" s="77" t="s">
        <v>60</v>
      </c>
      <c r="E947" s="77"/>
      <c r="F947" s="77"/>
      <c r="G947" s="78">
        <v>1</v>
      </c>
      <c r="H947" s="79">
        <f t="shared" si="107"/>
        <v>1</v>
      </c>
      <c r="I947" s="80">
        <v>1845.38</v>
      </c>
      <c r="J947" s="80">
        <f t="shared" si="108"/>
        <v>1845.38</v>
      </c>
      <c r="K947" s="94"/>
      <c r="L947" s="77" t="s">
        <v>321</v>
      </c>
    </row>
    <row r="948" spans="1:12" s="54" customFormat="1" ht="24" customHeight="1" x14ac:dyDescent="0.25">
      <c r="A948" s="81"/>
      <c r="B948" s="89" t="s">
        <v>125</v>
      </c>
      <c r="C948" s="77" t="s">
        <v>126</v>
      </c>
      <c r="D948" s="77" t="s">
        <v>60</v>
      </c>
      <c r="E948" s="77"/>
      <c r="F948" s="77"/>
      <c r="G948" s="78">
        <v>8</v>
      </c>
      <c r="H948" s="79">
        <f t="shared" si="107"/>
        <v>8</v>
      </c>
      <c r="I948" s="80">
        <v>2029.91</v>
      </c>
      <c r="J948" s="80">
        <f t="shared" si="108"/>
        <v>16239.28</v>
      </c>
      <c r="K948" s="94"/>
      <c r="L948" s="77" t="s">
        <v>321</v>
      </c>
    </row>
    <row r="949" spans="1:12" s="54" customFormat="1" ht="24" customHeight="1" x14ac:dyDescent="0.25">
      <c r="A949" s="81"/>
      <c r="B949" s="89" t="s">
        <v>127</v>
      </c>
      <c r="C949" s="77" t="s">
        <v>128</v>
      </c>
      <c r="D949" s="77" t="s">
        <v>60</v>
      </c>
      <c r="E949" s="77"/>
      <c r="F949" s="77"/>
      <c r="G949" s="78">
        <v>11</v>
      </c>
      <c r="H949" s="79">
        <f t="shared" si="107"/>
        <v>11</v>
      </c>
      <c r="I949" s="80">
        <v>2398.9899999999998</v>
      </c>
      <c r="J949" s="80">
        <f t="shared" si="108"/>
        <v>26388.89</v>
      </c>
      <c r="K949" s="94"/>
      <c r="L949" s="77" t="s">
        <v>321</v>
      </c>
    </row>
    <row r="950" spans="1:12" s="54" customFormat="1" ht="24" customHeight="1" x14ac:dyDescent="0.25">
      <c r="A950" s="81"/>
      <c r="B950" s="89" t="s">
        <v>129</v>
      </c>
      <c r="C950" s="77" t="s">
        <v>130</v>
      </c>
      <c r="D950" s="77" t="s">
        <v>60</v>
      </c>
      <c r="E950" s="77"/>
      <c r="F950" s="77"/>
      <c r="G950" s="78">
        <v>1</v>
      </c>
      <c r="H950" s="79">
        <f t="shared" si="107"/>
        <v>1</v>
      </c>
      <c r="I950" s="80">
        <v>2583.5300000000002</v>
      </c>
      <c r="J950" s="80">
        <f t="shared" si="108"/>
        <v>2583.5300000000002</v>
      </c>
      <c r="K950" s="94"/>
      <c r="L950" s="77" t="s">
        <v>321</v>
      </c>
    </row>
    <row r="951" spans="1:12" s="54" customFormat="1" ht="24" customHeight="1" x14ac:dyDescent="0.25">
      <c r="A951" s="81"/>
      <c r="B951" s="89" t="s">
        <v>92</v>
      </c>
      <c r="C951" s="77" t="s">
        <v>93</v>
      </c>
      <c r="D951" s="77" t="s">
        <v>54</v>
      </c>
      <c r="E951" s="77">
        <v>1.04</v>
      </c>
      <c r="F951" s="77"/>
      <c r="G951" s="78">
        <f>155.29*E951</f>
        <v>161.5016</v>
      </c>
      <c r="H951" s="79">
        <f t="shared" si="107"/>
        <v>161.5016</v>
      </c>
      <c r="I951" s="80">
        <v>66.349999999999994</v>
      </c>
      <c r="J951" s="80">
        <f t="shared" si="108"/>
        <v>10715.631159999999</v>
      </c>
      <c r="K951" s="94"/>
      <c r="L951" s="77" t="s">
        <v>321</v>
      </c>
    </row>
    <row r="952" spans="1:12" s="54" customFormat="1" ht="24" customHeight="1" x14ac:dyDescent="0.25">
      <c r="A952" s="81"/>
      <c r="B952" s="89" t="s">
        <v>94</v>
      </c>
      <c r="C952" s="77" t="s">
        <v>95</v>
      </c>
      <c r="D952" s="77" t="s">
        <v>54</v>
      </c>
      <c r="E952" s="77">
        <v>1.04</v>
      </c>
      <c r="F952" s="77"/>
      <c r="G952" s="78">
        <f>G925*E952</f>
        <v>42.307200000000002</v>
      </c>
      <c r="H952" s="79">
        <f t="shared" si="107"/>
        <v>42.307200000000002</v>
      </c>
      <c r="I952" s="80">
        <v>64</v>
      </c>
      <c r="J952" s="80">
        <f t="shared" si="108"/>
        <v>2707.6608000000001</v>
      </c>
      <c r="K952" s="94"/>
      <c r="L952" s="77" t="s">
        <v>321</v>
      </c>
    </row>
    <row r="953" spans="1:12" s="54" customFormat="1" ht="24" customHeight="1" x14ac:dyDescent="0.25">
      <c r="A953" s="81"/>
      <c r="B953" s="89" t="s">
        <v>131</v>
      </c>
      <c r="C953" s="77" t="s">
        <v>39</v>
      </c>
      <c r="D953" s="77" t="s">
        <v>54</v>
      </c>
      <c r="E953" s="77">
        <v>1.04</v>
      </c>
      <c r="F953" s="77"/>
      <c r="G953" s="78">
        <f>85.59*E953</f>
        <v>89.013600000000011</v>
      </c>
      <c r="H953" s="79">
        <f t="shared" si="107"/>
        <v>89.013600000000011</v>
      </c>
      <c r="I953" s="80">
        <v>64.209999999999994</v>
      </c>
      <c r="J953" s="80">
        <f t="shared" si="108"/>
        <v>5715.5632560000004</v>
      </c>
      <c r="K953" s="94"/>
      <c r="L953" s="77" t="s">
        <v>321</v>
      </c>
    </row>
    <row r="954" spans="1:12" s="54" customFormat="1" ht="24" customHeight="1" x14ac:dyDescent="0.25">
      <c r="A954" s="81"/>
      <c r="B954" s="89" t="s">
        <v>97</v>
      </c>
      <c r="C954" s="77" t="s">
        <v>39</v>
      </c>
      <c r="D954" s="77" t="s">
        <v>54</v>
      </c>
      <c r="E954" s="77">
        <v>1.04</v>
      </c>
      <c r="F954" s="77"/>
      <c r="G954" s="78">
        <f>E954*23.1</f>
        <v>24.024000000000001</v>
      </c>
      <c r="H954" s="79">
        <f t="shared" si="107"/>
        <v>24.024000000000001</v>
      </c>
      <c r="I954" s="80">
        <v>74.92</v>
      </c>
      <c r="J954" s="80">
        <f t="shared" si="108"/>
        <v>1799.8780800000002</v>
      </c>
      <c r="K954" s="94"/>
      <c r="L954" s="77" t="s">
        <v>321</v>
      </c>
    </row>
    <row r="955" spans="1:12" s="54" customFormat="1" ht="24" customHeight="1" x14ac:dyDescent="0.25">
      <c r="A955" s="81"/>
      <c r="B955" s="89" t="s">
        <v>132</v>
      </c>
      <c r="C955" s="77" t="s">
        <v>39</v>
      </c>
      <c r="D955" s="77" t="s">
        <v>54</v>
      </c>
      <c r="E955" s="77">
        <v>1.04</v>
      </c>
      <c r="F955" s="77"/>
      <c r="G955" s="78">
        <f>28.88*E955</f>
        <v>30.0352</v>
      </c>
      <c r="H955" s="79">
        <f t="shared" si="107"/>
        <v>30.0352</v>
      </c>
      <c r="I955" s="80">
        <v>75.97</v>
      </c>
      <c r="J955" s="80">
        <f t="shared" si="108"/>
        <v>2281.774144</v>
      </c>
      <c r="K955" s="94"/>
      <c r="L955" s="77" t="s">
        <v>321</v>
      </c>
    </row>
    <row r="956" spans="1:12" s="101" customFormat="1" ht="37.5" customHeight="1" x14ac:dyDescent="0.25">
      <c r="A956" s="95"/>
      <c r="B956" s="96" t="s">
        <v>133</v>
      </c>
      <c r="C956" s="97" t="s">
        <v>39</v>
      </c>
      <c r="D956" s="97" t="s">
        <v>99</v>
      </c>
      <c r="E956" s="97"/>
      <c r="F956" s="97"/>
      <c r="G956" s="98"/>
      <c r="H956" s="99">
        <f>J956*100/J915</f>
        <v>4.9540518920903365</v>
      </c>
      <c r="I956" s="79"/>
      <c r="J956" s="79">
        <v>50514.601200000005</v>
      </c>
      <c r="K956" s="100"/>
      <c r="L956" s="97" t="s">
        <v>321</v>
      </c>
    </row>
    <row r="957" spans="1:12" s="54" customFormat="1" x14ac:dyDescent="0.25">
      <c r="A957" s="60" t="s">
        <v>174</v>
      </c>
      <c r="B957" s="61" t="s">
        <v>175</v>
      </c>
      <c r="C957" s="62"/>
      <c r="D957" s="63"/>
      <c r="E957" s="62"/>
      <c r="F957" s="62"/>
      <c r="G957" s="64"/>
      <c r="H957" s="65"/>
      <c r="I957" s="65"/>
      <c r="J957" s="65">
        <f>J958+J970</f>
        <v>1328286.6244574999</v>
      </c>
      <c r="K957" s="86"/>
      <c r="L957" s="86"/>
    </row>
    <row r="958" spans="1:12" s="54" customFormat="1" x14ac:dyDescent="0.25">
      <c r="A958" s="66"/>
      <c r="B958" s="67" t="s">
        <v>34</v>
      </c>
      <c r="C958" s="68"/>
      <c r="D958" s="68"/>
      <c r="E958" s="68"/>
      <c r="F958" s="68"/>
      <c r="G958" s="69"/>
      <c r="H958" s="70"/>
      <c r="I958" s="70"/>
      <c r="J958" s="70">
        <f>SUM(J959:J969)</f>
        <v>1002912.095</v>
      </c>
      <c r="K958" s="72"/>
      <c r="L958" s="72"/>
    </row>
    <row r="959" spans="1:12" s="54" customFormat="1" ht="23.25" customHeight="1" x14ac:dyDescent="0.25">
      <c r="A959" s="66"/>
      <c r="B959" s="71" t="s">
        <v>44</v>
      </c>
      <c r="C959" s="72"/>
      <c r="D959" s="72" t="s">
        <v>45</v>
      </c>
      <c r="E959" s="72"/>
      <c r="F959" s="72"/>
      <c r="G959" s="73">
        <v>33.340000000000003</v>
      </c>
      <c r="H959" s="70">
        <f t="shared" ref="H959:H969" si="109">SUM(G959:G959)</f>
        <v>33.340000000000003</v>
      </c>
      <c r="I959" s="74">
        <v>4939</v>
      </c>
      <c r="J959" s="74">
        <f>I959*H959</f>
        <v>164666.26</v>
      </c>
      <c r="K959" s="72"/>
      <c r="L959" s="72"/>
    </row>
    <row r="960" spans="1:12" s="54" customFormat="1" ht="23.25" customHeight="1" x14ac:dyDescent="0.25">
      <c r="A960" s="66"/>
      <c r="B960" s="71" t="s">
        <v>102</v>
      </c>
      <c r="C960" s="72"/>
      <c r="D960" s="72" t="s">
        <v>45</v>
      </c>
      <c r="E960" s="72"/>
      <c r="F960" s="72"/>
      <c r="G960" s="73">
        <v>2.4300000000000002</v>
      </c>
      <c r="H960" s="70">
        <f t="shared" si="109"/>
        <v>2.4300000000000002</v>
      </c>
      <c r="I960" s="74">
        <v>5845</v>
      </c>
      <c r="J960" s="74">
        <f t="shared" ref="J960" si="110">I960*H960</f>
        <v>14203.35</v>
      </c>
      <c r="K960" s="72"/>
      <c r="L960" s="72"/>
    </row>
    <row r="961" spans="1:12" s="54" customFormat="1" ht="23.25" customHeight="1" x14ac:dyDescent="0.25">
      <c r="A961" s="66"/>
      <c r="B961" s="71" t="s">
        <v>46</v>
      </c>
      <c r="C961" s="72"/>
      <c r="D961" s="72" t="s">
        <v>47</v>
      </c>
      <c r="E961" s="72"/>
      <c r="F961" s="72"/>
      <c r="G961" s="73">
        <v>153.94999999999999</v>
      </c>
      <c r="H961" s="70">
        <f t="shared" si="109"/>
        <v>153.94999999999999</v>
      </c>
      <c r="I961" s="74">
        <v>1461</v>
      </c>
      <c r="J961" s="74">
        <f>I961*H961</f>
        <v>224920.94999999998</v>
      </c>
      <c r="K961" s="72"/>
      <c r="L961" s="72"/>
    </row>
    <row r="962" spans="1:12" s="54" customFormat="1" ht="23.25" customHeight="1" x14ac:dyDescent="0.25">
      <c r="A962" s="66"/>
      <c r="B962" s="71" t="s">
        <v>48</v>
      </c>
      <c r="C962" s="72"/>
      <c r="D962" s="72" t="s">
        <v>47</v>
      </c>
      <c r="E962" s="72"/>
      <c r="F962" s="72"/>
      <c r="G962" s="73">
        <v>31.58</v>
      </c>
      <c r="H962" s="70">
        <f t="shared" si="109"/>
        <v>31.58</v>
      </c>
      <c r="I962" s="74">
        <v>1461</v>
      </c>
      <c r="J962" s="74">
        <f>I962*H962</f>
        <v>46138.38</v>
      </c>
      <c r="K962" s="72"/>
      <c r="L962" s="72"/>
    </row>
    <row r="963" spans="1:12" s="54" customFormat="1" ht="23.25" customHeight="1" x14ac:dyDescent="0.25">
      <c r="A963" s="66"/>
      <c r="B963" s="71" t="s">
        <v>103</v>
      </c>
      <c r="C963" s="72"/>
      <c r="D963" s="72" t="s">
        <v>47</v>
      </c>
      <c r="E963" s="72"/>
      <c r="F963" s="72"/>
      <c r="G963" s="73">
        <v>159.29</v>
      </c>
      <c r="H963" s="70">
        <f t="shared" si="109"/>
        <v>159.29</v>
      </c>
      <c r="I963" s="74">
        <v>1461</v>
      </c>
      <c r="J963" s="74">
        <f>I963*H963</f>
        <v>232722.69</v>
      </c>
      <c r="K963" s="72"/>
      <c r="L963" s="72"/>
    </row>
    <row r="964" spans="1:12" s="54" customFormat="1" ht="23.25" customHeight="1" x14ac:dyDescent="0.25">
      <c r="A964" s="66"/>
      <c r="B964" s="71" t="s">
        <v>104</v>
      </c>
      <c r="C964" s="72"/>
      <c r="D964" s="72" t="s">
        <v>47</v>
      </c>
      <c r="E964" s="72"/>
      <c r="F964" s="72"/>
      <c r="G964" s="73">
        <v>142.06</v>
      </c>
      <c r="H964" s="70">
        <f t="shared" si="109"/>
        <v>142.06</v>
      </c>
      <c r="I964" s="74">
        <v>1461</v>
      </c>
      <c r="J964" s="74">
        <f>I964*H964</f>
        <v>207549.66</v>
      </c>
      <c r="K964" s="72"/>
      <c r="L964" s="72"/>
    </row>
    <row r="965" spans="1:12" s="54" customFormat="1" ht="23.25" customHeight="1" x14ac:dyDescent="0.25">
      <c r="A965" s="66"/>
      <c r="B965" s="71" t="s">
        <v>49</v>
      </c>
      <c r="C965" s="72"/>
      <c r="D965" s="72" t="s">
        <v>47</v>
      </c>
      <c r="E965" s="72"/>
      <c r="F965" s="72"/>
      <c r="G965" s="73">
        <v>31.02</v>
      </c>
      <c r="H965" s="70">
        <f t="shared" si="109"/>
        <v>31.02</v>
      </c>
      <c r="I965" s="74">
        <v>1610</v>
      </c>
      <c r="J965" s="74">
        <f t="shared" ref="J965:J968" si="111">I965*H965</f>
        <v>49942.2</v>
      </c>
      <c r="K965" s="72"/>
      <c r="L965" s="72"/>
    </row>
    <row r="966" spans="1:12" s="54" customFormat="1" ht="23.25" customHeight="1" x14ac:dyDescent="0.25">
      <c r="A966" s="66"/>
      <c r="B966" s="71" t="s">
        <v>50</v>
      </c>
      <c r="C966" s="72"/>
      <c r="D966" s="72" t="s">
        <v>51</v>
      </c>
      <c r="E966" s="72"/>
      <c r="F966" s="72"/>
      <c r="G966" s="73">
        <v>56</v>
      </c>
      <c r="H966" s="70">
        <f t="shared" si="109"/>
        <v>56</v>
      </c>
      <c r="I966" s="74">
        <v>803</v>
      </c>
      <c r="J966" s="74">
        <f t="shared" si="111"/>
        <v>44968</v>
      </c>
      <c r="K966" s="72"/>
      <c r="L966" s="72"/>
    </row>
    <row r="967" spans="1:12" s="54" customFormat="1" ht="27.75" customHeight="1" x14ac:dyDescent="0.25">
      <c r="A967" s="66"/>
      <c r="B967" s="71" t="s">
        <v>52</v>
      </c>
      <c r="C967" s="72" t="s">
        <v>105</v>
      </c>
      <c r="D967" s="72" t="s">
        <v>54</v>
      </c>
      <c r="E967" s="72"/>
      <c r="F967" s="72"/>
      <c r="G967" s="73">
        <v>137.57</v>
      </c>
      <c r="H967" s="70">
        <f t="shared" si="109"/>
        <v>137.57</v>
      </c>
      <c r="I967" s="74">
        <v>94.5</v>
      </c>
      <c r="J967" s="74">
        <f t="shared" si="111"/>
        <v>13000.365</v>
      </c>
      <c r="K967" s="72"/>
      <c r="L967" s="72"/>
    </row>
    <row r="968" spans="1:12" s="54" customFormat="1" ht="31.5" x14ac:dyDescent="0.25">
      <c r="A968" s="66"/>
      <c r="B968" s="71" t="s">
        <v>55</v>
      </c>
      <c r="C968" s="72"/>
      <c r="D968" s="72" t="s">
        <v>54</v>
      </c>
      <c r="E968" s="72"/>
      <c r="F968" s="72"/>
      <c r="G968" s="73">
        <v>40.68</v>
      </c>
      <c r="H968" s="70">
        <f t="shared" si="109"/>
        <v>40.68</v>
      </c>
      <c r="I968" s="74">
        <v>118</v>
      </c>
      <c r="J968" s="74">
        <f t="shared" si="111"/>
        <v>4800.24</v>
      </c>
      <c r="K968" s="72"/>
      <c r="L968" s="72"/>
    </row>
    <row r="969" spans="1:12" s="54" customFormat="1" ht="21" customHeight="1" x14ac:dyDescent="0.25">
      <c r="A969" s="66"/>
      <c r="B969" s="87" t="s">
        <v>56</v>
      </c>
      <c r="C969" s="88"/>
      <c r="D969" s="88" t="s">
        <v>45</v>
      </c>
      <c r="E969" s="88"/>
      <c r="F969" s="88"/>
      <c r="G969" s="73">
        <f>293.83*0.06*0.03</f>
        <v>0.52889399999999998</v>
      </c>
      <c r="H969" s="70">
        <f t="shared" si="109"/>
        <v>0.52889399999999998</v>
      </c>
      <c r="I969" s="74"/>
      <c r="J969" s="74"/>
      <c r="K969" s="88" t="s">
        <v>57</v>
      </c>
      <c r="L969" s="72"/>
    </row>
    <row r="970" spans="1:12" s="54" customFormat="1" x14ac:dyDescent="0.25">
      <c r="A970" s="75"/>
      <c r="B970" s="76" t="s">
        <v>38</v>
      </c>
      <c r="C970" s="77"/>
      <c r="D970" s="77"/>
      <c r="E970" s="77"/>
      <c r="F970" s="77"/>
      <c r="G970" s="78"/>
      <c r="H970" s="79"/>
      <c r="I970" s="80"/>
      <c r="J970" s="79">
        <f>SUM(J971:J999)</f>
        <v>325374.52945749997</v>
      </c>
      <c r="K970" s="77"/>
      <c r="L970" s="77"/>
    </row>
    <row r="971" spans="1:12" s="54" customFormat="1" ht="31.5" x14ac:dyDescent="0.25">
      <c r="A971" s="81"/>
      <c r="B971" s="82" t="s">
        <v>58</v>
      </c>
      <c r="C971" s="77" t="s">
        <v>59</v>
      </c>
      <c r="D971" s="77" t="s">
        <v>60</v>
      </c>
      <c r="E971" s="78">
        <v>12.4</v>
      </c>
      <c r="F971" s="77">
        <v>0.25</v>
      </c>
      <c r="G971" s="83">
        <f>G959/F971*E971</f>
        <v>1653.6640000000002</v>
      </c>
      <c r="H971" s="84">
        <f t="shared" ref="H971:H998" si="112">SUM(G971:G971)</f>
        <v>1653.6640000000002</v>
      </c>
      <c r="I971" s="80">
        <v>0</v>
      </c>
      <c r="J971" s="80">
        <f>H971*I971</f>
        <v>0</v>
      </c>
      <c r="K971" s="77" t="s">
        <v>61</v>
      </c>
      <c r="L971" s="77" t="s">
        <v>320</v>
      </c>
    </row>
    <row r="972" spans="1:12" s="54" customFormat="1" ht="31.5" x14ac:dyDescent="0.25">
      <c r="A972" s="81"/>
      <c r="B972" s="82" t="s">
        <v>62</v>
      </c>
      <c r="C972" s="77" t="s">
        <v>63</v>
      </c>
      <c r="D972" s="77" t="s">
        <v>60</v>
      </c>
      <c r="E972" s="78">
        <v>12.4</v>
      </c>
      <c r="F972" s="77"/>
      <c r="G972" s="83">
        <f>G961*E972</f>
        <v>1908.98</v>
      </c>
      <c r="H972" s="84">
        <f t="shared" si="112"/>
        <v>1908.98</v>
      </c>
      <c r="I972" s="80">
        <v>0</v>
      </c>
      <c r="J972" s="80">
        <f>H972*I972</f>
        <v>0</v>
      </c>
      <c r="K972" s="77" t="s">
        <v>61</v>
      </c>
      <c r="L972" s="77" t="s">
        <v>320</v>
      </c>
    </row>
    <row r="973" spans="1:12" s="54" customFormat="1" ht="31.5" x14ac:dyDescent="0.25">
      <c r="A973" s="81"/>
      <c r="B973" s="82" t="s">
        <v>64</v>
      </c>
      <c r="C973" s="77" t="s">
        <v>65</v>
      </c>
      <c r="D973" s="77" t="s">
        <v>60</v>
      </c>
      <c r="E973" s="78">
        <v>12.4</v>
      </c>
      <c r="F973" s="77"/>
      <c r="G973" s="83">
        <f>G962*E973</f>
        <v>391.59199999999998</v>
      </c>
      <c r="H973" s="84">
        <f t="shared" si="112"/>
        <v>391.59199999999998</v>
      </c>
      <c r="I973" s="80">
        <v>0</v>
      </c>
      <c r="J973" s="80">
        <f>H973*I973</f>
        <v>0</v>
      </c>
      <c r="K973" s="77" t="s">
        <v>61</v>
      </c>
      <c r="L973" s="77" t="s">
        <v>320</v>
      </c>
    </row>
    <row r="974" spans="1:12" s="54" customFormat="1" ht="31.5" x14ac:dyDescent="0.25">
      <c r="A974" s="81"/>
      <c r="B974" s="82" t="s">
        <v>106</v>
      </c>
      <c r="C974" s="77" t="s">
        <v>107</v>
      </c>
      <c r="D974" s="77" t="s">
        <v>60</v>
      </c>
      <c r="E974" s="78">
        <v>12.4</v>
      </c>
      <c r="F974" s="77"/>
      <c r="G974" s="83">
        <f>G963*E974</f>
        <v>1975.1959999999999</v>
      </c>
      <c r="H974" s="84">
        <f t="shared" si="112"/>
        <v>1975.1959999999999</v>
      </c>
      <c r="I974" s="80">
        <v>0</v>
      </c>
      <c r="J974" s="80">
        <f>H974*I974</f>
        <v>0</v>
      </c>
      <c r="K974" s="77" t="s">
        <v>61</v>
      </c>
      <c r="L974" s="77" t="s">
        <v>320</v>
      </c>
    </row>
    <row r="975" spans="1:12" s="54" customFormat="1" ht="31.5" x14ac:dyDescent="0.25">
      <c r="A975" s="81"/>
      <c r="B975" s="82" t="s">
        <v>108</v>
      </c>
      <c r="C975" s="77" t="s">
        <v>109</v>
      </c>
      <c r="D975" s="77" t="s">
        <v>60</v>
      </c>
      <c r="E975" s="78">
        <v>12.4</v>
      </c>
      <c r="F975" s="77"/>
      <c r="G975" s="83">
        <f>G964*E975</f>
        <v>1761.5440000000001</v>
      </c>
      <c r="H975" s="84">
        <f t="shared" si="112"/>
        <v>1761.5440000000001</v>
      </c>
      <c r="I975" s="80">
        <v>0</v>
      </c>
      <c r="J975" s="80">
        <f>H975*I975</f>
        <v>0</v>
      </c>
      <c r="K975" s="77" t="s">
        <v>61</v>
      </c>
      <c r="L975" s="77" t="s">
        <v>320</v>
      </c>
    </row>
    <row r="976" spans="1:12" s="54" customFormat="1" ht="39" customHeight="1" x14ac:dyDescent="0.25">
      <c r="A976" s="81"/>
      <c r="B976" s="89" t="s">
        <v>66</v>
      </c>
      <c r="C976" s="77" t="s">
        <v>67</v>
      </c>
      <c r="D976" s="77" t="s">
        <v>60</v>
      </c>
      <c r="E976" s="90">
        <v>42</v>
      </c>
      <c r="F976" s="90"/>
      <c r="G976" s="83">
        <f>G965*E976</f>
        <v>1302.8399999999999</v>
      </c>
      <c r="H976" s="84">
        <f t="shared" si="112"/>
        <v>1302.8399999999999</v>
      </c>
      <c r="I976" s="80">
        <v>0</v>
      </c>
      <c r="J976" s="80">
        <f t="shared" ref="J976:J998" si="113">H976*I976</f>
        <v>0</v>
      </c>
      <c r="K976" s="77" t="s">
        <v>68</v>
      </c>
      <c r="L976" s="77" t="s">
        <v>320</v>
      </c>
    </row>
    <row r="977" spans="1:12" s="54" customFormat="1" ht="39" customHeight="1" x14ac:dyDescent="0.25">
      <c r="A977" s="81"/>
      <c r="B977" s="89" t="s">
        <v>110</v>
      </c>
      <c r="C977" s="77" t="s">
        <v>111</v>
      </c>
      <c r="D977" s="77" t="s">
        <v>60</v>
      </c>
      <c r="E977" s="90">
        <v>42</v>
      </c>
      <c r="F977" s="90"/>
      <c r="G977" s="83">
        <f>G960/0.25*E977</f>
        <v>408.24</v>
      </c>
      <c r="H977" s="84">
        <f t="shared" si="112"/>
        <v>408.24</v>
      </c>
      <c r="I977" s="80">
        <v>0</v>
      </c>
      <c r="J977" s="80">
        <f t="shared" si="113"/>
        <v>0</v>
      </c>
      <c r="K977" s="77" t="s">
        <v>68</v>
      </c>
      <c r="L977" s="77" t="s">
        <v>320</v>
      </c>
    </row>
    <row r="978" spans="1:12" s="54" customFormat="1" ht="33" customHeight="1" x14ac:dyDescent="0.25">
      <c r="A978" s="81"/>
      <c r="B978" s="91" t="s">
        <v>69</v>
      </c>
      <c r="C978" s="77" t="s">
        <v>70</v>
      </c>
      <c r="D978" s="77" t="s">
        <v>45</v>
      </c>
      <c r="E978" s="77">
        <v>0.19500000000000001</v>
      </c>
      <c r="F978" s="90"/>
      <c r="G978" s="78">
        <f>G959*E978+G961*E978*0.19+G962*E978*0.19+G963*E978*0.09+G964*E978*0.09</f>
        <v>18.663878999999998</v>
      </c>
      <c r="H978" s="79">
        <f t="shared" si="112"/>
        <v>18.663878999999998</v>
      </c>
      <c r="I978" s="80">
        <v>7875</v>
      </c>
      <c r="J978" s="80">
        <f t="shared" si="113"/>
        <v>146978.04712499998</v>
      </c>
      <c r="K978" s="77" t="s">
        <v>71</v>
      </c>
      <c r="L978" s="77" t="s">
        <v>321</v>
      </c>
    </row>
    <row r="979" spans="1:12" s="54" customFormat="1" ht="33" customHeight="1" x14ac:dyDescent="0.25">
      <c r="A979" s="92"/>
      <c r="B979" s="91" t="s">
        <v>112</v>
      </c>
      <c r="C979" s="77" t="s">
        <v>70</v>
      </c>
      <c r="D979" s="77" t="s">
        <v>45</v>
      </c>
      <c r="E979" s="77">
        <v>0.24</v>
      </c>
      <c r="F979" s="77"/>
      <c r="G979" s="78">
        <f>G960*E979</f>
        <v>0.58320000000000005</v>
      </c>
      <c r="H979" s="79">
        <f t="shared" si="112"/>
        <v>0.58320000000000005</v>
      </c>
      <c r="I979" s="80">
        <v>7875</v>
      </c>
      <c r="J979" s="80">
        <f t="shared" si="113"/>
        <v>4592.7000000000007</v>
      </c>
      <c r="K979" s="77" t="s">
        <v>71</v>
      </c>
      <c r="L979" s="77" t="s">
        <v>321</v>
      </c>
    </row>
    <row r="980" spans="1:12" s="54" customFormat="1" ht="33" customHeight="1" x14ac:dyDescent="0.25">
      <c r="A980" s="92"/>
      <c r="B980" s="91" t="s">
        <v>72</v>
      </c>
      <c r="C980" s="77" t="s">
        <v>70</v>
      </c>
      <c r="D980" s="77" t="s">
        <v>45</v>
      </c>
      <c r="E980" s="77">
        <v>4.5999999999999999E-2</v>
      </c>
      <c r="F980" s="77"/>
      <c r="G980" s="78">
        <f>G965*E980</f>
        <v>1.42692</v>
      </c>
      <c r="H980" s="79">
        <f t="shared" si="112"/>
        <v>1.42692</v>
      </c>
      <c r="I980" s="80">
        <v>7875</v>
      </c>
      <c r="J980" s="80">
        <f t="shared" si="113"/>
        <v>11236.994999999999</v>
      </c>
      <c r="K980" s="77" t="s">
        <v>73</v>
      </c>
      <c r="L980" s="77" t="s">
        <v>321</v>
      </c>
    </row>
    <row r="981" spans="1:12" s="54" customFormat="1" ht="33" customHeight="1" x14ac:dyDescent="0.25">
      <c r="A981" s="92"/>
      <c r="B981" s="91" t="s">
        <v>74</v>
      </c>
      <c r="C981" s="77" t="s">
        <v>70</v>
      </c>
      <c r="D981" s="77" t="s">
        <v>45</v>
      </c>
      <c r="E981" s="77">
        <v>1.01</v>
      </c>
      <c r="F981" s="77"/>
      <c r="G981" s="78">
        <f>G969*E981</f>
        <v>0.53418293999999999</v>
      </c>
      <c r="H981" s="79">
        <f t="shared" si="112"/>
        <v>0.53418293999999999</v>
      </c>
      <c r="I981" s="80">
        <v>7875</v>
      </c>
      <c r="J981" s="80">
        <f t="shared" si="113"/>
        <v>4206.6906525000004</v>
      </c>
      <c r="K981" s="77" t="s">
        <v>71</v>
      </c>
      <c r="L981" s="77" t="s">
        <v>321</v>
      </c>
    </row>
    <row r="982" spans="1:12" s="54" customFormat="1" ht="33" customHeight="1" x14ac:dyDescent="0.25">
      <c r="A982" s="81"/>
      <c r="B982" s="89" t="s">
        <v>75</v>
      </c>
      <c r="C982" s="77" t="s">
        <v>70</v>
      </c>
      <c r="D982" s="77" t="s">
        <v>45</v>
      </c>
      <c r="E982" s="77">
        <v>6.0000000000000001E-3</v>
      </c>
      <c r="F982" s="77"/>
      <c r="G982" s="78">
        <f>G966*E982</f>
        <v>0.33600000000000002</v>
      </c>
      <c r="H982" s="79">
        <f t="shared" si="112"/>
        <v>0.33600000000000002</v>
      </c>
      <c r="I982" s="80">
        <v>7875</v>
      </c>
      <c r="J982" s="80">
        <f t="shared" si="113"/>
        <v>2646</v>
      </c>
      <c r="K982" s="77" t="s">
        <v>76</v>
      </c>
      <c r="L982" s="77" t="s">
        <v>321</v>
      </c>
    </row>
    <row r="983" spans="1:12" s="54" customFormat="1" ht="33" customHeight="1" x14ac:dyDescent="0.25">
      <c r="A983" s="81"/>
      <c r="B983" s="89" t="s">
        <v>77</v>
      </c>
      <c r="C983" s="77" t="s">
        <v>70</v>
      </c>
      <c r="D983" s="77" t="s">
        <v>45</v>
      </c>
      <c r="E983" s="77">
        <v>1.01</v>
      </c>
      <c r="F983" s="77"/>
      <c r="G983" s="93">
        <v>0.08</v>
      </c>
      <c r="H983" s="79">
        <f t="shared" si="112"/>
        <v>0.08</v>
      </c>
      <c r="I983" s="80">
        <v>7875</v>
      </c>
      <c r="J983" s="80">
        <f t="shared" si="113"/>
        <v>630</v>
      </c>
      <c r="K983" s="94"/>
      <c r="L983" s="77" t="s">
        <v>321</v>
      </c>
    </row>
    <row r="984" spans="1:12" s="54" customFormat="1" ht="21" customHeight="1" x14ac:dyDescent="0.25">
      <c r="A984" s="81"/>
      <c r="B984" s="89" t="s">
        <v>78</v>
      </c>
      <c r="C984" s="77" t="s">
        <v>79</v>
      </c>
      <c r="D984" s="77" t="s">
        <v>47</v>
      </c>
      <c r="E984" s="77"/>
      <c r="F984" s="77"/>
      <c r="G984" s="78">
        <v>120.29</v>
      </c>
      <c r="H984" s="79">
        <f t="shared" si="112"/>
        <v>120.29</v>
      </c>
      <c r="I984" s="80">
        <v>88.34</v>
      </c>
      <c r="J984" s="80">
        <f t="shared" si="113"/>
        <v>10626.418600000001</v>
      </c>
      <c r="K984" s="94"/>
      <c r="L984" s="77" t="s">
        <v>321</v>
      </c>
    </row>
    <row r="985" spans="1:12" s="54" customFormat="1" ht="21" customHeight="1" x14ac:dyDescent="0.25">
      <c r="A985" s="81"/>
      <c r="B985" s="89" t="s">
        <v>113</v>
      </c>
      <c r="C985" s="77" t="s">
        <v>114</v>
      </c>
      <c r="D985" s="77" t="s">
        <v>60</v>
      </c>
      <c r="E985" s="77"/>
      <c r="F985" s="77"/>
      <c r="G985" s="78">
        <v>12</v>
      </c>
      <c r="H985" s="79">
        <f t="shared" si="112"/>
        <v>12</v>
      </c>
      <c r="I985" s="80">
        <v>398.6</v>
      </c>
      <c r="J985" s="80">
        <f t="shared" si="113"/>
        <v>4783.2000000000007</v>
      </c>
      <c r="K985" s="94"/>
      <c r="L985" s="77" t="s">
        <v>321</v>
      </c>
    </row>
    <row r="986" spans="1:12" s="54" customFormat="1" ht="21" customHeight="1" x14ac:dyDescent="0.25">
      <c r="A986" s="81"/>
      <c r="B986" s="89" t="s">
        <v>115</v>
      </c>
      <c r="C986" s="77" t="s">
        <v>116</v>
      </c>
      <c r="D986" s="77" t="s">
        <v>60</v>
      </c>
      <c r="E986" s="77"/>
      <c r="F986" s="77"/>
      <c r="G986" s="78">
        <v>9</v>
      </c>
      <c r="H986" s="79">
        <f t="shared" si="112"/>
        <v>9</v>
      </c>
      <c r="I986" s="80">
        <v>465.03</v>
      </c>
      <c r="J986" s="80">
        <f t="shared" si="113"/>
        <v>4185.2699999999995</v>
      </c>
      <c r="K986" s="94"/>
      <c r="L986" s="77" t="s">
        <v>321</v>
      </c>
    </row>
    <row r="987" spans="1:12" s="54" customFormat="1" ht="21" customHeight="1" x14ac:dyDescent="0.25">
      <c r="A987" s="81"/>
      <c r="B987" s="89" t="s">
        <v>117</v>
      </c>
      <c r="C987" s="77" t="s">
        <v>118</v>
      </c>
      <c r="D987" s="77" t="s">
        <v>60</v>
      </c>
      <c r="E987" s="77"/>
      <c r="F987" s="77"/>
      <c r="G987" s="78">
        <v>1</v>
      </c>
      <c r="H987" s="79">
        <f t="shared" si="112"/>
        <v>1</v>
      </c>
      <c r="I987" s="80">
        <v>841.49</v>
      </c>
      <c r="J987" s="80">
        <f t="shared" si="113"/>
        <v>841.49</v>
      </c>
      <c r="K987" s="94"/>
      <c r="L987" s="77" t="s">
        <v>321</v>
      </c>
    </row>
    <row r="988" spans="1:12" s="54" customFormat="1" ht="21" customHeight="1" x14ac:dyDescent="0.25">
      <c r="A988" s="81"/>
      <c r="B988" s="89" t="s">
        <v>119</v>
      </c>
      <c r="C988" s="77" t="s">
        <v>120</v>
      </c>
      <c r="D988" s="77" t="s">
        <v>60</v>
      </c>
      <c r="E988" s="77"/>
      <c r="F988" s="77"/>
      <c r="G988" s="78">
        <v>10</v>
      </c>
      <c r="H988" s="79">
        <f t="shared" si="112"/>
        <v>10</v>
      </c>
      <c r="I988" s="80">
        <v>981.74</v>
      </c>
      <c r="J988" s="80">
        <f t="shared" si="113"/>
        <v>9817.4</v>
      </c>
      <c r="K988" s="94"/>
      <c r="L988" s="77" t="s">
        <v>321</v>
      </c>
    </row>
    <row r="989" spans="1:12" s="54" customFormat="1" ht="21" customHeight="1" x14ac:dyDescent="0.25">
      <c r="A989" s="81"/>
      <c r="B989" s="89" t="s">
        <v>121</v>
      </c>
      <c r="C989" s="77" t="s">
        <v>122</v>
      </c>
      <c r="D989" s="77" t="s">
        <v>60</v>
      </c>
      <c r="E989" s="77"/>
      <c r="F989" s="77"/>
      <c r="G989" s="78">
        <v>3</v>
      </c>
      <c r="H989" s="79">
        <f t="shared" si="112"/>
        <v>3</v>
      </c>
      <c r="I989" s="80">
        <v>1291.76</v>
      </c>
      <c r="J989" s="80">
        <f t="shared" si="113"/>
        <v>3875.2799999999997</v>
      </c>
      <c r="K989" s="94"/>
      <c r="L989" s="77" t="s">
        <v>321</v>
      </c>
    </row>
    <row r="990" spans="1:12" s="54" customFormat="1" ht="21" customHeight="1" x14ac:dyDescent="0.25">
      <c r="A990" s="81"/>
      <c r="B990" s="89" t="s">
        <v>123</v>
      </c>
      <c r="C990" s="77" t="s">
        <v>124</v>
      </c>
      <c r="D990" s="77" t="s">
        <v>60</v>
      </c>
      <c r="E990" s="77"/>
      <c r="F990" s="77"/>
      <c r="G990" s="78">
        <v>1</v>
      </c>
      <c r="H990" s="79">
        <f t="shared" si="112"/>
        <v>1</v>
      </c>
      <c r="I990" s="80">
        <v>1845.38</v>
      </c>
      <c r="J990" s="80">
        <f t="shared" si="113"/>
        <v>1845.38</v>
      </c>
      <c r="K990" s="94"/>
      <c r="L990" s="77" t="s">
        <v>321</v>
      </c>
    </row>
    <row r="991" spans="1:12" s="54" customFormat="1" ht="21" customHeight="1" x14ac:dyDescent="0.25">
      <c r="A991" s="81"/>
      <c r="B991" s="89" t="s">
        <v>125</v>
      </c>
      <c r="C991" s="77" t="s">
        <v>126</v>
      </c>
      <c r="D991" s="77" t="s">
        <v>60</v>
      </c>
      <c r="E991" s="77"/>
      <c r="F991" s="77"/>
      <c r="G991" s="78">
        <v>8</v>
      </c>
      <c r="H991" s="79">
        <f t="shared" si="112"/>
        <v>8</v>
      </c>
      <c r="I991" s="80">
        <v>2029.91</v>
      </c>
      <c r="J991" s="80">
        <f t="shared" si="113"/>
        <v>16239.28</v>
      </c>
      <c r="K991" s="94"/>
      <c r="L991" s="77" t="s">
        <v>321</v>
      </c>
    </row>
    <row r="992" spans="1:12" s="54" customFormat="1" ht="21" customHeight="1" x14ac:dyDescent="0.25">
      <c r="A992" s="81"/>
      <c r="B992" s="89" t="s">
        <v>127</v>
      </c>
      <c r="C992" s="77" t="s">
        <v>128</v>
      </c>
      <c r="D992" s="77" t="s">
        <v>60</v>
      </c>
      <c r="E992" s="77"/>
      <c r="F992" s="77"/>
      <c r="G992" s="78">
        <v>11</v>
      </c>
      <c r="H992" s="79">
        <f t="shared" si="112"/>
        <v>11</v>
      </c>
      <c r="I992" s="80">
        <v>2398.9899999999998</v>
      </c>
      <c r="J992" s="80">
        <f t="shared" si="113"/>
        <v>26388.89</v>
      </c>
      <c r="K992" s="94"/>
      <c r="L992" s="77" t="s">
        <v>321</v>
      </c>
    </row>
    <row r="993" spans="1:12" s="54" customFormat="1" ht="21" customHeight="1" x14ac:dyDescent="0.25">
      <c r="A993" s="81"/>
      <c r="B993" s="89" t="s">
        <v>129</v>
      </c>
      <c r="C993" s="77" t="s">
        <v>130</v>
      </c>
      <c r="D993" s="77" t="s">
        <v>60</v>
      </c>
      <c r="E993" s="77"/>
      <c r="F993" s="77"/>
      <c r="G993" s="78">
        <v>1</v>
      </c>
      <c r="H993" s="79">
        <f t="shared" si="112"/>
        <v>1</v>
      </c>
      <c r="I993" s="80">
        <v>2583.5300000000002</v>
      </c>
      <c r="J993" s="80">
        <f t="shared" si="113"/>
        <v>2583.5300000000002</v>
      </c>
      <c r="K993" s="94"/>
      <c r="L993" s="77" t="s">
        <v>321</v>
      </c>
    </row>
    <row r="994" spans="1:12" s="54" customFormat="1" ht="21" customHeight="1" x14ac:dyDescent="0.25">
      <c r="A994" s="81"/>
      <c r="B994" s="89" t="s">
        <v>92</v>
      </c>
      <c r="C994" s="77" t="s">
        <v>93</v>
      </c>
      <c r="D994" s="77" t="s">
        <v>54</v>
      </c>
      <c r="E994" s="77">
        <v>1.04</v>
      </c>
      <c r="F994" s="77"/>
      <c r="G994" s="78">
        <f>157.65*E994</f>
        <v>163.95600000000002</v>
      </c>
      <c r="H994" s="79">
        <f t="shared" si="112"/>
        <v>163.95600000000002</v>
      </c>
      <c r="I994" s="80">
        <v>66.349999999999994</v>
      </c>
      <c r="J994" s="80">
        <f t="shared" si="113"/>
        <v>10878.480600000001</v>
      </c>
      <c r="K994" s="94"/>
      <c r="L994" s="77" t="s">
        <v>321</v>
      </c>
    </row>
    <row r="995" spans="1:12" s="54" customFormat="1" ht="21" customHeight="1" x14ac:dyDescent="0.25">
      <c r="A995" s="81"/>
      <c r="B995" s="89" t="s">
        <v>94</v>
      </c>
      <c r="C995" s="77" t="s">
        <v>95</v>
      </c>
      <c r="D995" s="77" t="s">
        <v>54</v>
      </c>
      <c r="E995" s="77">
        <v>1.04</v>
      </c>
      <c r="F995" s="77"/>
      <c r="G995" s="78">
        <f>G968*E995</f>
        <v>42.307200000000002</v>
      </c>
      <c r="H995" s="79">
        <f t="shared" si="112"/>
        <v>42.307200000000002</v>
      </c>
      <c r="I995" s="80">
        <v>64</v>
      </c>
      <c r="J995" s="80">
        <f t="shared" si="113"/>
        <v>2707.6608000000001</v>
      </c>
      <c r="K995" s="94"/>
      <c r="L995" s="77" t="s">
        <v>321</v>
      </c>
    </row>
    <row r="996" spans="1:12" s="54" customFormat="1" ht="21" customHeight="1" x14ac:dyDescent="0.25">
      <c r="A996" s="81"/>
      <c r="B996" s="89" t="s">
        <v>131</v>
      </c>
      <c r="C996" s="77" t="s">
        <v>39</v>
      </c>
      <c r="D996" s="77" t="s">
        <v>54</v>
      </c>
      <c r="E996" s="77">
        <v>1.04</v>
      </c>
      <c r="F996" s="77"/>
      <c r="G996" s="78">
        <f>85.59*E996</f>
        <v>89.013600000000011</v>
      </c>
      <c r="H996" s="79">
        <f t="shared" si="112"/>
        <v>89.013600000000011</v>
      </c>
      <c r="I996" s="80">
        <v>64.209999999999994</v>
      </c>
      <c r="J996" s="80">
        <f t="shared" si="113"/>
        <v>5715.5632560000004</v>
      </c>
      <c r="K996" s="94"/>
      <c r="L996" s="77" t="s">
        <v>321</v>
      </c>
    </row>
    <row r="997" spans="1:12" s="54" customFormat="1" ht="21" customHeight="1" x14ac:dyDescent="0.25">
      <c r="A997" s="81"/>
      <c r="B997" s="89" t="s">
        <v>97</v>
      </c>
      <c r="C997" s="77" t="s">
        <v>39</v>
      </c>
      <c r="D997" s="77" t="s">
        <v>54</v>
      </c>
      <c r="E997" s="77">
        <v>1.04</v>
      </c>
      <c r="F997" s="77"/>
      <c r="G997" s="78">
        <f>E997*23.1</f>
        <v>24.024000000000001</v>
      </c>
      <c r="H997" s="79">
        <f t="shared" si="112"/>
        <v>24.024000000000001</v>
      </c>
      <c r="I997" s="80">
        <v>74.92</v>
      </c>
      <c r="J997" s="80">
        <f t="shared" si="113"/>
        <v>1799.8780800000002</v>
      </c>
      <c r="K997" s="94"/>
      <c r="L997" s="77" t="s">
        <v>321</v>
      </c>
    </row>
    <row r="998" spans="1:12" s="54" customFormat="1" ht="21" customHeight="1" x14ac:dyDescent="0.25">
      <c r="A998" s="81"/>
      <c r="B998" s="89" t="s">
        <v>132</v>
      </c>
      <c r="C998" s="77" t="s">
        <v>39</v>
      </c>
      <c r="D998" s="77" t="s">
        <v>54</v>
      </c>
      <c r="E998" s="77">
        <v>1.04</v>
      </c>
      <c r="F998" s="77"/>
      <c r="G998" s="78">
        <f>28.88*E998</f>
        <v>30.0352</v>
      </c>
      <c r="H998" s="79">
        <f t="shared" si="112"/>
        <v>30.0352</v>
      </c>
      <c r="I998" s="80">
        <v>75.97</v>
      </c>
      <c r="J998" s="80">
        <f t="shared" si="113"/>
        <v>2281.774144</v>
      </c>
      <c r="K998" s="94"/>
      <c r="L998" s="77" t="s">
        <v>321</v>
      </c>
    </row>
    <row r="999" spans="1:12" s="101" customFormat="1" ht="32.25" customHeight="1" x14ac:dyDescent="0.25">
      <c r="A999" s="95"/>
      <c r="B999" s="96" t="s">
        <v>133</v>
      </c>
      <c r="C999" s="97" t="s">
        <v>39</v>
      </c>
      <c r="D999" s="97" t="s">
        <v>99</v>
      </c>
      <c r="E999" s="97"/>
      <c r="F999" s="97"/>
      <c r="G999" s="98"/>
      <c r="H999" s="99">
        <f>J999*100/J958</f>
        <v>5.0367925017396464</v>
      </c>
      <c r="I999" s="79"/>
      <c r="J999" s="79">
        <v>50514.601200000005</v>
      </c>
      <c r="K999" s="100"/>
      <c r="L999" s="97" t="s">
        <v>321</v>
      </c>
    </row>
    <row r="1000" spans="1:12" s="54" customFormat="1" x14ac:dyDescent="0.25">
      <c r="A1000" s="60" t="s">
        <v>176</v>
      </c>
      <c r="B1000" s="61" t="s">
        <v>177</v>
      </c>
      <c r="C1000" s="62"/>
      <c r="D1000" s="63"/>
      <c r="E1000" s="62"/>
      <c r="F1000" s="62"/>
      <c r="G1000" s="64"/>
      <c r="H1000" s="65"/>
      <c r="I1000" s="65"/>
      <c r="J1000" s="65">
        <f>J1001+J1013</f>
        <v>1460608.5942025001</v>
      </c>
      <c r="K1000" s="86"/>
      <c r="L1000" s="86"/>
    </row>
    <row r="1001" spans="1:12" s="54" customFormat="1" x14ac:dyDescent="0.25">
      <c r="A1001" s="66"/>
      <c r="B1001" s="67" t="s">
        <v>34</v>
      </c>
      <c r="C1001" s="68"/>
      <c r="D1001" s="68"/>
      <c r="E1001" s="68"/>
      <c r="F1001" s="68"/>
      <c r="G1001" s="69"/>
      <c r="H1001" s="70"/>
      <c r="I1001" s="70"/>
      <c r="J1001" s="70">
        <f>SUM(J1002:J1012)</f>
        <v>1106127.2949999999</v>
      </c>
      <c r="K1001" s="72"/>
      <c r="L1001" s="72"/>
    </row>
    <row r="1002" spans="1:12" s="54" customFormat="1" ht="24" customHeight="1" x14ac:dyDescent="0.25">
      <c r="A1002" s="66"/>
      <c r="B1002" s="71" t="s">
        <v>44</v>
      </c>
      <c r="C1002" s="72"/>
      <c r="D1002" s="72" t="s">
        <v>45</v>
      </c>
      <c r="E1002" s="72"/>
      <c r="F1002" s="72"/>
      <c r="G1002" s="73">
        <v>36.1</v>
      </c>
      <c r="H1002" s="70">
        <f t="shared" ref="H1002:H1012" si="114">SUM(G1002:G1002)</f>
        <v>36.1</v>
      </c>
      <c r="I1002" s="74">
        <v>4939</v>
      </c>
      <c r="J1002" s="74">
        <f>I1002*H1002</f>
        <v>178297.9</v>
      </c>
      <c r="K1002" s="72"/>
      <c r="L1002" s="72"/>
    </row>
    <row r="1003" spans="1:12" s="54" customFormat="1" ht="24" customHeight="1" x14ac:dyDescent="0.25">
      <c r="A1003" s="66"/>
      <c r="B1003" s="71" t="s">
        <v>102</v>
      </c>
      <c r="C1003" s="72"/>
      <c r="D1003" s="72" t="s">
        <v>45</v>
      </c>
      <c r="E1003" s="72"/>
      <c r="F1003" s="72"/>
      <c r="G1003" s="73">
        <v>2.4300000000000002</v>
      </c>
      <c r="H1003" s="70">
        <f t="shared" si="114"/>
        <v>2.4300000000000002</v>
      </c>
      <c r="I1003" s="74">
        <v>5845</v>
      </c>
      <c r="J1003" s="74">
        <f t="shared" ref="J1003" si="115">I1003*H1003</f>
        <v>14203.35</v>
      </c>
      <c r="K1003" s="72"/>
      <c r="L1003" s="72"/>
    </row>
    <row r="1004" spans="1:12" s="54" customFormat="1" ht="24" customHeight="1" x14ac:dyDescent="0.25">
      <c r="A1004" s="66"/>
      <c r="B1004" s="71" t="s">
        <v>46</v>
      </c>
      <c r="C1004" s="72"/>
      <c r="D1004" s="72" t="s">
        <v>47</v>
      </c>
      <c r="E1004" s="72"/>
      <c r="F1004" s="72"/>
      <c r="G1004" s="73">
        <v>172.74</v>
      </c>
      <c r="H1004" s="70">
        <f t="shared" si="114"/>
        <v>172.74</v>
      </c>
      <c r="I1004" s="74">
        <v>1461</v>
      </c>
      <c r="J1004" s="74">
        <f>I1004*H1004</f>
        <v>252373.14</v>
      </c>
      <c r="K1004" s="72"/>
      <c r="L1004" s="72"/>
    </row>
    <row r="1005" spans="1:12" s="54" customFormat="1" ht="24" customHeight="1" x14ac:dyDescent="0.25">
      <c r="A1005" s="66"/>
      <c r="B1005" s="71" t="s">
        <v>48</v>
      </c>
      <c r="C1005" s="72"/>
      <c r="D1005" s="72" t="s">
        <v>47</v>
      </c>
      <c r="E1005" s="72"/>
      <c r="F1005" s="72"/>
      <c r="G1005" s="73">
        <v>35.18</v>
      </c>
      <c r="H1005" s="70">
        <f t="shared" si="114"/>
        <v>35.18</v>
      </c>
      <c r="I1005" s="74">
        <v>1461</v>
      </c>
      <c r="J1005" s="74">
        <f>I1005*H1005</f>
        <v>51397.98</v>
      </c>
      <c r="K1005" s="72"/>
      <c r="L1005" s="72"/>
    </row>
    <row r="1006" spans="1:12" s="54" customFormat="1" ht="24" customHeight="1" x14ac:dyDescent="0.25">
      <c r="A1006" s="66"/>
      <c r="B1006" s="71" t="s">
        <v>103</v>
      </c>
      <c r="C1006" s="72"/>
      <c r="D1006" s="72" t="s">
        <v>47</v>
      </c>
      <c r="E1006" s="72"/>
      <c r="F1006" s="72"/>
      <c r="G1006" s="73">
        <v>178.21</v>
      </c>
      <c r="H1006" s="70">
        <f t="shared" si="114"/>
        <v>178.21</v>
      </c>
      <c r="I1006" s="74">
        <v>1461</v>
      </c>
      <c r="J1006" s="74">
        <f>I1006*H1006</f>
        <v>260364.81</v>
      </c>
      <c r="K1006" s="72"/>
      <c r="L1006" s="72"/>
    </row>
    <row r="1007" spans="1:12" s="54" customFormat="1" ht="24" customHeight="1" x14ac:dyDescent="0.25">
      <c r="A1007" s="66"/>
      <c r="B1007" s="71" t="s">
        <v>104</v>
      </c>
      <c r="C1007" s="72"/>
      <c r="D1007" s="72" t="s">
        <v>47</v>
      </c>
      <c r="E1007" s="72"/>
      <c r="F1007" s="72"/>
      <c r="G1007" s="73">
        <v>159.51</v>
      </c>
      <c r="H1007" s="70">
        <f t="shared" si="114"/>
        <v>159.51</v>
      </c>
      <c r="I1007" s="74">
        <v>1461</v>
      </c>
      <c r="J1007" s="74">
        <f>I1007*H1007</f>
        <v>233044.11</v>
      </c>
      <c r="K1007" s="72"/>
      <c r="L1007" s="72"/>
    </row>
    <row r="1008" spans="1:12" s="54" customFormat="1" ht="24" customHeight="1" x14ac:dyDescent="0.25">
      <c r="A1008" s="66"/>
      <c r="B1008" s="71" t="s">
        <v>49</v>
      </c>
      <c r="C1008" s="72"/>
      <c r="D1008" s="72" t="s">
        <v>47</v>
      </c>
      <c r="E1008" s="72"/>
      <c r="F1008" s="72"/>
      <c r="G1008" s="73">
        <v>33.340000000000003</v>
      </c>
      <c r="H1008" s="70">
        <f t="shared" si="114"/>
        <v>33.340000000000003</v>
      </c>
      <c r="I1008" s="74">
        <v>1610</v>
      </c>
      <c r="J1008" s="74">
        <f t="shared" ref="J1008:J1011" si="116">I1008*H1008</f>
        <v>53677.400000000009</v>
      </c>
      <c r="K1008" s="72"/>
      <c r="L1008" s="72"/>
    </row>
    <row r="1009" spans="1:12" s="54" customFormat="1" ht="24" customHeight="1" x14ac:dyDescent="0.25">
      <c r="A1009" s="66"/>
      <c r="B1009" s="71" t="s">
        <v>50</v>
      </c>
      <c r="C1009" s="72"/>
      <c r="D1009" s="72" t="s">
        <v>51</v>
      </c>
      <c r="E1009" s="72"/>
      <c r="F1009" s="72"/>
      <c r="G1009" s="73">
        <v>56</v>
      </c>
      <c r="H1009" s="70">
        <f t="shared" si="114"/>
        <v>56</v>
      </c>
      <c r="I1009" s="74">
        <v>803</v>
      </c>
      <c r="J1009" s="74">
        <f t="shared" si="116"/>
        <v>44968</v>
      </c>
      <c r="K1009" s="72"/>
      <c r="L1009" s="72"/>
    </row>
    <row r="1010" spans="1:12" s="54" customFormat="1" ht="24" customHeight="1" x14ac:dyDescent="0.25">
      <c r="A1010" s="66"/>
      <c r="B1010" s="71" t="s">
        <v>52</v>
      </c>
      <c r="C1010" s="72" t="s">
        <v>105</v>
      </c>
      <c r="D1010" s="72" t="s">
        <v>54</v>
      </c>
      <c r="E1010" s="72"/>
      <c r="F1010" s="72"/>
      <c r="G1010" s="73">
        <v>137.57</v>
      </c>
      <c r="H1010" s="70">
        <f t="shared" si="114"/>
        <v>137.57</v>
      </c>
      <c r="I1010" s="74">
        <v>94.5</v>
      </c>
      <c r="J1010" s="74">
        <f t="shared" si="116"/>
        <v>13000.365</v>
      </c>
      <c r="K1010" s="72"/>
      <c r="L1010" s="72"/>
    </row>
    <row r="1011" spans="1:12" s="54" customFormat="1" ht="31.5" x14ac:dyDescent="0.25">
      <c r="A1011" s="66"/>
      <c r="B1011" s="71" t="s">
        <v>55</v>
      </c>
      <c r="C1011" s="72"/>
      <c r="D1011" s="72" t="s">
        <v>54</v>
      </c>
      <c r="E1011" s="72"/>
      <c r="F1011" s="72"/>
      <c r="G1011" s="73">
        <v>40.68</v>
      </c>
      <c r="H1011" s="70">
        <f t="shared" si="114"/>
        <v>40.68</v>
      </c>
      <c r="I1011" s="74">
        <v>118</v>
      </c>
      <c r="J1011" s="74">
        <f t="shared" si="116"/>
        <v>4800.24</v>
      </c>
      <c r="K1011" s="72"/>
      <c r="L1011" s="72"/>
    </row>
    <row r="1012" spans="1:12" s="54" customFormat="1" x14ac:dyDescent="0.25">
      <c r="A1012" s="66"/>
      <c r="B1012" s="87" t="s">
        <v>56</v>
      </c>
      <c r="C1012" s="88"/>
      <c r="D1012" s="88" t="s">
        <v>45</v>
      </c>
      <c r="E1012" s="88"/>
      <c r="F1012" s="88"/>
      <c r="G1012" s="73">
        <f>293.83*0.06*0.03</f>
        <v>0.52889399999999998</v>
      </c>
      <c r="H1012" s="70">
        <f t="shared" si="114"/>
        <v>0.52889399999999998</v>
      </c>
      <c r="I1012" s="74"/>
      <c r="J1012" s="74"/>
      <c r="K1012" s="88" t="s">
        <v>57</v>
      </c>
      <c r="L1012" s="72"/>
    </row>
    <row r="1013" spans="1:12" s="54" customFormat="1" x14ac:dyDescent="0.25">
      <c r="A1013" s="75"/>
      <c r="B1013" s="76" t="s">
        <v>38</v>
      </c>
      <c r="C1013" s="77"/>
      <c r="D1013" s="77"/>
      <c r="E1013" s="77"/>
      <c r="F1013" s="77"/>
      <c r="G1013" s="78"/>
      <c r="H1013" s="79"/>
      <c r="I1013" s="80"/>
      <c r="J1013" s="79">
        <f>SUM(J1014:J1042)</f>
        <v>354481.29920250014</v>
      </c>
      <c r="K1013" s="77"/>
      <c r="L1013" s="77"/>
    </row>
    <row r="1014" spans="1:12" s="54" customFormat="1" ht="35.25" customHeight="1" x14ac:dyDescent="0.25">
      <c r="A1014" s="81"/>
      <c r="B1014" s="82" t="s">
        <v>58</v>
      </c>
      <c r="C1014" s="77" t="s">
        <v>59</v>
      </c>
      <c r="D1014" s="77" t="s">
        <v>60</v>
      </c>
      <c r="E1014" s="78">
        <v>12.4</v>
      </c>
      <c r="F1014" s="77">
        <v>0.25</v>
      </c>
      <c r="G1014" s="83">
        <f>G1002/F1014*E1014</f>
        <v>1790.5600000000002</v>
      </c>
      <c r="H1014" s="84">
        <f t="shared" ref="H1014:H1041" si="117">SUM(G1014:G1014)</f>
        <v>1790.5600000000002</v>
      </c>
      <c r="I1014" s="80">
        <v>0</v>
      </c>
      <c r="J1014" s="80">
        <f>H1014*I1014</f>
        <v>0</v>
      </c>
      <c r="K1014" s="77" t="s">
        <v>61</v>
      </c>
      <c r="L1014" s="77" t="s">
        <v>320</v>
      </c>
    </row>
    <row r="1015" spans="1:12" s="54" customFormat="1" ht="35.25" customHeight="1" x14ac:dyDescent="0.25">
      <c r="A1015" s="81"/>
      <c r="B1015" s="82" t="s">
        <v>62</v>
      </c>
      <c r="C1015" s="77" t="s">
        <v>63</v>
      </c>
      <c r="D1015" s="77" t="s">
        <v>60</v>
      </c>
      <c r="E1015" s="78">
        <v>12.4</v>
      </c>
      <c r="F1015" s="77"/>
      <c r="G1015" s="83">
        <f>G1004*E1015</f>
        <v>2141.9760000000001</v>
      </c>
      <c r="H1015" s="84">
        <f t="shared" si="117"/>
        <v>2141.9760000000001</v>
      </c>
      <c r="I1015" s="80">
        <v>0</v>
      </c>
      <c r="J1015" s="80">
        <f>H1015*I1015</f>
        <v>0</v>
      </c>
      <c r="K1015" s="77" t="s">
        <v>61</v>
      </c>
      <c r="L1015" s="77" t="s">
        <v>320</v>
      </c>
    </row>
    <row r="1016" spans="1:12" s="54" customFormat="1" ht="35.25" customHeight="1" x14ac:dyDescent="0.25">
      <c r="A1016" s="81"/>
      <c r="B1016" s="82" t="s">
        <v>64</v>
      </c>
      <c r="C1016" s="77" t="s">
        <v>65</v>
      </c>
      <c r="D1016" s="77" t="s">
        <v>60</v>
      </c>
      <c r="E1016" s="78">
        <v>12.4</v>
      </c>
      <c r="F1016" s="77"/>
      <c r="G1016" s="83">
        <f>G1005*E1016</f>
        <v>436.23200000000003</v>
      </c>
      <c r="H1016" s="84">
        <f t="shared" si="117"/>
        <v>436.23200000000003</v>
      </c>
      <c r="I1016" s="80">
        <v>0</v>
      </c>
      <c r="J1016" s="80">
        <f>H1016*I1016</f>
        <v>0</v>
      </c>
      <c r="K1016" s="77" t="s">
        <v>61</v>
      </c>
      <c r="L1016" s="77" t="s">
        <v>320</v>
      </c>
    </row>
    <row r="1017" spans="1:12" s="54" customFormat="1" ht="35.25" customHeight="1" x14ac:dyDescent="0.25">
      <c r="A1017" s="81"/>
      <c r="B1017" s="82" t="s">
        <v>106</v>
      </c>
      <c r="C1017" s="77" t="s">
        <v>107</v>
      </c>
      <c r="D1017" s="77" t="s">
        <v>60</v>
      </c>
      <c r="E1017" s="78">
        <v>12.4</v>
      </c>
      <c r="F1017" s="77"/>
      <c r="G1017" s="83">
        <f>G1006*E1017</f>
        <v>2209.8040000000001</v>
      </c>
      <c r="H1017" s="84">
        <f t="shared" si="117"/>
        <v>2209.8040000000001</v>
      </c>
      <c r="I1017" s="80">
        <v>0</v>
      </c>
      <c r="J1017" s="80">
        <f>H1017*I1017</f>
        <v>0</v>
      </c>
      <c r="K1017" s="77" t="s">
        <v>61</v>
      </c>
      <c r="L1017" s="77" t="s">
        <v>320</v>
      </c>
    </row>
    <row r="1018" spans="1:12" s="54" customFormat="1" ht="35.25" customHeight="1" x14ac:dyDescent="0.25">
      <c r="A1018" s="81"/>
      <c r="B1018" s="82" t="s">
        <v>108</v>
      </c>
      <c r="C1018" s="77" t="s">
        <v>109</v>
      </c>
      <c r="D1018" s="77" t="s">
        <v>60</v>
      </c>
      <c r="E1018" s="78">
        <v>12.4</v>
      </c>
      <c r="F1018" s="77"/>
      <c r="G1018" s="83">
        <f>G1007*E1018</f>
        <v>1977.924</v>
      </c>
      <c r="H1018" s="84">
        <f t="shared" si="117"/>
        <v>1977.924</v>
      </c>
      <c r="I1018" s="80">
        <v>0</v>
      </c>
      <c r="J1018" s="80">
        <f>H1018*I1018</f>
        <v>0</v>
      </c>
      <c r="K1018" s="77" t="s">
        <v>61</v>
      </c>
      <c r="L1018" s="77" t="s">
        <v>320</v>
      </c>
    </row>
    <row r="1019" spans="1:12" s="54" customFormat="1" ht="35.25" customHeight="1" x14ac:dyDescent="0.25">
      <c r="A1019" s="81"/>
      <c r="B1019" s="89" t="s">
        <v>66</v>
      </c>
      <c r="C1019" s="77" t="s">
        <v>67</v>
      </c>
      <c r="D1019" s="77" t="s">
        <v>60</v>
      </c>
      <c r="E1019" s="90">
        <v>42</v>
      </c>
      <c r="F1019" s="90"/>
      <c r="G1019" s="83">
        <f>G1008*E1019</f>
        <v>1400.2800000000002</v>
      </c>
      <c r="H1019" s="84">
        <f t="shared" si="117"/>
        <v>1400.2800000000002</v>
      </c>
      <c r="I1019" s="80">
        <v>0</v>
      </c>
      <c r="J1019" s="80">
        <f t="shared" ref="J1019:J1041" si="118">H1019*I1019</f>
        <v>0</v>
      </c>
      <c r="K1019" s="77" t="s">
        <v>68</v>
      </c>
      <c r="L1019" s="77" t="s">
        <v>320</v>
      </c>
    </row>
    <row r="1020" spans="1:12" s="54" customFormat="1" ht="35.25" customHeight="1" x14ac:dyDescent="0.25">
      <c r="A1020" s="81"/>
      <c r="B1020" s="89" t="s">
        <v>110</v>
      </c>
      <c r="C1020" s="77" t="s">
        <v>111</v>
      </c>
      <c r="D1020" s="77" t="s">
        <v>60</v>
      </c>
      <c r="E1020" s="90">
        <v>42</v>
      </c>
      <c r="F1020" s="90"/>
      <c r="G1020" s="83">
        <f>G1003/0.25*E1020</f>
        <v>408.24</v>
      </c>
      <c r="H1020" s="84">
        <f t="shared" si="117"/>
        <v>408.24</v>
      </c>
      <c r="I1020" s="80">
        <v>0</v>
      </c>
      <c r="J1020" s="80">
        <f t="shared" si="118"/>
        <v>0</v>
      </c>
      <c r="K1020" s="77" t="s">
        <v>68</v>
      </c>
      <c r="L1020" s="77" t="s">
        <v>320</v>
      </c>
    </row>
    <row r="1021" spans="1:12" s="54" customFormat="1" ht="33.75" customHeight="1" x14ac:dyDescent="0.25">
      <c r="A1021" s="81"/>
      <c r="B1021" s="91" t="s">
        <v>69</v>
      </c>
      <c r="C1021" s="77" t="s">
        <v>70</v>
      </c>
      <c r="D1021" s="77" t="s">
        <v>45</v>
      </c>
      <c r="E1021" s="77">
        <v>0.19500000000000001</v>
      </c>
      <c r="F1021" s="90"/>
      <c r="G1021" s="78">
        <f>G1002*E1021+G1004*E1021*0.19+G1005*E1021*0.19+G1006*E1021*0.09+G1007*E1021*0.09</f>
        <v>20.669922000000003</v>
      </c>
      <c r="H1021" s="79">
        <f t="shared" si="117"/>
        <v>20.669922000000003</v>
      </c>
      <c r="I1021" s="80">
        <v>7875</v>
      </c>
      <c r="J1021" s="80">
        <f t="shared" si="118"/>
        <v>162775.63575000002</v>
      </c>
      <c r="K1021" s="77" t="s">
        <v>71</v>
      </c>
      <c r="L1021" s="77" t="s">
        <v>321</v>
      </c>
    </row>
    <row r="1022" spans="1:12" s="54" customFormat="1" ht="33.75" customHeight="1" x14ac:dyDescent="0.25">
      <c r="A1022" s="92"/>
      <c r="B1022" s="91" t="s">
        <v>112</v>
      </c>
      <c r="C1022" s="77" t="s">
        <v>70</v>
      </c>
      <c r="D1022" s="77" t="s">
        <v>45</v>
      </c>
      <c r="E1022" s="77">
        <v>0.24</v>
      </c>
      <c r="F1022" s="77"/>
      <c r="G1022" s="78">
        <f>G1003*E1022</f>
        <v>0.58320000000000005</v>
      </c>
      <c r="H1022" s="79">
        <f t="shared" si="117"/>
        <v>0.58320000000000005</v>
      </c>
      <c r="I1022" s="80">
        <v>7875</v>
      </c>
      <c r="J1022" s="80">
        <f t="shared" si="118"/>
        <v>4592.7000000000007</v>
      </c>
      <c r="K1022" s="77" t="s">
        <v>71</v>
      </c>
      <c r="L1022" s="77" t="s">
        <v>321</v>
      </c>
    </row>
    <row r="1023" spans="1:12" s="54" customFormat="1" ht="33.75" customHeight="1" x14ac:dyDescent="0.25">
      <c r="A1023" s="92"/>
      <c r="B1023" s="91" t="s">
        <v>72</v>
      </c>
      <c r="C1023" s="77" t="s">
        <v>70</v>
      </c>
      <c r="D1023" s="77" t="s">
        <v>45</v>
      </c>
      <c r="E1023" s="77">
        <v>4.5999999999999999E-2</v>
      </c>
      <c r="F1023" s="77"/>
      <c r="G1023" s="78">
        <f>G1008*E1023</f>
        <v>1.5336400000000001</v>
      </c>
      <c r="H1023" s="79">
        <f t="shared" si="117"/>
        <v>1.5336400000000001</v>
      </c>
      <c r="I1023" s="80">
        <v>7875</v>
      </c>
      <c r="J1023" s="80">
        <f t="shared" si="118"/>
        <v>12077.415000000001</v>
      </c>
      <c r="K1023" s="77" t="s">
        <v>73</v>
      </c>
      <c r="L1023" s="77" t="s">
        <v>321</v>
      </c>
    </row>
    <row r="1024" spans="1:12" s="54" customFormat="1" ht="33.75" customHeight="1" x14ac:dyDescent="0.25">
      <c r="A1024" s="92"/>
      <c r="B1024" s="91" t="s">
        <v>74</v>
      </c>
      <c r="C1024" s="77" t="s">
        <v>70</v>
      </c>
      <c r="D1024" s="77" t="s">
        <v>45</v>
      </c>
      <c r="E1024" s="77">
        <v>1.01</v>
      </c>
      <c r="F1024" s="77"/>
      <c r="G1024" s="78">
        <f>G1012*E1024</f>
        <v>0.53418293999999999</v>
      </c>
      <c r="H1024" s="79">
        <f t="shared" si="117"/>
        <v>0.53418293999999999</v>
      </c>
      <c r="I1024" s="80">
        <v>7875</v>
      </c>
      <c r="J1024" s="80">
        <f t="shared" si="118"/>
        <v>4206.6906525000004</v>
      </c>
      <c r="K1024" s="77" t="s">
        <v>71</v>
      </c>
      <c r="L1024" s="77" t="s">
        <v>321</v>
      </c>
    </row>
    <row r="1025" spans="1:12" s="54" customFormat="1" ht="33.75" customHeight="1" x14ac:dyDescent="0.25">
      <c r="A1025" s="81"/>
      <c r="B1025" s="89" t="s">
        <v>75</v>
      </c>
      <c r="C1025" s="77" t="s">
        <v>70</v>
      </c>
      <c r="D1025" s="77" t="s">
        <v>45</v>
      </c>
      <c r="E1025" s="77">
        <v>6.0000000000000001E-3</v>
      </c>
      <c r="F1025" s="77"/>
      <c r="G1025" s="78">
        <f>G1009*E1025</f>
        <v>0.33600000000000002</v>
      </c>
      <c r="H1025" s="79">
        <f t="shared" si="117"/>
        <v>0.33600000000000002</v>
      </c>
      <c r="I1025" s="80">
        <v>7875</v>
      </c>
      <c r="J1025" s="80">
        <f t="shared" si="118"/>
        <v>2646</v>
      </c>
      <c r="K1025" s="77" t="s">
        <v>76</v>
      </c>
      <c r="L1025" s="77" t="s">
        <v>321</v>
      </c>
    </row>
    <row r="1026" spans="1:12" s="54" customFormat="1" ht="33.75" customHeight="1" x14ac:dyDescent="0.25">
      <c r="A1026" s="81"/>
      <c r="B1026" s="89" t="s">
        <v>77</v>
      </c>
      <c r="C1026" s="77" t="s">
        <v>70</v>
      </c>
      <c r="D1026" s="77" t="s">
        <v>45</v>
      </c>
      <c r="E1026" s="77">
        <v>1.01</v>
      </c>
      <c r="F1026" s="77"/>
      <c r="G1026" s="93">
        <v>0.08</v>
      </c>
      <c r="H1026" s="79">
        <f t="shared" si="117"/>
        <v>0.08</v>
      </c>
      <c r="I1026" s="80">
        <v>7875</v>
      </c>
      <c r="J1026" s="80">
        <f t="shared" si="118"/>
        <v>630</v>
      </c>
      <c r="K1026" s="94"/>
      <c r="L1026" s="77" t="s">
        <v>321</v>
      </c>
    </row>
    <row r="1027" spans="1:12" s="54" customFormat="1" ht="24.75" customHeight="1" x14ac:dyDescent="0.25">
      <c r="A1027" s="81"/>
      <c r="B1027" s="89" t="s">
        <v>78</v>
      </c>
      <c r="C1027" s="77" t="s">
        <v>79</v>
      </c>
      <c r="D1027" s="77" t="s">
        <v>47</v>
      </c>
      <c r="E1027" s="77"/>
      <c r="F1027" s="77"/>
      <c r="G1027" s="78">
        <v>216.9</v>
      </c>
      <c r="H1027" s="79">
        <f t="shared" si="117"/>
        <v>216.9</v>
      </c>
      <c r="I1027" s="80">
        <v>88.34</v>
      </c>
      <c r="J1027" s="80">
        <f t="shared" si="118"/>
        <v>19160.946</v>
      </c>
      <c r="K1027" s="94"/>
      <c r="L1027" s="77" t="s">
        <v>321</v>
      </c>
    </row>
    <row r="1028" spans="1:12" s="54" customFormat="1" ht="24.75" customHeight="1" x14ac:dyDescent="0.25">
      <c r="A1028" s="81"/>
      <c r="B1028" s="89" t="s">
        <v>113</v>
      </c>
      <c r="C1028" s="77" t="s">
        <v>114</v>
      </c>
      <c r="D1028" s="77" t="s">
        <v>60</v>
      </c>
      <c r="E1028" s="77"/>
      <c r="F1028" s="77"/>
      <c r="G1028" s="78">
        <v>12</v>
      </c>
      <c r="H1028" s="79">
        <f t="shared" si="117"/>
        <v>12</v>
      </c>
      <c r="I1028" s="80">
        <v>398.6</v>
      </c>
      <c r="J1028" s="80">
        <f>H1028*I1028</f>
        <v>4783.2000000000007</v>
      </c>
      <c r="K1028" s="94"/>
      <c r="L1028" s="77" t="s">
        <v>321</v>
      </c>
    </row>
    <row r="1029" spans="1:12" s="54" customFormat="1" ht="24.75" customHeight="1" x14ac:dyDescent="0.25">
      <c r="A1029" s="81"/>
      <c r="B1029" s="89" t="s">
        <v>115</v>
      </c>
      <c r="C1029" s="77" t="s">
        <v>116</v>
      </c>
      <c r="D1029" s="77" t="s">
        <v>60</v>
      </c>
      <c r="E1029" s="77"/>
      <c r="F1029" s="77"/>
      <c r="G1029" s="78">
        <v>9</v>
      </c>
      <c r="H1029" s="79">
        <f t="shared" si="117"/>
        <v>9</v>
      </c>
      <c r="I1029" s="80">
        <v>465.03</v>
      </c>
      <c r="J1029" s="80">
        <f t="shared" si="118"/>
        <v>4185.2699999999995</v>
      </c>
      <c r="K1029" s="94"/>
      <c r="L1029" s="77" t="s">
        <v>321</v>
      </c>
    </row>
    <row r="1030" spans="1:12" s="54" customFormat="1" ht="24.75" customHeight="1" x14ac:dyDescent="0.25">
      <c r="A1030" s="81"/>
      <c r="B1030" s="89" t="s">
        <v>117</v>
      </c>
      <c r="C1030" s="77" t="s">
        <v>118</v>
      </c>
      <c r="D1030" s="77" t="s">
        <v>60</v>
      </c>
      <c r="E1030" s="77"/>
      <c r="F1030" s="77"/>
      <c r="G1030" s="78">
        <v>1</v>
      </c>
      <c r="H1030" s="79">
        <f t="shared" si="117"/>
        <v>1</v>
      </c>
      <c r="I1030" s="80">
        <v>841.49</v>
      </c>
      <c r="J1030" s="80">
        <f t="shared" si="118"/>
        <v>841.49</v>
      </c>
      <c r="K1030" s="94"/>
      <c r="L1030" s="77" t="s">
        <v>321</v>
      </c>
    </row>
    <row r="1031" spans="1:12" s="54" customFormat="1" ht="24.75" customHeight="1" x14ac:dyDescent="0.25">
      <c r="A1031" s="81"/>
      <c r="B1031" s="89" t="s">
        <v>119</v>
      </c>
      <c r="C1031" s="77" t="s">
        <v>120</v>
      </c>
      <c r="D1031" s="77" t="s">
        <v>60</v>
      </c>
      <c r="E1031" s="77"/>
      <c r="F1031" s="77"/>
      <c r="G1031" s="78">
        <v>10</v>
      </c>
      <c r="H1031" s="79">
        <f t="shared" si="117"/>
        <v>10</v>
      </c>
      <c r="I1031" s="80">
        <v>981.74</v>
      </c>
      <c r="J1031" s="80">
        <f t="shared" si="118"/>
        <v>9817.4</v>
      </c>
      <c r="K1031" s="94"/>
      <c r="L1031" s="77" t="s">
        <v>321</v>
      </c>
    </row>
    <row r="1032" spans="1:12" s="54" customFormat="1" ht="24.75" customHeight="1" x14ac:dyDescent="0.25">
      <c r="A1032" s="81"/>
      <c r="B1032" s="89" t="s">
        <v>121</v>
      </c>
      <c r="C1032" s="77" t="s">
        <v>122</v>
      </c>
      <c r="D1032" s="77" t="s">
        <v>60</v>
      </c>
      <c r="E1032" s="77"/>
      <c r="F1032" s="77"/>
      <c r="G1032" s="78">
        <v>3</v>
      </c>
      <c r="H1032" s="79">
        <f t="shared" si="117"/>
        <v>3</v>
      </c>
      <c r="I1032" s="80">
        <v>1291.76</v>
      </c>
      <c r="J1032" s="80">
        <f t="shared" si="118"/>
        <v>3875.2799999999997</v>
      </c>
      <c r="K1032" s="94"/>
      <c r="L1032" s="77" t="s">
        <v>321</v>
      </c>
    </row>
    <row r="1033" spans="1:12" s="54" customFormat="1" ht="24.75" customHeight="1" x14ac:dyDescent="0.25">
      <c r="A1033" s="81"/>
      <c r="B1033" s="89" t="s">
        <v>123</v>
      </c>
      <c r="C1033" s="77" t="s">
        <v>124</v>
      </c>
      <c r="D1033" s="77" t="s">
        <v>60</v>
      </c>
      <c r="E1033" s="77"/>
      <c r="F1033" s="77"/>
      <c r="G1033" s="78">
        <v>1</v>
      </c>
      <c r="H1033" s="79">
        <f t="shared" si="117"/>
        <v>1</v>
      </c>
      <c r="I1033" s="80">
        <v>1845.38</v>
      </c>
      <c r="J1033" s="80">
        <f t="shared" si="118"/>
        <v>1845.38</v>
      </c>
      <c r="K1033" s="94"/>
      <c r="L1033" s="77" t="s">
        <v>321</v>
      </c>
    </row>
    <row r="1034" spans="1:12" s="54" customFormat="1" ht="24.75" customHeight="1" x14ac:dyDescent="0.25">
      <c r="A1034" s="81"/>
      <c r="B1034" s="89" t="s">
        <v>125</v>
      </c>
      <c r="C1034" s="77" t="s">
        <v>126</v>
      </c>
      <c r="D1034" s="77" t="s">
        <v>60</v>
      </c>
      <c r="E1034" s="77"/>
      <c r="F1034" s="77"/>
      <c r="G1034" s="78">
        <v>8</v>
      </c>
      <c r="H1034" s="79">
        <f t="shared" si="117"/>
        <v>8</v>
      </c>
      <c r="I1034" s="80">
        <v>2029.91</v>
      </c>
      <c r="J1034" s="80">
        <f t="shared" si="118"/>
        <v>16239.28</v>
      </c>
      <c r="K1034" s="94"/>
      <c r="L1034" s="77" t="s">
        <v>321</v>
      </c>
    </row>
    <row r="1035" spans="1:12" s="54" customFormat="1" ht="24.75" customHeight="1" x14ac:dyDescent="0.25">
      <c r="A1035" s="81"/>
      <c r="B1035" s="89" t="s">
        <v>127</v>
      </c>
      <c r="C1035" s="77" t="s">
        <v>128</v>
      </c>
      <c r="D1035" s="77" t="s">
        <v>60</v>
      </c>
      <c r="E1035" s="77"/>
      <c r="F1035" s="77"/>
      <c r="G1035" s="78">
        <v>11</v>
      </c>
      <c r="H1035" s="79">
        <f t="shared" si="117"/>
        <v>11</v>
      </c>
      <c r="I1035" s="80">
        <v>2398.9899999999998</v>
      </c>
      <c r="J1035" s="80">
        <f t="shared" si="118"/>
        <v>26388.89</v>
      </c>
      <c r="K1035" s="94"/>
      <c r="L1035" s="77" t="s">
        <v>321</v>
      </c>
    </row>
    <row r="1036" spans="1:12" s="54" customFormat="1" ht="24.75" customHeight="1" x14ac:dyDescent="0.25">
      <c r="A1036" s="81"/>
      <c r="B1036" s="89" t="s">
        <v>129</v>
      </c>
      <c r="C1036" s="77" t="s">
        <v>130</v>
      </c>
      <c r="D1036" s="77" t="s">
        <v>60</v>
      </c>
      <c r="E1036" s="77"/>
      <c r="F1036" s="77"/>
      <c r="G1036" s="78">
        <v>1</v>
      </c>
      <c r="H1036" s="79">
        <f t="shared" si="117"/>
        <v>1</v>
      </c>
      <c r="I1036" s="80">
        <v>2583.5300000000002</v>
      </c>
      <c r="J1036" s="80">
        <f t="shared" si="118"/>
        <v>2583.5300000000002</v>
      </c>
      <c r="K1036" s="94"/>
      <c r="L1036" s="77" t="s">
        <v>321</v>
      </c>
    </row>
    <row r="1037" spans="1:12" s="54" customFormat="1" ht="24.75" customHeight="1" x14ac:dyDescent="0.25">
      <c r="A1037" s="81"/>
      <c r="B1037" s="89" t="s">
        <v>92</v>
      </c>
      <c r="C1037" s="77" t="s">
        <v>93</v>
      </c>
      <c r="D1037" s="77" t="s">
        <v>54</v>
      </c>
      <c r="E1037" s="77">
        <v>1.04</v>
      </c>
      <c r="F1037" s="77"/>
      <c r="G1037" s="78">
        <f>173.58*E1037</f>
        <v>180.52320000000003</v>
      </c>
      <c r="H1037" s="79">
        <f t="shared" si="117"/>
        <v>180.52320000000003</v>
      </c>
      <c r="I1037" s="80">
        <v>66.349999999999994</v>
      </c>
      <c r="J1037" s="80">
        <f t="shared" si="118"/>
        <v>11977.714320000001</v>
      </c>
      <c r="K1037" s="94"/>
      <c r="L1037" s="77" t="s">
        <v>321</v>
      </c>
    </row>
    <row r="1038" spans="1:12" s="54" customFormat="1" ht="24.75" customHeight="1" x14ac:dyDescent="0.25">
      <c r="A1038" s="81"/>
      <c r="B1038" s="89" t="s">
        <v>94</v>
      </c>
      <c r="C1038" s="77" t="s">
        <v>95</v>
      </c>
      <c r="D1038" s="77" t="s">
        <v>54</v>
      </c>
      <c r="E1038" s="77">
        <v>1.04</v>
      </c>
      <c r="F1038" s="77"/>
      <c r="G1038" s="78">
        <f>G1011*E1038</f>
        <v>42.307200000000002</v>
      </c>
      <c r="H1038" s="79">
        <f t="shared" si="117"/>
        <v>42.307200000000002</v>
      </c>
      <c r="I1038" s="80">
        <v>64</v>
      </c>
      <c r="J1038" s="80">
        <f t="shared" si="118"/>
        <v>2707.6608000000001</v>
      </c>
      <c r="K1038" s="94"/>
      <c r="L1038" s="77" t="s">
        <v>321</v>
      </c>
    </row>
    <row r="1039" spans="1:12" s="54" customFormat="1" ht="24.75" customHeight="1" x14ac:dyDescent="0.25">
      <c r="A1039" s="81"/>
      <c r="B1039" s="89" t="s">
        <v>131</v>
      </c>
      <c r="C1039" s="77" t="s">
        <v>39</v>
      </c>
      <c r="D1039" s="77" t="s">
        <v>54</v>
      </c>
      <c r="E1039" s="77">
        <v>1.04</v>
      </c>
      <c r="F1039" s="77"/>
      <c r="G1039" s="78">
        <f>85.59*E1039</f>
        <v>89.013600000000011</v>
      </c>
      <c r="H1039" s="79">
        <f t="shared" si="117"/>
        <v>89.013600000000011</v>
      </c>
      <c r="I1039" s="80">
        <v>64.209999999999994</v>
      </c>
      <c r="J1039" s="80">
        <f t="shared" si="118"/>
        <v>5715.5632560000004</v>
      </c>
      <c r="K1039" s="94"/>
      <c r="L1039" s="77" t="s">
        <v>321</v>
      </c>
    </row>
    <row r="1040" spans="1:12" s="54" customFormat="1" ht="24.75" customHeight="1" x14ac:dyDescent="0.25">
      <c r="A1040" s="81"/>
      <c r="B1040" s="89" t="s">
        <v>97</v>
      </c>
      <c r="C1040" s="77" t="s">
        <v>39</v>
      </c>
      <c r="D1040" s="77" t="s">
        <v>54</v>
      </c>
      <c r="E1040" s="77">
        <v>1.04</v>
      </c>
      <c r="F1040" s="77"/>
      <c r="G1040" s="78">
        <f>E1040*23.1</f>
        <v>24.024000000000001</v>
      </c>
      <c r="H1040" s="79">
        <f t="shared" si="117"/>
        <v>24.024000000000001</v>
      </c>
      <c r="I1040" s="80">
        <v>74.92</v>
      </c>
      <c r="J1040" s="80">
        <f t="shared" si="118"/>
        <v>1799.8780800000002</v>
      </c>
      <c r="K1040" s="94"/>
      <c r="L1040" s="77" t="s">
        <v>321</v>
      </c>
    </row>
    <row r="1041" spans="1:12" s="54" customFormat="1" ht="24.75" customHeight="1" x14ac:dyDescent="0.25">
      <c r="A1041" s="81"/>
      <c r="B1041" s="89" t="s">
        <v>132</v>
      </c>
      <c r="C1041" s="77" t="s">
        <v>39</v>
      </c>
      <c r="D1041" s="77" t="s">
        <v>54</v>
      </c>
      <c r="E1041" s="77">
        <v>1.04</v>
      </c>
      <c r="F1041" s="77"/>
      <c r="G1041" s="78">
        <f>28.88*E1041</f>
        <v>30.0352</v>
      </c>
      <c r="H1041" s="79">
        <f t="shared" si="117"/>
        <v>30.0352</v>
      </c>
      <c r="I1041" s="80">
        <v>75.97</v>
      </c>
      <c r="J1041" s="80">
        <f t="shared" si="118"/>
        <v>2281.774144</v>
      </c>
      <c r="K1041" s="94"/>
      <c r="L1041" s="77" t="s">
        <v>321</v>
      </c>
    </row>
    <row r="1042" spans="1:12" s="101" customFormat="1" ht="38.25" customHeight="1" x14ac:dyDescent="0.25">
      <c r="A1042" s="95"/>
      <c r="B1042" s="96" t="s">
        <v>133</v>
      </c>
      <c r="C1042" s="97" t="s">
        <v>39</v>
      </c>
      <c r="D1042" s="97" t="s">
        <v>99</v>
      </c>
      <c r="E1042" s="97"/>
      <c r="F1042" s="97"/>
      <c r="G1042" s="98"/>
      <c r="H1042" s="99">
        <f>J1042*100/J1001</f>
        <v>4.8230977972566897</v>
      </c>
      <c r="I1042" s="79"/>
      <c r="J1042" s="79">
        <v>53349.601200000005</v>
      </c>
      <c r="K1042" s="100"/>
      <c r="L1042" s="97" t="s">
        <v>321</v>
      </c>
    </row>
    <row r="1043" spans="1:12" s="54" customFormat="1" ht="19.5" customHeight="1" x14ac:dyDescent="0.25">
      <c r="A1043" s="60" t="s">
        <v>178</v>
      </c>
      <c r="B1043" s="61" t="s">
        <v>179</v>
      </c>
      <c r="C1043" s="62"/>
      <c r="D1043" s="63"/>
      <c r="E1043" s="62"/>
      <c r="F1043" s="62"/>
      <c r="G1043" s="64"/>
      <c r="H1043" s="65"/>
      <c r="I1043" s="65"/>
      <c r="J1043" s="65">
        <f>J1044+J1050</f>
        <v>1025333.7037620001</v>
      </c>
      <c r="K1043" s="86"/>
      <c r="L1043" s="86"/>
    </row>
    <row r="1044" spans="1:12" s="54" customFormat="1" x14ac:dyDescent="0.25">
      <c r="A1044" s="66"/>
      <c r="B1044" s="67" t="s">
        <v>34</v>
      </c>
      <c r="C1044" s="68"/>
      <c r="D1044" s="68"/>
      <c r="E1044" s="68"/>
      <c r="F1044" s="68"/>
      <c r="G1044" s="69"/>
      <c r="H1044" s="70"/>
      <c r="I1044" s="70"/>
      <c r="J1044" s="70">
        <f>SUM(J1045:J1048)</f>
        <v>789365.2350000001</v>
      </c>
      <c r="K1044" s="72"/>
      <c r="L1044" s="72"/>
    </row>
    <row r="1045" spans="1:12" s="54" customFormat="1" ht="21.75" customHeight="1" x14ac:dyDescent="0.25">
      <c r="A1045" s="66"/>
      <c r="B1045" s="71" t="s">
        <v>180</v>
      </c>
      <c r="C1045" s="72"/>
      <c r="D1045" s="72" t="s">
        <v>45</v>
      </c>
      <c r="E1045" s="72"/>
      <c r="F1045" s="72"/>
      <c r="G1045" s="72">
        <v>73.150000000000006</v>
      </c>
      <c r="H1045" s="70">
        <f t="shared" ref="H1045:H1049" si="119">SUM(G1045:G1045)</f>
        <v>73.150000000000006</v>
      </c>
      <c r="I1045" s="74">
        <v>5845</v>
      </c>
      <c r="J1045" s="74">
        <f>I1045*H1045</f>
        <v>427561.75000000006</v>
      </c>
      <c r="K1045" s="72"/>
      <c r="L1045" s="72"/>
    </row>
    <row r="1046" spans="1:12" s="54" customFormat="1" ht="21.75" customHeight="1" x14ac:dyDescent="0.25">
      <c r="A1046" s="66"/>
      <c r="B1046" s="71" t="s">
        <v>181</v>
      </c>
      <c r="C1046" s="72"/>
      <c r="D1046" s="72" t="s">
        <v>45</v>
      </c>
      <c r="E1046" s="72"/>
      <c r="F1046" s="72"/>
      <c r="G1046" s="72">
        <v>28.47</v>
      </c>
      <c r="H1046" s="70">
        <f t="shared" si="119"/>
        <v>28.47</v>
      </c>
      <c r="I1046" s="74">
        <v>11797</v>
      </c>
      <c r="J1046" s="74">
        <f t="shared" ref="J1046:J1048" si="120">I1046*H1046</f>
        <v>335860.58999999997</v>
      </c>
      <c r="K1046" s="72"/>
      <c r="L1046" s="72"/>
    </row>
    <row r="1047" spans="1:12" s="54" customFormat="1" ht="21.75" customHeight="1" x14ac:dyDescent="0.25">
      <c r="A1047" s="66"/>
      <c r="B1047" s="71" t="s">
        <v>52</v>
      </c>
      <c r="C1047" s="72" t="s">
        <v>53</v>
      </c>
      <c r="D1047" s="72" t="s">
        <v>54</v>
      </c>
      <c r="E1047" s="72"/>
      <c r="F1047" s="72"/>
      <c r="G1047" s="73">
        <v>249.03</v>
      </c>
      <c r="H1047" s="70">
        <f t="shared" si="119"/>
        <v>249.03</v>
      </c>
      <c r="I1047" s="74">
        <v>94.5</v>
      </c>
      <c r="J1047" s="74">
        <f t="shared" si="120"/>
        <v>23533.334999999999</v>
      </c>
      <c r="K1047" s="72"/>
      <c r="L1047" s="72"/>
    </row>
    <row r="1048" spans="1:12" s="54" customFormat="1" ht="31.5" x14ac:dyDescent="0.25">
      <c r="A1048" s="66"/>
      <c r="B1048" s="71" t="s">
        <v>55</v>
      </c>
      <c r="C1048" s="72"/>
      <c r="D1048" s="72" t="s">
        <v>54</v>
      </c>
      <c r="E1048" s="72"/>
      <c r="F1048" s="72"/>
      <c r="G1048" s="73">
        <v>20.420000000000002</v>
      </c>
      <c r="H1048" s="70">
        <f t="shared" si="119"/>
        <v>20.420000000000002</v>
      </c>
      <c r="I1048" s="74">
        <v>118</v>
      </c>
      <c r="J1048" s="74">
        <f t="shared" si="120"/>
        <v>2409.5600000000004</v>
      </c>
      <c r="K1048" s="72"/>
      <c r="L1048" s="72"/>
    </row>
    <row r="1049" spans="1:12" s="54" customFormat="1" x14ac:dyDescent="0.25">
      <c r="A1049" s="66"/>
      <c r="B1049" s="87" t="s">
        <v>56</v>
      </c>
      <c r="C1049" s="88"/>
      <c r="D1049" s="88" t="s">
        <v>45</v>
      </c>
      <c r="E1049" s="88"/>
      <c r="F1049" s="88"/>
      <c r="G1049" s="73">
        <f>12.92*0.06*0.03</f>
        <v>2.3255999999999999E-2</v>
      </c>
      <c r="H1049" s="70">
        <f t="shared" si="119"/>
        <v>2.3255999999999999E-2</v>
      </c>
      <c r="I1049" s="74"/>
      <c r="J1049" s="74"/>
      <c r="K1049" s="88" t="s">
        <v>57</v>
      </c>
      <c r="L1049" s="72"/>
    </row>
    <row r="1050" spans="1:12" s="54" customFormat="1" x14ac:dyDescent="0.25">
      <c r="A1050" s="75"/>
      <c r="B1050" s="76" t="s">
        <v>38</v>
      </c>
      <c r="C1050" s="77"/>
      <c r="D1050" s="77"/>
      <c r="E1050" s="77"/>
      <c r="F1050" s="77"/>
      <c r="G1050" s="78"/>
      <c r="H1050" s="79"/>
      <c r="I1050" s="80"/>
      <c r="J1050" s="79">
        <f>SUM(J1051:J1060)</f>
        <v>235968.468762</v>
      </c>
      <c r="K1050" s="77"/>
      <c r="L1050" s="77"/>
    </row>
    <row r="1051" spans="1:12" s="54" customFormat="1" ht="31.5" x14ac:dyDescent="0.25">
      <c r="A1051" s="81"/>
      <c r="B1051" s="89" t="s">
        <v>110</v>
      </c>
      <c r="C1051" s="77" t="s">
        <v>111</v>
      </c>
      <c r="D1051" s="77" t="s">
        <v>60</v>
      </c>
      <c r="E1051" s="90">
        <v>42</v>
      </c>
      <c r="F1051" s="90"/>
      <c r="G1051" s="83">
        <f>G1045/0.25*E1051+G1046/0.12*E1051</f>
        <v>22253.7</v>
      </c>
      <c r="H1051" s="84">
        <f t="shared" ref="H1051:H1059" si="121">SUM(G1051:G1051)</f>
        <v>22253.7</v>
      </c>
      <c r="I1051" s="80">
        <v>0</v>
      </c>
      <c r="J1051" s="80">
        <f t="shared" ref="J1051:J1059" si="122">H1051*I1051</f>
        <v>0</v>
      </c>
      <c r="K1051" s="77" t="s">
        <v>68</v>
      </c>
      <c r="L1051" s="77" t="s">
        <v>320</v>
      </c>
    </row>
    <row r="1052" spans="1:12" s="54" customFormat="1" ht="31.5" x14ac:dyDescent="0.25">
      <c r="A1052" s="92"/>
      <c r="B1052" s="91" t="s">
        <v>112</v>
      </c>
      <c r="C1052" s="77" t="s">
        <v>70</v>
      </c>
      <c r="D1052" s="77" t="s">
        <v>45</v>
      </c>
      <c r="E1052" s="77">
        <v>0.24</v>
      </c>
      <c r="F1052" s="77"/>
      <c r="G1052" s="78">
        <f>G1045*E1052+G1046*E1052</f>
        <v>24.3888</v>
      </c>
      <c r="H1052" s="79">
        <f t="shared" si="121"/>
        <v>24.3888</v>
      </c>
      <c r="I1052" s="80">
        <v>7875</v>
      </c>
      <c r="J1052" s="80">
        <f t="shared" si="122"/>
        <v>192061.8</v>
      </c>
      <c r="K1052" s="77" t="s">
        <v>73</v>
      </c>
      <c r="L1052" s="77" t="s">
        <v>321</v>
      </c>
    </row>
    <row r="1053" spans="1:12" s="54" customFormat="1" ht="23.25" customHeight="1" x14ac:dyDescent="0.25">
      <c r="A1053" s="92"/>
      <c r="B1053" s="91" t="s">
        <v>74</v>
      </c>
      <c r="C1053" s="77" t="s">
        <v>70</v>
      </c>
      <c r="D1053" s="77" t="s">
        <v>45</v>
      </c>
      <c r="E1053" s="77">
        <v>1.01</v>
      </c>
      <c r="F1053" s="77"/>
      <c r="G1053" s="78">
        <f>G1049*E1053</f>
        <v>2.3488559999999999E-2</v>
      </c>
      <c r="H1053" s="79">
        <f t="shared" si="121"/>
        <v>2.3488559999999999E-2</v>
      </c>
      <c r="I1053" s="80">
        <v>7875</v>
      </c>
      <c r="J1053" s="80">
        <f t="shared" si="122"/>
        <v>184.97241</v>
      </c>
      <c r="K1053" s="77" t="s">
        <v>71</v>
      </c>
      <c r="L1053" s="77" t="s">
        <v>321</v>
      </c>
    </row>
    <row r="1054" spans="1:12" s="54" customFormat="1" ht="23.25" customHeight="1" x14ac:dyDescent="0.25">
      <c r="A1054" s="81"/>
      <c r="B1054" s="89" t="s">
        <v>77</v>
      </c>
      <c r="C1054" s="77" t="s">
        <v>70</v>
      </c>
      <c r="D1054" s="77" t="s">
        <v>45</v>
      </c>
      <c r="E1054" s="77">
        <v>1.01</v>
      </c>
      <c r="F1054" s="77"/>
      <c r="G1054" s="93">
        <v>3.2000000000000001E-2</v>
      </c>
      <c r="H1054" s="79">
        <f t="shared" si="121"/>
        <v>3.2000000000000001E-2</v>
      </c>
      <c r="I1054" s="80">
        <v>7875</v>
      </c>
      <c r="J1054" s="80">
        <f t="shared" si="122"/>
        <v>252</v>
      </c>
      <c r="K1054" s="94"/>
      <c r="L1054" s="77" t="s">
        <v>321</v>
      </c>
    </row>
    <row r="1055" spans="1:12" s="54" customFormat="1" ht="23.25" customHeight="1" x14ac:dyDescent="0.25">
      <c r="A1055" s="81"/>
      <c r="B1055" s="89" t="s">
        <v>78</v>
      </c>
      <c r="C1055" s="77" t="s">
        <v>79</v>
      </c>
      <c r="D1055" s="77" t="s">
        <v>47</v>
      </c>
      <c r="E1055" s="77"/>
      <c r="F1055" s="77"/>
      <c r="G1055" s="78">
        <v>185.03</v>
      </c>
      <c r="H1055" s="79">
        <f t="shared" si="121"/>
        <v>185.03</v>
      </c>
      <c r="I1055" s="80">
        <v>88.34</v>
      </c>
      <c r="J1055" s="80">
        <f t="shared" si="122"/>
        <v>16345.550200000001</v>
      </c>
      <c r="K1055" s="94"/>
      <c r="L1055" s="77" t="s">
        <v>321</v>
      </c>
    </row>
    <row r="1056" spans="1:12" s="54" customFormat="1" ht="23.25" customHeight="1" x14ac:dyDescent="0.25">
      <c r="A1056" s="81"/>
      <c r="B1056" s="89" t="s">
        <v>92</v>
      </c>
      <c r="C1056" s="77" t="s">
        <v>93</v>
      </c>
      <c r="D1056" s="77" t="s">
        <v>54</v>
      </c>
      <c r="E1056" s="77">
        <v>1.04</v>
      </c>
      <c r="F1056" s="77"/>
      <c r="G1056" s="78">
        <f>4.48*E1056</f>
        <v>4.6592000000000002</v>
      </c>
      <c r="H1056" s="79">
        <f t="shared" si="121"/>
        <v>4.6592000000000002</v>
      </c>
      <c r="I1056" s="80">
        <v>66.349999999999994</v>
      </c>
      <c r="J1056" s="80">
        <f t="shared" si="122"/>
        <v>309.13792000000001</v>
      </c>
      <c r="K1056" s="94"/>
      <c r="L1056" s="77" t="s">
        <v>321</v>
      </c>
    </row>
    <row r="1057" spans="1:12" s="54" customFormat="1" ht="23.25" customHeight="1" x14ac:dyDescent="0.25">
      <c r="A1057" s="81"/>
      <c r="B1057" s="89" t="s">
        <v>94</v>
      </c>
      <c r="C1057" s="77" t="s">
        <v>95</v>
      </c>
      <c r="D1057" s="77" t="s">
        <v>54</v>
      </c>
      <c r="E1057" s="77">
        <v>1.04</v>
      </c>
      <c r="F1057" s="77"/>
      <c r="G1057" s="78">
        <f>G1048*E1057</f>
        <v>21.236800000000002</v>
      </c>
      <c r="H1057" s="79">
        <f t="shared" si="121"/>
        <v>21.236800000000002</v>
      </c>
      <c r="I1057" s="80">
        <v>64</v>
      </c>
      <c r="J1057" s="80">
        <f t="shared" si="122"/>
        <v>1359.1552000000001</v>
      </c>
      <c r="K1057" s="94"/>
      <c r="L1057" s="77" t="s">
        <v>321</v>
      </c>
    </row>
    <row r="1058" spans="1:12" s="54" customFormat="1" ht="23.25" customHeight="1" x14ac:dyDescent="0.25">
      <c r="A1058" s="81"/>
      <c r="B1058" s="89" t="s">
        <v>96</v>
      </c>
      <c r="C1058" s="77" t="s">
        <v>39</v>
      </c>
      <c r="D1058" s="77" t="s">
        <v>54</v>
      </c>
      <c r="E1058" s="77">
        <v>1.04</v>
      </c>
      <c r="F1058" s="77"/>
      <c r="G1058" s="78">
        <f>38.37*E1058</f>
        <v>39.904800000000002</v>
      </c>
      <c r="H1058" s="79">
        <f t="shared" si="121"/>
        <v>39.904800000000002</v>
      </c>
      <c r="I1058" s="80">
        <v>72.78</v>
      </c>
      <c r="J1058" s="80">
        <f t="shared" si="122"/>
        <v>2904.2713440000002</v>
      </c>
      <c r="K1058" s="94"/>
      <c r="L1058" s="77" t="s">
        <v>321</v>
      </c>
    </row>
    <row r="1059" spans="1:12" s="54" customFormat="1" ht="23.25" customHeight="1" x14ac:dyDescent="0.25">
      <c r="A1059" s="81"/>
      <c r="B1059" s="89" t="s">
        <v>97</v>
      </c>
      <c r="C1059" s="77" t="s">
        <v>39</v>
      </c>
      <c r="D1059" s="77" t="s">
        <v>54</v>
      </c>
      <c r="E1059" s="77">
        <v>1.04</v>
      </c>
      <c r="F1059" s="77"/>
      <c r="G1059" s="78">
        <f>E1059*210.66</f>
        <v>219.0864</v>
      </c>
      <c r="H1059" s="79">
        <f t="shared" si="121"/>
        <v>219.0864</v>
      </c>
      <c r="I1059" s="80">
        <v>74.92</v>
      </c>
      <c r="J1059" s="80">
        <f t="shared" si="122"/>
        <v>16413.953087999998</v>
      </c>
      <c r="K1059" s="94"/>
      <c r="L1059" s="77" t="s">
        <v>321</v>
      </c>
    </row>
    <row r="1060" spans="1:12" s="101" customFormat="1" ht="23.25" customHeight="1" x14ac:dyDescent="0.25">
      <c r="A1060" s="95"/>
      <c r="B1060" s="96" t="s">
        <v>98</v>
      </c>
      <c r="C1060" s="97" t="s">
        <v>39</v>
      </c>
      <c r="D1060" s="97" t="s">
        <v>99</v>
      </c>
      <c r="E1060" s="97"/>
      <c r="F1060" s="97"/>
      <c r="G1060" s="98"/>
      <c r="H1060" s="99">
        <f>J1060*100/J1044</f>
        <v>0.77753976586009632</v>
      </c>
      <c r="I1060" s="79"/>
      <c r="J1060" s="79">
        <v>6137.6286</v>
      </c>
      <c r="K1060" s="100"/>
      <c r="L1060" s="97" t="s">
        <v>321</v>
      </c>
    </row>
    <row r="1061" spans="1:12" ht="21.75" customHeight="1" x14ac:dyDescent="0.25">
      <c r="A1061" s="102"/>
      <c r="B1061" s="317" t="s">
        <v>182</v>
      </c>
      <c r="C1061" s="318"/>
      <c r="D1061" s="318"/>
      <c r="E1061" s="318"/>
      <c r="F1061" s="318"/>
      <c r="G1061" s="318"/>
      <c r="H1061" s="318"/>
      <c r="I1061" s="319"/>
      <c r="J1061" s="103">
        <f>J1043+J1000+J613+J570+J527+J484+J441+J398+J355+J312+J269+J226+J186+J143+J100+J57+J25+J699+J656+J19+J957+J914+J871+J828+J785+J742</f>
        <v>36668550.526530504</v>
      </c>
      <c r="K1061" s="103"/>
      <c r="L1061" s="104"/>
    </row>
    <row r="1062" spans="1:12" ht="21.75" customHeight="1" x14ac:dyDescent="0.25">
      <c r="A1062" s="105"/>
      <c r="B1062" s="320" t="s">
        <v>183</v>
      </c>
      <c r="C1062" s="321"/>
      <c r="D1062" s="321"/>
      <c r="E1062" s="321"/>
      <c r="F1062" s="321"/>
      <c r="G1062" s="321"/>
      <c r="H1062" s="321"/>
      <c r="I1062" s="322"/>
      <c r="J1062" s="106">
        <f>J1044+J1001+J614+J571+J528+J485+J442+J399+J356+J313+J270+J227+J187+J144+J101+J58+J26+J700+J657+J20+J958+J915+J872+J829+J786+J743</f>
        <v>28477586.980000012</v>
      </c>
      <c r="K1062" s="106"/>
      <c r="L1062" s="107"/>
    </row>
    <row r="1063" spans="1:12" ht="21.75" customHeight="1" x14ac:dyDescent="0.25">
      <c r="A1063" s="105"/>
      <c r="B1063" s="320" t="s">
        <v>184</v>
      </c>
      <c r="C1063" s="321"/>
      <c r="D1063" s="321"/>
      <c r="E1063" s="321"/>
      <c r="F1063" s="321"/>
      <c r="G1063" s="321"/>
      <c r="H1063" s="321"/>
      <c r="I1063" s="322"/>
      <c r="J1063" s="106">
        <f>J1050+J1013+J626+J583+J540+J497+J454+J411+J368+J325+J282+J239+J198+J156+J113+J70+J35+J712+J669+J970+J927+J884+J841+J798+J755</f>
        <v>8190963.5465305056</v>
      </c>
      <c r="K1063" s="106"/>
      <c r="L1063" s="107"/>
    </row>
    <row r="1064" spans="1:12" ht="21.75" customHeight="1" x14ac:dyDescent="0.25">
      <c r="A1064" s="105"/>
      <c r="B1064" s="320" t="s">
        <v>185</v>
      </c>
      <c r="C1064" s="321"/>
      <c r="D1064" s="321"/>
      <c r="E1064" s="321"/>
      <c r="F1064" s="321"/>
      <c r="G1064" s="321"/>
      <c r="H1064" s="321"/>
      <c r="I1064" s="322"/>
      <c r="J1064" s="106" t="s">
        <v>186</v>
      </c>
      <c r="K1064" s="106"/>
      <c r="L1064" s="107"/>
    </row>
    <row r="1065" spans="1:12" x14ac:dyDescent="0.25">
      <c r="K1065" s="111"/>
      <c r="L1065" s="17"/>
    </row>
    <row r="1066" spans="1:12" ht="15.75" customHeight="1" x14ac:dyDescent="0.25">
      <c r="A1066" s="112"/>
      <c r="B1066" s="113" t="s">
        <v>187</v>
      </c>
      <c r="C1066" s="101"/>
      <c r="D1066" s="101"/>
      <c r="E1066" s="101"/>
      <c r="F1066" s="101"/>
      <c r="G1066" s="114"/>
      <c r="H1066" s="101"/>
      <c r="I1066" s="101"/>
      <c r="J1066" s="114"/>
      <c r="K1066" s="101"/>
      <c r="L1066" s="54"/>
    </row>
    <row r="1067" spans="1:12" ht="15.75" customHeight="1" x14ac:dyDescent="0.25">
      <c r="A1067" s="112"/>
      <c r="B1067" s="113" t="s">
        <v>188</v>
      </c>
      <c r="C1067" s="101"/>
      <c r="D1067" s="101"/>
      <c r="E1067" s="101"/>
      <c r="F1067" s="101"/>
      <c r="G1067" s="115"/>
      <c r="H1067" s="101"/>
      <c r="I1067" s="101"/>
      <c r="J1067" s="101"/>
      <c r="K1067" s="101"/>
      <c r="L1067" s="54"/>
    </row>
    <row r="1068" spans="1:12" x14ac:dyDescent="0.25">
      <c r="A1068" s="112" t="s">
        <v>189</v>
      </c>
      <c r="B1068" s="116" t="s">
        <v>190</v>
      </c>
      <c r="D1068" s="47"/>
      <c r="H1068" s="101"/>
      <c r="I1068" s="47"/>
      <c r="K1068" s="110"/>
      <c r="L1068" s="110"/>
    </row>
    <row r="1069" spans="1:12" x14ac:dyDescent="0.25">
      <c r="A1069" s="112" t="s">
        <v>191</v>
      </c>
      <c r="B1069" s="116" t="s">
        <v>192</v>
      </c>
      <c r="D1069" s="47"/>
      <c r="H1069" s="101"/>
      <c r="I1069" s="47"/>
      <c r="K1069" s="110"/>
      <c r="L1069" s="110"/>
    </row>
    <row r="1070" spans="1:12" x14ac:dyDescent="0.25">
      <c r="A1070" s="112" t="s">
        <v>193</v>
      </c>
      <c r="B1070" s="116" t="s">
        <v>194</v>
      </c>
      <c r="D1070" s="47"/>
      <c r="H1070" s="101"/>
      <c r="I1070" s="47"/>
      <c r="K1070" s="110"/>
      <c r="L1070" s="110"/>
    </row>
    <row r="1071" spans="1:12" x14ac:dyDescent="0.25">
      <c r="A1071" s="112" t="s">
        <v>195</v>
      </c>
      <c r="B1071" s="116" t="s">
        <v>196</v>
      </c>
      <c r="D1071" s="47"/>
      <c r="H1071" s="101"/>
      <c r="I1071" s="47"/>
      <c r="K1071" s="110"/>
      <c r="L1071" s="110"/>
    </row>
    <row r="1072" spans="1:12" x14ac:dyDescent="0.25">
      <c r="A1072" s="112" t="s">
        <v>197</v>
      </c>
      <c r="B1072" s="116" t="s">
        <v>198</v>
      </c>
      <c r="D1072" s="47"/>
      <c r="H1072" s="101"/>
      <c r="I1072" s="47"/>
      <c r="K1072" s="110"/>
      <c r="L1072" s="110"/>
    </row>
    <row r="1073" spans="1:12" x14ac:dyDescent="0.25">
      <c r="A1073" s="112" t="s">
        <v>191</v>
      </c>
      <c r="B1073" s="116" t="s">
        <v>192</v>
      </c>
      <c r="D1073" s="47"/>
      <c r="H1073" s="101"/>
      <c r="I1073" s="47"/>
      <c r="K1073" s="110"/>
      <c r="L1073" s="110"/>
    </row>
    <row r="1074" spans="1:12" x14ac:dyDescent="0.25">
      <c r="A1074" s="112" t="s">
        <v>193</v>
      </c>
      <c r="B1074" s="116" t="s">
        <v>199</v>
      </c>
      <c r="D1074" s="47"/>
      <c r="H1074" s="101"/>
      <c r="I1074" s="47"/>
      <c r="K1074" s="110"/>
      <c r="L1074" s="110"/>
    </row>
    <row r="1075" spans="1:12" x14ac:dyDescent="0.25">
      <c r="A1075" s="112" t="s">
        <v>195</v>
      </c>
      <c r="B1075" s="116" t="s">
        <v>194</v>
      </c>
      <c r="D1075" s="47"/>
      <c r="H1075" s="101"/>
      <c r="I1075" s="47"/>
      <c r="K1075" s="110"/>
      <c r="L1075" s="110"/>
    </row>
    <row r="1076" spans="1:12" x14ac:dyDescent="0.25">
      <c r="A1076" s="112" t="s">
        <v>200</v>
      </c>
      <c r="B1076" s="116" t="s">
        <v>201</v>
      </c>
      <c r="D1076" s="47"/>
      <c r="H1076" s="101"/>
      <c r="I1076" s="47"/>
      <c r="K1076" s="110"/>
      <c r="L1076" s="110"/>
    </row>
    <row r="1077" spans="1:12" x14ac:dyDescent="0.25">
      <c r="A1077" s="112" t="s">
        <v>202</v>
      </c>
      <c r="B1077" s="116" t="s">
        <v>203</v>
      </c>
      <c r="D1077" s="47"/>
      <c r="H1077" s="101"/>
      <c r="I1077" s="47"/>
      <c r="K1077" s="110"/>
      <c r="L1077" s="110"/>
    </row>
    <row r="1078" spans="1:12" x14ac:dyDescent="0.25">
      <c r="A1078" s="112"/>
      <c r="B1078" s="117" t="s">
        <v>204</v>
      </c>
      <c r="H1078" s="101"/>
      <c r="I1078" s="47"/>
      <c r="K1078" s="110"/>
      <c r="L1078" s="110"/>
    </row>
    <row r="1079" spans="1:12" x14ac:dyDescent="0.25">
      <c r="A1079" s="112" t="s">
        <v>205</v>
      </c>
      <c r="B1079" s="116" t="s">
        <v>190</v>
      </c>
      <c r="H1079" s="101"/>
      <c r="I1079" s="47"/>
      <c r="K1079" s="110"/>
      <c r="L1079" s="110"/>
    </row>
    <row r="1080" spans="1:12" x14ac:dyDescent="0.25">
      <c r="A1080" s="112" t="s">
        <v>191</v>
      </c>
      <c r="B1080" s="116" t="s">
        <v>192</v>
      </c>
      <c r="H1080" s="101"/>
      <c r="I1080" s="47"/>
      <c r="K1080" s="110"/>
      <c r="L1080" s="110"/>
    </row>
    <row r="1081" spans="1:12" x14ac:dyDescent="0.25">
      <c r="A1081" s="112" t="s">
        <v>193</v>
      </c>
      <c r="B1081" s="116" t="s">
        <v>194</v>
      </c>
      <c r="H1081" s="101"/>
      <c r="I1081" s="47"/>
      <c r="K1081" s="110"/>
      <c r="L1081" s="110"/>
    </row>
    <row r="1082" spans="1:12" x14ac:dyDescent="0.25">
      <c r="A1082" s="112" t="s">
        <v>195</v>
      </c>
      <c r="B1082" s="116" t="s">
        <v>201</v>
      </c>
      <c r="H1082" s="101"/>
      <c r="I1082" s="47"/>
      <c r="K1082" s="110"/>
      <c r="L1082" s="110"/>
    </row>
    <row r="1083" spans="1:12" x14ac:dyDescent="0.25">
      <c r="A1083" s="112" t="s">
        <v>206</v>
      </c>
      <c r="B1083" s="116" t="s">
        <v>198</v>
      </c>
      <c r="H1083" s="101"/>
      <c r="I1083" s="47"/>
      <c r="K1083" s="110"/>
      <c r="L1083" s="110"/>
    </row>
    <row r="1084" spans="1:12" x14ac:dyDescent="0.25">
      <c r="A1084" s="112" t="s">
        <v>191</v>
      </c>
      <c r="B1084" s="116" t="s">
        <v>199</v>
      </c>
      <c r="H1084" s="101"/>
      <c r="I1084" s="47"/>
      <c r="K1084" s="110"/>
      <c r="L1084" s="110"/>
    </row>
    <row r="1085" spans="1:12" x14ac:dyDescent="0.25">
      <c r="A1085" s="112" t="s">
        <v>193</v>
      </c>
      <c r="B1085" s="116" t="s">
        <v>201</v>
      </c>
      <c r="H1085" s="101"/>
      <c r="I1085" s="47"/>
      <c r="K1085" s="110"/>
      <c r="L1085" s="110"/>
    </row>
    <row r="1086" spans="1:12" x14ac:dyDescent="0.25">
      <c r="A1086" s="112"/>
      <c r="B1086" s="117" t="s">
        <v>207</v>
      </c>
      <c r="H1086" s="101"/>
      <c r="I1086" s="47"/>
      <c r="K1086" s="110"/>
      <c r="L1086" s="110"/>
    </row>
    <row r="1087" spans="1:12" x14ac:dyDescent="0.25">
      <c r="A1087" s="112" t="s">
        <v>208</v>
      </c>
      <c r="B1087" s="116" t="s">
        <v>190</v>
      </c>
      <c r="H1087" s="101"/>
      <c r="I1087" s="47"/>
      <c r="K1087" s="110"/>
      <c r="L1087" s="110"/>
    </row>
    <row r="1088" spans="1:12" x14ac:dyDescent="0.25">
      <c r="A1088" s="112" t="s">
        <v>191</v>
      </c>
      <c r="B1088" s="116" t="s">
        <v>192</v>
      </c>
      <c r="H1088" s="101"/>
      <c r="I1088" s="47"/>
      <c r="K1088" s="110"/>
      <c r="L1088" s="110"/>
    </row>
    <row r="1089" spans="1:12" x14ac:dyDescent="0.25">
      <c r="A1089" s="112" t="s">
        <v>193</v>
      </c>
      <c r="B1089" s="116" t="s">
        <v>199</v>
      </c>
      <c r="H1089" s="101"/>
      <c r="I1089" s="47"/>
      <c r="K1089" s="110"/>
      <c r="L1089" s="110"/>
    </row>
    <row r="1090" spans="1:12" x14ac:dyDescent="0.25">
      <c r="A1090" s="112" t="s">
        <v>195</v>
      </c>
      <c r="B1090" s="116" t="s">
        <v>201</v>
      </c>
      <c r="H1090" s="101"/>
      <c r="I1090" s="47"/>
      <c r="K1090" s="110"/>
      <c r="L1090" s="110"/>
    </row>
    <row r="1091" spans="1:12" x14ac:dyDescent="0.25">
      <c r="A1091" s="112" t="s">
        <v>209</v>
      </c>
      <c r="B1091" s="116" t="s">
        <v>198</v>
      </c>
      <c r="H1091" s="101"/>
      <c r="I1091" s="47"/>
      <c r="K1091" s="110"/>
      <c r="L1091" s="110"/>
    </row>
    <row r="1092" spans="1:12" x14ac:dyDescent="0.25">
      <c r="A1092" s="112" t="s">
        <v>191</v>
      </c>
      <c r="B1092" s="116" t="s">
        <v>199</v>
      </c>
      <c r="H1092" s="101"/>
      <c r="I1092" s="47"/>
      <c r="K1092" s="110"/>
      <c r="L1092" s="110"/>
    </row>
    <row r="1093" spans="1:12" x14ac:dyDescent="0.25">
      <c r="A1093" s="112" t="s">
        <v>193</v>
      </c>
      <c r="B1093" s="116" t="s">
        <v>201</v>
      </c>
      <c r="H1093" s="101"/>
      <c r="I1093" s="47"/>
      <c r="K1093" s="110"/>
      <c r="L1093" s="110"/>
    </row>
    <row r="1094" spans="1:12" x14ac:dyDescent="0.25">
      <c r="A1094" s="112"/>
      <c r="B1094" s="117" t="s">
        <v>210</v>
      </c>
      <c r="H1094" s="101"/>
      <c r="I1094" s="47"/>
      <c r="K1094" s="110"/>
      <c r="L1094" s="110"/>
    </row>
    <row r="1095" spans="1:12" x14ac:dyDescent="0.25">
      <c r="A1095" s="112" t="s">
        <v>211</v>
      </c>
      <c r="B1095" s="116" t="s">
        <v>212</v>
      </c>
      <c r="H1095" s="101"/>
      <c r="I1095" s="47"/>
      <c r="K1095" s="110"/>
      <c r="L1095" s="110"/>
    </row>
    <row r="1096" spans="1:12" x14ac:dyDescent="0.25">
      <c r="A1096" s="112" t="s">
        <v>191</v>
      </c>
      <c r="B1096" s="116" t="s">
        <v>192</v>
      </c>
      <c r="H1096" s="101"/>
      <c r="I1096" s="47"/>
      <c r="K1096" s="110"/>
      <c r="L1096" s="110"/>
    </row>
    <row r="1097" spans="1:12" x14ac:dyDescent="0.25">
      <c r="A1097" s="112" t="s">
        <v>193</v>
      </c>
      <c r="B1097" s="116" t="s">
        <v>213</v>
      </c>
      <c r="H1097" s="101"/>
      <c r="I1097" s="47"/>
      <c r="K1097" s="110"/>
      <c r="L1097" s="110"/>
    </row>
    <row r="1098" spans="1:12" x14ac:dyDescent="0.25">
      <c r="A1098" s="112" t="s">
        <v>214</v>
      </c>
      <c r="B1098" s="116" t="s">
        <v>215</v>
      </c>
      <c r="H1098" s="101"/>
      <c r="I1098" s="47"/>
      <c r="K1098" s="110"/>
      <c r="L1098" s="110"/>
    </row>
    <row r="1099" spans="1:12" x14ac:dyDescent="0.25">
      <c r="A1099" s="112" t="s">
        <v>191</v>
      </c>
      <c r="B1099" s="116" t="s">
        <v>199</v>
      </c>
      <c r="H1099" s="101"/>
      <c r="I1099" s="47"/>
      <c r="K1099" s="110"/>
      <c r="L1099" s="110"/>
    </row>
    <row r="1100" spans="1:12" x14ac:dyDescent="0.25">
      <c r="A1100" s="112" t="s">
        <v>193</v>
      </c>
      <c r="B1100" s="116" t="s">
        <v>201</v>
      </c>
      <c r="H1100" s="101"/>
      <c r="I1100" s="47"/>
      <c r="K1100" s="110"/>
      <c r="L1100" s="110"/>
    </row>
    <row r="1101" spans="1:12" x14ac:dyDescent="0.25">
      <c r="A1101" s="112"/>
      <c r="B1101" s="117" t="s">
        <v>216</v>
      </c>
      <c r="H1101" s="101"/>
      <c r="I1101" s="47"/>
      <c r="K1101" s="110"/>
      <c r="L1101" s="110"/>
    </row>
    <row r="1102" spans="1:12" x14ac:dyDescent="0.25">
      <c r="A1102" s="112" t="s">
        <v>217</v>
      </c>
      <c r="B1102" s="116" t="s">
        <v>212</v>
      </c>
      <c r="H1102" s="101"/>
      <c r="I1102" s="47"/>
      <c r="K1102" s="110"/>
      <c r="L1102" s="110"/>
    </row>
    <row r="1103" spans="1:12" x14ac:dyDescent="0.25">
      <c r="A1103" s="112" t="s">
        <v>191</v>
      </c>
      <c r="B1103" s="116" t="s">
        <v>192</v>
      </c>
      <c r="H1103" s="101"/>
      <c r="I1103" s="47"/>
      <c r="K1103" s="110"/>
      <c r="L1103" s="110"/>
    </row>
    <row r="1104" spans="1:12" x14ac:dyDescent="0.25">
      <c r="A1104" s="112" t="s">
        <v>193</v>
      </c>
      <c r="B1104" s="116" t="s">
        <v>213</v>
      </c>
      <c r="H1104" s="101"/>
      <c r="I1104" s="47"/>
      <c r="K1104" s="110"/>
      <c r="L1104" s="110"/>
    </row>
    <row r="1105" spans="1:12" x14ac:dyDescent="0.25">
      <c r="A1105" s="112" t="s">
        <v>195</v>
      </c>
      <c r="B1105" s="116" t="s">
        <v>199</v>
      </c>
      <c r="H1105" s="101"/>
      <c r="I1105" s="47"/>
      <c r="K1105" s="110"/>
      <c r="L1105" s="110"/>
    </row>
    <row r="1106" spans="1:12" x14ac:dyDescent="0.25">
      <c r="A1106" s="112" t="s">
        <v>218</v>
      </c>
      <c r="B1106" s="116" t="s">
        <v>198</v>
      </c>
      <c r="H1106" s="101"/>
      <c r="I1106" s="47"/>
      <c r="K1106" s="110"/>
      <c r="L1106" s="110"/>
    </row>
    <row r="1107" spans="1:12" x14ac:dyDescent="0.25">
      <c r="A1107" s="112" t="s">
        <v>191</v>
      </c>
      <c r="B1107" s="116" t="s">
        <v>192</v>
      </c>
      <c r="H1107" s="101"/>
      <c r="I1107" s="47"/>
      <c r="K1107" s="110"/>
      <c r="L1107" s="110"/>
    </row>
    <row r="1108" spans="1:12" x14ac:dyDescent="0.25">
      <c r="A1108" s="112" t="s">
        <v>193</v>
      </c>
      <c r="B1108" s="116" t="s">
        <v>213</v>
      </c>
      <c r="H1108" s="101"/>
      <c r="I1108" s="47"/>
      <c r="K1108" s="110"/>
      <c r="L1108" s="110"/>
    </row>
    <row r="1109" spans="1:12" x14ac:dyDescent="0.25">
      <c r="A1109" s="112" t="s">
        <v>195</v>
      </c>
      <c r="B1109" s="116" t="s">
        <v>199</v>
      </c>
      <c r="H1109" s="101"/>
      <c r="I1109" s="47"/>
      <c r="K1109" s="110"/>
      <c r="L1109" s="110"/>
    </row>
    <row r="1110" spans="1:12" x14ac:dyDescent="0.25">
      <c r="A1110" s="112" t="s">
        <v>195</v>
      </c>
      <c r="B1110" s="116" t="s">
        <v>219</v>
      </c>
      <c r="H1110" s="101"/>
      <c r="I1110" s="47"/>
      <c r="K1110" s="110"/>
      <c r="L1110" s="110"/>
    </row>
    <row r="1111" spans="1:12" x14ac:dyDescent="0.25">
      <c r="A1111" s="112"/>
      <c r="B1111" s="117" t="s">
        <v>220</v>
      </c>
      <c r="H1111" s="101"/>
      <c r="I1111" s="47"/>
      <c r="K1111" s="110"/>
      <c r="L1111" s="110"/>
    </row>
    <row r="1112" spans="1:12" ht="23.25" customHeight="1" x14ac:dyDescent="0.25">
      <c r="A1112" s="112"/>
      <c r="B1112" s="117" t="s">
        <v>221</v>
      </c>
      <c r="H1112" s="101"/>
      <c r="I1112" s="47"/>
      <c r="K1112" s="110"/>
      <c r="L1112" s="110"/>
    </row>
    <row r="1113" spans="1:12" x14ac:dyDescent="0.25">
      <c r="B1113" s="118"/>
    </row>
    <row r="1114" spans="1:12" ht="23.25" customHeight="1" x14ac:dyDescent="0.25">
      <c r="B1114" s="119" t="s">
        <v>222</v>
      </c>
      <c r="C1114" s="12"/>
      <c r="D1114" s="12"/>
      <c r="E1114" s="12"/>
      <c r="F1114" s="12"/>
      <c r="G1114" s="15"/>
      <c r="H1114" s="120"/>
      <c r="I1114" s="17"/>
      <c r="J1114" s="17"/>
      <c r="K1114" s="17"/>
    </row>
    <row r="1115" spans="1:12" ht="25.5" customHeight="1" x14ac:dyDescent="0.25">
      <c r="A1115" s="121">
        <v>1</v>
      </c>
      <c r="B1115" s="122" t="s">
        <v>223</v>
      </c>
      <c r="C1115" s="122"/>
      <c r="D1115" s="122"/>
      <c r="E1115" s="122"/>
      <c r="F1115" s="122"/>
      <c r="G1115" s="122"/>
      <c r="H1115" s="122"/>
      <c r="I1115" s="122"/>
      <c r="J1115" s="122"/>
      <c r="K1115" s="122"/>
      <c r="L1115" s="122"/>
    </row>
    <row r="1116" spans="1:12" ht="34.5" customHeight="1" x14ac:dyDescent="0.25">
      <c r="A1116" s="123" t="s">
        <v>189</v>
      </c>
      <c r="B1116" s="314" t="s">
        <v>322</v>
      </c>
      <c r="C1116" s="314"/>
      <c r="D1116" s="314"/>
      <c r="E1116" s="314"/>
      <c r="F1116" s="314"/>
      <c r="G1116" s="314"/>
      <c r="H1116" s="314"/>
      <c r="I1116" s="314"/>
      <c r="J1116" s="314"/>
      <c r="K1116" s="314"/>
      <c r="L1116" s="314"/>
    </row>
    <row r="1117" spans="1:12" ht="29.25" customHeight="1" x14ac:dyDescent="0.25">
      <c r="A1117" s="123" t="s">
        <v>197</v>
      </c>
      <c r="B1117" s="122" t="s">
        <v>224</v>
      </c>
      <c r="C1117" s="122"/>
      <c r="D1117" s="122"/>
      <c r="E1117" s="122"/>
      <c r="F1117" s="122"/>
      <c r="G1117" s="122"/>
      <c r="H1117" s="122"/>
      <c r="I1117" s="122"/>
      <c r="J1117" s="122"/>
      <c r="K1117" s="122"/>
      <c r="L1117" s="122"/>
    </row>
    <row r="1118" spans="1:12" ht="25.5" customHeight="1" x14ac:dyDescent="0.25">
      <c r="A1118" s="123" t="s">
        <v>202</v>
      </c>
      <c r="B1118" s="122" t="s">
        <v>225</v>
      </c>
      <c r="C1118" s="122"/>
      <c r="D1118" s="122"/>
      <c r="E1118" s="122"/>
      <c r="F1118" s="122"/>
      <c r="G1118" s="122"/>
      <c r="H1118" s="122"/>
      <c r="I1118" s="122"/>
      <c r="J1118" s="122"/>
      <c r="K1118" s="122"/>
      <c r="L1118" s="122"/>
    </row>
    <row r="1119" spans="1:12" ht="25.5" customHeight="1" x14ac:dyDescent="0.25">
      <c r="A1119" s="123" t="s">
        <v>226</v>
      </c>
      <c r="B1119" s="122" t="s">
        <v>227</v>
      </c>
      <c r="C1119" s="122"/>
      <c r="D1119" s="122"/>
      <c r="E1119" s="122"/>
      <c r="F1119" s="122"/>
      <c r="G1119" s="122"/>
      <c r="H1119" s="122"/>
      <c r="I1119" s="122"/>
      <c r="J1119" s="122"/>
      <c r="K1119" s="122"/>
      <c r="L1119" s="122"/>
    </row>
    <row r="1120" spans="1:12" ht="24" customHeight="1" x14ac:dyDescent="0.25">
      <c r="A1120" s="123" t="s">
        <v>228</v>
      </c>
      <c r="B1120" s="122" t="s">
        <v>229</v>
      </c>
      <c r="C1120" s="124"/>
      <c r="D1120" s="124"/>
      <c r="E1120" s="124"/>
      <c r="F1120" s="124"/>
      <c r="G1120" s="124"/>
      <c r="H1120" s="124"/>
      <c r="I1120" s="124"/>
      <c r="J1120" s="124"/>
      <c r="K1120" s="124"/>
      <c r="L1120" s="124"/>
    </row>
    <row r="1121" spans="1:12" ht="17.25" customHeight="1" x14ac:dyDescent="0.25">
      <c r="A1121" s="123" t="s">
        <v>39</v>
      </c>
      <c r="B1121" s="122" t="s">
        <v>230</v>
      </c>
      <c r="C1121" s="122"/>
      <c r="D1121" s="122"/>
      <c r="E1121" s="122"/>
      <c r="F1121" s="122"/>
      <c r="G1121" s="122"/>
      <c r="H1121" s="122"/>
      <c r="I1121" s="122"/>
      <c r="J1121" s="122"/>
      <c r="K1121" s="122"/>
      <c r="L1121" s="122"/>
    </row>
    <row r="1122" spans="1:12" ht="17.25" customHeight="1" x14ac:dyDescent="0.25">
      <c r="A1122" s="123" t="s">
        <v>39</v>
      </c>
      <c r="B1122" s="122" t="s">
        <v>231</v>
      </c>
      <c r="C1122" s="122"/>
      <c r="D1122" s="122"/>
      <c r="E1122" s="122"/>
      <c r="F1122" s="122"/>
      <c r="G1122" s="122"/>
      <c r="H1122" s="122"/>
      <c r="I1122" s="122"/>
      <c r="J1122" s="122"/>
      <c r="K1122" s="122"/>
      <c r="L1122" s="122"/>
    </row>
    <row r="1123" spans="1:12" ht="17.25" customHeight="1" x14ac:dyDescent="0.25">
      <c r="A1123" s="123" t="s">
        <v>39</v>
      </c>
      <c r="B1123" s="122" t="s">
        <v>232</v>
      </c>
      <c r="C1123" s="122"/>
      <c r="D1123" s="122"/>
      <c r="E1123" s="122"/>
      <c r="F1123" s="122"/>
      <c r="G1123" s="122"/>
      <c r="H1123" s="122"/>
      <c r="I1123" s="122"/>
      <c r="J1123" s="122"/>
      <c r="K1123" s="122"/>
      <c r="L1123" s="122"/>
    </row>
    <row r="1124" spans="1:12" ht="17.25" customHeight="1" x14ac:dyDescent="0.25">
      <c r="A1124" s="123" t="s">
        <v>39</v>
      </c>
      <c r="B1124" s="122" t="s">
        <v>233</v>
      </c>
      <c r="C1124" s="122"/>
      <c r="D1124" s="122"/>
      <c r="E1124" s="122"/>
      <c r="F1124" s="122"/>
      <c r="G1124" s="122"/>
      <c r="H1124" s="122"/>
      <c r="I1124" s="122"/>
      <c r="J1124" s="122"/>
      <c r="K1124" s="122"/>
      <c r="L1124" s="122"/>
    </row>
    <row r="1125" spans="1:12" ht="17.25" customHeight="1" x14ac:dyDescent="0.25">
      <c r="A1125" s="123"/>
      <c r="B1125" s="125"/>
      <c r="C1125" s="125"/>
      <c r="D1125" s="125"/>
      <c r="E1125" s="125"/>
      <c r="F1125" s="125"/>
      <c r="G1125" s="125"/>
      <c r="H1125" s="125"/>
      <c r="I1125" s="125"/>
      <c r="J1125" s="125"/>
      <c r="K1125" s="125"/>
      <c r="L1125" s="125"/>
    </row>
    <row r="1126" spans="1:12" ht="20.25" customHeight="1" x14ac:dyDescent="0.25">
      <c r="A1126" s="121" t="s">
        <v>234</v>
      </c>
      <c r="B1126" s="126" t="s">
        <v>235</v>
      </c>
      <c r="C1126" s="126"/>
      <c r="D1126" s="126"/>
      <c r="E1126" s="126"/>
      <c r="F1126" s="126"/>
      <c r="G1126" s="126"/>
      <c r="H1126" s="126"/>
      <c r="I1126" s="126"/>
      <c r="J1126" s="126"/>
      <c r="K1126" s="126"/>
      <c r="L1126" s="126"/>
    </row>
    <row r="1127" spans="1:12" ht="16.5" customHeight="1" x14ac:dyDescent="0.25">
      <c r="A1127" s="123" t="s">
        <v>236</v>
      </c>
      <c r="B1127" s="122" t="s">
        <v>237</v>
      </c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</row>
    <row r="1128" spans="1:12" ht="16.5" customHeight="1" x14ac:dyDescent="0.25">
      <c r="A1128" s="123" t="s">
        <v>238</v>
      </c>
      <c r="B1128" s="122" t="s">
        <v>239</v>
      </c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</row>
    <row r="1129" spans="1:12" ht="16.5" customHeight="1" x14ac:dyDescent="0.25">
      <c r="A1129" s="123" t="s">
        <v>240</v>
      </c>
      <c r="B1129" s="314" t="s">
        <v>241</v>
      </c>
      <c r="C1129" s="314"/>
      <c r="D1129" s="122"/>
      <c r="E1129" s="122"/>
      <c r="F1129" s="122"/>
      <c r="G1129" s="122"/>
      <c r="H1129" s="122"/>
      <c r="I1129" s="122"/>
      <c r="J1129" s="122"/>
      <c r="K1129" s="122"/>
      <c r="L1129" s="122"/>
    </row>
    <row r="1130" spans="1:12" ht="16.5" customHeight="1" x14ac:dyDescent="0.25">
      <c r="A1130" s="123" t="s">
        <v>242</v>
      </c>
      <c r="B1130" s="122" t="s">
        <v>243</v>
      </c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</row>
    <row r="1131" spans="1:12" ht="18.75" customHeight="1" x14ac:dyDescent="0.25">
      <c r="A1131" s="123"/>
      <c r="B1131" s="125"/>
      <c r="C1131" s="125"/>
      <c r="D1131" s="125"/>
      <c r="E1131" s="125"/>
      <c r="F1131" s="125"/>
      <c r="G1131" s="125"/>
      <c r="H1131" s="125"/>
      <c r="I1131" s="125"/>
      <c r="J1131" s="125"/>
      <c r="K1131" s="125"/>
      <c r="L1131" s="125"/>
    </row>
    <row r="1132" spans="1:12" ht="18.75" customHeight="1" x14ac:dyDescent="0.25">
      <c r="A1132" s="121" t="s">
        <v>244</v>
      </c>
      <c r="B1132" s="314" t="s">
        <v>245</v>
      </c>
      <c r="C1132" s="314"/>
      <c r="D1132" s="314"/>
      <c r="E1132" s="314"/>
      <c r="F1132" s="314"/>
      <c r="G1132" s="314"/>
      <c r="H1132" s="314"/>
      <c r="I1132" s="314"/>
      <c r="J1132" s="122"/>
      <c r="K1132" s="122"/>
      <c r="L1132" s="122"/>
    </row>
    <row r="1133" spans="1:12" ht="18.75" customHeight="1" x14ac:dyDescent="0.25">
      <c r="A1133" s="121" t="s">
        <v>246</v>
      </c>
      <c r="B1133" s="122" t="s">
        <v>247</v>
      </c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</row>
    <row r="1134" spans="1:12" ht="18.75" customHeight="1" x14ac:dyDescent="0.25">
      <c r="A1134" s="121" t="s">
        <v>248</v>
      </c>
      <c r="B1134" s="314" t="s">
        <v>249</v>
      </c>
      <c r="C1134" s="314"/>
      <c r="D1134" s="314"/>
      <c r="E1134" s="314"/>
      <c r="F1134" s="314"/>
      <c r="G1134" s="314"/>
      <c r="H1134" s="122"/>
      <c r="I1134" s="122"/>
      <c r="J1134" s="122"/>
      <c r="K1134" s="122"/>
      <c r="L1134" s="122"/>
    </row>
    <row r="1135" spans="1:12" s="54" customFormat="1" x14ac:dyDescent="0.25">
      <c r="A1135" s="108"/>
      <c r="B1135" s="127"/>
      <c r="G1135" s="109"/>
      <c r="H1135" s="34"/>
      <c r="I1135" s="110"/>
      <c r="J1135" s="110"/>
      <c r="K1135" s="47"/>
      <c r="L1135" s="47"/>
    </row>
  </sheetData>
  <sheetProtection selectLockedCells="1"/>
  <autoFilter ref="B1:B1135" xr:uid="{88DB6998-3661-4B2E-A6E4-D3B5BD93DB5F}"/>
  <mergeCells count="10">
    <mergeCell ref="B1116:L1116"/>
    <mergeCell ref="B1129:C1129"/>
    <mergeCell ref="B1132:I1132"/>
    <mergeCell ref="B1134:G1134"/>
    <mergeCell ref="A12:L12"/>
    <mergeCell ref="A13:L13"/>
    <mergeCell ref="B1061:I1061"/>
    <mergeCell ref="B1062:I1062"/>
    <mergeCell ref="B1063:I1063"/>
    <mergeCell ref="B1064:I1064"/>
  </mergeCells>
  <conditionalFormatting sqref="B23">
    <cfRule type="duplicateValues" dxfId="276" priority="120"/>
  </conditionalFormatting>
  <conditionalFormatting sqref="B36">
    <cfRule type="duplicateValues" dxfId="275" priority="121"/>
  </conditionalFormatting>
  <conditionalFormatting sqref="B37">
    <cfRule type="duplicateValues" dxfId="274" priority="122"/>
  </conditionalFormatting>
  <conditionalFormatting sqref="B38">
    <cfRule type="duplicateValues" dxfId="273" priority="123"/>
  </conditionalFormatting>
  <conditionalFormatting sqref="B71">
    <cfRule type="duplicateValues" dxfId="272" priority="124"/>
  </conditionalFormatting>
  <conditionalFormatting sqref="B72">
    <cfRule type="duplicateValues" dxfId="271" priority="125"/>
  </conditionalFormatting>
  <conditionalFormatting sqref="B73">
    <cfRule type="duplicateValues" dxfId="270" priority="126"/>
  </conditionalFormatting>
  <conditionalFormatting sqref="B74">
    <cfRule type="duplicateValues" dxfId="269" priority="127"/>
  </conditionalFormatting>
  <conditionalFormatting sqref="B75">
    <cfRule type="duplicateValues" dxfId="268" priority="128"/>
  </conditionalFormatting>
  <conditionalFormatting sqref="B114">
    <cfRule type="duplicateValues" dxfId="267" priority="129"/>
  </conditionalFormatting>
  <conditionalFormatting sqref="B115">
    <cfRule type="duplicateValues" dxfId="266" priority="130"/>
  </conditionalFormatting>
  <conditionalFormatting sqref="B116">
    <cfRule type="duplicateValues" dxfId="265" priority="131"/>
  </conditionalFormatting>
  <conditionalFormatting sqref="B117">
    <cfRule type="duplicateValues" dxfId="264" priority="132"/>
  </conditionalFormatting>
  <conditionalFormatting sqref="B118">
    <cfRule type="duplicateValues" dxfId="263" priority="133"/>
  </conditionalFormatting>
  <conditionalFormatting sqref="B157">
    <cfRule type="duplicateValues" dxfId="262" priority="134"/>
  </conditionalFormatting>
  <conditionalFormatting sqref="B158">
    <cfRule type="duplicateValues" dxfId="261" priority="135"/>
  </conditionalFormatting>
  <conditionalFormatting sqref="B159">
    <cfRule type="duplicateValues" dxfId="260" priority="136"/>
  </conditionalFormatting>
  <conditionalFormatting sqref="B160">
    <cfRule type="duplicateValues" dxfId="259" priority="137"/>
  </conditionalFormatting>
  <conditionalFormatting sqref="B161">
    <cfRule type="duplicateValues" dxfId="258" priority="138"/>
  </conditionalFormatting>
  <conditionalFormatting sqref="B199">
    <cfRule type="duplicateValues" dxfId="257" priority="139"/>
  </conditionalFormatting>
  <conditionalFormatting sqref="B200">
    <cfRule type="duplicateValues" dxfId="256" priority="140"/>
  </conditionalFormatting>
  <conditionalFormatting sqref="B201">
    <cfRule type="duplicateValues" dxfId="255" priority="141"/>
  </conditionalFormatting>
  <conditionalFormatting sqref="B202">
    <cfRule type="duplicateValues" dxfId="254" priority="142"/>
  </conditionalFormatting>
  <conditionalFormatting sqref="B203">
    <cfRule type="duplicateValues" dxfId="253" priority="143"/>
  </conditionalFormatting>
  <conditionalFormatting sqref="B240">
    <cfRule type="duplicateValues" dxfId="252" priority="144"/>
  </conditionalFormatting>
  <conditionalFormatting sqref="B241">
    <cfRule type="duplicateValues" dxfId="251" priority="145"/>
  </conditionalFormatting>
  <conditionalFormatting sqref="B242">
    <cfRule type="duplicateValues" dxfId="250" priority="146"/>
  </conditionalFormatting>
  <conditionalFormatting sqref="B243">
    <cfRule type="duplicateValues" dxfId="249" priority="147"/>
  </conditionalFormatting>
  <conditionalFormatting sqref="B244">
    <cfRule type="duplicateValues" dxfId="248" priority="148"/>
  </conditionalFormatting>
  <conditionalFormatting sqref="B283">
    <cfRule type="duplicateValues" dxfId="247" priority="149"/>
  </conditionalFormatting>
  <conditionalFormatting sqref="B284">
    <cfRule type="duplicateValues" dxfId="246" priority="150"/>
  </conditionalFormatting>
  <conditionalFormatting sqref="B285">
    <cfRule type="duplicateValues" dxfId="245" priority="151"/>
  </conditionalFormatting>
  <conditionalFormatting sqref="B286">
    <cfRule type="duplicateValues" dxfId="244" priority="152"/>
  </conditionalFormatting>
  <conditionalFormatting sqref="B287">
    <cfRule type="duplicateValues" dxfId="243" priority="153"/>
  </conditionalFormatting>
  <conditionalFormatting sqref="B326">
    <cfRule type="duplicateValues" dxfId="242" priority="154"/>
  </conditionalFormatting>
  <conditionalFormatting sqref="B327">
    <cfRule type="duplicateValues" dxfId="241" priority="155"/>
  </conditionalFormatting>
  <conditionalFormatting sqref="B328">
    <cfRule type="duplicateValues" dxfId="240" priority="156"/>
  </conditionalFormatting>
  <conditionalFormatting sqref="B329">
    <cfRule type="duplicateValues" dxfId="239" priority="157"/>
  </conditionalFormatting>
  <conditionalFormatting sqref="B330">
    <cfRule type="duplicateValues" dxfId="238" priority="158"/>
  </conditionalFormatting>
  <conditionalFormatting sqref="B369">
    <cfRule type="duplicateValues" dxfId="237" priority="159"/>
  </conditionalFormatting>
  <conditionalFormatting sqref="B370">
    <cfRule type="duplicateValues" dxfId="236" priority="160"/>
  </conditionalFormatting>
  <conditionalFormatting sqref="B371">
    <cfRule type="duplicateValues" dxfId="235" priority="161"/>
  </conditionalFormatting>
  <conditionalFormatting sqref="B372">
    <cfRule type="duplicateValues" dxfId="234" priority="162"/>
  </conditionalFormatting>
  <conditionalFormatting sqref="B373">
    <cfRule type="duplicateValues" dxfId="233" priority="163"/>
  </conditionalFormatting>
  <conditionalFormatting sqref="B412">
    <cfRule type="duplicateValues" dxfId="232" priority="164"/>
  </conditionalFormatting>
  <conditionalFormatting sqref="B413">
    <cfRule type="duplicateValues" dxfId="231" priority="165"/>
  </conditionalFormatting>
  <conditionalFormatting sqref="B414">
    <cfRule type="duplicateValues" dxfId="230" priority="166"/>
  </conditionalFormatting>
  <conditionalFormatting sqref="B415">
    <cfRule type="duplicateValues" dxfId="229" priority="167"/>
  </conditionalFormatting>
  <conditionalFormatting sqref="B416">
    <cfRule type="duplicateValues" dxfId="228" priority="168"/>
  </conditionalFormatting>
  <conditionalFormatting sqref="B455">
    <cfRule type="duplicateValues" dxfId="227" priority="169"/>
  </conditionalFormatting>
  <conditionalFormatting sqref="B456">
    <cfRule type="duplicateValues" dxfId="226" priority="170"/>
  </conditionalFormatting>
  <conditionalFormatting sqref="B457">
    <cfRule type="duplicateValues" dxfId="225" priority="171"/>
  </conditionalFormatting>
  <conditionalFormatting sqref="B458">
    <cfRule type="duplicateValues" dxfId="224" priority="172"/>
  </conditionalFormatting>
  <conditionalFormatting sqref="B459">
    <cfRule type="duplicateValues" dxfId="223" priority="173"/>
  </conditionalFormatting>
  <conditionalFormatting sqref="B498">
    <cfRule type="duplicateValues" dxfId="222" priority="174"/>
  </conditionalFormatting>
  <conditionalFormatting sqref="B499">
    <cfRule type="duplicateValues" dxfId="221" priority="175"/>
  </conditionalFormatting>
  <conditionalFormatting sqref="B500">
    <cfRule type="duplicateValues" dxfId="220" priority="176"/>
  </conditionalFormatting>
  <conditionalFormatting sqref="B501">
    <cfRule type="duplicateValues" dxfId="219" priority="177"/>
  </conditionalFormatting>
  <conditionalFormatting sqref="B502">
    <cfRule type="duplicateValues" dxfId="218" priority="178"/>
  </conditionalFormatting>
  <conditionalFormatting sqref="B541">
    <cfRule type="duplicateValues" dxfId="217" priority="179"/>
  </conditionalFormatting>
  <conditionalFormatting sqref="B542">
    <cfRule type="duplicateValues" dxfId="216" priority="180"/>
  </conditionalFormatting>
  <conditionalFormatting sqref="B543">
    <cfRule type="duplicateValues" dxfId="215" priority="181"/>
  </conditionalFormatting>
  <conditionalFormatting sqref="B544">
    <cfRule type="duplicateValues" dxfId="214" priority="182"/>
  </conditionalFormatting>
  <conditionalFormatting sqref="B545">
    <cfRule type="duplicateValues" dxfId="213" priority="183"/>
  </conditionalFormatting>
  <conditionalFormatting sqref="B584">
    <cfRule type="duplicateValues" dxfId="212" priority="184"/>
  </conditionalFormatting>
  <conditionalFormatting sqref="B585">
    <cfRule type="duplicateValues" dxfId="211" priority="185"/>
  </conditionalFormatting>
  <conditionalFormatting sqref="B586">
    <cfRule type="duplicateValues" dxfId="210" priority="186"/>
  </conditionalFormatting>
  <conditionalFormatting sqref="B587">
    <cfRule type="duplicateValues" dxfId="209" priority="187"/>
  </conditionalFormatting>
  <conditionalFormatting sqref="B588">
    <cfRule type="duplicateValues" dxfId="208" priority="188"/>
  </conditionalFormatting>
  <conditionalFormatting sqref="B627">
    <cfRule type="duplicateValues" dxfId="207" priority="189"/>
  </conditionalFormatting>
  <conditionalFormatting sqref="B628">
    <cfRule type="duplicateValues" dxfId="206" priority="190"/>
  </conditionalFormatting>
  <conditionalFormatting sqref="B629">
    <cfRule type="duplicateValues" dxfId="205" priority="191"/>
  </conditionalFormatting>
  <conditionalFormatting sqref="B630">
    <cfRule type="duplicateValues" dxfId="204" priority="192"/>
  </conditionalFormatting>
  <conditionalFormatting sqref="B631">
    <cfRule type="duplicateValues" dxfId="203" priority="193"/>
  </conditionalFormatting>
  <conditionalFormatting sqref="B670">
    <cfRule type="duplicateValues" dxfId="202" priority="194"/>
  </conditionalFormatting>
  <conditionalFormatting sqref="B671">
    <cfRule type="duplicateValues" dxfId="201" priority="195"/>
  </conditionalFormatting>
  <conditionalFormatting sqref="B672">
    <cfRule type="duplicateValues" dxfId="200" priority="196"/>
  </conditionalFormatting>
  <conditionalFormatting sqref="B673">
    <cfRule type="duplicateValues" dxfId="199" priority="197"/>
  </conditionalFormatting>
  <conditionalFormatting sqref="B674">
    <cfRule type="duplicateValues" dxfId="198" priority="198"/>
  </conditionalFormatting>
  <conditionalFormatting sqref="B713">
    <cfRule type="duplicateValues" dxfId="197" priority="199"/>
  </conditionalFormatting>
  <conditionalFormatting sqref="B714">
    <cfRule type="duplicateValues" dxfId="196" priority="200"/>
  </conditionalFormatting>
  <conditionalFormatting sqref="B715">
    <cfRule type="duplicateValues" dxfId="195" priority="201"/>
  </conditionalFormatting>
  <conditionalFormatting sqref="B716">
    <cfRule type="duplicateValues" dxfId="194" priority="202"/>
  </conditionalFormatting>
  <conditionalFormatting sqref="B717">
    <cfRule type="duplicateValues" dxfId="193" priority="203"/>
  </conditionalFormatting>
  <conditionalFormatting sqref="B756">
    <cfRule type="duplicateValues" dxfId="192" priority="204"/>
  </conditionalFormatting>
  <conditionalFormatting sqref="B757">
    <cfRule type="duplicateValues" dxfId="191" priority="205"/>
  </conditionalFormatting>
  <conditionalFormatting sqref="B758">
    <cfRule type="duplicateValues" dxfId="190" priority="206"/>
  </conditionalFormatting>
  <conditionalFormatting sqref="B759">
    <cfRule type="duplicateValues" dxfId="189" priority="207"/>
  </conditionalFormatting>
  <conditionalFormatting sqref="B760">
    <cfRule type="duplicateValues" dxfId="188" priority="208"/>
  </conditionalFormatting>
  <conditionalFormatting sqref="B799">
    <cfRule type="duplicateValues" dxfId="187" priority="209"/>
  </conditionalFormatting>
  <conditionalFormatting sqref="B800">
    <cfRule type="duplicateValues" dxfId="186" priority="210"/>
  </conditionalFormatting>
  <conditionalFormatting sqref="B801">
    <cfRule type="duplicateValues" dxfId="185" priority="211"/>
  </conditionalFormatting>
  <conditionalFormatting sqref="B802">
    <cfRule type="duplicateValues" dxfId="184" priority="212"/>
  </conditionalFormatting>
  <conditionalFormatting sqref="B803">
    <cfRule type="duplicateValues" dxfId="183" priority="213"/>
  </conditionalFormatting>
  <conditionalFormatting sqref="B842">
    <cfRule type="duplicateValues" dxfId="182" priority="214"/>
  </conditionalFormatting>
  <conditionalFormatting sqref="B843">
    <cfRule type="duplicateValues" dxfId="181" priority="215"/>
  </conditionalFormatting>
  <conditionalFormatting sqref="B844">
    <cfRule type="duplicateValues" dxfId="180" priority="216"/>
  </conditionalFormatting>
  <conditionalFormatting sqref="B845">
    <cfRule type="duplicateValues" dxfId="179" priority="217"/>
  </conditionalFormatting>
  <conditionalFormatting sqref="B846">
    <cfRule type="duplicateValues" dxfId="178" priority="218"/>
  </conditionalFormatting>
  <conditionalFormatting sqref="B885">
    <cfRule type="duplicateValues" dxfId="177" priority="219"/>
  </conditionalFormatting>
  <conditionalFormatting sqref="B886">
    <cfRule type="duplicateValues" dxfId="176" priority="220"/>
  </conditionalFormatting>
  <conditionalFormatting sqref="B887">
    <cfRule type="duplicateValues" dxfId="175" priority="221"/>
  </conditionalFormatting>
  <conditionalFormatting sqref="B888">
    <cfRule type="duplicateValues" dxfId="174" priority="222"/>
  </conditionalFormatting>
  <conditionalFormatting sqref="B889">
    <cfRule type="duplicateValues" dxfId="173" priority="223"/>
  </conditionalFormatting>
  <conditionalFormatting sqref="B928">
    <cfRule type="duplicateValues" dxfId="172" priority="224"/>
  </conditionalFormatting>
  <conditionalFormatting sqref="B929">
    <cfRule type="duplicateValues" dxfId="171" priority="225"/>
  </conditionalFormatting>
  <conditionalFormatting sqref="B930">
    <cfRule type="duplicateValues" dxfId="170" priority="226"/>
  </conditionalFormatting>
  <conditionalFormatting sqref="B931">
    <cfRule type="duplicateValues" dxfId="169" priority="227"/>
  </conditionalFormatting>
  <conditionalFormatting sqref="B932">
    <cfRule type="duplicateValues" dxfId="168" priority="228"/>
  </conditionalFormatting>
  <conditionalFormatting sqref="B971">
    <cfRule type="duplicateValues" dxfId="167" priority="229"/>
  </conditionalFormatting>
  <conditionalFormatting sqref="B972">
    <cfRule type="duplicateValues" dxfId="166" priority="230"/>
  </conditionalFormatting>
  <conditionalFormatting sqref="B973">
    <cfRule type="duplicateValues" dxfId="165" priority="231"/>
  </conditionalFormatting>
  <conditionalFormatting sqref="B974">
    <cfRule type="duplicateValues" dxfId="164" priority="232"/>
  </conditionalFormatting>
  <conditionalFormatting sqref="B975">
    <cfRule type="duplicateValues" dxfId="163" priority="233"/>
  </conditionalFormatting>
  <conditionalFormatting sqref="B1014">
    <cfRule type="duplicateValues" dxfId="162" priority="234"/>
  </conditionalFormatting>
  <conditionalFormatting sqref="B1015">
    <cfRule type="duplicateValues" dxfId="161" priority="235"/>
  </conditionalFormatting>
  <conditionalFormatting sqref="B1016">
    <cfRule type="duplicateValues" dxfId="160" priority="236"/>
  </conditionalFormatting>
  <conditionalFormatting sqref="B1017">
    <cfRule type="duplicateValues" dxfId="159" priority="237"/>
  </conditionalFormatting>
  <conditionalFormatting sqref="B1018">
    <cfRule type="duplicateValues" dxfId="158" priority="238"/>
  </conditionalFormatting>
  <pageMargins left="0.25" right="0.25" top="0.75" bottom="0.75" header="0.3" footer="0.3"/>
  <pageSetup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9D331-7ADC-4723-BB92-0EFF44EA5C96}">
  <sheetPr>
    <tabColor rgb="FF92D050"/>
    <pageSetUpPr fitToPage="1"/>
  </sheetPr>
  <dimension ref="A1:O929"/>
  <sheetViews>
    <sheetView view="pageBreakPreview" topLeftCell="B319" zoomScale="85" zoomScaleNormal="60" zoomScaleSheetLayoutView="85" workbookViewId="0">
      <selection activeCell="I337" sqref="I337"/>
    </sheetView>
  </sheetViews>
  <sheetFormatPr defaultColWidth="9.140625" defaultRowHeight="15.75" x14ac:dyDescent="0.25"/>
  <cols>
    <col min="1" max="1" width="15.42578125" style="108" customWidth="1"/>
    <col min="2" max="2" width="100.5703125" style="54" customWidth="1"/>
    <col min="3" max="3" width="52" style="54" hidden="1" customWidth="1"/>
    <col min="4" max="4" width="12.85546875" style="54" hidden="1" customWidth="1"/>
    <col min="5" max="5" width="20.42578125" style="54" hidden="1" customWidth="1"/>
    <col min="6" max="6" width="21.140625" style="54" hidden="1" customWidth="1"/>
    <col min="7" max="9" width="13.7109375" style="109" customWidth="1"/>
    <col min="10" max="10" width="16.5703125" style="34" customWidth="1"/>
    <col min="11" max="11" width="24" style="110" customWidth="1"/>
    <col min="12" max="12" width="21.140625" style="110" customWidth="1"/>
    <col min="13" max="13" width="42.85546875" style="47" customWidth="1"/>
    <col min="14" max="14" width="28.85546875" style="47" customWidth="1"/>
    <col min="15" max="16384" width="9.140625" style="35"/>
  </cols>
  <sheetData>
    <row r="1" spans="1:14" s="2" customFormat="1" x14ac:dyDescent="0.25">
      <c r="A1" s="1"/>
      <c r="G1" s="3"/>
      <c r="H1" s="3"/>
      <c r="I1" s="3"/>
      <c r="J1" s="4"/>
      <c r="N1" s="5" t="s">
        <v>250</v>
      </c>
    </row>
    <row r="2" spans="1:14" s="2" customFormat="1" x14ac:dyDescent="0.25">
      <c r="A2" s="1"/>
      <c r="G2" s="3"/>
      <c r="H2" s="3"/>
      <c r="I2" s="3"/>
      <c r="J2" s="4"/>
      <c r="N2" s="5" t="s">
        <v>1</v>
      </c>
    </row>
    <row r="3" spans="1:14" s="2" customFormat="1" x14ac:dyDescent="0.25">
      <c r="A3" s="1"/>
      <c r="G3" s="3"/>
      <c r="H3" s="3"/>
      <c r="I3" s="3"/>
      <c r="J3" s="4"/>
      <c r="N3" s="5" t="s">
        <v>2</v>
      </c>
    </row>
    <row r="4" spans="1:14" s="2" customFormat="1" x14ac:dyDescent="0.25">
      <c r="A4" s="1"/>
      <c r="E4" s="6"/>
      <c r="F4" s="6"/>
      <c r="G4" s="7"/>
      <c r="H4" s="7"/>
      <c r="I4" s="7"/>
      <c r="J4" s="4"/>
    </row>
    <row r="5" spans="1:14" s="2" customFormat="1" x14ac:dyDescent="0.25">
      <c r="B5" s="8" t="s">
        <v>3</v>
      </c>
      <c r="C5" s="9" t="s">
        <v>4</v>
      </c>
      <c r="D5" s="9"/>
      <c r="G5" s="3"/>
      <c r="H5" s="3"/>
      <c r="I5" s="3"/>
      <c r="J5" s="4"/>
      <c r="L5" s="4" t="s">
        <v>5</v>
      </c>
      <c r="M5" s="9"/>
      <c r="N5" s="10"/>
    </row>
    <row r="6" spans="1:14" s="2" customFormat="1" x14ac:dyDescent="0.25">
      <c r="B6" s="11" t="s">
        <v>6</v>
      </c>
      <c r="C6" s="10" t="s">
        <v>7</v>
      </c>
      <c r="D6" s="10"/>
      <c r="G6" s="3"/>
      <c r="H6" s="3"/>
      <c r="I6" s="3"/>
      <c r="J6" s="4"/>
      <c r="L6" s="2" t="s">
        <v>8</v>
      </c>
      <c r="M6" s="10"/>
      <c r="N6" s="10"/>
    </row>
    <row r="7" spans="1:14" s="2" customFormat="1" x14ac:dyDescent="0.25">
      <c r="B7" s="11" t="s">
        <v>9</v>
      </c>
      <c r="C7" s="10"/>
      <c r="D7" s="10"/>
      <c r="G7" s="3"/>
      <c r="H7" s="3"/>
      <c r="I7" s="3"/>
      <c r="J7" s="4"/>
      <c r="M7" s="10"/>
      <c r="N7" s="10"/>
    </row>
    <row r="8" spans="1:14" s="2" customFormat="1" x14ac:dyDescent="0.25">
      <c r="B8" s="11"/>
      <c r="C8" s="10"/>
      <c r="D8" s="10"/>
      <c r="G8" s="3"/>
      <c r="H8" s="3"/>
      <c r="I8" s="3"/>
      <c r="J8" s="4"/>
      <c r="M8" s="10"/>
      <c r="N8" s="10"/>
    </row>
    <row r="9" spans="1:14" s="12" customFormat="1" ht="22.5" customHeight="1" x14ac:dyDescent="0.25">
      <c r="B9" s="13" t="s">
        <v>10</v>
      </c>
      <c r="C9" s="14" t="s">
        <v>11</v>
      </c>
      <c r="D9" s="14"/>
      <c r="G9" s="15"/>
      <c r="H9" s="15"/>
      <c r="I9" s="15"/>
      <c r="J9" s="16"/>
      <c r="K9" s="17"/>
      <c r="L9" s="12" t="s">
        <v>12</v>
      </c>
      <c r="M9" s="14"/>
      <c r="N9" s="14"/>
    </row>
    <row r="10" spans="1:14" s="25" customFormat="1" ht="15.75" customHeight="1" x14ac:dyDescent="0.25">
      <c r="A10" s="18"/>
      <c r="B10" s="19"/>
      <c r="C10" s="20"/>
      <c r="D10" s="20"/>
      <c r="E10" s="21"/>
      <c r="F10" s="21"/>
      <c r="G10" s="22"/>
      <c r="H10" s="22"/>
      <c r="I10" s="22"/>
      <c r="J10" s="23"/>
      <c r="K10" s="21"/>
      <c r="L10" s="20"/>
      <c r="M10" s="23"/>
      <c r="N10" s="24"/>
    </row>
    <row r="11" spans="1:14" s="33" customFormat="1" ht="15.75" customHeight="1" x14ac:dyDescent="0.25">
      <c r="A11" s="26"/>
      <c r="B11" s="27"/>
      <c r="C11" s="28"/>
      <c r="D11" s="28"/>
      <c r="E11" s="29"/>
      <c r="F11" s="29"/>
      <c r="G11" s="30"/>
      <c r="H11" s="30"/>
      <c r="I11" s="30"/>
      <c r="J11" s="31"/>
      <c r="K11" s="29"/>
      <c r="L11" s="26"/>
      <c r="M11" s="32"/>
      <c r="N11" s="32"/>
    </row>
    <row r="12" spans="1:14" s="33" customFormat="1" ht="18" customHeight="1" x14ac:dyDescent="0.25">
      <c r="A12" s="315" t="s">
        <v>251</v>
      </c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</row>
    <row r="13" spans="1:14" s="33" customFormat="1" ht="18" customHeight="1" x14ac:dyDescent="0.25">
      <c r="A13" s="315" t="s">
        <v>252</v>
      </c>
      <c r="B13" s="315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</row>
    <row r="14" spans="1:14" x14ac:dyDescent="0.25">
      <c r="J14" s="101"/>
      <c r="K14" s="54"/>
      <c r="L14" s="54"/>
      <c r="M14" s="54"/>
      <c r="N14" s="54"/>
    </row>
    <row r="15" spans="1:14" s="12" customFormat="1" ht="35.25" customHeight="1" x14ac:dyDescent="0.25">
      <c r="A15" s="37" t="s">
        <v>15</v>
      </c>
      <c r="B15" s="38" t="s">
        <v>16</v>
      </c>
      <c r="C15" s="38" t="s">
        <v>17</v>
      </c>
      <c r="D15" s="38" t="s">
        <v>18</v>
      </c>
      <c r="E15" s="38" t="s">
        <v>19</v>
      </c>
      <c r="F15" s="38" t="s">
        <v>20</v>
      </c>
      <c r="G15" s="39" t="s">
        <v>21</v>
      </c>
      <c r="H15" s="39" t="s">
        <v>253</v>
      </c>
      <c r="I15" s="39" t="s">
        <v>254</v>
      </c>
      <c r="J15" s="38" t="s">
        <v>22</v>
      </c>
      <c r="K15" s="40" t="s">
        <v>23</v>
      </c>
      <c r="L15" s="40" t="s">
        <v>24</v>
      </c>
      <c r="M15" s="40" t="s">
        <v>25</v>
      </c>
      <c r="N15" s="40" t="s">
        <v>26</v>
      </c>
    </row>
    <row r="16" spans="1:14" s="47" customFormat="1" ht="19.5" customHeight="1" x14ac:dyDescent="0.25">
      <c r="A16" s="41" t="s">
        <v>27</v>
      </c>
      <c r="B16" s="42" t="s">
        <v>28</v>
      </c>
      <c r="C16" s="43"/>
      <c r="D16" s="43"/>
      <c r="E16" s="43"/>
      <c r="F16" s="43"/>
      <c r="G16" s="44"/>
      <c r="H16" s="44"/>
      <c r="I16" s="44"/>
      <c r="J16" s="43"/>
      <c r="K16" s="45"/>
      <c r="L16" s="45"/>
      <c r="M16" s="43"/>
      <c r="N16" s="46"/>
    </row>
    <row r="17" spans="1:14" s="54" customFormat="1" ht="19.5" customHeight="1" x14ac:dyDescent="0.25">
      <c r="A17" s="48" t="s">
        <v>29</v>
      </c>
      <c r="B17" s="49" t="s">
        <v>30</v>
      </c>
      <c r="C17" s="50"/>
      <c r="D17" s="50"/>
      <c r="E17" s="50"/>
      <c r="F17" s="50"/>
      <c r="G17" s="51"/>
      <c r="H17" s="51"/>
      <c r="I17" s="51"/>
      <c r="J17" s="52"/>
      <c r="K17" s="52"/>
      <c r="L17" s="52"/>
      <c r="M17" s="53"/>
      <c r="N17" s="53"/>
    </row>
    <row r="18" spans="1:14" s="54" customFormat="1" x14ac:dyDescent="0.25">
      <c r="A18" s="55" t="s">
        <v>31</v>
      </c>
      <c r="B18" s="56" t="s">
        <v>32</v>
      </c>
      <c r="C18" s="57"/>
      <c r="D18" s="57"/>
      <c r="E18" s="57"/>
      <c r="F18" s="57"/>
      <c r="G18" s="58"/>
      <c r="H18" s="59"/>
      <c r="I18" s="59"/>
      <c r="J18" s="59"/>
      <c r="K18" s="59"/>
      <c r="L18" s="59"/>
      <c r="M18" s="85"/>
      <c r="N18" s="85"/>
    </row>
    <row r="19" spans="1:14" s="54" customFormat="1" ht="18" customHeight="1" x14ac:dyDescent="0.25">
      <c r="A19" s="60" t="s">
        <v>33</v>
      </c>
      <c r="B19" s="61" t="s">
        <v>32</v>
      </c>
      <c r="C19" s="62"/>
      <c r="D19" s="63"/>
      <c r="E19" s="62"/>
      <c r="F19" s="62"/>
      <c r="G19" s="64"/>
      <c r="H19" s="65"/>
      <c r="I19" s="65"/>
      <c r="J19" s="65"/>
      <c r="K19" s="65"/>
      <c r="L19" s="65"/>
      <c r="M19" s="86"/>
      <c r="N19" s="86"/>
    </row>
    <row r="20" spans="1:14" s="54" customFormat="1" ht="21.75" customHeight="1" x14ac:dyDescent="0.25">
      <c r="A20" s="66"/>
      <c r="B20" s="67" t="s">
        <v>34</v>
      </c>
      <c r="C20" s="68"/>
      <c r="D20" s="68"/>
      <c r="E20" s="68"/>
      <c r="F20" s="68"/>
      <c r="G20" s="69"/>
      <c r="H20" s="69"/>
      <c r="I20" s="69"/>
      <c r="J20" s="70"/>
      <c r="K20" s="70"/>
      <c r="L20" s="70">
        <f>SUM(L21:L21)</f>
        <v>5292000</v>
      </c>
      <c r="M20" s="72"/>
      <c r="N20" s="72"/>
    </row>
    <row r="21" spans="1:14" s="54" customFormat="1" ht="37.5" customHeight="1" x14ac:dyDescent="0.25">
      <c r="A21" s="66"/>
      <c r="B21" s="71" t="s">
        <v>35</v>
      </c>
      <c r="C21" s="72"/>
      <c r="D21" s="72" t="s">
        <v>36</v>
      </c>
      <c r="E21" s="72"/>
      <c r="F21" s="72"/>
      <c r="G21" s="73"/>
      <c r="H21" s="73"/>
      <c r="I21" s="73"/>
      <c r="J21" s="70">
        <v>1800</v>
      </c>
      <c r="K21" s="74">
        <v>2940</v>
      </c>
      <c r="L21" s="74">
        <f t="shared" ref="L21" si="0">K21*J21</f>
        <v>5292000</v>
      </c>
      <c r="M21" s="72" t="s">
        <v>37</v>
      </c>
      <c r="N21" s="72"/>
    </row>
    <row r="22" spans="1:14" s="54" customFormat="1" ht="21.75" customHeight="1" x14ac:dyDescent="0.25">
      <c r="A22" s="75"/>
      <c r="B22" s="76" t="s">
        <v>38</v>
      </c>
      <c r="C22" s="77"/>
      <c r="D22" s="77"/>
      <c r="E22" s="77"/>
      <c r="F22" s="77"/>
      <c r="G22" s="78"/>
      <c r="H22" s="78"/>
      <c r="I22" s="78"/>
      <c r="J22" s="79"/>
      <c r="K22" s="80"/>
      <c r="L22" s="80"/>
      <c r="M22" s="79"/>
      <c r="N22" s="77"/>
    </row>
    <row r="23" spans="1:14" s="54" customFormat="1" x14ac:dyDescent="0.25">
      <c r="A23" s="81"/>
      <c r="B23" s="82" t="s">
        <v>39</v>
      </c>
      <c r="C23" s="77"/>
      <c r="D23" s="77"/>
      <c r="E23" s="78"/>
      <c r="F23" s="77"/>
      <c r="G23" s="83"/>
      <c r="H23" s="83"/>
      <c r="I23" s="83"/>
      <c r="J23" s="84"/>
      <c r="K23" s="80"/>
      <c r="L23" s="80"/>
      <c r="M23" s="80"/>
      <c r="N23" s="77"/>
    </row>
    <row r="24" spans="1:14" s="54" customFormat="1" ht="43.5" customHeight="1" x14ac:dyDescent="0.25">
      <c r="A24" s="55" t="s">
        <v>40</v>
      </c>
      <c r="B24" s="56" t="s">
        <v>41</v>
      </c>
      <c r="C24" s="57"/>
      <c r="D24" s="57"/>
      <c r="E24" s="57"/>
      <c r="F24" s="57"/>
      <c r="G24" s="58"/>
      <c r="H24" s="58"/>
      <c r="I24" s="58"/>
      <c r="J24" s="59"/>
      <c r="K24" s="59"/>
      <c r="L24" s="59"/>
      <c r="M24" s="85"/>
      <c r="N24" s="85"/>
    </row>
    <row r="25" spans="1:14" s="54" customFormat="1" x14ac:dyDescent="0.25">
      <c r="A25" s="60" t="s">
        <v>42</v>
      </c>
      <c r="B25" s="61" t="s">
        <v>43</v>
      </c>
      <c r="C25" s="62"/>
      <c r="D25" s="63"/>
      <c r="E25" s="62"/>
      <c r="F25" s="62"/>
      <c r="G25" s="64"/>
      <c r="H25" s="64"/>
      <c r="I25" s="64"/>
      <c r="J25" s="65"/>
      <c r="K25" s="65"/>
      <c r="L25" s="65">
        <f>L26+L38</f>
        <v>4289742.2218610002</v>
      </c>
      <c r="M25" s="86"/>
      <c r="N25" s="86"/>
    </row>
    <row r="26" spans="1:14" s="54" customFormat="1" x14ac:dyDescent="0.25">
      <c r="A26" s="66"/>
      <c r="B26" s="67" t="s">
        <v>34</v>
      </c>
      <c r="C26" s="68"/>
      <c r="D26" s="68"/>
      <c r="E26" s="68"/>
      <c r="F26" s="68"/>
      <c r="G26" s="69"/>
      <c r="H26" s="69"/>
      <c r="I26" s="69"/>
      <c r="J26" s="70"/>
      <c r="K26" s="70"/>
      <c r="L26" s="70">
        <f>SUM(L27:L37)</f>
        <v>3000917.3600000003</v>
      </c>
      <c r="M26" s="72"/>
      <c r="N26" s="72"/>
    </row>
    <row r="27" spans="1:14" s="54" customFormat="1" ht="22.5" customHeight="1" x14ac:dyDescent="0.25">
      <c r="A27" s="66"/>
      <c r="B27" s="71" t="s">
        <v>44</v>
      </c>
      <c r="C27" s="72"/>
      <c r="D27" s="72" t="s">
        <v>45</v>
      </c>
      <c r="E27" s="72"/>
      <c r="F27" s="72"/>
      <c r="G27" s="73">
        <v>41.03</v>
      </c>
      <c r="H27" s="73">
        <v>35.24</v>
      </c>
      <c r="I27" s="73">
        <v>47.31</v>
      </c>
      <c r="J27" s="70">
        <f>SUM(G27:I27)</f>
        <v>123.58000000000001</v>
      </c>
      <c r="K27" s="74">
        <v>4939</v>
      </c>
      <c r="L27" s="74">
        <f>K27*J27</f>
        <v>610361.62000000011</v>
      </c>
      <c r="M27" s="72"/>
      <c r="N27" s="72"/>
    </row>
    <row r="28" spans="1:14" s="54" customFormat="1" ht="22.5" customHeight="1" x14ac:dyDescent="0.25">
      <c r="A28" s="66"/>
      <c r="B28" s="71" t="s">
        <v>102</v>
      </c>
      <c r="C28" s="72"/>
      <c r="D28" s="72" t="s">
        <v>45</v>
      </c>
      <c r="E28" s="72"/>
      <c r="F28" s="72"/>
      <c r="G28" s="73">
        <v>0.2</v>
      </c>
      <c r="H28" s="73">
        <v>0.11</v>
      </c>
      <c r="I28" s="73">
        <v>3.39</v>
      </c>
      <c r="J28" s="70">
        <f t="shared" ref="J28:J36" si="1">SUM(G28:I28)</f>
        <v>3.7</v>
      </c>
      <c r="K28" s="74">
        <v>5845</v>
      </c>
      <c r="L28" s="74">
        <f t="shared" ref="L28" si="2">K28*J28</f>
        <v>21626.5</v>
      </c>
      <c r="M28" s="72"/>
      <c r="N28" s="72"/>
    </row>
    <row r="29" spans="1:14" s="54" customFormat="1" ht="22.5" customHeight="1" x14ac:dyDescent="0.25">
      <c r="A29" s="66"/>
      <c r="B29" s="71" t="s">
        <v>46</v>
      </c>
      <c r="C29" s="72"/>
      <c r="D29" s="72" t="s">
        <v>47</v>
      </c>
      <c r="E29" s="72"/>
      <c r="F29" s="72"/>
      <c r="G29" s="73">
        <v>285.83999999999997</v>
      </c>
      <c r="H29" s="73">
        <v>186.47</v>
      </c>
      <c r="I29" s="73">
        <v>168.32</v>
      </c>
      <c r="J29" s="70">
        <f t="shared" si="1"/>
        <v>640.62999999999988</v>
      </c>
      <c r="K29" s="74">
        <v>1461</v>
      </c>
      <c r="L29" s="74">
        <f>K29*J29</f>
        <v>935960.42999999982</v>
      </c>
      <c r="M29" s="72"/>
      <c r="N29" s="72"/>
    </row>
    <row r="30" spans="1:14" s="54" customFormat="1" ht="22.5" customHeight="1" x14ac:dyDescent="0.25">
      <c r="A30" s="66"/>
      <c r="B30" s="71" t="s">
        <v>48</v>
      </c>
      <c r="C30" s="72"/>
      <c r="D30" s="72" t="s">
        <v>47</v>
      </c>
      <c r="E30" s="72"/>
      <c r="F30" s="72"/>
      <c r="G30" s="73"/>
      <c r="H30" s="73">
        <v>27.37</v>
      </c>
      <c r="I30" s="73">
        <v>69.47</v>
      </c>
      <c r="J30" s="70">
        <f t="shared" si="1"/>
        <v>96.84</v>
      </c>
      <c r="K30" s="74">
        <v>1461</v>
      </c>
      <c r="L30" s="74">
        <f>K30*J30</f>
        <v>141483.24</v>
      </c>
      <c r="M30" s="72"/>
      <c r="N30" s="72"/>
    </row>
    <row r="31" spans="1:14" s="54" customFormat="1" ht="22.5" customHeight="1" x14ac:dyDescent="0.25">
      <c r="A31" s="66"/>
      <c r="B31" s="71" t="s">
        <v>49</v>
      </c>
      <c r="C31" s="72"/>
      <c r="D31" s="72" t="s">
        <v>47</v>
      </c>
      <c r="E31" s="72"/>
      <c r="F31" s="72"/>
      <c r="G31" s="73">
        <v>192.47</v>
      </c>
      <c r="H31" s="73">
        <v>186.27</v>
      </c>
      <c r="I31" s="73">
        <v>298.18</v>
      </c>
      <c r="J31" s="70">
        <f t="shared" si="1"/>
        <v>676.92000000000007</v>
      </c>
      <c r="K31" s="74">
        <v>1610</v>
      </c>
      <c r="L31" s="74">
        <f t="shared" ref="L31:L35" si="3">K31*J31</f>
        <v>1089841.2000000002</v>
      </c>
      <c r="M31" s="72"/>
      <c r="N31" s="72"/>
    </row>
    <row r="32" spans="1:14" s="54" customFormat="1" ht="22.5" customHeight="1" x14ac:dyDescent="0.25">
      <c r="A32" s="66"/>
      <c r="B32" s="71" t="s">
        <v>50</v>
      </c>
      <c r="C32" s="72"/>
      <c r="D32" s="72" t="s">
        <v>51</v>
      </c>
      <c r="E32" s="72"/>
      <c r="F32" s="72"/>
      <c r="G32" s="73">
        <v>57</v>
      </c>
      <c r="H32" s="73">
        <v>42</v>
      </c>
      <c r="I32" s="73">
        <v>68</v>
      </c>
      <c r="J32" s="70">
        <f t="shared" si="1"/>
        <v>167</v>
      </c>
      <c r="K32" s="74">
        <v>803</v>
      </c>
      <c r="L32" s="74">
        <f t="shared" si="3"/>
        <v>134101</v>
      </c>
      <c r="M32" s="72"/>
      <c r="N32" s="72"/>
    </row>
    <row r="33" spans="1:14" s="54" customFormat="1" ht="22.5" customHeight="1" x14ac:dyDescent="0.25">
      <c r="A33" s="66"/>
      <c r="B33" s="71" t="s">
        <v>52</v>
      </c>
      <c r="C33" s="72" t="s">
        <v>255</v>
      </c>
      <c r="D33" s="72" t="s">
        <v>54</v>
      </c>
      <c r="E33" s="72"/>
      <c r="F33" s="72"/>
      <c r="G33" s="73">
        <v>22.48</v>
      </c>
      <c r="H33" s="73">
        <f>7.55+49.37</f>
        <v>56.919999999999995</v>
      </c>
      <c r="I33" s="73">
        <f>8.46+41.16</f>
        <v>49.62</v>
      </c>
      <c r="J33" s="70">
        <f t="shared" si="1"/>
        <v>129.01999999999998</v>
      </c>
      <c r="K33" s="74">
        <v>94.5</v>
      </c>
      <c r="L33" s="74">
        <f t="shared" si="3"/>
        <v>12192.389999999998</v>
      </c>
      <c r="M33" s="72"/>
      <c r="N33" s="72"/>
    </row>
    <row r="34" spans="1:14" s="54" customFormat="1" ht="34.5" customHeight="1" x14ac:dyDescent="0.25">
      <c r="A34" s="66"/>
      <c r="B34" s="71" t="s">
        <v>55</v>
      </c>
      <c r="C34" s="72"/>
      <c r="D34" s="72" t="s">
        <v>54</v>
      </c>
      <c r="E34" s="72"/>
      <c r="F34" s="72"/>
      <c r="G34" s="73">
        <v>13.27</v>
      </c>
      <c r="H34" s="73">
        <v>14.35</v>
      </c>
      <c r="I34" s="73">
        <v>17.690000000000001</v>
      </c>
      <c r="J34" s="70">
        <f t="shared" si="1"/>
        <v>45.31</v>
      </c>
      <c r="K34" s="74">
        <v>118</v>
      </c>
      <c r="L34" s="74">
        <f t="shared" si="3"/>
        <v>5346.58</v>
      </c>
      <c r="M34" s="72"/>
      <c r="N34" s="72"/>
    </row>
    <row r="35" spans="1:14" s="54" customFormat="1" ht="22.5" customHeight="1" x14ac:dyDescent="0.25">
      <c r="A35" s="66"/>
      <c r="B35" s="71" t="s">
        <v>256</v>
      </c>
      <c r="C35" s="72" t="s">
        <v>257</v>
      </c>
      <c r="D35" s="72" t="s">
        <v>47</v>
      </c>
      <c r="E35" s="72"/>
      <c r="F35" s="72"/>
      <c r="G35" s="73">
        <v>51</v>
      </c>
      <c r="H35" s="73">
        <v>54.33</v>
      </c>
      <c r="I35" s="73">
        <v>62.47</v>
      </c>
      <c r="J35" s="70">
        <f t="shared" si="1"/>
        <v>167.8</v>
      </c>
      <c r="K35" s="74">
        <v>298</v>
      </c>
      <c r="L35" s="74">
        <f t="shared" si="3"/>
        <v>50004.4</v>
      </c>
      <c r="M35" s="72"/>
      <c r="N35" s="72"/>
    </row>
    <row r="36" spans="1:14" s="54" customFormat="1" ht="21.75" customHeight="1" x14ac:dyDescent="0.25">
      <c r="A36" s="66"/>
      <c r="B36" s="87" t="s">
        <v>258</v>
      </c>
      <c r="C36" s="72"/>
      <c r="D36" s="72" t="s">
        <v>47</v>
      </c>
      <c r="E36" s="72"/>
      <c r="F36" s="72"/>
      <c r="G36" s="73">
        <v>11</v>
      </c>
      <c r="H36" s="73"/>
      <c r="I36" s="73">
        <v>17</v>
      </c>
      <c r="J36" s="70">
        <f t="shared" si="1"/>
        <v>28</v>
      </c>
      <c r="K36" s="74"/>
      <c r="L36" s="74"/>
      <c r="M36" s="88" t="s">
        <v>259</v>
      </c>
      <c r="N36" s="72"/>
    </row>
    <row r="37" spans="1:14" s="54" customFormat="1" ht="21.75" customHeight="1" x14ac:dyDescent="0.25">
      <c r="A37" s="66"/>
      <c r="B37" s="87" t="s">
        <v>56</v>
      </c>
      <c r="C37" s="88"/>
      <c r="D37" s="88" t="s">
        <v>45</v>
      </c>
      <c r="E37" s="88"/>
      <c r="F37" s="88"/>
      <c r="G37" s="73">
        <f>193.52*0.06*0.03</f>
        <v>0.34833599999999998</v>
      </c>
      <c r="H37" s="73">
        <f>165.14*0.06*0.03</f>
        <v>0.29725199999999996</v>
      </c>
      <c r="I37" s="73">
        <f>271.69*0.06*0.03</f>
        <v>0.48904200000000003</v>
      </c>
      <c r="J37" s="70">
        <f>SUM(G37:I37)</f>
        <v>1.13463</v>
      </c>
      <c r="K37" s="74"/>
      <c r="L37" s="74"/>
      <c r="M37" s="88" t="s">
        <v>57</v>
      </c>
      <c r="N37" s="72"/>
    </row>
    <row r="38" spans="1:14" s="54" customFormat="1" x14ac:dyDescent="0.25">
      <c r="A38" s="75"/>
      <c r="B38" s="76" t="s">
        <v>38</v>
      </c>
      <c r="C38" s="77"/>
      <c r="D38" s="77"/>
      <c r="E38" s="77"/>
      <c r="F38" s="77"/>
      <c r="G38" s="78"/>
      <c r="H38" s="78"/>
      <c r="I38" s="78"/>
      <c r="J38" s="79"/>
      <c r="K38" s="80"/>
      <c r="L38" s="79">
        <f>SUM(L39:L74)</f>
        <v>1288824.8618609998</v>
      </c>
      <c r="M38" s="77"/>
      <c r="N38" s="77"/>
    </row>
    <row r="39" spans="1:14" s="54" customFormat="1" ht="31.5" x14ac:dyDescent="0.25">
      <c r="A39" s="81"/>
      <c r="B39" s="82" t="s">
        <v>58</v>
      </c>
      <c r="C39" s="77" t="s">
        <v>59</v>
      </c>
      <c r="D39" s="77" t="s">
        <v>60</v>
      </c>
      <c r="E39" s="78">
        <v>12.4</v>
      </c>
      <c r="F39" s="77">
        <v>0.25</v>
      </c>
      <c r="G39" s="83">
        <f>G27/0.25*E39</f>
        <v>2035.0880000000002</v>
      </c>
      <c r="H39" s="83">
        <f>H27/0.25*E39</f>
        <v>1747.9040000000002</v>
      </c>
      <c r="I39" s="83">
        <f>I27/0.25*E39</f>
        <v>2346.576</v>
      </c>
      <c r="J39" s="84">
        <f>SUM(G39:I39)</f>
        <v>6129.5680000000002</v>
      </c>
      <c r="K39" s="80">
        <v>0</v>
      </c>
      <c r="L39" s="80">
        <f>J39*K39</f>
        <v>0</v>
      </c>
      <c r="M39" s="77" t="s">
        <v>61</v>
      </c>
      <c r="N39" s="77" t="s">
        <v>320</v>
      </c>
    </row>
    <row r="40" spans="1:14" s="54" customFormat="1" ht="31.5" x14ac:dyDescent="0.25">
      <c r="A40" s="81"/>
      <c r="B40" s="82" t="s">
        <v>62</v>
      </c>
      <c r="C40" s="77" t="s">
        <v>63</v>
      </c>
      <c r="D40" s="77" t="s">
        <v>60</v>
      </c>
      <c r="E40" s="78">
        <v>12.4</v>
      </c>
      <c r="F40" s="77"/>
      <c r="G40" s="83">
        <f>G29*E40</f>
        <v>3544.4159999999997</v>
      </c>
      <c r="H40" s="83">
        <f>H29*E40</f>
        <v>2312.2280000000001</v>
      </c>
      <c r="I40" s="83">
        <f>I29*E40</f>
        <v>2087.1680000000001</v>
      </c>
      <c r="J40" s="84">
        <f t="shared" ref="J40:J43" si="4">SUM(G40:I40)</f>
        <v>7943.8119999999999</v>
      </c>
      <c r="K40" s="80">
        <v>0</v>
      </c>
      <c r="L40" s="80">
        <f>J40*K40</f>
        <v>0</v>
      </c>
      <c r="M40" s="77" t="s">
        <v>61</v>
      </c>
      <c r="N40" s="77" t="s">
        <v>320</v>
      </c>
    </row>
    <row r="41" spans="1:14" s="54" customFormat="1" ht="31.5" x14ac:dyDescent="0.25">
      <c r="A41" s="81"/>
      <c r="B41" s="82" t="s">
        <v>64</v>
      </c>
      <c r="C41" s="77" t="s">
        <v>65</v>
      </c>
      <c r="D41" s="77" t="s">
        <v>60</v>
      </c>
      <c r="E41" s="78">
        <v>12.4</v>
      </c>
      <c r="F41" s="77"/>
      <c r="G41" s="83">
        <f>G30*E41</f>
        <v>0</v>
      </c>
      <c r="H41" s="83">
        <f>H30*E41</f>
        <v>339.38800000000003</v>
      </c>
      <c r="I41" s="83">
        <f>I30*E41</f>
        <v>861.428</v>
      </c>
      <c r="J41" s="84">
        <f t="shared" si="4"/>
        <v>1200.816</v>
      </c>
      <c r="K41" s="80">
        <v>0</v>
      </c>
      <c r="L41" s="80">
        <f>J41*K41</f>
        <v>0</v>
      </c>
      <c r="M41" s="77" t="s">
        <v>61</v>
      </c>
      <c r="N41" s="77" t="s">
        <v>320</v>
      </c>
    </row>
    <row r="42" spans="1:14" s="54" customFormat="1" ht="31.5" x14ac:dyDescent="0.25">
      <c r="A42" s="81"/>
      <c r="B42" s="89" t="s">
        <v>66</v>
      </c>
      <c r="C42" s="77" t="s">
        <v>67</v>
      </c>
      <c r="D42" s="77" t="s">
        <v>60</v>
      </c>
      <c r="E42" s="90">
        <v>42</v>
      </c>
      <c r="F42" s="90"/>
      <c r="G42" s="83">
        <f>G31*E42</f>
        <v>8083.74</v>
      </c>
      <c r="H42" s="83">
        <f>H31*E42</f>
        <v>7823.34</v>
      </c>
      <c r="I42" s="83">
        <f>I31*E42</f>
        <v>12523.56</v>
      </c>
      <c r="J42" s="84">
        <f t="shared" si="4"/>
        <v>28430.639999999999</v>
      </c>
      <c r="K42" s="80">
        <v>0</v>
      </c>
      <c r="L42" s="80">
        <f t="shared" ref="L42:L73" si="5">J42*K42</f>
        <v>0</v>
      </c>
      <c r="M42" s="77" t="s">
        <v>68</v>
      </c>
      <c r="N42" s="77" t="s">
        <v>320</v>
      </c>
    </row>
    <row r="43" spans="1:14" s="54" customFormat="1" ht="31.5" x14ac:dyDescent="0.25">
      <c r="A43" s="81"/>
      <c r="B43" s="89" t="s">
        <v>110</v>
      </c>
      <c r="C43" s="77" t="s">
        <v>111</v>
      </c>
      <c r="D43" s="77" t="s">
        <v>60</v>
      </c>
      <c r="E43" s="90">
        <v>42</v>
      </c>
      <c r="F43" s="90"/>
      <c r="G43" s="83">
        <f>G28/0.25*E43</f>
        <v>33.6</v>
      </c>
      <c r="H43" s="83">
        <f>H28/0.25*E43</f>
        <v>18.48</v>
      </c>
      <c r="I43" s="83">
        <f>I28/0.25*E43</f>
        <v>569.52</v>
      </c>
      <c r="J43" s="84">
        <f t="shared" si="4"/>
        <v>621.6</v>
      </c>
      <c r="K43" s="80">
        <v>0</v>
      </c>
      <c r="L43" s="80">
        <f t="shared" si="5"/>
        <v>0</v>
      </c>
      <c r="M43" s="77" t="s">
        <v>68</v>
      </c>
      <c r="N43" s="77" t="s">
        <v>320</v>
      </c>
    </row>
    <row r="44" spans="1:14" s="54" customFormat="1" ht="31.5" customHeight="1" x14ac:dyDescent="0.25">
      <c r="A44" s="81"/>
      <c r="B44" s="91" t="s">
        <v>69</v>
      </c>
      <c r="C44" s="77" t="s">
        <v>70</v>
      </c>
      <c r="D44" s="77" t="s">
        <v>45</v>
      </c>
      <c r="E44" s="77">
        <v>0.19500000000000001</v>
      </c>
      <c r="F44" s="90"/>
      <c r="G44" s="78">
        <f>G27*E44+G29*E44*0.19+G30*E44*0.19</f>
        <v>18.591222000000002</v>
      </c>
      <c r="H44" s="78">
        <f>H27*E44+H29*E44*0.19+H30*E44*0.19</f>
        <v>14.794572000000002</v>
      </c>
      <c r="I44" s="78">
        <f>I27*E44+I29*E44*0.19+I30*E44*0.19</f>
        <v>18.035569500000001</v>
      </c>
      <c r="J44" s="79">
        <f>SUM(G44:I44)</f>
        <v>51.421363500000005</v>
      </c>
      <c r="K44" s="80">
        <v>7875</v>
      </c>
      <c r="L44" s="80">
        <f t="shared" si="5"/>
        <v>404943.23756250006</v>
      </c>
      <c r="M44" s="77" t="s">
        <v>71</v>
      </c>
      <c r="N44" s="77" t="s">
        <v>321</v>
      </c>
    </row>
    <row r="45" spans="1:14" s="54" customFormat="1" ht="31.5" customHeight="1" x14ac:dyDescent="0.25">
      <c r="A45" s="92"/>
      <c r="B45" s="91" t="s">
        <v>112</v>
      </c>
      <c r="C45" s="77" t="s">
        <v>70</v>
      </c>
      <c r="D45" s="77" t="s">
        <v>45</v>
      </c>
      <c r="E45" s="77">
        <v>0.24</v>
      </c>
      <c r="F45" s="77"/>
      <c r="G45" s="78">
        <f>G28*E45</f>
        <v>4.8000000000000001E-2</v>
      </c>
      <c r="H45" s="78">
        <f>H28*E45</f>
        <v>2.64E-2</v>
      </c>
      <c r="I45" s="78">
        <f>I28*E45</f>
        <v>0.81359999999999999</v>
      </c>
      <c r="J45" s="79">
        <f t="shared" ref="J45:J69" si="6">SUM(G45:I45)</f>
        <v>0.88800000000000001</v>
      </c>
      <c r="K45" s="80">
        <v>7875</v>
      </c>
      <c r="L45" s="80">
        <f t="shared" si="5"/>
        <v>6993</v>
      </c>
      <c r="M45" s="77" t="s">
        <v>71</v>
      </c>
      <c r="N45" s="77" t="s">
        <v>321</v>
      </c>
    </row>
    <row r="46" spans="1:14" s="54" customFormat="1" ht="31.5" customHeight="1" x14ac:dyDescent="0.25">
      <c r="A46" s="92"/>
      <c r="B46" s="91" t="s">
        <v>72</v>
      </c>
      <c r="C46" s="77" t="s">
        <v>70</v>
      </c>
      <c r="D46" s="77" t="s">
        <v>45</v>
      </c>
      <c r="E46" s="77">
        <v>4.5999999999999999E-2</v>
      </c>
      <c r="F46" s="77"/>
      <c r="G46" s="78">
        <f>G31*E46</f>
        <v>8.8536199999999994</v>
      </c>
      <c r="H46" s="78">
        <f>H31*E46</f>
        <v>8.5684199999999997</v>
      </c>
      <c r="I46" s="78">
        <f>I31*E46</f>
        <v>13.716279999999999</v>
      </c>
      <c r="J46" s="79">
        <f t="shared" si="6"/>
        <v>31.13832</v>
      </c>
      <c r="K46" s="80">
        <v>7875</v>
      </c>
      <c r="L46" s="80">
        <f t="shared" si="5"/>
        <v>245214.27</v>
      </c>
      <c r="M46" s="77" t="s">
        <v>73</v>
      </c>
      <c r="N46" s="77" t="s">
        <v>321</v>
      </c>
    </row>
    <row r="47" spans="1:14" s="54" customFormat="1" ht="31.5" customHeight="1" x14ac:dyDescent="0.25">
      <c r="A47" s="92"/>
      <c r="B47" s="91" t="s">
        <v>74</v>
      </c>
      <c r="C47" s="77" t="s">
        <v>70</v>
      </c>
      <c r="D47" s="77" t="s">
        <v>45</v>
      </c>
      <c r="E47" s="77">
        <v>1.01</v>
      </c>
      <c r="F47" s="77"/>
      <c r="G47" s="78">
        <f>G37*E47</f>
        <v>0.35181935999999997</v>
      </c>
      <c r="H47" s="78">
        <f>H37*E47</f>
        <v>0.30022451999999994</v>
      </c>
      <c r="I47" s="78">
        <f>I37*E47</f>
        <v>0.49393242000000004</v>
      </c>
      <c r="J47" s="79">
        <f t="shared" si="6"/>
        <v>1.1459763000000001</v>
      </c>
      <c r="K47" s="80">
        <v>7875</v>
      </c>
      <c r="L47" s="80">
        <f t="shared" si="5"/>
        <v>9024.5633625000009</v>
      </c>
      <c r="M47" s="77" t="s">
        <v>71</v>
      </c>
      <c r="N47" s="77" t="s">
        <v>321</v>
      </c>
    </row>
    <row r="48" spans="1:14" s="54" customFormat="1" ht="31.5" customHeight="1" x14ac:dyDescent="0.25">
      <c r="A48" s="81"/>
      <c r="B48" s="89" t="s">
        <v>75</v>
      </c>
      <c r="C48" s="77" t="s">
        <v>70</v>
      </c>
      <c r="D48" s="77" t="s">
        <v>45</v>
      </c>
      <c r="E48" s="77">
        <v>6.0000000000000001E-3</v>
      </c>
      <c r="F48" s="77"/>
      <c r="G48" s="93">
        <f>G33*E48</f>
        <v>0.13488</v>
      </c>
      <c r="H48" s="93">
        <f>H33*E48</f>
        <v>0.34151999999999999</v>
      </c>
      <c r="I48" s="93">
        <f>I33*E48</f>
        <v>0.29771999999999998</v>
      </c>
      <c r="J48" s="79">
        <f t="shared" si="6"/>
        <v>0.77411999999999992</v>
      </c>
      <c r="K48" s="80">
        <v>7875</v>
      </c>
      <c r="L48" s="80">
        <f t="shared" si="5"/>
        <v>6096.1949999999997</v>
      </c>
      <c r="M48" s="77" t="s">
        <v>76</v>
      </c>
      <c r="N48" s="77" t="s">
        <v>321</v>
      </c>
    </row>
    <row r="49" spans="1:14" s="54" customFormat="1" ht="31.5" customHeight="1" x14ac:dyDescent="0.25">
      <c r="A49" s="81"/>
      <c r="B49" s="89" t="s">
        <v>77</v>
      </c>
      <c r="C49" s="77" t="s">
        <v>70</v>
      </c>
      <c r="D49" s="77" t="s">
        <v>45</v>
      </c>
      <c r="E49" s="77">
        <v>1.01</v>
      </c>
      <c r="F49" s="77"/>
      <c r="G49" s="93">
        <v>2.1000000000000001E-2</v>
      </c>
      <c r="H49" s="93">
        <v>2.4E-2</v>
      </c>
      <c r="I49" s="93">
        <v>3.3000000000000002E-2</v>
      </c>
      <c r="J49" s="79">
        <f t="shared" si="6"/>
        <v>7.8E-2</v>
      </c>
      <c r="K49" s="80">
        <v>7875</v>
      </c>
      <c r="L49" s="80">
        <f t="shared" si="5"/>
        <v>614.25</v>
      </c>
      <c r="M49" s="94"/>
      <c r="N49" s="77" t="s">
        <v>321</v>
      </c>
    </row>
    <row r="50" spans="1:14" s="54" customFormat="1" ht="22.5" customHeight="1" x14ac:dyDescent="0.25">
      <c r="A50" s="81"/>
      <c r="B50" s="89" t="s">
        <v>78</v>
      </c>
      <c r="C50" s="77" t="s">
        <v>79</v>
      </c>
      <c r="D50" s="77" t="s">
        <v>47</v>
      </c>
      <c r="E50" s="77"/>
      <c r="F50" s="77"/>
      <c r="G50" s="78">
        <v>338.39</v>
      </c>
      <c r="H50" s="78">
        <v>279.08999999999997</v>
      </c>
      <c r="I50" s="78">
        <v>315.57</v>
      </c>
      <c r="J50" s="79">
        <f t="shared" si="6"/>
        <v>933.05</v>
      </c>
      <c r="K50" s="80">
        <v>88.34</v>
      </c>
      <c r="L50" s="80">
        <f t="shared" si="5"/>
        <v>82425.637000000002</v>
      </c>
      <c r="M50" s="94"/>
      <c r="N50" s="77" t="s">
        <v>321</v>
      </c>
    </row>
    <row r="51" spans="1:14" s="54" customFormat="1" ht="22.5" customHeight="1" x14ac:dyDescent="0.25">
      <c r="A51" s="81"/>
      <c r="B51" s="89" t="s">
        <v>80</v>
      </c>
      <c r="C51" s="77" t="s">
        <v>260</v>
      </c>
      <c r="D51" s="77" t="s">
        <v>60</v>
      </c>
      <c r="E51" s="77"/>
      <c r="F51" s="77"/>
      <c r="G51" s="78"/>
      <c r="H51" s="78"/>
      <c r="I51" s="78">
        <v>4</v>
      </c>
      <c r="J51" s="79">
        <f t="shared" si="6"/>
        <v>4</v>
      </c>
      <c r="K51" s="80">
        <v>567</v>
      </c>
      <c r="L51" s="80">
        <f t="shared" si="5"/>
        <v>2268</v>
      </c>
      <c r="M51" s="94"/>
      <c r="N51" s="77" t="s">
        <v>321</v>
      </c>
    </row>
    <row r="52" spans="1:14" s="54" customFormat="1" ht="22.5" customHeight="1" x14ac:dyDescent="0.25">
      <c r="A52" s="81"/>
      <c r="B52" s="89" t="s">
        <v>82</v>
      </c>
      <c r="C52" s="77" t="s">
        <v>261</v>
      </c>
      <c r="D52" s="77" t="s">
        <v>60</v>
      </c>
      <c r="E52" s="77"/>
      <c r="F52" s="77"/>
      <c r="G52" s="78"/>
      <c r="H52" s="78"/>
      <c r="I52" s="78">
        <v>10</v>
      </c>
      <c r="J52" s="79">
        <f t="shared" si="6"/>
        <v>10</v>
      </c>
      <c r="K52" s="80">
        <v>656.25</v>
      </c>
      <c r="L52" s="80">
        <f t="shared" si="5"/>
        <v>6562.5</v>
      </c>
      <c r="M52" s="94"/>
      <c r="N52" s="77" t="s">
        <v>321</v>
      </c>
    </row>
    <row r="53" spans="1:14" s="54" customFormat="1" ht="22.5" customHeight="1" x14ac:dyDescent="0.25">
      <c r="A53" s="81"/>
      <c r="B53" s="89" t="s">
        <v>84</v>
      </c>
      <c r="C53" s="77" t="s">
        <v>262</v>
      </c>
      <c r="D53" s="77" t="s">
        <v>60</v>
      </c>
      <c r="E53" s="77"/>
      <c r="F53" s="77"/>
      <c r="G53" s="78">
        <v>10</v>
      </c>
      <c r="H53" s="78">
        <v>4</v>
      </c>
      <c r="I53" s="78">
        <v>9</v>
      </c>
      <c r="J53" s="79">
        <f t="shared" si="6"/>
        <v>23</v>
      </c>
      <c r="K53" s="80">
        <v>761.25</v>
      </c>
      <c r="L53" s="80">
        <f t="shared" si="5"/>
        <v>17508.75</v>
      </c>
      <c r="M53" s="94"/>
      <c r="N53" s="77" t="s">
        <v>321</v>
      </c>
    </row>
    <row r="54" spans="1:14" s="54" customFormat="1" ht="22.5" customHeight="1" x14ac:dyDescent="0.25">
      <c r="A54" s="81"/>
      <c r="B54" s="89" t="s">
        <v>86</v>
      </c>
      <c r="C54" s="77" t="s">
        <v>81</v>
      </c>
      <c r="D54" s="77" t="s">
        <v>60</v>
      </c>
      <c r="E54" s="77"/>
      <c r="F54" s="77"/>
      <c r="G54" s="78">
        <v>2</v>
      </c>
      <c r="H54" s="78">
        <v>6</v>
      </c>
      <c r="I54" s="78">
        <v>12</v>
      </c>
      <c r="J54" s="79">
        <f t="shared" si="6"/>
        <v>20</v>
      </c>
      <c r="K54" s="80">
        <v>845.25</v>
      </c>
      <c r="L54" s="80">
        <f t="shared" si="5"/>
        <v>16905</v>
      </c>
      <c r="M54" s="94"/>
      <c r="N54" s="77" t="s">
        <v>321</v>
      </c>
    </row>
    <row r="55" spans="1:14" s="54" customFormat="1" ht="22.5" customHeight="1" x14ac:dyDescent="0.25">
      <c r="A55" s="81"/>
      <c r="B55" s="89" t="s">
        <v>88</v>
      </c>
      <c r="C55" s="77" t="s">
        <v>83</v>
      </c>
      <c r="D55" s="77" t="s">
        <v>60</v>
      </c>
      <c r="E55" s="77"/>
      <c r="F55" s="77"/>
      <c r="G55" s="78">
        <v>1</v>
      </c>
      <c r="H55" s="78"/>
      <c r="I55" s="78"/>
      <c r="J55" s="79">
        <f t="shared" si="6"/>
        <v>1</v>
      </c>
      <c r="K55" s="80">
        <v>945</v>
      </c>
      <c r="L55" s="80">
        <f t="shared" si="5"/>
        <v>945</v>
      </c>
      <c r="M55" s="94"/>
      <c r="N55" s="77" t="s">
        <v>321</v>
      </c>
    </row>
    <row r="56" spans="1:14" s="54" customFormat="1" ht="22.5" customHeight="1" x14ac:dyDescent="0.25">
      <c r="A56" s="81"/>
      <c r="B56" s="89" t="s">
        <v>90</v>
      </c>
      <c r="C56" s="77" t="s">
        <v>85</v>
      </c>
      <c r="D56" s="77" t="s">
        <v>60</v>
      </c>
      <c r="E56" s="77"/>
      <c r="F56" s="77"/>
      <c r="G56" s="78"/>
      <c r="H56" s="78">
        <v>1</v>
      </c>
      <c r="I56" s="78"/>
      <c r="J56" s="79">
        <f t="shared" si="6"/>
        <v>1</v>
      </c>
      <c r="K56" s="80">
        <v>1086.75</v>
      </c>
      <c r="L56" s="80">
        <f t="shared" si="5"/>
        <v>1086.75</v>
      </c>
      <c r="M56" s="94"/>
      <c r="N56" s="77" t="s">
        <v>321</v>
      </c>
    </row>
    <row r="57" spans="1:14" s="54" customFormat="1" ht="22.5" customHeight="1" x14ac:dyDescent="0.25">
      <c r="A57" s="81"/>
      <c r="B57" s="89" t="s">
        <v>113</v>
      </c>
      <c r="C57" s="77" t="s">
        <v>89</v>
      </c>
      <c r="D57" s="77" t="s">
        <v>60</v>
      </c>
      <c r="E57" s="77"/>
      <c r="F57" s="77"/>
      <c r="G57" s="78">
        <v>30</v>
      </c>
      <c r="H57" s="78">
        <v>14</v>
      </c>
      <c r="I57" s="78">
        <v>32</v>
      </c>
      <c r="J57" s="79">
        <f t="shared" si="6"/>
        <v>76</v>
      </c>
      <c r="K57" s="80">
        <v>1291.5</v>
      </c>
      <c r="L57" s="80">
        <f t="shared" si="5"/>
        <v>98154</v>
      </c>
      <c r="M57" s="94"/>
      <c r="N57" s="77" t="s">
        <v>321</v>
      </c>
    </row>
    <row r="58" spans="1:14" s="54" customFormat="1" ht="22.5" customHeight="1" x14ac:dyDescent="0.25">
      <c r="A58" s="81"/>
      <c r="B58" s="89" t="s">
        <v>115</v>
      </c>
      <c r="C58" s="77" t="s">
        <v>263</v>
      </c>
      <c r="D58" s="77" t="s">
        <v>60</v>
      </c>
      <c r="E58" s="77"/>
      <c r="F58" s="77"/>
      <c r="G58" s="78"/>
      <c r="H58" s="78"/>
      <c r="I58" s="78">
        <v>1</v>
      </c>
      <c r="J58" s="79">
        <f t="shared" si="6"/>
        <v>1</v>
      </c>
      <c r="K58" s="80">
        <v>1569.75</v>
      </c>
      <c r="L58" s="80">
        <f t="shared" si="5"/>
        <v>1569.75</v>
      </c>
      <c r="M58" s="94"/>
      <c r="N58" s="77" t="s">
        <v>321</v>
      </c>
    </row>
    <row r="59" spans="1:14" s="54" customFormat="1" ht="22.5" customHeight="1" x14ac:dyDescent="0.25">
      <c r="A59" s="81"/>
      <c r="B59" s="89" t="s">
        <v>117</v>
      </c>
      <c r="C59" s="77" t="s">
        <v>264</v>
      </c>
      <c r="D59" s="77" t="s">
        <v>60</v>
      </c>
      <c r="E59" s="77"/>
      <c r="F59" s="77"/>
      <c r="G59" s="78">
        <v>6</v>
      </c>
      <c r="H59" s="78">
        <v>2</v>
      </c>
      <c r="I59" s="78"/>
      <c r="J59" s="79">
        <f t="shared" si="6"/>
        <v>8</v>
      </c>
      <c r="K59" s="80">
        <v>2869.65</v>
      </c>
      <c r="L59" s="80">
        <f t="shared" si="5"/>
        <v>22957.200000000001</v>
      </c>
      <c r="M59" s="94"/>
      <c r="N59" s="77" t="s">
        <v>321</v>
      </c>
    </row>
    <row r="60" spans="1:14" s="54" customFormat="1" ht="22.5" customHeight="1" x14ac:dyDescent="0.25">
      <c r="A60" s="81"/>
      <c r="B60" s="89" t="s">
        <v>119</v>
      </c>
      <c r="C60" s="77" t="s">
        <v>265</v>
      </c>
      <c r="D60" s="77" t="s">
        <v>60</v>
      </c>
      <c r="E60" s="77"/>
      <c r="F60" s="77"/>
      <c r="G60" s="78">
        <v>4</v>
      </c>
      <c r="H60" s="78">
        <v>10</v>
      </c>
      <c r="I60" s="78"/>
      <c r="J60" s="79">
        <f t="shared" si="6"/>
        <v>14</v>
      </c>
      <c r="K60" s="80">
        <v>3084.9</v>
      </c>
      <c r="L60" s="80">
        <f t="shared" si="5"/>
        <v>43188.6</v>
      </c>
      <c r="M60" s="94"/>
      <c r="N60" s="77" t="s">
        <v>321</v>
      </c>
    </row>
    <row r="61" spans="1:14" s="54" customFormat="1" ht="22.5" customHeight="1" x14ac:dyDescent="0.25">
      <c r="A61" s="81"/>
      <c r="B61" s="89" t="s">
        <v>121</v>
      </c>
      <c r="C61" s="77" t="s">
        <v>266</v>
      </c>
      <c r="D61" s="77" t="s">
        <v>60</v>
      </c>
      <c r="E61" s="77"/>
      <c r="F61" s="77"/>
      <c r="G61" s="78"/>
      <c r="H61" s="78">
        <v>4</v>
      </c>
      <c r="I61" s="78"/>
      <c r="J61" s="79">
        <f t="shared" si="6"/>
        <v>4</v>
      </c>
      <c r="K61" s="80">
        <v>3300.15</v>
      </c>
      <c r="L61" s="80">
        <f t="shared" si="5"/>
        <v>13200.6</v>
      </c>
      <c r="M61" s="94"/>
      <c r="N61" s="77" t="s">
        <v>321</v>
      </c>
    </row>
    <row r="62" spans="1:14" s="54" customFormat="1" ht="22.5" customHeight="1" x14ac:dyDescent="0.25">
      <c r="A62" s="81"/>
      <c r="B62" s="89" t="s">
        <v>123</v>
      </c>
      <c r="C62" s="77" t="s">
        <v>267</v>
      </c>
      <c r="D62" s="77" t="s">
        <v>60</v>
      </c>
      <c r="E62" s="77"/>
      <c r="F62" s="77"/>
      <c r="G62" s="78"/>
      <c r="H62" s="78">
        <v>2</v>
      </c>
      <c r="I62" s="78"/>
      <c r="J62" s="79">
        <f t="shared" si="6"/>
        <v>2</v>
      </c>
      <c r="K62" s="80">
        <v>3946.95</v>
      </c>
      <c r="L62" s="80">
        <f t="shared" si="5"/>
        <v>7893.9</v>
      </c>
      <c r="M62" s="94"/>
      <c r="N62" s="77" t="s">
        <v>321</v>
      </c>
    </row>
    <row r="63" spans="1:14" s="54" customFormat="1" ht="22.5" customHeight="1" x14ac:dyDescent="0.25">
      <c r="A63" s="81"/>
      <c r="B63" s="89" t="s">
        <v>125</v>
      </c>
      <c r="C63" s="77" t="s">
        <v>91</v>
      </c>
      <c r="D63" s="77" t="s">
        <v>60</v>
      </c>
      <c r="E63" s="77"/>
      <c r="F63" s="77"/>
      <c r="G63" s="78">
        <v>1</v>
      </c>
      <c r="H63" s="78"/>
      <c r="I63" s="78"/>
      <c r="J63" s="79">
        <f t="shared" si="6"/>
        <v>1</v>
      </c>
      <c r="K63" s="80">
        <v>1113</v>
      </c>
      <c r="L63" s="80">
        <f t="shared" si="5"/>
        <v>1113</v>
      </c>
      <c r="M63" s="94"/>
      <c r="N63" s="77" t="s">
        <v>321</v>
      </c>
    </row>
    <row r="64" spans="1:14" s="54" customFormat="1" ht="22.5" customHeight="1" x14ac:dyDescent="0.25">
      <c r="A64" s="81"/>
      <c r="B64" s="89" t="s">
        <v>127</v>
      </c>
      <c r="C64" s="77" t="s">
        <v>268</v>
      </c>
      <c r="D64" s="77" t="s">
        <v>60</v>
      </c>
      <c r="E64" s="77"/>
      <c r="F64" s="77"/>
      <c r="G64" s="78">
        <v>2</v>
      </c>
      <c r="H64" s="78">
        <v>1</v>
      </c>
      <c r="I64" s="78"/>
      <c r="J64" s="79">
        <f t="shared" si="6"/>
        <v>3</v>
      </c>
      <c r="K64" s="80">
        <v>1417.5</v>
      </c>
      <c r="L64" s="80">
        <f t="shared" si="5"/>
        <v>4252.5</v>
      </c>
      <c r="M64" s="94"/>
      <c r="N64" s="77" t="s">
        <v>321</v>
      </c>
    </row>
    <row r="65" spans="1:15" s="54" customFormat="1" ht="22.5" customHeight="1" x14ac:dyDescent="0.25">
      <c r="A65" s="81"/>
      <c r="B65" s="89" t="s">
        <v>129</v>
      </c>
      <c r="C65" s="77" t="s">
        <v>269</v>
      </c>
      <c r="D65" s="77" t="s">
        <v>60</v>
      </c>
      <c r="E65" s="77"/>
      <c r="F65" s="77"/>
      <c r="G65" s="78">
        <v>1</v>
      </c>
      <c r="H65" s="78"/>
      <c r="I65" s="78"/>
      <c r="J65" s="79">
        <f t="shared" si="6"/>
        <v>1</v>
      </c>
      <c r="K65" s="80">
        <v>4503.45</v>
      </c>
      <c r="L65" s="80">
        <f t="shared" si="5"/>
        <v>4503.45</v>
      </c>
      <c r="M65" s="94"/>
      <c r="N65" s="77" t="s">
        <v>321</v>
      </c>
    </row>
    <row r="66" spans="1:15" s="54" customFormat="1" ht="22.5" customHeight="1" x14ac:dyDescent="0.25">
      <c r="A66" s="81"/>
      <c r="B66" s="89" t="s">
        <v>92</v>
      </c>
      <c r="C66" s="77" t="s">
        <v>93</v>
      </c>
      <c r="D66" s="77" t="s">
        <v>54</v>
      </c>
      <c r="E66" s="77">
        <v>1.04</v>
      </c>
      <c r="F66" s="77"/>
      <c r="G66" s="78">
        <f>243.08*E66</f>
        <v>252.80320000000003</v>
      </c>
      <c r="H66" s="78">
        <f>196.47*E66</f>
        <v>204.3288</v>
      </c>
      <c r="I66" s="78">
        <f>273.41*E66</f>
        <v>284.34640000000002</v>
      </c>
      <c r="J66" s="79">
        <f t="shared" si="6"/>
        <v>741.47840000000008</v>
      </c>
      <c r="K66" s="80">
        <v>66.349999999999994</v>
      </c>
      <c r="L66" s="80">
        <f t="shared" si="5"/>
        <v>49197.091840000001</v>
      </c>
      <c r="M66" s="94"/>
      <c r="N66" s="77" t="s">
        <v>321</v>
      </c>
    </row>
    <row r="67" spans="1:15" s="54" customFormat="1" ht="22.5" customHeight="1" x14ac:dyDescent="0.25">
      <c r="A67" s="81"/>
      <c r="B67" s="89" t="s">
        <v>94</v>
      </c>
      <c r="C67" s="77" t="s">
        <v>95</v>
      </c>
      <c r="D67" s="77" t="s">
        <v>54</v>
      </c>
      <c r="E67" s="77">
        <v>1.04</v>
      </c>
      <c r="F67" s="77"/>
      <c r="G67" s="78">
        <f>G34*E67</f>
        <v>13.800800000000001</v>
      </c>
      <c r="H67" s="78">
        <f>H34*E67</f>
        <v>14.923999999999999</v>
      </c>
      <c r="I67" s="78">
        <f>I34*E67</f>
        <v>18.397600000000001</v>
      </c>
      <c r="J67" s="79">
        <f t="shared" si="6"/>
        <v>47.122399999999999</v>
      </c>
      <c r="K67" s="80">
        <v>64</v>
      </c>
      <c r="L67" s="80">
        <f t="shared" si="5"/>
        <v>3015.8335999999999</v>
      </c>
      <c r="M67" s="94"/>
      <c r="N67" s="77" t="s">
        <v>321</v>
      </c>
    </row>
    <row r="68" spans="1:15" s="54" customFormat="1" ht="22.5" customHeight="1" x14ac:dyDescent="0.25">
      <c r="A68" s="81"/>
      <c r="B68" s="89" t="s">
        <v>96</v>
      </c>
      <c r="C68" s="77" t="s">
        <v>39</v>
      </c>
      <c r="D68" s="77" t="s">
        <v>54</v>
      </c>
      <c r="E68" s="77">
        <v>1.04</v>
      </c>
      <c r="F68" s="77"/>
      <c r="G68" s="78">
        <f>11.91*E68</f>
        <v>12.3864</v>
      </c>
      <c r="H68" s="78"/>
      <c r="I68" s="78"/>
      <c r="J68" s="79">
        <f t="shared" si="6"/>
        <v>12.3864</v>
      </c>
      <c r="K68" s="80">
        <v>72.78</v>
      </c>
      <c r="L68" s="80">
        <f t="shared" si="5"/>
        <v>901.48219200000005</v>
      </c>
      <c r="M68" s="94"/>
      <c r="N68" s="77" t="s">
        <v>321</v>
      </c>
      <c r="O68" s="2"/>
    </row>
    <row r="69" spans="1:15" s="54" customFormat="1" ht="22.5" customHeight="1" x14ac:dyDescent="0.25">
      <c r="A69" s="81"/>
      <c r="B69" s="89" t="s">
        <v>97</v>
      </c>
      <c r="C69" s="77" t="s">
        <v>39</v>
      </c>
      <c r="D69" s="77" t="s">
        <v>54</v>
      </c>
      <c r="E69" s="77">
        <v>1.04</v>
      </c>
      <c r="F69" s="77"/>
      <c r="G69" s="78">
        <f>E69*10.57</f>
        <v>10.992800000000001</v>
      </c>
      <c r="H69" s="78">
        <f>E69*7.55</f>
        <v>7.8520000000000003</v>
      </c>
      <c r="I69" s="78">
        <f>E69*8.46</f>
        <v>8.7984000000000009</v>
      </c>
      <c r="J69" s="79">
        <f t="shared" si="6"/>
        <v>27.6432</v>
      </c>
      <c r="K69" s="80">
        <v>74.92</v>
      </c>
      <c r="L69" s="80">
        <f t="shared" si="5"/>
        <v>2071.0285440000002</v>
      </c>
      <c r="M69" s="94"/>
      <c r="N69" s="77" t="s">
        <v>321</v>
      </c>
    </row>
    <row r="70" spans="1:15" s="54" customFormat="1" ht="22.5" customHeight="1" x14ac:dyDescent="0.25">
      <c r="A70" s="81"/>
      <c r="B70" s="89" t="s">
        <v>270</v>
      </c>
      <c r="C70" s="77" t="s">
        <v>271</v>
      </c>
      <c r="D70" s="77" t="s">
        <v>54</v>
      </c>
      <c r="E70" s="77">
        <v>1.04</v>
      </c>
      <c r="F70" s="77"/>
      <c r="G70" s="78"/>
      <c r="H70" s="78">
        <f>46.92*E70</f>
        <v>48.796800000000005</v>
      </c>
      <c r="I70" s="78">
        <f>E70*38.71</f>
        <v>40.258400000000002</v>
      </c>
      <c r="J70" s="79">
        <f>SUM(G70:I70)</f>
        <v>89.055200000000013</v>
      </c>
      <c r="K70" s="80">
        <v>69.56</v>
      </c>
      <c r="L70" s="80">
        <f t="shared" si="5"/>
        <v>6194.679712000001</v>
      </c>
      <c r="M70" s="94"/>
      <c r="N70" s="77" t="s">
        <v>321</v>
      </c>
    </row>
    <row r="71" spans="1:15" s="54" customFormat="1" ht="22.5" customHeight="1" x14ac:dyDescent="0.25">
      <c r="A71" s="81"/>
      <c r="B71" s="89" t="s">
        <v>272</v>
      </c>
      <c r="C71" s="77" t="s">
        <v>273</v>
      </c>
      <c r="D71" s="77" t="s">
        <v>54</v>
      </c>
      <c r="E71" s="77">
        <v>1.04</v>
      </c>
      <c r="F71" s="77"/>
      <c r="G71" s="78"/>
      <c r="H71" s="78">
        <f>E71*2.45</f>
        <v>2.5480000000000005</v>
      </c>
      <c r="I71" s="78">
        <f>E71*2.45</f>
        <v>2.5480000000000005</v>
      </c>
      <c r="J71" s="79">
        <f>SUM(G71:I71)</f>
        <v>5.096000000000001</v>
      </c>
      <c r="K71" s="80">
        <v>71.7</v>
      </c>
      <c r="L71" s="80">
        <f t="shared" si="5"/>
        <v>365.3832000000001</v>
      </c>
      <c r="M71" s="94"/>
      <c r="N71" s="77" t="s">
        <v>321</v>
      </c>
    </row>
    <row r="72" spans="1:15" s="54" customFormat="1" ht="22.5" customHeight="1" x14ac:dyDescent="0.25">
      <c r="A72" s="81"/>
      <c r="B72" s="89" t="s">
        <v>274</v>
      </c>
      <c r="C72" s="77" t="s">
        <v>39</v>
      </c>
      <c r="D72" s="77" t="s">
        <v>47</v>
      </c>
      <c r="E72" s="77"/>
      <c r="F72" s="77"/>
      <c r="G72" s="78">
        <f>G35</f>
        <v>51</v>
      </c>
      <c r="H72" s="78">
        <f>H35</f>
        <v>54.33</v>
      </c>
      <c r="I72" s="78">
        <f>I35</f>
        <v>62.47</v>
      </c>
      <c r="J72" s="79">
        <f>SUM(G72:I72)</f>
        <v>167.8</v>
      </c>
      <c r="K72" s="80">
        <v>432.29</v>
      </c>
      <c r="L72" s="80">
        <f t="shared" si="5"/>
        <v>72538.262000000002</v>
      </c>
      <c r="M72" s="94"/>
      <c r="N72" s="77" t="s">
        <v>321</v>
      </c>
    </row>
    <row r="73" spans="1:15" s="54" customFormat="1" ht="30.75" customHeight="1" x14ac:dyDescent="0.25">
      <c r="A73" s="81"/>
      <c r="B73" s="89" t="s">
        <v>275</v>
      </c>
      <c r="C73" s="77" t="s">
        <v>276</v>
      </c>
      <c r="D73" s="77" t="s">
        <v>45</v>
      </c>
      <c r="E73" s="77">
        <v>1.04</v>
      </c>
      <c r="F73" s="77"/>
      <c r="G73" s="78">
        <f>G35*0.05*E73</f>
        <v>2.6520000000000006</v>
      </c>
      <c r="H73" s="78">
        <f>H35*0.05*E73</f>
        <v>2.8251599999999999</v>
      </c>
      <c r="I73" s="78">
        <f>I35*0.05*E73</f>
        <v>3.24844</v>
      </c>
      <c r="J73" s="79">
        <f t="shared" ref="J73" si="7">SUM(G73:I73)</f>
        <v>8.7256</v>
      </c>
      <c r="K73" s="80">
        <v>6405.83</v>
      </c>
      <c r="L73" s="80">
        <f t="shared" si="5"/>
        <v>55894.710248000003</v>
      </c>
      <c r="M73" s="94"/>
      <c r="N73" s="77" t="s">
        <v>321</v>
      </c>
    </row>
    <row r="74" spans="1:15" s="101" customFormat="1" ht="22.5" customHeight="1" x14ac:dyDescent="0.25">
      <c r="A74" s="95"/>
      <c r="B74" s="96" t="s">
        <v>98</v>
      </c>
      <c r="C74" s="97" t="s">
        <v>39</v>
      </c>
      <c r="D74" s="97" t="s">
        <v>99</v>
      </c>
      <c r="E74" s="97"/>
      <c r="F74" s="97"/>
      <c r="G74" s="98"/>
      <c r="H74" s="98"/>
      <c r="I74" s="98"/>
      <c r="J74" s="99">
        <f>L74*100/L26</f>
        <v>3.3731764476180039</v>
      </c>
      <c r="K74" s="79"/>
      <c r="L74" s="79">
        <v>101226.23759999999</v>
      </c>
      <c r="M74" s="100"/>
      <c r="N74" s="97" t="s">
        <v>321</v>
      </c>
    </row>
    <row r="75" spans="1:15" s="54" customFormat="1" x14ac:dyDescent="0.25">
      <c r="A75" s="60" t="s">
        <v>100</v>
      </c>
      <c r="B75" s="61" t="s">
        <v>101</v>
      </c>
      <c r="C75" s="62"/>
      <c r="D75" s="63"/>
      <c r="E75" s="62"/>
      <c r="F75" s="62"/>
      <c r="G75" s="64"/>
      <c r="H75" s="64"/>
      <c r="I75" s="64"/>
      <c r="J75" s="65"/>
      <c r="K75" s="65"/>
      <c r="L75" s="65">
        <f>L76+L89</f>
        <v>3844198.0169277997</v>
      </c>
      <c r="M75" s="86"/>
      <c r="N75" s="86"/>
    </row>
    <row r="76" spans="1:15" s="54" customFormat="1" x14ac:dyDescent="0.25">
      <c r="A76" s="66"/>
      <c r="B76" s="67" t="s">
        <v>34</v>
      </c>
      <c r="C76" s="68"/>
      <c r="D76" s="68"/>
      <c r="E76" s="68"/>
      <c r="F76" s="68"/>
      <c r="G76" s="69"/>
      <c r="H76" s="69"/>
      <c r="I76" s="69"/>
      <c r="J76" s="70"/>
      <c r="K76" s="70"/>
      <c r="L76" s="70">
        <f>SUM(L77:L88)</f>
        <v>2917197.0399999996</v>
      </c>
      <c r="M76" s="72"/>
      <c r="N76" s="72"/>
    </row>
    <row r="77" spans="1:15" s="54" customFormat="1" ht="25.5" customHeight="1" x14ac:dyDescent="0.25">
      <c r="A77" s="66"/>
      <c r="B77" s="71" t="s">
        <v>44</v>
      </c>
      <c r="C77" s="72"/>
      <c r="D77" s="72" t="s">
        <v>45</v>
      </c>
      <c r="E77" s="72"/>
      <c r="F77" s="72"/>
      <c r="G77" s="73">
        <v>30.11</v>
      </c>
      <c r="H77" s="73">
        <v>25.51</v>
      </c>
      <c r="I77" s="73">
        <v>38.270000000000003</v>
      </c>
      <c r="J77" s="70">
        <f>SUM(G77:I77)</f>
        <v>93.890000000000015</v>
      </c>
      <c r="K77" s="74">
        <v>4939</v>
      </c>
      <c r="L77" s="74">
        <f>K77*J77</f>
        <v>463722.71000000008</v>
      </c>
      <c r="M77" s="72"/>
      <c r="N77" s="72"/>
    </row>
    <row r="78" spans="1:15" s="54" customFormat="1" ht="25.5" customHeight="1" x14ac:dyDescent="0.25">
      <c r="A78" s="66"/>
      <c r="B78" s="71" t="s">
        <v>102</v>
      </c>
      <c r="C78" s="72"/>
      <c r="D78" s="72" t="s">
        <v>45</v>
      </c>
      <c r="E78" s="72"/>
      <c r="F78" s="72"/>
      <c r="G78" s="73">
        <v>1.77</v>
      </c>
      <c r="H78" s="73">
        <v>1.25</v>
      </c>
      <c r="I78" s="73">
        <v>1.7</v>
      </c>
      <c r="J78" s="70">
        <f t="shared" ref="J78:J87" si="8">SUM(G78:I78)</f>
        <v>4.72</v>
      </c>
      <c r="K78" s="74">
        <v>5845</v>
      </c>
      <c r="L78" s="74">
        <f t="shared" ref="L78" si="9">K78*J78</f>
        <v>27588.399999999998</v>
      </c>
      <c r="M78" s="72"/>
      <c r="N78" s="72"/>
    </row>
    <row r="79" spans="1:15" s="54" customFormat="1" ht="25.5" customHeight="1" x14ac:dyDescent="0.25">
      <c r="A79" s="66"/>
      <c r="B79" s="71" t="s">
        <v>46</v>
      </c>
      <c r="C79" s="72"/>
      <c r="D79" s="72" t="s">
        <v>47</v>
      </c>
      <c r="E79" s="72"/>
      <c r="F79" s="72"/>
      <c r="G79" s="73">
        <v>204.75</v>
      </c>
      <c r="H79" s="73">
        <v>120.63</v>
      </c>
      <c r="I79" s="73">
        <v>142.32</v>
      </c>
      <c r="J79" s="70">
        <f t="shared" si="8"/>
        <v>467.7</v>
      </c>
      <c r="K79" s="74">
        <v>1461</v>
      </c>
      <c r="L79" s="74">
        <f>K79*J79</f>
        <v>683309.7</v>
      </c>
      <c r="M79" s="72"/>
      <c r="N79" s="72"/>
    </row>
    <row r="80" spans="1:15" s="54" customFormat="1" ht="25.5" customHeight="1" x14ac:dyDescent="0.25">
      <c r="A80" s="66"/>
      <c r="B80" s="71" t="s">
        <v>48</v>
      </c>
      <c r="C80" s="72"/>
      <c r="D80" s="72" t="s">
        <v>47</v>
      </c>
      <c r="E80" s="72"/>
      <c r="F80" s="72"/>
      <c r="G80" s="73">
        <v>57.32</v>
      </c>
      <c r="H80" s="73">
        <v>44.32</v>
      </c>
      <c r="I80" s="73">
        <v>79.95</v>
      </c>
      <c r="J80" s="70">
        <f t="shared" si="8"/>
        <v>181.59</v>
      </c>
      <c r="K80" s="74">
        <v>1461</v>
      </c>
      <c r="L80" s="74">
        <f>K80*J80</f>
        <v>265302.99</v>
      </c>
      <c r="M80" s="72"/>
      <c r="N80" s="72"/>
    </row>
    <row r="81" spans="1:14" s="54" customFormat="1" ht="25.5" customHeight="1" x14ac:dyDescent="0.25">
      <c r="A81" s="66"/>
      <c r="B81" s="71" t="s">
        <v>103</v>
      </c>
      <c r="C81" s="72"/>
      <c r="D81" s="72" t="s">
        <v>47</v>
      </c>
      <c r="E81" s="72"/>
      <c r="F81" s="72"/>
      <c r="G81" s="73">
        <v>156.13999999999999</v>
      </c>
      <c r="H81" s="73">
        <v>101.76</v>
      </c>
      <c r="I81" s="73">
        <v>158.25</v>
      </c>
      <c r="J81" s="70">
        <f t="shared" si="8"/>
        <v>416.15</v>
      </c>
      <c r="K81" s="74">
        <v>1461</v>
      </c>
      <c r="L81" s="74">
        <f>K81*J81</f>
        <v>607995.15</v>
      </c>
      <c r="M81" s="72"/>
      <c r="N81" s="72"/>
    </row>
    <row r="82" spans="1:14" s="54" customFormat="1" ht="25.5" customHeight="1" x14ac:dyDescent="0.25">
      <c r="A82" s="66"/>
      <c r="B82" s="71" t="s">
        <v>104</v>
      </c>
      <c r="C82" s="72"/>
      <c r="D82" s="72" t="s">
        <v>47</v>
      </c>
      <c r="E82" s="72"/>
      <c r="F82" s="72"/>
      <c r="G82" s="73">
        <v>100.39</v>
      </c>
      <c r="H82" s="73">
        <v>112.4</v>
      </c>
      <c r="I82" s="73">
        <v>113.93</v>
      </c>
      <c r="J82" s="70">
        <f t="shared" si="8"/>
        <v>326.72000000000003</v>
      </c>
      <c r="K82" s="74">
        <v>1461</v>
      </c>
      <c r="L82" s="74">
        <f>K82*J82</f>
        <v>477337.92000000004</v>
      </c>
      <c r="M82" s="72"/>
      <c r="N82" s="72"/>
    </row>
    <row r="83" spans="1:14" s="54" customFormat="1" ht="25.5" customHeight="1" x14ac:dyDescent="0.25">
      <c r="A83" s="66"/>
      <c r="B83" s="71" t="s">
        <v>49</v>
      </c>
      <c r="C83" s="72"/>
      <c r="D83" s="72" t="s">
        <v>47</v>
      </c>
      <c r="E83" s="72"/>
      <c r="F83" s="72"/>
      <c r="G83" s="73">
        <v>27.1</v>
      </c>
      <c r="H83" s="73">
        <v>36.04</v>
      </c>
      <c r="I83" s="73">
        <v>32.35</v>
      </c>
      <c r="J83" s="70">
        <f t="shared" si="8"/>
        <v>95.490000000000009</v>
      </c>
      <c r="K83" s="74">
        <v>1610</v>
      </c>
      <c r="L83" s="74">
        <f t="shared" ref="L83:L87" si="10">K83*J83</f>
        <v>153738.90000000002</v>
      </c>
      <c r="M83" s="72"/>
      <c r="N83" s="72"/>
    </row>
    <row r="84" spans="1:14" s="54" customFormat="1" ht="25.5" customHeight="1" x14ac:dyDescent="0.25">
      <c r="A84" s="66"/>
      <c r="B84" s="71" t="s">
        <v>50</v>
      </c>
      <c r="C84" s="72"/>
      <c r="D84" s="72" t="s">
        <v>51</v>
      </c>
      <c r="E84" s="72"/>
      <c r="F84" s="72"/>
      <c r="G84" s="73">
        <v>77</v>
      </c>
      <c r="H84" s="73">
        <v>59</v>
      </c>
      <c r="I84" s="73">
        <v>77</v>
      </c>
      <c r="J84" s="70">
        <f t="shared" si="8"/>
        <v>213</v>
      </c>
      <c r="K84" s="74">
        <v>803</v>
      </c>
      <c r="L84" s="74">
        <f t="shared" si="10"/>
        <v>171039</v>
      </c>
      <c r="M84" s="72"/>
      <c r="N84" s="72"/>
    </row>
    <row r="85" spans="1:14" s="54" customFormat="1" ht="25.5" customHeight="1" x14ac:dyDescent="0.25">
      <c r="A85" s="66"/>
      <c r="B85" s="71" t="s">
        <v>52</v>
      </c>
      <c r="C85" s="72" t="s">
        <v>105</v>
      </c>
      <c r="D85" s="72" t="s">
        <v>54</v>
      </c>
      <c r="E85" s="72"/>
      <c r="F85" s="72"/>
      <c r="G85" s="129">
        <v>87.64</v>
      </c>
      <c r="H85" s="129">
        <v>70.760000000000005</v>
      </c>
      <c r="I85" s="129">
        <v>60.5</v>
      </c>
      <c r="J85" s="130">
        <f t="shared" si="8"/>
        <v>218.9</v>
      </c>
      <c r="K85" s="74">
        <v>94.5</v>
      </c>
      <c r="L85" s="74">
        <f t="shared" si="10"/>
        <v>20686.05</v>
      </c>
      <c r="M85" s="72"/>
      <c r="N85" s="72"/>
    </row>
    <row r="86" spans="1:14" s="54" customFormat="1" ht="31.5" x14ac:dyDescent="0.25">
      <c r="A86" s="66"/>
      <c r="B86" s="71" t="s">
        <v>55</v>
      </c>
      <c r="C86" s="72"/>
      <c r="D86" s="72" t="s">
        <v>54</v>
      </c>
      <c r="E86" s="72"/>
      <c r="F86" s="72"/>
      <c r="G86" s="73">
        <v>42.25</v>
      </c>
      <c r="H86" s="73">
        <v>31.63</v>
      </c>
      <c r="I86" s="73">
        <v>26.33</v>
      </c>
      <c r="J86" s="70">
        <f t="shared" si="8"/>
        <v>100.21</v>
      </c>
      <c r="K86" s="74">
        <v>118</v>
      </c>
      <c r="L86" s="74">
        <f t="shared" si="10"/>
        <v>11824.779999999999</v>
      </c>
      <c r="M86" s="72"/>
      <c r="N86" s="72"/>
    </row>
    <row r="87" spans="1:14" s="54" customFormat="1" ht="18.75" customHeight="1" x14ac:dyDescent="0.25">
      <c r="A87" s="66"/>
      <c r="B87" s="71" t="s">
        <v>256</v>
      </c>
      <c r="C87" s="72"/>
      <c r="D87" s="72" t="s">
        <v>47</v>
      </c>
      <c r="E87" s="72"/>
      <c r="F87" s="72"/>
      <c r="G87" s="73">
        <v>35.340000000000003</v>
      </c>
      <c r="H87" s="73">
        <v>37.65</v>
      </c>
      <c r="I87" s="73">
        <v>43.29</v>
      </c>
      <c r="J87" s="70">
        <f t="shared" si="8"/>
        <v>116.28</v>
      </c>
      <c r="K87" s="74">
        <v>298</v>
      </c>
      <c r="L87" s="74">
        <f t="shared" si="10"/>
        <v>34651.440000000002</v>
      </c>
      <c r="M87" s="72"/>
      <c r="N87" s="72"/>
    </row>
    <row r="88" spans="1:14" s="54" customFormat="1" ht="18.75" customHeight="1" x14ac:dyDescent="0.25">
      <c r="A88" s="66"/>
      <c r="B88" s="87" t="s">
        <v>56</v>
      </c>
      <c r="C88" s="88"/>
      <c r="D88" s="88" t="s">
        <v>45</v>
      </c>
      <c r="E88" s="88"/>
      <c r="F88" s="88"/>
      <c r="G88" s="73">
        <f>291.89*0.06*0.03</f>
        <v>0.52540199999999992</v>
      </c>
      <c r="H88" s="73">
        <f>228.82*0.06*0.03</f>
        <v>0.41187599999999996</v>
      </c>
      <c r="I88" s="73">
        <f>295.85*0.06*0.03</f>
        <v>0.53253000000000006</v>
      </c>
      <c r="J88" s="70">
        <f>SUM(G88:I88)</f>
        <v>1.469808</v>
      </c>
      <c r="K88" s="74"/>
      <c r="L88" s="74"/>
      <c r="M88" s="88" t="s">
        <v>57</v>
      </c>
      <c r="N88" s="72"/>
    </row>
    <row r="89" spans="1:14" s="54" customFormat="1" x14ac:dyDescent="0.25">
      <c r="A89" s="75"/>
      <c r="B89" s="76" t="s">
        <v>38</v>
      </c>
      <c r="C89" s="77"/>
      <c r="D89" s="77"/>
      <c r="E89" s="77"/>
      <c r="F89" s="77"/>
      <c r="G89" s="78"/>
      <c r="H89" s="78"/>
      <c r="I89" s="78"/>
      <c r="J89" s="79"/>
      <c r="K89" s="80"/>
      <c r="L89" s="79">
        <f>SUM(L90:L124)</f>
        <v>927000.97692779999</v>
      </c>
      <c r="M89" s="77"/>
      <c r="N89" s="77"/>
    </row>
    <row r="90" spans="1:14" s="54" customFormat="1" ht="31.5" x14ac:dyDescent="0.25">
      <c r="A90" s="81"/>
      <c r="B90" s="82" t="s">
        <v>58</v>
      </c>
      <c r="C90" s="77" t="s">
        <v>59</v>
      </c>
      <c r="D90" s="77" t="s">
        <v>60</v>
      </c>
      <c r="E90" s="78">
        <v>12.4</v>
      </c>
      <c r="F90" s="77">
        <v>0.25</v>
      </c>
      <c r="G90" s="83">
        <f>G77/F90*E90</f>
        <v>1493.4559999999999</v>
      </c>
      <c r="H90" s="83">
        <f>H77/F90*E90</f>
        <v>1265.296</v>
      </c>
      <c r="I90" s="83">
        <f>I77/F90*E90</f>
        <v>1898.1920000000002</v>
      </c>
      <c r="J90" s="84">
        <f>SUM(G90:I90)</f>
        <v>4656.9440000000004</v>
      </c>
      <c r="K90" s="80">
        <v>0</v>
      </c>
      <c r="L90" s="80">
        <f>J90*K90</f>
        <v>0</v>
      </c>
      <c r="M90" s="77" t="s">
        <v>61</v>
      </c>
      <c r="N90" s="77" t="s">
        <v>320</v>
      </c>
    </row>
    <row r="91" spans="1:14" s="54" customFormat="1" ht="31.5" x14ac:dyDescent="0.25">
      <c r="A91" s="81"/>
      <c r="B91" s="82" t="s">
        <v>62</v>
      </c>
      <c r="C91" s="77" t="s">
        <v>63</v>
      </c>
      <c r="D91" s="77" t="s">
        <v>60</v>
      </c>
      <c r="E91" s="78">
        <v>12.4</v>
      </c>
      <c r="F91" s="77"/>
      <c r="G91" s="83">
        <f>G79*E91</f>
        <v>2538.9</v>
      </c>
      <c r="H91" s="83">
        <f>H79*E91</f>
        <v>1495.8119999999999</v>
      </c>
      <c r="I91" s="83">
        <f>I79*E91</f>
        <v>1764.768</v>
      </c>
      <c r="J91" s="84">
        <f t="shared" ref="J91:J95" si="11">SUM(G91:I91)</f>
        <v>5799.48</v>
      </c>
      <c r="K91" s="80">
        <v>0</v>
      </c>
      <c r="L91" s="80">
        <f>J91*K91</f>
        <v>0</v>
      </c>
      <c r="M91" s="77" t="s">
        <v>61</v>
      </c>
      <c r="N91" s="77" t="s">
        <v>320</v>
      </c>
    </row>
    <row r="92" spans="1:14" s="54" customFormat="1" ht="31.5" x14ac:dyDescent="0.25">
      <c r="A92" s="81"/>
      <c r="B92" s="82" t="s">
        <v>64</v>
      </c>
      <c r="C92" s="77" t="s">
        <v>65</v>
      </c>
      <c r="D92" s="77" t="s">
        <v>60</v>
      </c>
      <c r="E92" s="78">
        <v>12.4</v>
      </c>
      <c r="F92" s="77"/>
      <c r="G92" s="83">
        <f>G80*E92</f>
        <v>710.76800000000003</v>
      </c>
      <c r="H92" s="83">
        <f>H80*E92</f>
        <v>549.56799999999998</v>
      </c>
      <c r="I92" s="83">
        <f>I80*E92</f>
        <v>991.38000000000011</v>
      </c>
      <c r="J92" s="84">
        <f t="shared" si="11"/>
        <v>2251.7160000000003</v>
      </c>
      <c r="K92" s="80">
        <v>0</v>
      </c>
      <c r="L92" s="80">
        <f>J92*K92</f>
        <v>0</v>
      </c>
      <c r="M92" s="77" t="s">
        <v>61</v>
      </c>
      <c r="N92" s="77" t="s">
        <v>320</v>
      </c>
    </row>
    <row r="93" spans="1:14" s="54" customFormat="1" ht="31.5" x14ac:dyDescent="0.25">
      <c r="A93" s="81"/>
      <c r="B93" s="82" t="s">
        <v>106</v>
      </c>
      <c r="C93" s="77" t="s">
        <v>107</v>
      </c>
      <c r="D93" s="77" t="s">
        <v>60</v>
      </c>
      <c r="E93" s="78">
        <v>12.4</v>
      </c>
      <c r="F93" s="77"/>
      <c r="G93" s="83">
        <f>G81*E93</f>
        <v>1936.136</v>
      </c>
      <c r="H93" s="83">
        <f>H81*E93</f>
        <v>1261.8240000000001</v>
      </c>
      <c r="I93" s="83">
        <f>I81*E93</f>
        <v>1962.3</v>
      </c>
      <c r="J93" s="84">
        <f t="shared" si="11"/>
        <v>5160.26</v>
      </c>
      <c r="K93" s="80">
        <v>0</v>
      </c>
      <c r="L93" s="80">
        <f>J93*K93</f>
        <v>0</v>
      </c>
      <c r="M93" s="77" t="s">
        <v>61</v>
      </c>
      <c r="N93" s="77" t="s">
        <v>320</v>
      </c>
    </row>
    <row r="94" spans="1:14" s="54" customFormat="1" ht="31.5" x14ac:dyDescent="0.25">
      <c r="A94" s="81"/>
      <c r="B94" s="82" t="s">
        <v>108</v>
      </c>
      <c r="C94" s="77" t="s">
        <v>109</v>
      </c>
      <c r="D94" s="77" t="s">
        <v>60</v>
      </c>
      <c r="E94" s="78">
        <v>12.4</v>
      </c>
      <c r="F94" s="77"/>
      <c r="G94" s="83">
        <f>G82*E94</f>
        <v>1244.836</v>
      </c>
      <c r="H94" s="83">
        <f>H82*E94</f>
        <v>1393.7600000000002</v>
      </c>
      <c r="I94" s="83">
        <f>I82*E94</f>
        <v>1412.7320000000002</v>
      </c>
      <c r="J94" s="84">
        <f t="shared" si="11"/>
        <v>4051.3280000000004</v>
      </c>
      <c r="K94" s="80">
        <v>0</v>
      </c>
      <c r="L94" s="80">
        <f>J94*K94</f>
        <v>0</v>
      </c>
      <c r="M94" s="77" t="s">
        <v>61</v>
      </c>
      <c r="N94" s="77" t="s">
        <v>320</v>
      </c>
    </row>
    <row r="95" spans="1:14" s="54" customFormat="1" ht="31.5" x14ac:dyDescent="0.25">
      <c r="A95" s="81"/>
      <c r="B95" s="89" t="s">
        <v>66</v>
      </c>
      <c r="C95" s="77" t="s">
        <v>67</v>
      </c>
      <c r="D95" s="77" t="s">
        <v>60</v>
      </c>
      <c r="E95" s="90">
        <v>42</v>
      </c>
      <c r="F95" s="90"/>
      <c r="G95" s="83">
        <f>G83*E95</f>
        <v>1138.2</v>
      </c>
      <c r="H95" s="83">
        <f>H83*E95</f>
        <v>1513.68</v>
      </c>
      <c r="I95" s="83">
        <f>I83*E95</f>
        <v>1358.7</v>
      </c>
      <c r="J95" s="84">
        <f t="shared" si="11"/>
        <v>4010.58</v>
      </c>
      <c r="K95" s="80">
        <v>0</v>
      </c>
      <c r="L95" s="80">
        <f t="shared" ref="L95:L123" si="12">J95*K95</f>
        <v>0</v>
      </c>
      <c r="M95" s="77" t="s">
        <v>68</v>
      </c>
      <c r="N95" s="77" t="s">
        <v>320</v>
      </c>
    </row>
    <row r="96" spans="1:14" s="54" customFormat="1" ht="31.5" x14ac:dyDescent="0.25">
      <c r="A96" s="81"/>
      <c r="B96" s="89" t="s">
        <v>110</v>
      </c>
      <c r="C96" s="77" t="s">
        <v>111</v>
      </c>
      <c r="D96" s="77" t="s">
        <v>60</v>
      </c>
      <c r="E96" s="90">
        <v>42</v>
      </c>
      <c r="F96" s="90"/>
      <c r="G96" s="83">
        <f>G78/0.25*E96</f>
        <v>297.36</v>
      </c>
      <c r="H96" s="83">
        <f>H78/0.25*E96</f>
        <v>210</v>
      </c>
      <c r="I96" s="83">
        <f>I78/0.25*E96</f>
        <v>285.59999999999997</v>
      </c>
      <c r="J96" s="84">
        <f t="shared" ref="J96" si="13">SUM(G96:I96)</f>
        <v>792.96</v>
      </c>
      <c r="K96" s="80">
        <v>0</v>
      </c>
      <c r="L96" s="80">
        <f t="shared" si="12"/>
        <v>0</v>
      </c>
      <c r="M96" s="77" t="s">
        <v>68</v>
      </c>
      <c r="N96" s="77" t="s">
        <v>320</v>
      </c>
    </row>
    <row r="97" spans="1:14" s="54" customFormat="1" ht="30" customHeight="1" x14ac:dyDescent="0.25">
      <c r="A97" s="81"/>
      <c r="B97" s="91" t="s">
        <v>69</v>
      </c>
      <c r="C97" s="77" t="s">
        <v>70</v>
      </c>
      <c r="D97" s="77" t="s">
        <v>45</v>
      </c>
      <c r="E97" s="77">
        <v>0.19500000000000001</v>
      </c>
      <c r="F97" s="90"/>
      <c r="G97" s="78">
        <f>G77*E97+G79*E97*0.19+G80*E97*0.19+G81*E97*0.09+G82*E97*0.09</f>
        <v>20.083245000000002</v>
      </c>
      <c r="H97" s="78">
        <f>H77*E97+H79*E97*0.19+H80*E97*0.19+H81*E97*0.09+H82*E97*0.09</f>
        <v>14.844355500000001</v>
      </c>
      <c r="I97" s="78">
        <f>I77*E97+I79*E97*0.19+I80*E97*0.19+I81*E97*0.09+I82*E97*0.09</f>
        <v>20.474512499999999</v>
      </c>
      <c r="J97" s="79">
        <f>SUM(G97:I97)</f>
        <v>55.402113</v>
      </c>
      <c r="K97" s="80">
        <v>7875</v>
      </c>
      <c r="L97" s="80">
        <f t="shared" si="12"/>
        <v>436291.63987499999</v>
      </c>
      <c r="M97" s="77" t="s">
        <v>71</v>
      </c>
      <c r="N97" s="77" t="s">
        <v>321</v>
      </c>
    </row>
    <row r="98" spans="1:14" s="54" customFormat="1" ht="30" customHeight="1" x14ac:dyDescent="0.25">
      <c r="A98" s="92"/>
      <c r="B98" s="91" t="s">
        <v>112</v>
      </c>
      <c r="C98" s="77" t="s">
        <v>70</v>
      </c>
      <c r="D98" s="77" t="s">
        <v>45</v>
      </c>
      <c r="E98" s="77">
        <v>0.24</v>
      </c>
      <c r="F98" s="77"/>
      <c r="G98" s="78">
        <f>G78*E98</f>
        <v>0.42480000000000001</v>
      </c>
      <c r="H98" s="78">
        <f>H78*E98</f>
        <v>0.3</v>
      </c>
      <c r="I98" s="78">
        <f>I78*E98</f>
        <v>0.40799999999999997</v>
      </c>
      <c r="J98" s="79">
        <f t="shared" ref="J98:J116" si="14">SUM(G98:I98)</f>
        <v>1.1328</v>
      </c>
      <c r="K98" s="80">
        <v>7875</v>
      </c>
      <c r="L98" s="80">
        <f t="shared" si="12"/>
        <v>8920.8000000000011</v>
      </c>
      <c r="M98" s="77" t="s">
        <v>71</v>
      </c>
      <c r="N98" s="77" t="s">
        <v>321</v>
      </c>
    </row>
    <row r="99" spans="1:14" s="54" customFormat="1" ht="30" customHeight="1" x14ac:dyDescent="0.25">
      <c r="A99" s="92"/>
      <c r="B99" s="91" t="s">
        <v>72</v>
      </c>
      <c r="C99" s="77" t="s">
        <v>70</v>
      </c>
      <c r="D99" s="77" t="s">
        <v>45</v>
      </c>
      <c r="E99" s="77">
        <v>4.5999999999999999E-2</v>
      </c>
      <c r="F99" s="77"/>
      <c r="G99" s="78">
        <f>G83*E99</f>
        <v>1.2466000000000002</v>
      </c>
      <c r="H99" s="78">
        <f>H83*E99</f>
        <v>1.65784</v>
      </c>
      <c r="I99" s="78">
        <f>I83*E99</f>
        <v>1.4881</v>
      </c>
      <c r="J99" s="79">
        <f t="shared" si="14"/>
        <v>4.3925400000000003</v>
      </c>
      <c r="K99" s="80">
        <v>7875</v>
      </c>
      <c r="L99" s="80">
        <f t="shared" si="12"/>
        <v>34591.252500000002</v>
      </c>
      <c r="M99" s="77" t="s">
        <v>73</v>
      </c>
      <c r="N99" s="77" t="s">
        <v>321</v>
      </c>
    </row>
    <row r="100" spans="1:14" s="54" customFormat="1" ht="30" customHeight="1" x14ac:dyDescent="0.25">
      <c r="A100" s="92"/>
      <c r="B100" s="91" t="s">
        <v>74</v>
      </c>
      <c r="C100" s="77" t="s">
        <v>70</v>
      </c>
      <c r="D100" s="77" t="s">
        <v>45</v>
      </c>
      <c r="E100" s="77">
        <v>1.01</v>
      </c>
      <c r="F100" s="77"/>
      <c r="G100" s="78">
        <f>G88*E100</f>
        <v>0.5306560199999999</v>
      </c>
      <c r="H100" s="78">
        <f>H88*E100</f>
        <v>0.41599475999999996</v>
      </c>
      <c r="I100" s="78">
        <f>I88*E100</f>
        <v>0.53785530000000004</v>
      </c>
      <c r="J100" s="79">
        <f t="shared" si="14"/>
        <v>1.4845060800000001</v>
      </c>
      <c r="K100" s="80">
        <v>7875</v>
      </c>
      <c r="L100" s="80">
        <f t="shared" si="12"/>
        <v>11690.48538</v>
      </c>
      <c r="M100" s="77" t="s">
        <v>71</v>
      </c>
      <c r="N100" s="77" t="s">
        <v>321</v>
      </c>
    </row>
    <row r="101" spans="1:14" s="54" customFormat="1" ht="30" customHeight="1" x14ac:dyDescent="0.25">
      <c r="A101" s="81"/>
      <c r="B101" s="89" t="s">
        <v>75</v>
      </c>
      <c r="C101" s="77" t="s">
        <v>70</v>
      </c>
      <c r="D101" s="77" t="s">
        <v>45</v>
      </c>
      <c r="E101" s="77">
        <v>6.0000000000000001E-3</v>
      </c>
      <c r="F101" s="77"/>
      <c r="G101" s="78">
        <f>G84*E101</f>
        <v>0.46200000000000002</v>
      </c>
      <c r="H101" s="78">
        <f>H84*E101</f>
        <v>0.35399999999999998</v>
      </c>
      <c r="I101" s="78">
        <f>I84*E101</f>
        <v>0.46200000000000002</v>
      </c>
      <c r="J101" s="79">
        <f t="shared" si="14"/>
        <v>1.278</v>
      </c>
      <c r="K101" s="80">
        <v>7875</v>
      </c>
      <c r="L101" s="80">
        <f t="shared" si="12"/>
        <v>10064.25</v>
      </c>
      <c r="M101" s="77" t="s">
        <v>76</v>
      </c>
      <c r="N101" s="77" t="s">
        <v>321</v>
      </c>
    </row>
    <row r="102" spans="1:14" s="54" customFormat="1" ht="30" customHeight="1" x14ac:dyDescent="0.25">
      <c r="A102" s="81"/>
      <c r="B102" s="89" t="s">
        <v>77</v>
      </c>
      <c r="C102" s="77" t="s">
        <v>70</v>
      </c>
      <c r="D102" s="77" t="s">
        <v>45</v>
      </c>
      <c r="E102" s="77">
        <v>1.01</v>
      </c>
      <c r="F102" s="77"/>
      <c r="G102" s="93">
        <v>5.7000000000000002E-2</v>
      </c>
      <c r="H102" s="93">
        <v>4.2999999999999997E-2</v>
      </c>
      <c r="I102" s="93">
        <v>3.2000000000000001E-2</v>
      </c>
      <c r="J102" s="79">
        <f t="shared" si="14"/>
        <v>0.13200000000000001</v>
      </c>
      <c r="K102" s="80">
        <v>7875</v>
      </c>
      <c r="L102" s="80">
        <f t="shared" si="12"/>
        <v>1039.5</v>
      </c>
      <c r="M102" s="94"/>
      <c r="N102" s="77" t="s">
        <v>321</v>
      </c>
    </row>
    <row r="103" spans="1:14" s="54" customFormat="1" ht="21" customHeight="1" x14ac:dyDescent="0.25">
      <c r="A103" s="81"/>
      <c r="B103" s="89" t="s">
        <v>78</v>
      </c>
      <c r="C103" s="77" t="s">
        <v>79</v>
      </c>
      <c r="D103" s="77" t="s">
        <v>47</v>
      </c>
      <c r="E103" s="77"/>
      <c r="F103" s="77"/>
      <c r="G103" s="78">
        <v>182.58</v>
      </c>
      <c r="H103" s="78">
        <v>142.61000000000001</v>
      </c>
      <c r="I103" s="78">
        <v>188.7</v>
      </c>
      <c r="J103" s="79">
        <f t="shared" si="14"/>
        <v>513.8900000000001</v>
      </c>
      <c r="K103" s="80">
        <v>88.34</v>
      </c>
      <c r="L103" s="80">
        <f t="shared" si="12"/>
        <v>45397.042600000008</v>
      </c>
      <c r="M103" s="94"/>
      <c r="N103" s="77" t="s">
        <v>321</v>
      </c>
    </row>
    <row r="104" spans="1:14" s="54" customFormat="1" ht="21" customHeight="1" x14ac:dyDescent="0.25">
      <c r="A104" s="81"/>
      <c r="B104" s="89" t="s">
        <v>277</v>
      </c>
      <c r="C104" s="77" t="s">
        <v>114</v>
      </c>
      <c r="D104" s="77" t="s">
        <v>60</v>
      </c>
      <c r="E104" s="77"/>
      <c r="F104" s="77"/>
      <c r="G104" s="78">
        <v>12</v>
      </c>
      <c r="H104" s="78">
        <v>17</v>
      </c>
      <c r="I104" s="78">
        <v>13</v>
      </c>
      <c r="J104" s="79">
        <f t="shared" si="14"/>
        <v>42</v>
      </c>
      <c r="K104" s="80">
        <v>398.6</v>
      </c>
      <c r="L104" s="80">
        <f t="shared" si="12"/>
        <v>16741.2</v>
      </c>
      <c r="M104" s="94"/>
      <c r="N104" s="77" t="s">
        <v>321</v>
      </c>
    </row>
    <row r="105" spans="1:14" s="54" customFormat="1" ht="21" customHeight="1" x14ac:dyDescent="0.25">
      <c r="A105" s="81"/>
      <c r="B105" s="89" t="s">
        <v>278</v>
      </c>
      <c r="C105" s="77" t="s">
        <v>116</v>
      </c>
      <c r="D105" s="77" t="s">
        <v>60</v>
      </c>
      <c r="E105" s="77"/>
      <c r="F105" s="77"/>
      <c r="G105" s="78">
        <v>10</v>
      </c>
      <c r="H105" s="78"/>
      <c r="I105" s="78">
        <v>10</v>
      </c>
      <c r="J105" s="79">
        <f t="shared" si="14"/>
        <v>20</v>
      </c>
      <c r="K105" s="80">
        <v>465.03</v>
      </c>
      <c r="L105" s="80">
        <f t="shared" si="12"/>
        <v>9300.5999999999985</v>
      </c>
      <c r="M105" s="94"/>
      <c r="N105" s="77" t="s">
        <v>321</v>
      </c>
    </row>
    <row r="106" spans="1:14" s="54" customFormat="1" ht="21" customHeight="1" x14ac:dyDescent="0.25">
      <c r="A106" s="81"/>
      <c r="B106" s="89" t="s">
        <v>279</v>
      </c>
      <c r="C106" s="77" t="s">
        <v>280</v>
      </c>
      <c r="D106" s="77" t="s">
        <v>60</v>
      </c>
      <c r="E106" s="77"/>
      <c r="F106" s="77"/>
      <c r="G106" s="78"/>
      <c r="H106" s="78"/>
      <c r="I106" s="78">
        <v>1</v>
      </c>
      <c r="J106" s="79">
        <f t="shared" si="14"/>
        <v>1</v>
      </c>
      <c r="K106" s="80">
        <v>863.64</v>
      </c>
      <c r="L106" s="80">
        <f t="shared" si="12"/>
        <v>863.64</v>
      </c>
      <c r="M106" s="94"/>
      <c r="N106" s="77" t="s">
        <v>321</v>
      </c>
    </row>
    <row r="107" spans="1:14" s="54" customFormat="1" ht="21" customHeight="1" x14ac:dyDescent="0.25">
      <c r="A107" s="81"/>
      <c r="B107" s="89" t="s">
        <v>281</v>
      </c>
      <c r="C107" s="77" t="s">
        <v>282</v>
      </c>
      <c r="D107" s="77" t="s">
        <v>60</v>
      </c>
      <c r="E107" s="77"/>
      <c r="F107" s="77"/>
      <c r="G107" s="78">
        <v>6</v>
      </c>
      <c r="H107" s="78"/>
      <c r="I107" s="78">
        <v>4</v>
      </c>
      <c r="J107" s="79">
        <f t="shared" si="14"/>
        <v>10</v>
      </c>
      <c r="K107" s="80">
        <v>531.47</v>
      </c>
      <c r="L107" s="80">
        <f t="shared" si="12"/>
        <v>5314.7000000000007</v>
      </c>
      <c r="M107" s="94"/>
      <c r="N107" s="77" t="s">
        <v>321</v>
      </c>
    </row>
    <row r="108" spans="1:14" s="54" customFormat="1" ht="21" customHeight="1" x14ac:dyDescent="0.25">
      <c r="A108" s="81"/>
      <c r="B108" s="89" t="s">
        <v>283</v>
      </c>
      <c r="C108" s="77" t="s">
        <v>284</v>
      </c>
      <c r="D108" s="77" t="s">
        <v>60</v>
      </c>
      <c r="E108" s="77"/>
      <c r="F108" s="77"/>
      <c r="G108" s="78">
        <v>1</v>
      </c>
      <c r="H108" s="78">
        <v>3</v>
      </c>
      <c r="I108" s="78"/>
      <c r="J108" s="79">
        <f t="shared" si="14"/>
        <v>4</v>
      </c>
      <c r="K108" s="80">
        <v>620.04999999999995</v>
      </c>
      <c r="L108" s="80">
        <f t="shared" si="12"/>
        <v>2480.1999999999998</v>
      </c>
      <c r="M108" s="94"/>
      <c r="N108" s="77" t="s">
        <v>321</v>
      </c>
    </row>
    <row r="109" spans="1:14" s="54" customFormat="1" ht="21" customHeight="1" x14ac:dyDescent="0.25">
      <c r="A109" s="81"/>
      <c r="B109" s="89" t="s">
        <v>285</v>
      </c>
      <c r="C109" s="77" t="s">
        <v>286</v>
      </c>
      <c r="D109" s="77" t="s">
        <v>60</v>
      </c>
      <c r="E109" s="77"/>
      <c r="F109" s="77"/>
      <c r="G109" s="78"/>
      <c r="H109" s="78"/>
      <c r="I109" s="78">
        <v>1</v>
      </c>
      <c r="J109" s="79">
        <f t="shared" si="14"/>
        <v>1</v>
      </c>
      <c r="K109" s="80">
        <v>708.62</v>
      </c>
      <c r="L109" s="80">
        <f t="shared" si="12"/>
        <v>708.62</v>
      </c>
      <c r="M109" s="94"/>
      <c r="N109" s="77" t="s">
        <v>321</v>
      </c>
    </row>
    <row r="110" spans="1:14" s="54" customFormat="1" ht="21" customHeight="1" x14ac:dyDescent="0.25">
      <c r="A110" s="81"/>
      <c r="B110" s="89" t="s">
        <v>287</v>
      </c>
      <c r="C110" s="77" t="s">
        <v>288</v>
      </c>
      <c r="D110" s="77" t="s">
        <v>60</v>
      </c>
      <c r="E110" s="77"/>
      <c r="F110" s="77"/>
      <c r="G110" s="78">
        <v>1</v>
      </c>
      <c r="H110" s="78">
        <v>1</v>
      </c>
      <c r="I110" s="78">
        <v>1</v>
      </c>
      <c r="J110" s="79">
        <f t="shared" si="14"/>
        <v>3</v>
      </c>
      <c r="K110" s="80">
        <v>797.2</v>
      </c>
      <c r="L110" s="80">
        <f t="shared" si="12"/>
        <v>2391.6000000000004</v>
      </c>
      <c r="M110" s="94"/>
      <c r="N110" s="77" t="s">
        <v>321</v>
      </c>
    </row>
    <row r="111" spans="1:14" s="54" customFormat="1" ht="21" customHeight="1" x14ac:dyDescent="0.25">
      <c r="A111" s="81"/>
      <c r="B111" s="89" t="s">
        <v>289</v>
      </c>
      <c r="C111" s="77" t="s">
        <v>290</v>
      </c>
      <c r="D111" s="77" t="s">
        <v>60</v>
      </c>
      <c r="E111" s="77"/>
      <c r="F111" s="77"/>
      <c r="G111" s="78">
        <v>2</v>
      </c>
      <c r="H111" s="78"/>
      <c r="I111" s="78"/>
      <c r="J111" s="79">
        <f t="shared" si="14"/>
        <v>2</v>
      </c>
      <c r="K111" s="80">
        <v>885.78</v>
      </c>
      <c r="L111" s="80">
        <f t="shared" si="12"/>
        <v>1771.56</v>
      </c>
      <c r="M111" s="94"/>
      <c r="N111" s="77" t="s">
        <v>321</v>
      </c>
    </row>
    <row r="112" spans="1:14" s="54" customFormat="1" ht="21" customHeight="1" x14ac:dyDescent="0.25">
      <c r="A112" s="81"/>
      <c r="B112" s="89" t="s">
        <v>291</v>
      </c>
      <c r="C112" s="77" t="s">
        <v>292</v>
      </c>
      <c r="D112" s="77" t="s">
        <v>60</v>
      </c>
      <c r="E112" s="77"/>
      <c r="F112" s="77"/>
      <c r="G112" s="78">
        <v>24</v>
      </c>
      <c r="H112" s="78">
        <v>18</v>
      </c>
      <c r="I112" s="78">
        <v>26</v>
      </c>
      <c r="J112" s="79">
        <f t="shared" si="14"/>
        <v>68</v>
      </c>
      <c r="K112" s="80">
        <v>974.36</v>
      </c>
      <c r="L112" s="80">
        <f t="shared" si="12"/>
        <v>66256.479999999996</v>
      </c>
      <c r="M112" s="94"/>
      <c r="N112" s="77" t="s">
        <v>321</v>
      </c>
    </row>
    <row r="113" spans="1:15" s="54" customFormat="1" ht="21" customHeight="1" x14ac:dyDescent="0.25">
      <c r="A113" s="81"/>
      <c r="B113" s="89" t="s">
        <v>293</v>
      </c>
      <c r="C113" s="77" t="s">
        <v>294</v>
      </c>
      <c r="D113" s="77" t="s">
        <v>60</v>
      </c>
      <c r="E113" s="77"/>
      <c r="F113" s="77"/>
      <c r="G113" s="78">
        <v>8</v>
      </c>
      <c r="H113" s="78">
        <v>2</v>
      </c>
      <c r="I113" s="78">
        <v>8</v>
      </c>
      <c r="J113" s="79">
        <f t="shared" si="14"/>
        <v>18</v>
      </c>
      <c r="K113" s="80">
        <v>1151.51</v>
      </c>
      <c r="L113" s="80">
        <f t="shared" si="12"/>
        <v>20727.18</v>
      </c>
      <c r="M113" s="94"/>
      <c r="N113" s="77" t="s">
        <v>321</v>
      </c>
    </row>
    <row r="114" spans="1:15" s="54" customFormat="1" ht="21" customHeight="1" x14ac:dyDescent="0.25">
      <c r="A114" s="81"/>
      <c r="B114" s="89" t="s">
        <v>295</v>
      </c>
      <c r="C114" s="77" t="s">
        <v>296</v>
      </c>
      <c r="D114" s="77" t="s">
        <v>60</v>
      </c>
      <c r="E114" s="77"/>
      <c r="F114" s="77"/>
      <c r="G114" s="78">
        <v>4</v>
      </c>
      <c r="H114" s="78">
        <v>12</v>
      </c>
      <c r="I114" s="78">
        <v>4</v>
      </c>
      <c r="J114" s="79">
        <f t="shared" si="14"/>
        <v>20</v>
      </c>
      <c r="K114" s="80">
        <v>1240.0899999999999</v>
      </c>
      <c r="L114" s="80">
        <f t="shared" si="12"/>
        <v>24801.8</v>
      </c>
      <c r="M114" s="94"/>
      <c r="N114" s="77" t="s">
        <v>321</v>
      </c>
    </row>
    <row r="115" spans="1:15" s="54" customFormat="1" ht="21" customHeight="1" x14ac:dyDescent="0.25">
      <c r="A115" s="81"/>
      <c r="B115" s="89" t="s">
        <v>297</v>
      </c>
      <c r="C115" s="77" t="s">
        <v>118</v>
      </c>
      <c r="D115" s="77" t="s">
        <v>60</v>
      </c>
      <c r="E115" s="77"/>
      <c r="F115" s="77"/>
      <c r="G115" s="78">
        <v>5</v>
      </c>
      <c r="H115" s="78"/>
      <c r="I115" s="78">
        <v>3</v>
      </c>
      <c r="J115" s="79">
        <f t="shared" si="14"/>
        <v>8</v>
      </c>
      <c r="K115" s="80">
        <v>841.49</v>
      </c>
      <c r="L115" s="80">
        <f t="shared" si="12"/>
        <v>6731.92</v>
      </c>
      <c r="M115" s="94"/>
      <c r="N115" s="77" t="s">
        <v>321</v>
      </c>
    </row>
    <row r="116" spans="1:15" s="54" customFormat="1" ht="21" customHeight="1" x14ac:dyDescent="0.25">
      <c r="A116" s="81"/>
      <c r="B116" s="89" t="s">
        <v>298</v>
      </c>
      <c r="C116" s="77" t="s">
        <v>120</v>
      </c>
      <c r="D116" s="77" t="s">
        <v>60</v>
      </c>
      <c r="E116" s="77"/>
      <c r="F116" s="77"/>
      <c r="G116" s="78">
        <v>4</v>
      </c>
      <c r="H116" s="78">
        <v>6</v>
      </c>
      <c r="I116" s="78">
        <v>6</v>
      </c>
      <c r="J116" s="79">
        <f t="shared" si="14"/>
        <v>16</v>
      </c>
      <c r="K116" s="80">
        <v>981.74</v>
      </c>
      <c r="L116" s="80">
        <f t="shared" si="12"/>
        <v>15707.84</v>
      </c>
      <c r="M116" s="94"/>
      <c r="N116" s="77" t="s">
        <v>321</v>
      </c>
    </row>
    <row r="117" spans="1:15" s="54" customFormat="1" ht="21" customHeight="1" x14ac:dyDescent="0.25">
      <c r="A117" s="81"/>
      <c r="B117" s="89" t="s">
        <v>92</v>
      </c>
      <c r="C117" s="77" t="s">
        <v>93</v>
      </c>
      <c r="D117" s="77" t="s">
        <v>54</v>
      </c>
      <c r="E117" s="77">
        <v>1.04</v>
      </c>
      <c r="F117" s="77"/>
      <c r="G117" s="78">
        <f>149.74*E117</f>
        <v>155.7296</v>
      </c>
      <c r="H117" s="78">
        <f>121.66*E117</f>
        <v>126.5264</v>
      </c>
      <c r="I117" s="78">
        <f>158.83*E117</f>
        <v>165.18320000000003</v>
      </c>
      <c r="J117" s="79">
        <f t="shared" ref="J117:J122" si="15">SUM(G117:I117)</f>
        <v>447.43920000000003</v>
      </c>
      <c r="K117" s="80">
        <v>66.349999999999994</v>
      </c>
      <c r="L117" s="80">
        <f t="shared" si="12"/>
        <v>29687.590919999999</v>
      </c>
      <c r="M117" s="94"/>
      <c r="N117" s="77" t="s">
        <v>321</v>
      </c>
    </row>
    <row r="118" spans="1:15" s="54" customFormat="1" ht="21" customHeight="1" x14ac:dyDescent="0.25">
      <c r="A118" s="81"/>
      <c r="B118" s="89" t="s">
        <v>94</v>
      </c>
      <c r="C118" s="77" t="s">
        <v>95</v>
      </c>
      <c r="D118" s="77" t="s">
        <v>54</v>
      </c>
      <c r="E118" s="77">
        <v>1.04</v>
      </c>
      <c r="F118" s="77"/>
      <c r="G118" s="78">
        <f>G86*E118</f>
        <v>43.940000000000005</v>
      </c>
      <c r="H118" s="78">
        <f>H86*E118</f>
        <v>32.895200000000003</v>
      </c>
      <c r="I118" s="78">
        <f>I86*E118</f>
        <v>27.383199999999999</v>
      </c>
      <c r="J118" s="79">
        <f t="shared" si="15"/>
        <v>104.21840000000002</v>
      </c>
      <c r="K118" s="80">
        <v>64</v>
      </c>
      <c r="L118" s="80">
        <f t="shared" si="12"/>
        <v>6669.9776000000011</v>
      </c>
      <c r="M118" s="94"/>
      <c r="N118" s="77" t="s">
        <v>321</v>
      </c>
    </row>
    <row r="119" spans="1:15" s="54" customFormat="1" ht="21" customHeight="1" x14ac:dyDescent="0.25">
      <c r="A119" s="81"/>
      <c r="B119" s="89" t="s">
        <v>131</v>
      </c>
      <c r="C119" s="77" t="s">
        <v>39</v>
      </c>
      <c r="D119" s="77" t="s">
        <v>54</v>
      </c>
      <c r="E119" s="77">
        <v>1.04</v>
      </c>
      <c r="F119" s="77"/>
      <c r="G119" s="78">
        <f>31.12*E119</f>
        <v>32.364800000000002</v>
      </c>
      <c r="H119" s="78">
        <f>31.12*E119</f>
        <v>32.364800000000002</v>
      </c>
      <c r="I119" s="78">
        <f>31.12*E119</f>
        <v>32.364800000000002</v>
      </c>
      <c r="J119" s="79">
        <f t="shared" si="15"/>
        <v>97.094400000000007</v>
      </c>
      <c r="K119" s="80">
        <v>64.209999999999994</v>
      </c>
      <c r="L119" s="80">
        <f t="shared" si="12"/>
        <v>6234.4314239999994</v>
      </c>
      <c r="M119" s="94"/>
      <c r="N119" s="77" t="s">
        <v>321</v>
      </c>
      <c r="O119" s="2"/>
    </row>
    <row r="120" spans="1:15" s="54" customFormat="1" ht="21" customHeight="1" x14ac:dyDescent="0.25">
      <c r="A120" s="81"/>
      <c r="B120" s="89" t="s">
        <v>96</v>
      </c>
      <c r="C120" s="77" t="s">
        <v>39</v>
      </c>
      <c r="D120" s="77" t="s">
        <v>54</v>
      </c>
      <c r="E120" s="77">
        <v>1.04</v>
      </c>
      <c r="F120" s="77"/>
      <c r="G120" s="78">
        <f>15.21*E120</f>
        <v>15.818400000000002</v>
      </c>
      <c r="H120" s="78">
        <f>E120*22.49</f>
        <v>23.389599999999998</v>
      </c>
      <c r="I120" s="78"/>
      <c r="J120" s="79">
        <f t="shared" si="15"/>
        <v>39.207999999999998</v>
      </c>
      <c r="K120" s="80">
        <v>72.78</v>
      </c>
      <c r="L120" s="80">
        <f t="shared" si="12"/>
        <v>2853.5582399999998</v>
      </c>
      <c r="M120" s="94"/>
      <c r="N120" s="77" t="s">
        <v>321</v>
      </c>
      <c r="O120" s="2"/>
    </row>
    <row r="121" spans="1:15" s="54" customFormat="1" ht="21" customHeight="1" x14ac:dyDescent="0.25">
      <c r="A121" s="81"/>
      <c r="B121" s="89" t="s">
        <v>97</v>
      </c>
      <c r="C121" s="77" t="s">
        <v>39</v>
      </c>
      <c r="D121" s="77" t="s">
        <v>54</v>
      </c>
      <c r="E121" s="77">
        <v>1.04</v>
      </c>
      <c r="F121" s="77"/>
      <c r="G121" s="78">
        <f>E121*30.81</f>
        <v>32.042400000000001</v>
      </c>
      <c r="H121" s="78">
        <f>E121*6.64</f>
        <v>6.9055999999999997</v>
      </c>
      <c r="I121" s="78">
        <f>E121*18.88</f>
        <v>19.635200000000001</v>
      </c>
      <c r="J121" s="79">
        <f t="shared" si="15"/>
        <v>58.583200000000005</v>
      </c>
      <c r="K121" s="80">
        <v>74.92</v>
      </c>
      <c r="L121" s="80">
        <f t="shared" si="12"/>
        <v>4389.0533440000008</v>
      </c>
      <c r="M121" s="94"/>
      <c r="N121" s="77" t="s">
        <v>321</v>
      </c>
    </row>
    <row r="122" spans="1:15" s="54" customFormat="1" ht="21" customHeight="1" x14ac:dyDescent="0.25">
      <c r="A122" s="81"/>
      <c r="B122" s="89" t="s">
        <v>132</v>
      </c>
      <c r="C122" s="77" t="s">
        <v>39</v>
      </c>
      <c r="D122" s="77" t="s">
        <v>54</v>
      </c>
      <c r="E122" s="77">
        <v>1.04</v>
      </c>
      <c r="F122" s="77"/>
      <c r="G122" s="78">
        <f>10.5*E122</f>
        <v>10.92</v>
      </c>
      <c r="H122" s="78">
        <f>10.5*E122</f>
        <v>10.92</v>
      </c>
      <c r="I122" s="78">
        <f>10.5*E122</f>
        <v>10.92</v>
      </c>
      <c r="J122" s="79">
        <f t="shared" si="15"/>
        <v>32.76</v>
      </c>
      <c r="K122" s="80">
        <v>75.97</v>
      </c>
      <c r="L122" s="80">
        <f t="shared" si="12"/>
        <v>2488.7772</v>
      </c>
      <c r="M122" s="94"/>
      <c r="N122" s="77" t="s">
        <v>321</v>
      </c>
    </row>
    <row r="123" spans="1:15" s="54" customFormat="1" ht="21" customHeight="1" x14ac:dyDescent="0.25">
      <c r="A123" s="81"/>
      <c r="B123" s="89" t="s">
        <v>275</v>
      </c>
      <c r="C123" s="77" t="s">
        <v>276</v>
      </c>
      <c r="D123" s="77" t="s">
        <v>45</v>
      </c>
      <c r="E123" s="77">
        <v>1.04</v>
      </c>
      <c r="F123" s="77"/>
      <c r="G123" s="78">
        <f>G87*0.05*E123</f>
        <v>1.8376800000000004</v>
      </c>
      <c r="H123" s="78">
        <f>H87*0.05*E123</f>
        <v>1.9578000000000002</v>
      </c>
      <c r="I123" s="78">
        <f>I87*0.05*E123</f>
        <v>2.25108</v>
      </c>
      <c r="J123" s="79">
        <f t="shared" ref="J123" si="16">SUM(G123:I123)</f>
        <v>6.0465600000000004</v>
      </c>
      <c r="K123" s="80">
        <v>6405.83</v>
      </c>
      <c r="L123" s="80">
        <f t="shared" si="12"/>
        <v>38733.235444800004</v>
      </c>
      <c r="M123" s="94"/>
      <c r="N123" s="77" t="s">
        <v>321</v>
      </c>
    </row>
    <row r="124" spans="1:15" s="101" customFormat="1" ht="33" customHeight="1" x14ac:dyDescent="0.25">
      <c r="A124" s="95"/>
      <c r="B124" s="96" t="s">
        <v>133</v>
      </c>
      <c r="C124" s="97" t="s">
        <v>39</v>
      </c>
      <c r="D124" s="97" t="s">
        <v>99</v>
      </c>
      <c r="E124" s="97"/>
      <c r="F124" s="97"/>
      <c r="G124" s="98"/>
      <c r="H124" s="98"/>
      <c r="I124" s="98"/>
      <c r="J124" s="99">
        <f>L124*100/L76</f>
        <v>3.9130727487643417</v>
      </c>
      <c r="K124" s="79"/>
      <c r="L124" s="79">
        <v>114152.04240000001</v>
      </c>
      <c r="M124" s="100"/>
      <c r="N124" s="97" t="s">
        <v>321</v>
      </c>
    </row>
    <row r="125" spans="1:15" s="54" customFormat="1" x14ac:dyDescent="0.25">
      <c r="A125" s="60" t="s">
        <v>134</v>
      </c>
      <c r="B125" s="61" t="s">
        <v>135</v>
      </c>
      <c r="C125" s="62"/>
      <c r="D125" s="63"/>
      <c r="E125" s="62"/>
      <c r="F125" s="62"/>
      <c r="G125" s="64"/>
      <c r="H125" s="64"/>
      <c r="I125" s="64"/>
      <c r="J125" s="65"/>
      <c r="K125" s="65"/>
      <c r="L125" s="65">
        <f>L126+L139</f>
        <v>3844198.0169277997</v>
      </c>
      <c r="M125" s="86"/>
      <c r="N125" s="86"/>
    </row>
    <row r="126" spans="1:15" s="54" customFormat="1" x14ac:dyDescent="0.25">
      <c r="A126" s="66"/>
      <c r="B126" s="67" t="s">
        <v>34</v>
      </c>
      <c r="C126" s="68"/>
      <c r="D126" s="68"/>
      <c r="E126" s="68"/>
      <c r="F126" s="68"/>
      <c r="G126" s="69"/>
      <c r="H126" s="69"/>
      <c r="I126" s="69"/>
      <c r="J126" s="70"/>
      <c r="K126" s="70"/>
      <c r="L126" s="70">
        <f>SUM(L127:L138)</f>
        <v>2917197.0399999996</v>
      </c>
      <c r="M126" s="72"/>
      <c r="N126" s="72"/>
    </row>
    <row r="127" spans="1:15" s="54" customFormat="1" ht="23.25" customHeight="1" x14ac:dyDescent="0.25">
      <c r="A127" s="66"/>
      <c r="B127" s="71" t="s">
        <v>44</v>
      </c>
      <c r="C127" s="72"/>
      <c r="D127" s="72" t="s">
        <v>45</v>
      </c>
      <c r="E127" s="72"/>
      <c r="F127" s="72"/>
      <c r="G127" s="73">
        <v>30.11</v>
      </c>
      <c r="H127" s="73">
        <v>25.51</v>
      </c>
      <c r="I127" s="73">
        <v>38.270000000000003</v>
      </c>
      <c r="J127" s="70">
        <f>SUM(G127:I127)</f>
        <v>93.890000000000015</v>
      </c>
      <c r="K127" s="74">
        <v>4939</v>
      </c>
      <c r="L127" s="74">
        <f>K127*J127</f>
        <v>463722.71000000008</v>
      </c>
      <c r="M127" s="72"/>
      <c r="N127" s="72"/>
    </row>
    <row r="128" spans="1:15" s="54" customFormat="1" ht="23.25" customHeight="1" x14ac:dyDescent="0.25">
      <c r="A128" s="66"/>
      <c r="B128" s="71" t="s">
        <v>102</v>
      </c>
      <c r="C128" s="72"/>
      <c r="D128" s="72" t="s">
        <v>45</v>
      </c>
      <c r="E128" s="72"/>
      <c r="F128" s="72"/>
      <c r="G128" s="73">
        <v>1.77</v>
      </c>
      <c r="H128" s="73">
        <v>1.25</v>
      </c>
      <c r="I128" s="73">
        <v>1.7</v>
      </c>
      <c r="J128" s="70">
        <f t="shared" ref="J128:J137" si="17">SUM(G128:I128)</f>
        <v>4.72</v>
      </c>
      <c r="K128" s="74">
        <v>5845</v>
      </c>
      <c r="L128" s="74">
        <f t="shared" ref="L128" si="18">K128*J128</f>
        <v>27588.399999999998</v>
      </c>
      <c r="M128" s="72"/>
      <c r="N128" s="72"/>
    </row>
    <row r="129" spans="1:14" s="54" customFormat="1" ht="23.25" customHeight="1" x14ac:dyDescent="0.25">
      <c r="A129" s="66"/>
      <c r="B129" s="71" t="s">
        <v>46</v>
      </c>
      <c r="C129" s="72"/>
      <c r="D129" s="72" t="s">
        <v>47</v>
      </c>
      <c r="E129" s="72"/>
      <c r="F129" s="72"/>
      <c r="G129" s="73">
        <v>204.75</v>
      </c>
      <c r="H129" s="73">
        <v>120.63</v>
      </c>
      <c r="I129" s="73">
        <v>142.32</v>
      </c>
      <c r="J129" s="70">
        <f t="shared" si="17"/>
        <v>467.7</v>
      </c>
      <c r="K129" s="74">
        <v>1461</v>
      </c>
      <c r="L129" s="74">
        <f>K129*J129</f>
        <v>683309.7</v>
      </c>
      <c r="M129" s="72"/>
      <c r="N129" s="72"/>
    </row>
    <row r="130" spans="1:14" s="54" customFormat="1" ht="23.25" customHeight="1" x14ac:dyDescent="0.25">
      <c r="A130" s="66"/>
      <c r="B130" s="71" t="s">
        <v>48</v>
      </c>
      <c r="C130" s="72"/>
      <c r="D130" s="72" t="s">
        <v>47</v>
      </c>
      <c r="E130" s="72"/>
      <c r="F130" s="72"/>
      <c r="G130" s="73">
        <v>57.32</v>
      </c>
      <c r="H130" s="73">
        <v>44.32</v>
      </c>
      <c r="I130" s="73">
        <v>79.95</v>
      </c>
      <c r="J130" s="70">
        <f t="shared" si="17"/>
        <v>181.59</v>
      </c>
      <c r="K130" s="74">
        <v>1461</v>
      </c>
      <c r="L130" s="74">
        <f>K130*J130</f>
        <v>265302.99</v>
      </c>
      <c r="M130" s="72"/>
      <c r="N130" s="72"/>
    </row>
    <row r="131" spans="1:14" s="54" customFormat="1" ht="23.25" customHeight="1" x14ac:dyDescent="0.25">
      <c r="A131" s="66"/>
      <c r="B131" s="71" t="s">
        <v>103</v>
      </c>
      <c r="C131" s="72"/>
      <c r="D131" s="72" t="s">
        <v>47</v>
      </c>
      <c r="E131" s="72"/>
      <c r="F131" s="72"/>
      <c r="G131" s="73">
        <v>156.13999999999999</v>
      </c>
      <c r="H131" s="73">
        <v>101.76</v>
      </c>
      <c r="I131" s="73">
        <v>158.25</v>
      </c>
      <c r="J131" s="70">
        <f t="shared" si="17"/>
        <v>416.15</v>
      </c>
      <c r="K131" s="74">
        <v>1461</v>
      </c>
      <c r="L131" s="74">
        <f>K131*J131</f>
        <v>607995.15</v>
      </c>
      <c r="M131" s="72"/>
      <c r="N131" s="72"/>
    </row>
    <row r="132" spans="1:14" s="54" customFormat="1" ht="23.25" customHeight="1" x14ac:dyDescent="0.25">
      <c r="A132" s="66"/>
      <c r="B132" s="71" t="s">
        <v>104</v>
      </c>
      <c r="C132" s="72"/>
      <c r="D132" s="72" t="s">
        <v>47</v>
      </c>
      <c r="E132" s="72"/>
      <c r="F132" s="72"/>
      <c r="G132" s="73">
        <v>100.39</v>
      </c>
      <c r="H132" s="73">
        <v>112.4</v>
      </c>
      <c r="I132" s="73">
        <v>113.93</v>
      </c>
      <c r="J132" s="70">
        <f t="shared" si="17"/>
        <v>326.72000000000003</v>
      </c>
      <c r="K132" s="74">
        <v>1461</v>
      </c>
      <c r="L132" s="74">
        <f>K132*J132</f>
        <v>477337.92000000004</v>
      </c>
      <c r="M132" s="72"/>
      <c r="N132" s="72"/>
    </row>
    <row r="133" spans="1:14" s="54" customFormat="1" ht="23.25" customHeight="1" x14ac:dyDescent="0.25">
      <c r="A133" s="66"/>
      <c r="B133" s="71" t="s">
        <v>49</v>
      </c>
      <c r="C133" s="72"/>
      <c r="D133" s="72" t="s">
        <v>47</v>
      </c>
      <c r="E133" s="72"/>
      <c r="F133" s="72"/>
      <c r="G133" s="73">
        <v>27.1</v>
      </c>
      <c r="H133" s="73">
        <v>36.04</v>
      </c>
      <c r="I133" s="73">
        <v>32.35</v>
      </c>
      <c r="J133" s="70">
        <f t="shared" si="17"/>
        <v>95.490000000000009</v>
      </c>
      <c r="K133" s="74">
        <v>1610</v>
      </c>
      <c r="L133" s="74">
        <f t="shared" ref="L133:L137" si="19">K133*J133</f>
        <v>153738.90000000002</v>
      </c>
      <c r="M133" s="72"/>
      <c r="N133" s="72"/>
    </row>
    <row r="134" spans="1:14" s="54" customFormat="1" ht="23.25" customHeight="1" x14ac:dyDescent="0.25">
      <c r="A134" s="66"/>
      <c r="B134" s="71" t="s">
        <v>50</v>
      </c>
      <c r="C134" s="72"/>
      <c r="D134" s="72" t="s">
        <v>51</v>
      </c>
      <c r="E134" s="72"/>
      <c r="F134" s="72"/>
      <c r="G134" s="73">
        <v>77</v>
      </c>
      <c r="H134" s="73">
        <v>59</v>
      </c>
      <c r="I134" s="73">
        <v>77</v>
      </c>
      <c r="J134" s="70">
        <f t="shared" si="17"/>
        <v>213</v>
      </c>
      <c r="K134" s="74">
        <v>803</v>
      </c>
      <c r="L134" s="74">
        <f t="shared" si="19"/>
        <v>171039</v>
      </c>
      <c r="M134" s="72"/>
      <c r="N134" s="72"/>
    </row>
    <row r="135" spans="1:14" s="54" customFormat="1" ht="23.25" customHeight="1" x14ac:dyDescent="0.25">
      <c r="A135" s="66"/>
      <c r="B135" s="71" t="s">
        <v>52</v>
      </c>
      <c r="C135" s="72" t="s">
        <v>105</v>
      </c>
      <c r="D135" s="72" t="s">
        <v>54</v>
      </c>
      <c r="E135" s="72"/>
      <c r="F135" s="72"/>
      <c r="G135" s="129">
        <v>87.64</v>
      </c>
      <c r="H135" s="129">
        <v>70.760000000000005</v>
      </c>
      <c r="I135" s="129">
        <v>60.5</v>
      </c>
      <c r="J135" s="130">
        <f t="shared" si="17"/>
        <v>218.9</v>
      </c>
      <c r="K135" s="74">
        <v>94.5</v>
      </c>
      <c r="L135" s="74">
        <f t="shared" si="19"/>
        <v>20686.05</v>
      </c>
      <c r="M135" s="72"/>
      <c r="N135" s="72"/>
    </row>
    <row r="136" spans="1:14" s="54" customFormat="1" ht="31.5" x14ac:dyDescent="0.25">
      <c r="A136" s="66"/>
      <c r="B136" s="71" t="s">
        <v>55</v>
      </c>
      <c r="C136" s="72"/>
      <c r="D136" s="72" t="s">
        <v>54</v>
      </c>
      <c r="E136" s="72"/>
      <c r="F136" s="72"/>
      <c r="G136" s="73">
        <v>42.25</v>
      </c>
      <c r="H136" s="73">
        <v>31.63</v>
      </c>
      <c r="I136" s="73">
        <v>26.33</v>
      </c>
      <c r="J136" s="70">
        <f t="shared" si="17"/>
        <v>100.21</v>
      </c>
      <c r="K136" s="74">
        <v>118</v>
      </c>
      <c r="L136" s="74">
        <f t="shared" si="19"/>
        <v>11824.779999999999</v>
      </c>
      <c r="M136" s="72"/>
      <c r="N136" s="72"/>
    </row>
    <row r="137" spans="1:14" s="54" customFormat="1" ht="18.75" customHeight="1" x14ac:dyDescent="0.25">
      <c r="A137" s="66"/>
      <c r="B137" s="71" t="s">
        <v>256</v>
      </c>
      <c r="C137" s="72"/>
      <c r="D137" s="72" t="s">
        <v>47</v>
      </c>
      <c r="E137" s="72"/>
      <c r="F137" s="72"/>
      <c r="G137" s="73">
        <v>35.340000000000003</v>
      </c>
      <c r="H137" s="73">
        <v>37.65</v>
      </c>
      <c r="I137" s="73">
        <v>43.29</v>
      </c>
      <c r="J137" s="70">
        <f t="shared" si="17"/>
        <v>116.28</v>
      </c>
      <c r="K137" s="74">
        <v>298</v>
      </c>
      <c r="L137" s="74">
        <f t="shared" si="19"/>
        <v>34651.440000000002</v>
      </c>
      <c r="M137" s="72"/>
      <c r="N137" s="72"/>
    </row>
    <row r="138" spans="1:14" s="54" customFormat="1" ht="18.75" customHeight="1" x14ac:dyDescent="0.25">
      <c r="A138" s="66"/>
      <c r="B138" s="87" t="s">
        <v>56</v>
      </c>
      <c r="C138" s="88"/>
      <c r="D138" s="88" t="s">
        <v>45</v>
      </c>
      <c r="E138" s="88"/>
      <c r="F138" s="88"/>
      <c r="G138" s="73">
        <f>291.89*0.06*0.03</f>
        <v>0.52540199999999992</v>
      </c>
      <c r="H138" s="73">
        <f>228.82*0.06*0.03</f>
        <v>0.41187599999999996</v>
      </c>
      <c r="I138" s="73">
        <f>295.85*0.06*0.03</f>
        <v>0.53253000000000006</v>
      </c>
      <c r="J138" s="70">
        <f>SUM(G138:I138)</f>
        <v>1.469808</v>
      </c>
      <c r="K138" s="74"/>
      <c r="L138" s="74"/>
      <c r="M138" s="88" t="s">
        <v>57</v>
      </c>
      <c r="N138" s="72"/>
    </row>
    <row r="139" spans="1:14" s="54" customFormat="1" x14ac:dyDescent="0.25">
      <c r="A139" s="75"/>
      <c r="B139" s="76" t="s">
        <v>38</v>
      </c>
      <c r="C139" s="77"/>
      <c r="D139" s="77"/>
      <c r="E139" s="77"/>
      <c r="F139" s="77"/>
      <c r="G139" s="78"/>
      <c r="H139" s="78"/>
      <c r="I139" s="78"/>
      <c r="J139" s="79"/>
      <c r="K139" s="80"/>
      <c r="L139" s="79">
        <f>SUM(L140:L174)</f>
        <v>927000.97692779999</v>
      </c>
      <c r="M139" s="77"/>
      <c r="N139" s="77"/>
    </row>
    <row r="140" spans="1:14" s="54" customFormat="1" ht="31.5" x14ac:dyDescent="0.25">
      <c r="A140" s="81"/>
      <c r="B140" s="82" t="s">
        <v>58</v>
      </c>
      <c r="C140" s="77" t="s">
        <v>59</v>
      </c>
      <c r="D140" s="77" t="s">
        <v>60</v>
      </c>
      <c r="E140" s="78">
        <v>12.4</v>
      </c>
      <c r="F140" s="77">
        <v>0.25</v>
      </c>
      <c r="G140" s="83">
        <f>G127/F140*E140</f>
        <v>1493.4559999999999</v>
      </c>
      <c r="H140" s="83">
        <f>H127/F140*E140</f>
        <v>1265.296</v>
      </c>
      <c r="I140" s="83">
        <f>I127/F140*E140</f>
        <v>1898.1920000000002</v>
      </c>
      <c r="J140" s="84">
        <f>SUM(G140:I140)</f>
        <v>4656.9440000000004</v>
      </c>
      <c r="K140" s="80">
        <v>0</v>
      </c>
      <c r="L140" s="80">
        <f>J140*K140</f>
        <v>0</v>
      </c>
      <c r="M140" s="77" t="s">
        <v>61</v>
      </c>
      <c r="N140" s="77" t="s">
        <v>320</v>
      </c>
    </row>
    <row r="141" spans="1:14" s="54" customFormat="1" ht="31.5" x14ac:dyDescent="0.25">
      <c r="A141" s="81"/>
      <c r="B141" s="82" t="s">
        <v>62</v>
      </c>
      <c r="C141" s="77" t="s">
        <v>63</v>
      </c>
      <c r="D141" s="77" t="s">
        <v>60</v>
      </c>
      <c r="E141" s="78">
        <v>12.4</v>
      </c>
      <c r="F141" s="77"/>
      <c r="G141" s="83">
        <f>G129*E141</f>
        <v>2538.9</v>
      </c>
      <c r="H141" s="83">
        <f>H129*E141</f>
        <v>1495.8119999999999</v>
      </c>
      <c r="I141" s="83">
        <f>I129*E141</f>
        <v>1764.768</v>
      </c>
      <c r="J141" s="84">
        <f t="shared" ref="J141:J145" si="20">SUM(G141:I141)</f>
        <v>5799.48</v>
      </c>
      <c r="K141" s="80">
        <v>0</v>
      </c>
      <c r="L141" s="80">
        <f>J141*K141</f>
        <v>0</v>
      </c>
      <c r="M141" s="77" t="s">
        <v>61</v>
      </c>
      <c r="N141" s="77" t="s">
        <v>320</v>
      </c>
    </row>
    <row r="142" spans="1:14" s="54" customFormat="1" ht="31.5" x14ac:dyDescent="0.25">
      <c r="A142" s="81"/>
      <c r="B142" s="82" t="s">
        <v>64</v>
      </c>
      <c r="C142" s="77" t="s">
        <v>65</v>
      </c>
      <c r="D142" s="77" t="s">
        <v>60</v>
      </c>
      <c r="E142" s="78">
        <v>12.4</v>
      </c>
      <c r="F142" s="77"/>
      <c r="G142" s="83">
        <f>G130*E142</f>
        <v>710.76800000000003</v>
      </c>
      <c r="H142" s="83">
        <f>H130*E142</f>
        <v>549.56799999999998</v>
      </c>
      <c r="I142" s="83">
        <f>I130*E142</f>
        <v>991.38000000000011</v>
      </c>
      <c r="J142" s="84">
        <f t="shared" si="20"/>
        <v>2251.7160000000003</v>
      </c>
      <c r="K142" s="80">
        <v>0</v>
      </c>
      <c r="L142" s="80">
        <f>J142*K142</f>
        <v>0</v>
      </c>
      <c r="M142" s="77" t="s">
        <v>61</v>
      </c>
      <c r="N142" s="77" t="s">
        <v>320</v>
      </c>
    </row>
    <row r="143" spans="1:14" s="54" customFormat="1" ht="31.5" x14ac:dyDescent="0.25">
      <c r="A143" s="81"/>
      <c r="B143" s="82" t="s">
        <v>106</v>
      </c>
      <c r="C143" s="77" t="s">
        <v>107</v>
      </c>
      <c r="D143" s="77" t="s">
        <v>60</v>
      </c>
      <c r="E143" s="78">
        <v>12.4</v>
      </c>
      <c r="F143" s="77"/>
      <c r="G143" s="83">
        <f>G131*E143</f>
        <v>1936.136</v>
      </c>
      <c r="H143" s="83">
        <f>H131*E143</f>
        <v>1261.8240000000001</v>
      </c>
      <c r="I143" s="83">
        <f>I131*E143</f>
        <v>1962.3</v>
      </c>
      <c r="J143" s="84">
        <f t="shared" si="20"/>
        <v>5160.26</v>
      </c>
      <c r="K143" s="80">
        <v>0</v>
      </c>
      <c r="L143" s="80">
        <f>J143*K143</f>
        <v>0</v>
      </c>
      <c r="M143" s="77" t="s">
        <v>61</v>
      </c>
      <c r="N143" s="77" t="s">
        <v>320</v>
      </c>
    </row>
    <row r="144" spans="1:14" s="54" customFormat="1" ht="31.5" x14ac:dyDescent="0.25">
      <c r="A144" s="81"/>
      <c r="B144" s="82" t="s">
        <v>108</v>
      </c>
      <c r="C144" s="77" t="s">
        <v>109</v>
      </c>
      <c r="D144" s="77" t="s">
        <v>60</v>
      </c>
      <c r="E144" s="78">
        <v>12.4</v>
      </c>
      <c r="F144" s="77"/>
      <c r="G144" s="83">
        <f>G132*E144</f>
        <v>1244.836</v>
      </c>
      <c r="H144" s="83">
        <f>H132*E144</f>
        <v>1393.7600000000002</v>
      </c>
      <c r="I144" s="83">
        <f>I132*E144</f>
        <v>1412.7320000000002</v>
      </c>
      <c r="J144" s="84">
        <f t="shared" si="20"/>
        <v>4051.3280000000004</v>
      </c>
      <c r="K144" s="80">
        <v>0</v>
      </c>
      <c r="L144" s="80">
        <f>J144*K144</f>
        <v>0</v>
      </c>
      <c r="M144" s="77" t="s">
        <v>61</v>
      </c>
      <c r="N144" s="77" t="s">
        <v>320</v>
      </c>
    </row>
    <row r="145" spans="1:14" s="54" customFormat="1" ht="31.5" x14ac:dyDescent="0.25">
      <c r="A145" s="81"/>
      <c r="B145" s="89" t="s">
        <v>66</v>
      </c>
      <c r="C145" s="77" t="s">
        <v>67</v>
      </c>
      <c r="D145" s="77" t="s">
        <v>60</v>
      </c>
      <c r="E145" s="90">
        <v>42</v>
      </c>
      <c r="F145" s="90"/>
      <c r="G145" s="83">
        <f>G133*E145</f>
        <v>1138.2</v>
      </c>
      <c r="H145" s="83">
        <f>H133*E145</f>
        <v>1513.68</v>
      </c>
      <c r="I145" s="83">
        <f>I133*E145</f>
        <v>1358.7</v>
      </c>
      <c r="J145" s="84">
        <f t="shared" si="20"/>
        <v>4010.58</v>
      </c>
      <c r="K145" s="80">
        <v>0</v>
      </c>
      <c r="L145" s="80">
        <f t="shared" ref="L145:L173" si="21">J145*K145</f>
        <v>0</v>
      </c>
      <c r="M145" s="77" t="s">
        <v>68</v>
      </c>
      <c r="N145" s="77" t="s">
        <v>320</v>
      </c>
    </row>
    <row r="146" spans="1:14" s="54" customFormat="1" ht="31.5" x14ac:dyDescent="0.25">
      <c r="A146" s="81"/>
      <c r="B146" s="89" t="s">
        <v>110</v>
      </c>
      <c r="C146" s="77" t="s">
        <v>111</v>
      </c>
      <c r="D146" s="77" t="s">
        <v>60</v>
      </c>
      <c r="E146" s="90">
        <v>42</v>
      </c>
      <c r="F146" s="90"/>
      <c r="G146" s="83">
        <f>G128/0.25*E146</f>
        <v>297.36</v>
      </c>
      <c r="H146" s="83">
        <f>H128/0.25*E146</f>
        <v>210</v>
      </c>
      <c r="I146" s="83">
        <f>I128/0.25*E146</f>
        <v>285.59999999999997</v>
      </c>
      <c r="J146" s="84">
        <f t="shared" ref="J146" si="22">SUM(G146:I146)</f>
        <v>792.96</v>
      </c>
      <c r="K146" s="80">
        <v>0</v>
      </c>
      <c r="L146" s="80">
        <f t="shared" si="21"/>
        <v>0</v>
      </c>
      <c r="M146" s="77" t="s">
        <v>68</v>
      </c>
      <c r="N146" s="77" t="s">
        <v>320</v>
      </c>
    </row>
    <row r="147" spans="1:14" s="54" customFormat="1" ht="32.25" customHeight="1" x14ac:dyDescent="0.25">
      <c r="A147" s="81"/>
      <c r="B147" s="91" t="s">
        <v>69</v>
      </c>
      <c r="C147" s="77" t="s">
        <v>70</v>
      </c>
      <c r="D147" s="77" t="s">
        <v>45</v>
      </c>
      <c r="E147" s="77">
        <v>0.19500000000000001</v>
      </c>
      <c r="F147" s="90"/>
      <c r="G147" s="78">
        <f>G127*E147+G129*E147*0.19+G130*E147*0.19+G131*E147*0.09+G132*E147*0.09</f>
        <v>20.083245000000002</v>
      </c>
      <c r="H147" s="78">
        <f>H127*E147+H129*E147*0.19+H130*E147*0.19+H131*E147*0.09+H132*E147*0.09</f>
        <v>14.844355500000001</v>
      </c>
      <c r="I147" s="78">
        <f>I127*E147+I129*E147*0.19+I130*E147*0.19+I131*E147*0.09+I132*E147*0.09</f>
        <v>20.474512499999999</v>
      </c>
      <c r="J147" s="79">
        <f>SUM(G147:I147)</f>
        <v>55.402113</v>
      </c>
      <c r="K147" s="80">
        <v>7875</v>
      </c>
      <c r="L147" s="80">
        <f t="shared" si="21"/>
        <v>436291.63987499999</v>
      </c>
      <c r="M147" s="77" t="s">
        <v>71</v>
      </c>
      <c r="N147" s="77" t="s">
        <v>321</v>
      </c>
    </row>
    <row r="148" spans="1:14" s="54" customFormat="1" ht="32.25" customHeight="1" x14ac:dyDescent="0.25">
      <c r="A148" s="92"/>
      <c r="B148" s="91" t="s">
        <v>112</v>
      </c>
      <c r="C148" s="77" t="s">
        <v>70</v>
      </c>
      <c r="D148" s="77" t="s">
        <v>45</v>
      </c>
      <c r="E148" s="77">
        <v>0.24</v>
      </c>
      <c r="F148" s="77"/>
      <c r="G148" s="78">
        <f>G128*E148</f>
        <v>0.42480000000000001</v>
      </c>
      <c r="H148" s="78">
        <f>H128*E148</f>
        <v>0.3</v>
      </c>
      <c r="I148" s="78">
        <f>I128*E148</f>
        <v>0.40799999999999997</v>
      </c>
      <c r="J148" s="79">
        <f t="shared" ref="J148:J166" si="23">SUM(G148:I148)</f>
        <v>1.1328</v>
      </c>
      <c r="K148" s="80">
        <v>7875</v>
      </c>
      <c r="L148" s="80">
        <f t="shared" si="21"/>
        <v>8920.8000000000011</v>
      </c>
      <c r="M148" s="77" t="s">
        <v>71</v>
      </c>
      <c r="N148" s="77" t="s">
        <v>321</v>
      </c>
    </row>
    <row r="149" spans="1:14" s="54" customFormat="1" ht="32.25" customHeight="1" x14ac:dyDescent="0.25">
      <c r="A149" s="92"/>
      <c r="B149" s="91" t="s">
        <v>72</v>
      </c>
      <c r="C149" s="77" t="s">
        <v>70</v>
      </c>
      <c r="D149" s="77" t="s">
        <v>45</v>
      </c>
      <c r="E149" s="77">
        <v>4.5999999999999999E-2</v>
      </c>
      <c r="F149" s="77"/>
      <c r="G149" s="78">
        <f>G133*E149</f>
        <v>1.2466000000000002</v>
      </c>
      <c r="H149" s="78">
        <f>H133*E149</f>
        <v>1.65784</v>
      </c>
      <c r="I149" s="78">
        <f>I133*E149</f>
        <v>1.4881</v>
      </c>
      <c r="J149" s="79">
        <f t="shared" si="23"/>
        <v>4.3925400000000003</v>
      </c>
      <c r="K149" s="80">
        <v>7875</v>
      </c>
      <c r="L149" s="80">
        <f t="shared" si="21"/>
        <v>34591.252500000002</v>
      </c>
      <c r="M149" s="77" t="s">
        <v>73</v>
      </c>
      <c r="N149" s="77" t="s">
        <v>321</v>
      </c>
    </row>
    <row r="150" spans="1:14" s="54" customFormat="1" ht="32.25" customHeight="1" x14ac:dyDescent="0.25">
      <c r="A150" s="92"/>
      <c r="B150" s="91" t="s">
        <v>74</v>
      </c>
      <c r="C150" s="77" t="s">
        <v>70</v>
      </c>
      <c r="D150" s="77" t="s">
        <v>45</v>
      </c>
      <c r="E150" s="77">
        <v>1.01</v>
      </c>
      <c r="F150" s="77"/>
      <c r="G150" s="78">
        <f>G138*E150</f>
        <v>0.5306560199999999</v>
      </c>
      <c r="H150" s="78">
        <f>H138*E150</f>
        <v>0.41599475999999996</v>
      </c>
      <c r="I150" s="78">
        <f>I138*E150</f>
        <v>0.53785530000000004</v>
      </c>
      <c r="J150" s="79">
        <f t="shared" si="23"/>
        <v>1.4845060800000001</v>
      </c>
      <c r="K150" s="80">
        <v>7875</v>
      </c>
      <c r="L150" s="80">
        <f t="shared" si="21"/>
        <v>11690.48538</v>
      </c>
      <c r="M150" s="77" t="s">
        <v>71</v>
      </c>
      <c r="N150" s="77" t="s">
        <v>321</v>
      </c>
    </row>
    <row r="151" spans="1:14" s="54" customFormat="1" ht="32.25" customHeight="1" x14ac:dyDescent="0.25">
      <c r="A151" s="81"/>
      <c r="B151" s="89" t="s">
        <v>75</v>
      </c>
      <c r="C151" s="77" t="s">
        <v>70</v>
      </c>
      <c r="D151" s="77" t="s">
        <v>45</v>
      </c>
      <c r="E151" s="77">
        <v>6.0000000000000001E-3</v>
      </c>
      <c r="F151" s="77"/>
      <c r="G151" s="78">
        <f>G134*E151</f>
        <v>0.46200000000000002</v>
      </c>
      <c r="H151" s="78">
        <f>H134*E151</f>
        <v>0.35399999999999998</v>
      </c>
      <c r="I151" s="78">
        <f>I134*E151</f>
        <v>0.46200000000000002</v>
      </c>
      <c r="J151" s="79">
        <f t="shared" si="23"/>
        <v>1.278</v>
      </c>
      <c r="K151" s="80">
        <v>7875</v>
      </c>
      <c r="L151" s="80">
        <f t="shared" si="21"/>
        <v>10064.25</v>
      </c>
      <c r="M151" s="77" t="s">
        <v>76</v>
      </c>
      <c r="N151" s="77" t="s">
        <v>321</v>
      </c>
    </row>
    <row r="152" spans="1:14" s="54" customFormat="1" ht="32.25" customHeight="1" x14ac:dyDescent="0.25">
      <c r="A152" s="81"/>
      <c r="B152" s="89" t="s">
        <v>77</v>
      </c>
      <c r="C152" s="77" t="s">
        <v>70</v>
      </c>
      <c r="D152" s="77" t="s">
        <v>45</v>
      </c>
      <c r="E152" s="77">
        <v>1.01</v>
      </c>
      <c r="F152" s="77"/>
      <c r="G152" s="93">
        <v>5.7000000000000002E-2</v>
      </c>
      <c r="H152" s="93">
        <v>4.2999999999999997E-2</v>
      </c>
      <c r="I152" s="93">
        <v>3.2000000000000001E-2</v>
      </c>
      <c r="J152" s="79">
        <f t="shared" si="23"/>
        <v>0.13200000000000001</v>
      </c>
      <c r="K152" s="80">
        <v>7875</v>
      </c>
      <c r="L152" s="80">
        <f t="shared" si="21"/>
        <v>1039.5</v>
      </c>
      <c r="M152" s="94"/>
      <c r="N152" s="77" t="s">
        <v>321</v>
      </c>
    </row>
    <row r="153" spans="1:14" s="54" customFormat="1" ht="22.5" customHeight="1" x14ac:dyDescent="0.25">
      <c r="A153" s="81"/>
      <c r="B153" s="89" t="s">
        <v>78</v>
      </c>
      <c r="C153" s="77" t="s">
        <v>79</v>
      </c>
      <c r="D153" s="77" t="s">
        <v>47</v>
      </c>
      <c r="E153" s="77"/>
      <c r="F153" s="77"/>
      <c r="G153" s="78">
        <v>182.58</v>
      </c>
      <c r="H153" s="78">
        <v>142.61000000000001</v>
      </c>
      <c r="I153" s="78">
        <v>188.7</v>
      </c>
      <c r="J153" s="79">
        <f t="shared" si="23"/>
        <v>513.8900000000001</v>
      </c>
      <c r="K153" s="80">
        <v>88.34</v>
      </c>
      <c r="L153" s="80">
        <f t="shared" si="21"/>
        <v>45397.042600000008</v>
      </c>
      <c r="M153" s="94"/>
      <c r="N153" s="77" t="s">
        <v>321</v>
      </c>
    </row>
    <row r="154" spans="1:14" s="54" customFormat="1" ht="22.5" customHeight="1" x14ac:dyDescent="0.25">
      <c r="A154" s="81"/>
      <c r="B154" s="89" t="s">
        <v>277</v>
      </c>
      <c r="C154" s="77" t="s">
        <v>114</v>
      </c>
      <c r="D154" s="77" t="s">
        <v>60</v>
      </c>
      <c r="E154" s="77"/>
      <c r="F154" s="77"/>
      <c r="G154" s="78">
        <v>12</v>
      </c>
      <c r="H154" s="78">
        <v>17</v>
      </c>
      <c r="I154" s="78">
        <v>13</v>
      </c>
      <c r="J154" s="79">
        <f t="shared" si="23"/>
        <v>42</v>
      </c>
      <c r="K154" s="80">
        <v>398.6</v>
      </c>
      <c r="L154" s="80">
        <f t="shared" si="21"/>
        <v>16741.2</v>
      </c>
      <c r="M154" s="94"/>
      <c r="N154" s="77" t="s">
        <v>321</v>
      </c>
    </row>
    <row r="155" spans="1:14" s="54" customFormat="1" ht="22.5" customHeight="1" x14ac:dyDescent="0.25">
      <c r="A155" s="81"/>
      <c r="B155" s="89" t="s">
        <v>278</v>
      </c>
      <c r="C155" s="77" t="s">
        <v>116</v>
      </c>
      <c r="D155" s="77" t="s">
        <v>60</v>
      </c>
      <c r="E155" s="77"/>
      <c r="F155" s="77"/>
      <c r="G155" s="78">
        <v>10</v>
      </c>
      <c r="H155" s="78"/>
      <c r="I155" s="78">
        <v>10</v>
      </c>
      <c r="J155" s="79">
        <f t="shared" si="23"/>
        <v>20</v>
      </c>
      <c r="K155" s="80">
        <v>465.03</v>
      </c>
      <c r="L155" s="80">
        <f t="shared" si="21"/>
        <v>9300.5999999999985</v>
      </c>
      <c r="M155" s="94"/>
      <c r="N155" s="77" t="s">
        <v>321</v>
      </c>
    </row>
    <row r="156" spans="1:14" s="54" customFormat="1" ht="22.5" customHeight="1" x14ac:dyDescent="0.25">
      <c r="A156" s="81"/>
      <c r="B156" s="89" t="s">
        <v>279</v>
      </c>
      <c r="C156" s="77" t="s">
        <v>280</v>
      </c>
      <c r="D156" s="77" t="s">
        <v>60</v>
      </c>
      <c r="E156" s="77"/>
      <c r="F156" s="77"/>
      <c r="G156" s="78"/>
      <c r="H156" s="78"/>
      <c r="I156" s="78">
        <v>1</v>
      </c>
      <c r="J156" s="79">
        <f t="shared" si="23"/>
        <v>1</v>
      </c>
      <c r="K156" s="80">
        <v>863.64</v>
      </c>
      <c r="L156" s="80">
        <f t="shared" si="21"/>
        <v>863.64</v>
      </c>
      <c r="M156" s="94"/>
      <c r="N156" s="77" t="s">
        <v>321</v>
      </c>
    </row>
    <row r="157" spans="1:14" s="54" customFormat="1" ht="22.5" customHeight="1" x14ac:dyDescent="0.25">
      <c r="A157" s="81"/>
      <c r="B157" s="89" t="s">
        <v>281</v>
      </c>
      <c r="C157" s="77" t="s">
        <v>282</v>
      </c>
      <c r="D157" s="77" t="s">
        <v>60</v>
      </c>
      <c r="E157" s="77"/>
      <c r="F157" s="77"/>
      <c r="G157" s="78">
        <v>6</v>
      </c>
      <c r="H157" s="78"/>
      <c r="I157" s="78">
        <v>4</v>
      </c>
      <c r="J157" s="79">
        <f t="shared" si="23"/>
        <v>10</v>
      </c>
      <c r="K157" s="80">
        <v>531.47</v>
      </c>
      <c r="L157" s="80">
        <f t="shared" si="21"/>
        <v>5314.7000000000007</v>
      </c>
      <c r="M157" s="94"/>
      <c r="N157" s="77" t="s">
        <v>321</v>
      </c>
    </row>
    <row r="158" spans="1:14" s="54" customFormat="1" ht="22.5" customHeight="1" x14ac:dyDescent="0.25">
      <c r="A158" s="81"/>
      <c r="B158" s="89" t="s">
        <v>283</v>
      </c>
      <c r="C158" s="77" t="s">
        <v>284</v>
      </c>
      <c r="D158" s="77" t="s">
        <v>60</v>
      </c>
      <c r="E158" s="77"/>
      <c r="F158" s="77"/>
      <c r="G158" s="78">
        <v>1</v>
      </c>
      <c r="H158" s="78">
        <v>3</v>
      </c>
      <c r="I158" s="78"/>
      <c r="J158" s="79">
        <f t="shared" si="23"/>
        <v>4</v>
      </c>
      <c r="K158" s="80">
        <v>620.04999999999995</v>
      </c>
      <c r="L158" s="80">
        <f t="shared" si="21"/>
        <v>2480.1999999999998</v>
      </c>
      <c r="M158" s="94"/>
      <c r="N158" s="77" t="s">
        <v>321</v>
      </c>
    </row>
    <row r="159" spans="1:14" s="54" customFormat="1" ht="22.5" customHeight="1" x14ac:dyDescent="0.25">
      <c r="A159" s="81"/>
      <c r="B159" s="89" t="s">
        <v>285</v>
      </c>
      <c r="C159" s="77" t="s">
        <v>286</v>
      </c>
      <c r="D159" s="77" t="s">
        <v>60</v>
      </c>
      <c r="E159" s="77"/>
      <c r="F159" s="77"/>
      <c r="G159" s="78"/>
      <c r="H159" s="78"/>
      <c r="I159" s="78">
        <v>1</v>
      </c>
      <c r="J159" s="79">
        <f t="shared" si="23"/>
        <v>1</v>
      </c>
      <c r="K159" s="80">
        <v>708.62</v>
      </c>
      <c r="L159" s="80">
        <f t="shared" si="21"/>
        <v>708.62</v>
      </c>
      <c r="M159" s="94"/>
      <c r="N159" s="77" t="s">
        <v>321</v>
      </c>
    </row>
    <row r="160" spans="1:14" s="54" customFormat="1" ht="22.5" customHeight="1" x14ac:dyDescent="0.25">
      <c r="A160" s="81"/>
      <c r="B160" s="89" t="s">
        <v>287</v>
      </c>
      <c r="C160" s="77" t="s">
        <v>288</v>
      </c>
      <c r="D160" s="77" t="s">
        <v>60</v>
      </c>
      <c r="E160" s="77"/>
      <c r="F160" s="77"/>
      <c r="G160" s="78">
        <v>1</v>
      </c>
      <c r="H160" s="78">
        <v>1</v>
      </c>
      <c r="I160" s="78">
        <v>1</v>
      </c>
      <c r="J160" s="79">
        <f t="shared" si="23"/>
        <v>3</v>
      </c>
      <c r="K160" s="80">
        <v>797.2</v>
      </c>
      <c r="L160" s="80">
        <f t="shared" si="21"/>
        <v>2391.6000000000004</v>
      </c>
      <c r="M160" s="94"/>
      <c r="N160" s="77" t="s">
        <v>321</v>
      </c>
    </row>
    <row r="161" spans="1:15" s="54" customFormat="1" ht="22.5" customHeight="1" x14ac:dyDescent="0.25">
      <c r="A161" s="81"/>
      <c r="B161" s="89" t="s">
        <v>289</v>
      </c>
      <c r="C161" s="77" t="s">
        <v>290</v>
      </c>
      <c r="D161" s="77" t="s">
        <v>60</v>
      </c>
      <c r="E161" s="77"/>
      <c r="F161" s="77"/>
      <c r="G161" s="78">
        <v>2</v>
      </c>
      <c r="H161" s="78"/>
      <c r="I161" s="78"/>
      <c r="J161" s="79">
        <f t="shared" si="23"/>
        <v>2</v>
      </c>
      <c r="K161" s="80">
        <v>885.78</v>
      </c>
      <c r="L161" s="80">
        <f t="shared" si="21"/>
        <v>1771.56</v>
      </c>
      <c r="M161" s="94"/>
      <c r="N161" s="77" t="s">
        <v>321</v>
      </c>
    </row>
    <row r="162" spans="1:15" s="54" customFormat="1" ht="22.5" customHeight="1" x14ac:dyDescent="0.25">
      <c r="A162" s="81"/>
      <c r="B162" s="89" t="s">
        <v>291</v>
      </c>
      <c r="C162" s="77" t="s">
        <v>292</v>
      </c>
      <c r="D162" s="77" t="s">
        <v>60</v>
      </c>
      <c r="E162" s="77"/>
      <c r="F162" s="77"/>
      <c r="G162" s="78">
        <v>24</v>
      </c>
      <c r="H162" s="78">
        <v>18</v>
      </c>
      <c r="I162" s="78">
        <v>26</v>
      </c>
      <c r="J162" s="79">
        <f t="shared" si="23"/>
        <v>68</v>
      </c>
      <c r="K162" s="80">
        <v>974.36</v>
      </c>
      <c r="L162" s="80">
        <f t="shared" si="21"/>
        <v>66256.479999999996</v>
      </c>
      <c r="M162" s="94"/>
      <c r="N162" s="77" t="s">
        <v>321</v>
      </c>
    </row>
    <row r="163" spans="1:15" s="54" customFormat="1" ht="22.5" customHeight="1" x14ac:dyDescent="0.25">
      <c r="A163" s="81"/>
      <c r="B163" s="89" t="s">
        <v>293</v>
      </c>
      <c r="C163" s="77" t="s">
        <v>294</v>
      </c>
      <c r="D163" s="77" t="s">
        <v>60</v>
      </c>
      <c r="E163" s="77"/>
      <c r="F163" s="77"/>
      <c r="G163" s="78">
        <v>8</v>
      </c>
      <c r="H163" s="78">
        <v>2</v>
      </c>
      <c r="I163" s="78">
        <v>8</v>
      </c>
      <c r="J163" s="79">
        <f t="shared" si="23"/>
        <v>18</v>
      </c>
      <c r="K163" s="80">
        <v>1151.51</v>
      </c>
      <c r="L163" s="80">
        <f t="shared" si="21"/>
        <v>20727.18</v>
      </c>
      <c r="M163" s="94"/>
      <c r="N163" s="77" t="s">
        <v>321</v>
      </c>
    </row>
    <row r="164" spans="1:15" s="54" customFormat="1" ht="22.5" customHeight="1" x14ac:dyDescent="0.25">
      <c r="A164" s="81"/>
      <c r="B164" s="89" t="s">
        <v>295</v>
      </c>
      <c r="C164" s="77" t="s">
        <v>296</v>
      </c>
      <c r="D164" s="77" t="s">
        <v>60</v>
      </c>
      <c r="E164" s="77"/>
      <c r="F164" s="77"/>
      <c r="G164" s="78">
        <v>4</v>
      </c>
      <c r="H164" s="78">
        <v>12</v>
      </c>
      <c r="I164" s="78">
        <v>4</v>
      </c>
      <c r="J164" s="79">
        <f t="shared" si="23"/>
        <v>20</v>
      </c>
      <c r="K164" s="80">
        <v>1240.0899999999999</v>
      </c>
      <c r="L164" s="80">
        <f t="shared" si="21"/>
        <v>24801.8</v>
      </c>
      <c r="M164" s="94"/>
      <c r="N164" s="77" t="s">
        <v>321</v>
      </c>
    </row>
    <row r="165" spans="1:15" s="54" customFormat="1" ht="22.5" customHeight="1" x14ac:dyDescent="0.25">
      <c r="A165" s="81"/>
      <c r="B165" s="89" t="s">
        <v>297</v>
      </c>
      <c r="C165" s="77" t="s">
        <v>118</v>
      </c>
      <c r="D165" s="77" t="s">
        <v>60</v>
      </c>
      <c r="E165" s="77"/>
      <c r="F165" s="77"/>
      <c r="G165" s="78">
        <v>5</v>
      </c>
      <c r="H165" s="78"/>
      <c r="I165" s="78">
        <v>3</v>
      </c>
      <c r="J165" s="79">
        <f t="shared" si="23"/>
        <v>8</v>
      </c>
      <c r="K165" s="80">
        <v>841.49</v>
      </c>
      <c r="L165" s="80">
        <f t="shared" si="21"/>
        <v>6731.92</v>
      </c>
      <c r="M165" s="94"/>
      <c r="N165" s="77" t="s">
        <v>321</v>
      </c>
    </row>
    <row r="166" spans="1:15" s="54" customFormat="1" ht="22.5" customHeight="1" x14ac:dyDescent="0.25">
      <c r="A166" s="81"/>
      <c r="B166" s="89" t="s">
        <v>298</v>
      </c>
      <c r="C166" s="77" t="s">
        <v>120</v>
      </c>
      <c r="D166" s="77" t="s">
        <v>60</v>
      </c>
      <c r="E166" s="77"/>
      <c r="F166" s="77"/>
      <c r="G166" s="78">
        <v>4</v>
      </c>
      <c r="H166" s="78">
        <v>6</v>
      </c>
      <c r="I166" s="78">
        <v>6</v>
      </c>
      <c r="J166" s="79">
        <f t="shared" si="23"/>
        <v>16</v>
      </c>
      <c r="K166" s="80">
        <v>981.74</v>
      </c>
      <c r="L166" s="80">
        <f t="shared" si="21"/>
        <v>15707.84</v>
      </c>
      <c r="M166" s="94"/>
      <c r="N166" s="77" t="s">
        <v>321</v>
      </c>
    </row>
    <row r="167" spans="1:15" s="54" customFormat="1" ht="22.5" customHeight="1" x14ac:dyDescent="0.25">
      <c r="A167" s="81"/>
      <c r="B167" s="89" t="s">
        <v>92</v>
      </c>
      <c r="C167" s="77" t="s">
        <v>93</v>
      </c>
      <c r="D167" s="77" t="s">
        <v>54</v>
      </c>
      <c r="E167" s="77">
        <v>1.04</v>
      </c>
      <c r="F167" s="77"/>
      <c r="G167" s="78">
        <f>149.74*E167</f>
        <v>155.7296</v>
      </c>
      <c r="H167" s="78">
        <f>121.66*E167</f>
        <v>126.5264</v>
      </c>
      <c r="I167" s="78">
        <f>158.83*E167</f>
        <v>165.18320000000003</v>
      </c>
      <c r="J167" s="79">
        <f t="shared" ref="J167:J172" si="24">SUM(G167:I167)</f>
        <v>447.43920000000003</v>
      </c>
      <c r="K167" s="80">
        <v>66.349999999999994</v>
      </c>
      <c r="L167" s="80">
        <f t="shared" si="21"/>
        <v>29687.590919999999</v>
      </c>
      <c r="M167" s="94"/>
      <c r="N167" s="77" t="s">
        <v>321</v>
      </c>
    </row>
    <row r="168" spans="1:15" s="54" customFormat="1" ht="22.5" customHeight="1" x14ac:dyDescent="0.25">
      <c r="A168" s="81"/>
      <c r="B168" s="89" t="s">
        <v>94</v>
      </c>
      <c r="C168" s="77" t="s">
        <v>95</v>
      </c>
      <c r="D168" s="77" t="s">
        <v>54</v>
      </c>
      <c r="E168" s="77">
        <v>1.04</v>
      </c>
      <c r="F168" s="77"/>
      <c r="G168" s="78">
        <f>G136*E168</f>
        <v>43.940000000000005</v>
      </c>
      <c r="H168" s="78">
        <f>H136*E168</f>
        <v>32.895200000000003</v>
      </c>
      <c r="I168" s="78">
        <f>I136*E168</f>
        <v>27.383199999999999</v>
      </c>
      <c r="J168" s="79">
        <f t="shared" si="24"/>
        <v>104.21840000000002</v>
      </c>
      <c r="K168" s="80">
        <v>64</v>
      </c>
      <c r="L168" s="80">
        <f t="shared" si="21"/>
        <v>6669.9776000000011</v>
      </c>
      <c r="M168" s="94"/>
      <c r="N168" s="77" t="s">
        <v>321</v>
      </c>
    </row>
    <row r="169" spans="1:15" s="54" customFormat="1" ht="22.5" customHeight="1" x14ac:dyDescent="0.25">
      <c r="A169" s="81"/>
      <c r="B169" s="89" t="s">
        <v>131</v>
      </c>
      <c r="C169" s="77" t="s">
        <v>39</v>
      </c>
      <c r="D169" s="77" t="s">
        <v>54</v>
      </c>
      <c r="E169" s="77">
        <v>1.04</v>
      </c>
      <c r="F169" s="77"/>
      <c r="G169" s="78">
        <f>31.12*E169</f>
        <v>32.364800000000002</v>
      </c>
      <c r="H169" s="78">
        <f>31.12*E169</f>
        <v>32.364800000000002</v>
      </c>
      <c r="I169" s="78">
        <f>31.12*E169</f>
        <v>32.364800000000002</v>
      </c>
      <c r="J169" s="79">
        <f t="shared" si="24"/>
        <v>97.094400000000007</v>
      </c>
      <c r="K169" s="80">
        <v>64.209999999999994</v>
      </c>
      <c r="L169" s="80">
        <f t="shared" si="21"/>
        <v>6234.4314239999994</v>
      </c>
      <c r="M169" s="94"/>
      <c r="N169" s="77" t="s">
        <v>321</v>
      </c>
      <c r="O169" s="2"/>
    </row>
    <row r="170" spans="1:15" s="54" customFormat="1" ht="22.5" customHeight="1" x14ac:dyDescent="0.25">
      <c r="A170" s="81"/>
      <c r="B170" s="89" t="s">
        <v>96</v>
      </c>
      <c r="C170" s="77" t="s">
        <v>39</v>
      </c>
      <c r="D170" s="77" t="s">
        <v>54</v>
      </c>
      <c r="E170" s="77">
        <v>1.04</v>
      </c>
      <c r="F170" s="77"/>
      <c r="G170" s="78">
        <f>15.21*E170</f>
        <v>15.818400000000002</v>
      </c>
      <c r="H170" s="78">
        <f>E170*22.49</f>
        <v>23.389599999999998</v>
      </c>
      <c r="I170" s="78"/>
      <c r="J170" s="79">
        <f t="shared" si="24"/>
        <v>39.207999999999998</v>
      </c>
      <c r="K170" s="80">
        <v>72.78</v>
      </c>
      <c r="L170" s="80">
        <f t="shared" si="21"/>
        <v>2853.5582399999998</v>
      </c>
      <c r="M170" s="94"/>
      <c r="N170" s="77" t="s">
        <v>321</v>
      </c>
      <c r="O170" s="2"/>
    </row>
    <row r="171" spans="1:15" s="54" customFormat="1" ht="22.5" customHeight="1" x14ac:dyDescent="0.25">
      <c r="A171" s="81"/>
      <c r="B171" s="89" t="s">
        <v>97</v>
      </c>
      <c r="C171" s="77" t="s">
        <v>39</v>
      </c>
      <c r="D171" s="77" t="s">
        <v>54</v>
      </c>
      <c r="E171" s="77">
        <v>1.04</v>
      </c>
      <c r="F171" s="77"/>
      <c r="G171" s="78">
        <f>E171*30.81</f>
        <v>32.042400000000001</v>
      </c>
      <c r="H171" s="78">
        <f>E171*6.64</f>
        <v>6.9055999999999997</v>
      </c>
      <c r="I171" s="78">
        <f>E171*18.88</f>
        <v>19.635200000000001</v>
      </c>
      <c r="J171" s="79">
        <f t="shared" si="24"/>
        <v>58.583200000000005</v>
      </c>
      <c r="K171" s="80">
        <v>74.92</v>
      </c>
      <c r="L171" s="80">
        <f t="shared" si="21"/>
        <v>4389.0533440000008</v>
      </c>
      <c r="M171" s="94"/>
      <c r="N171" s="77" t="s">
        <v>321</v>
      </c>
    </row>
    <row r="172" spans="1:15" s="54" customFormat="1" ht="22.5" customHeight="1" x14ac:dyDescent="0.25">
      <c r="A172" s="81"/>
      <c r="B172" s="89" t="s">
        <v>132</v>
      </c>
      <c r="C172" s="77" t="s">
        <v>39</v>
      </c>
      <c r="D172" s="77" t="s">
        <v>54</v>
      </c>
      <c r="E172" s="77">
        <v>1.04</v>
      </c>
      <c r="F172" s="77"/>
      <c r="G172" s="78">
        <f>10.5*E172</f>
        <v>10.92</v>
      </c>
      <c r="H172" s="78">
        <f>10.5*E172</f>
        <v>10.92</v>
      </c>
      <c r="I172" s="78">
        <f>10.5*E172</f>
        <v>10.92</v>
      </c>
      <c r="J172" s="79">
        <f t="shared" si="24"/>
        <v>32.76</v>
      </c>
      <c r="K172" s="80">
        <v>75.97</v>
      </c>
      <c r="L172" s="80">
        <f t="shared" si="21"/>
        <v>2488.7772</v>
      </c>
      <c r="M172" s="94"/>
      <c r="N172" s="77" t="s">
        <v>321</v>
      </c>
    </row>
    <row r="173" spans="1:15" s="54" customFormat="1" ht="22.5" customHeight="1" x14ac:dyDescent="0.25">
      <c r="A173" s="81"/>
      <c r="B173" s="89" t="s">
        <v>275</v>
      </c>
      <c r="C173" s="77" t="s">
        <v>276</v>
      </c>
      <c r="D173" s="77" t="s">
        <v>45</v>
      </c>
      <c r="E173" s="77">
        <v>1.04</v>
      </c>
      <c r="F173" s="77"/>
      <c r="G173" s="78">
        <f>G137*0.05*E173</f>
        <v>1.8376800000000004</v>
      </c>
      <c r="H173" s="78">
        <f>H137*0.05*E173</f>
        <v>1.9578000000000002</v>
      </c>
      <c r="I173" s="78">
        <f>I137*0.05*E173</f>
        <v>2.25108</v>
      </c>
      <c r="J173" s="79">
        <f t="shared" ref="J173" si="25">SUM(G173:I173)</f>
        <v>6.0465600000000004</v>
      </c>
      <c r="K173" s="80">
        <v>6405.83</v>
      </c>
      <c r="L173" s="80">
        <f t="shared" si="21"/>
        <v>38733.235444800004</v>
      </c>
      <c r="M173" s="94"/>
      <c r="N173" s="77" t="s">
        <v>321</v>
      </c>
    </row>
    <row r="174" spans="1:15" s="101" customFormat="1" ht="30" customHeight="1" x14ac:dyDescent="0.25">
      <c r="A174" s="95"/>
      <c r="B174" s="96" t="s">
        <v>133</v>
      </c>
      <c r="C174" s="97" t="s">
        <v>39</v>
      </c>
      <c r="D174" s="97" t="s">
        <v>99</v>
      </c>
      <c r="E174" s="97"/>
      <c r="F174" s="97"/>
      <c r="G174" s="98"/>
      <c r="H174" s="98"/>
      <c r="I174" s="98"/>
      <c r="J174" s="99">
        <f>L174*100/L126</f>
        <v>3.9130727487643417</v>
      </c>
      <c r="K174" s="79"/>
      <c r="L174" s="79">
        <v>114152.04240000001</v>
      </c>
      <c r="M174" s="100"/>
      <c r="N174" s="97" t="s">
        <v>321</v>
      </c>
    </row>
    <row r="175" spans="1:15" s="54" customFormat="1" x14ac:dyDescent="0.25">
      <c r="A175" s="60" t="s">
        <v>136</v>
      </c>
      <c r="B175" s="61" t="s">
        <v>137</v>
      </c>
      <c r="C175" s="62"/>
      <c r="D175" s="63"/>
      <c r="E175" s="62"/>
      <c r="F175" s="62"/>
      <c r="G175" s="64"/>
      <c r="H175" s="64"/>
      <c r="I175" s="64"/>
      <c r="J175" s="65"/>
      <c r="K175" s="65"/>
      <c r="L175" s="65">
        <f>L176+L189</f>
        <v>3844198.0169277997</v>
      </c>
      <c r="M175" s="86"/>
      <c r="N175" s="86"/>
    </row>
    <row r="176" spans="1:15" s="54" customFormat="1" x14ac:dyDescent="0.25">
      <c r="A176" s="66"/>
      <c r="B176" s="67" t="s">
        <v>34</v>
      </c>
      <c r="C176" s="68"/>
      <c r="D176" s="68"/>
      <c r="E176" s="68"/>
      <c r="F176" s="68"/>
      <c r="G176" s="69"/>
      <c r="H176" s="69"/>
      <c r="I176" s="69"/>
      <c r="J176" s="70"/>
      <c r="K176" s="70"/>
      <c r="L176" s="70">
        <f>SUM(L177:L188)</f>
        <v>2917197.0399999996</v>
      </c>
      <c r="M176" s="72"/>
      <c r="N176" s="72"/>
    </row>
    <row r="177" spans="1:14" s="54" customFormat="1" ht="20.25" customHeight="1" x14ac:dyDescent="0.25">
      <c r="A177" s="66"/>
      <c r="B177" s="71" t="s">
        <v>44</v>
      </c>
      <c r="C177" s="72"/>
      <c r="D177" s="72" t="s">
        <v>45</v>
      </c>
      <c r="E177" s="72"/>
      <c r="F177" s="72"/>
      <c r="G177" s="73">
        <v>30.11</v>
      </c>
      <c r="H177" s="73">
        <v>25.51</v>
      </c>
      <c r="I177" s="73">
        <v>38.270000000000003</v>
      </c>
      <c r="J177" s="70">
        <f>SUM(G177:I177)</f>
        <v>93.890000000000015</v>
      </c>
      <c r="K177" s="74">
        <v>4939</v>
      </c>
      <c r="L177" s="74">
        <f>K177*J177</f>
        <v>463722.71000000008</v>
      </c>
      <c r="M177" s="72"/>
      <c r="N177" s="72"/>
    </row>
    <row r="178" spans="1:14" s="54" customFormat="1" ht="20.25" customHeight="1" x14ac:dyDescent="0.25">
      <c r="A178" s="66"/>
      <c r="B178" s="71" t="s">
        <v>102</v>
      </c>
      <c r="C178" s="72"/>
      <c r="D178" s="72" t="s">
        <v>45</v>
      </c>
      <c r="E178" s="72"/>
      <c r="F178" s="72"/>
      <c r="G178" s="73">
        <v>1.77</v>
      </c>
      <c r="H178" s="73">
        <v>1.25</v>
      </c>
      <c r="I178" s="73">
        <v>1.7</v>
      </c>
      <c r="J178" s="70">
        <f t="shared" ref="J178:J187" si="26">SUM(G178:I178)</f>
        <v>4.72</v>
      </c>
      <c r="K178" s="74">
        <v>5845</v>
      </c>
      <c r="L178" s="74">
        <f t="shared" ref="L178" si="27">K178*J178</f>
        <v>27588.399999999998</v>
      </c>
      <c r="M178" s="72"/>
      <c r="N178" s="72"/>
    </row>
    <row r="179" spans="1:14" s="54" customFormat="1" ht="20.25" customHeight="1" x14ac:dyDescent="0.25">
      <c r="A179" s="66"/>
      <c r="B179" s="71" t="s">
        <v>46</v>
      </c>
      <c r="C179" s="72"/>
      <c r="D179" s="72" t="s">
        <v>47</v>
      </c>
      <c r="E179" s="72"/>
      <c r="F179" s="72"/>
      <c r="G179" s="73">
        <v>204.75</v>
      </c>
      <c r="H179" s="73">
        <v>120.63</v>
      </c>
      <c r="I179" s="73">
        <v>142.32</v>
      </c>
      <c r="J179" s="70">
        <f t="shared" si="26"/>
        <v>467.7</v>
      </c>
      <c r="K179" s="74">
        <v>1461</v>
      </c>
      <c r="L179" s="74">
        <f>K179*J179</f>
        <v>683309.7</v>
      </c>
      <c r="M179" s="72"/>
      <c r="N179" s="72"/>
    </row>
    <row r="180" spans="1:14" s="54" customFormat="1" ht="20.25" customHeight="1" x14ac:dyDescent="0.25">
      <c r="A180" s="66"/>
      <c r="B180" s="71" t="s">
        <v>48</v>
      </c>
      <c r="C180" s="72"/>
      <c r="D180" s="72" t="s">
        <v>47</v>
      </c>
      <c r="E180" s="72"/>
      <c r="F180" s="72"/>
      <c r="G180" s="73">
        <v>57.32</v>
      </c>
      <c r="H180" s="73">
        <v>44.32</v>
      </c>
      <c r="I180" s="73">
        <v>79.95</v>
      </c>
      <c r="J180" s="70">
        <f t="shared" si="26"/>
        <v>181.59</v>
      </c>
      <c r="K180" s="74">
        <v>1461</v>
      </c>
      <c r="L180" s="74">
        <f>K180*J180</f>
        <v>265302.99</v>
      </c>
      <c r="M180" s="72"/>
      <c r="N180" s="72"/>
    </row>
    <row r="181" spans="1:14" s="54" customFormat="1" ht="20.25" customHeight="1" x14ac:dyDescent="0.25">
      <c r="A181" s="66"/>
      <c r="B181" s="71" t="s">
        <v>103</v>
      </c>
      <c r="C181" s="72"/>
      <c r="D181" s="72" t="s">
        <v>47</v>
      </c>
      <c r="E181" s="72"/>
      <c r="F181" s="72"/>
      <c r="G181" s="73">
        <v>156.13999999999999</v>
      </c>
      <c r="H181" s="73">
        <v>101.76</v>
      </c>
      <c r="I181" s="73">
        <v>158.25</v>
      </c>
      <c r="J181" s="70">
        <f t="shared" si="26"/>
        <v>416.15</v>
      </c>
      <c r="K181" s="74">
        <v>1461</v>
      </c>
      <c r="L181" s="74">
        <f>K181*J181</f>
        <v>607995.15</v>
      </c>
      <c r="M181" s="72"/>
      <c r="N181" s="72"/>
    </row>
    <row r="182" spans="1:14" s="54" customFormat="1" ht="20.25" customHeight="1" x14ac:dyDescent="0.25">
      <c r="A182" s="66"/>
      <c r="B182" s="71" t="s">
        <v>104</v>
      </c>
      <c r="C182" s="72"/>
      <c r="D182" s="72" t="s">
        <v>47</v>
      </c>
      <c r="E182" s="72"/>
      <c r="F182" s="72"/>
      <c r="G182" s="73">
        <v>100.39</v>
      </c>
      <c r="H182" s="73">
        <v>112.4</v>
      </c>
      <c r="I182" s="73">
        <v>113.93</v>
      </c>
      <c r="J182" s="70">
        <f t="shared" si="26"/>
        <v>326.72000000000003</v>
      </c>
      <c r="K182" s="74">
        <v>1461</v>
      </c>
      <c r="L182" s="74">
        <f>K182*J182</f>
        <v>477337.92000000004</v>
      </c>
      <c r="M182" s="72"/>
      <c r="N182" s="72"/>
    </row>
    <row r="183" spans="1:14" s="54" customFormat="1" ht="20.25" customHeight="1" x14ac:dyDescent="0.25">
      <c r="A183" s="66"/>
      <c r="B183" s="71" t="s">
        <v>49</v>
      </c>
      <c r="C183" s="72"/>
      <c r="D183" s="72" t="s">
        <v>47</v>
      </c>
      <c r="E183" s="72"/>
      <c r="F183" s="72"/>
      <c r="G183" s="73">
        <v>27.1</v>
      </c>
      <c r="H183" s="73">
        <v>36.04</v>
      </c>
      <c r="I183" s="73">
        <v>32.35</v>
      </c>
      <c r="J183" s="70">
        <f t="shared" si="26"/>
        <v>95.490000000000009</v>
      </c>
      <c r="K183" s="74">
        <v>1610</v>
      </c>
      <c r="L183" s="74">
        <f t="shared" ref="L183:L187" si="28">K183*J183</f>
        <v>153738.90000000002</v>
      </c>
      <c r="M183" s="72"/>
      <c r="N183" s="72"/>
    </row>
    <row r="184" spans="1:14" s="54" customFormat="1" ht="20.25" customHeight="1" x14ac:dyDescent="0.25">
      <c r="A184" s="66"/>
      <c r="B184" s="71" t="s">
        <v>50</v>
      </c>
      <c r="C184" s="72"/>
      <c r="D184" s="72" t="s">
        <v>51</v>
      </c>
      <c r="E184" s="72"/>
      <c r="F184" s="72"/>
      <c r="G184" s="73">
        <v>77</v>
      </c>
      <c r="H184" s="73">
        <v>59</v>
      </c>
      <c r="I184" s="73">
        <v>77</v>
      </c>
      <c r="J184" s="70">
        <f t="shared" si="26"/>
        <v>213</v>
      </c>
      <c r="K184" s="74">
        <v>803</v>
      </c>
      <c r="L184" s="74">
        <f t="shared" si="28"/>
        <v>171039</v>
      </c>
      <c r="M184" s="72"/>
      <c r="N184" s="72"/>
    </row>
    <row r="185" spans="1:14" s="54" customFormat="1" x14ac:dyDescent="0.25">
      <c r="A185" s="66"/>
      <c r="B185" s="71" t="s">
        <v>52</v>
      </c>
      <c r="C185" s="72" t="s">
        <v>105</v>
      </c>
      <c r="D185" s="72" t="s">
        <v>54</v>
      </c>
      <c r="E185" s="72"/>
      <c r="F185" s="72"/>
      <c r="G185" s="129">
        <v>87.64</v>
      </c>
      <c r="H185" s="129">
        <v>70.760000000000005</v>
      </c>
      <c r="I185" s="129">
        <v>60.5</v>
      </c>
      <c r="J185" s="130">
        <f t="shared" si="26"/>
        <v>218.9</v>
      </c>
      <c r="K185" s="74">
        <v>94.5</v>
      </c>
      <c r="L185" s="74">
        <f t="shared" si="28"/>
        <v>20686.05</v>
      </c>
      <c r="M185" s="72"/>
      <c r="N185" s="72"/>
    </row>
    <row r="186" spans="1:14" s="54" customFormat="1" ht="31.5" x14ac:dyDescent="0.25">
      <c r="A186" s="66"/>
      <c r="B186" s="71" t="s">
        <v>55</v>
      </c>
      <c r="C186" s="72"/>
      <c r="D186" s="72" t="s">
        <v>54</v>
      </c>
      <c r="E186" s="72"/>
      <c r="F186" s="72"/>
      <c r="G186" s="73">
        <v>42.25</v>
      </c>
      <c r="H186" s="73">
        <v>31.63</v>
      </c>
      <c r="I186" s="73">
        <v>26.33</v>
      </c>
      <c r="J186" s="70">
        <f t="shared" si="26"/>
        <v>100.21</v>
      </c>
      <c r="K186" s="74">
        <v>118</v>
      </c>
      <c r="L186" s="74">
        <f t="shared" si="28"/>
        <v>11824.779999999999</v>
      </c>
      <c r="M186" s="72"/>
      <c r="N186" s="72"/>
    </row>
    <row r="187" spans="1:14" s="54" customFormat="1" ht="18.75" customHeight="1" x14ac:dyDescent="0.25">
      <c r="A187" s="66"/>
      <c r="B187" s="71" t="s">
        <v>256</v>
      </c>
      <c r="C187" s="72"/>
      <c r="D187" s="72" t="s">
        <v>47</v>
      </c>
      <c r="E187" s="72"/>
      <c r="F187" s="72"/>
      <c r="G187" s="73">
        <v>35.340000000000003</v>
      </c>
      <c r="H187" s="73">
        <v>37.65</v>
      </c>
      <c r="I187" s="73">
        <v>43.29</v>
      </c>
      <c r="J187" s="70">
        <f t="shared" si="26"/>
        <v>116.28</v>
      </c>
      <c r="K187" s="74">
        <v>298</v>
      </c>
      <c r="L187" s="74">
        <f t="shared" si="28"/>
        <v>34651.440000000002</v>
      </c>
      <c r="M187" s="72"/>
      <c r="N187" s="72"/>
    </row>
    <row r="188" spans="1:14" s="54" customFormat="1" ht="18.75" customHeight="1" x14ac:dyDescent="0.25">
      <c r="A188" s="66"/>
      <c r="B188" s="87" t="s">
        <v>56</v>
      </c>
      <c r="C188" s="88"/>
      <c r="D188" s="88" t="s">
        <v>45</v>
      </c>
      <c r="E188" s="88"/>
      <c r="F188" s="88"/>
      <c r="G188" s="73">
        <f>291.89*0.06*0.03</f>
        <v>0.52540199999999992</v>
      </c>
      <c r="H188" s="73">
        <f>228.82*0.06*0.03</f>
        <v>0.41187599999999996</v>
      </c>
      <c r="I188" s="73">
        <f>295.85*0.06*0.03</f>
        <v>0.53253000000000006</v>
      </c>
      <c r="J188" s="70">
        <f>SUM(G188:I188)</f>
        <v>1.469808</v>
      </c>
      <c r="K188" s="74"/>
      <c r="L188" s="74"/>
      <c r="M188" s="88" t="s">
        <v>57</v>
      </c>
      <c r="N188" s="72"/>
    </row>
    <row r="189" spans="1:14" s="54" customFormat="1" x14ac:dyDescent="0.25">
      <c r="A189" s="75"/>
      <c r="B189" s="76" t="s">
        <v>38</v>
      </c>
      <c r="C189" s="77"/>
      <c r="D189" s="77"/>
      <c r="E189" s="77"/>
      <c r="F189" s="77"/>
      <c r="G189" s="78"/>
      <c r="H189" s="78"/>
      <c r="I189" s="78"/>
      <c r="J189" s="79"/>
      <c r="K189" s="80"/>
      <c r="L189" s="79">
        <f>SUM(L190:L224)</f>
        <v>927000.97692779999</v>
      </c>
      <c r="M189" s="77"/>
      <c r="N189" s="77"/>
    </row>
    <row r="190" spans="1:14" s="54" customFormat="1" ht="31.5" x14ac:dyDescent="0.25">
      <c r="A190" s="81"/>
      <c r="B190" s="82" t="s">
        <v>58</v>
      </c>
      <c r="C190" s="77" t="s">
        <v>59</v>
      </c>
      <c r="D190" s="77" t="s">
        <v>60</v>
      </c>
      <c r="E190" s="78">
        <v>12.4</v>
      </c>
      <c r="F190" s="77">
        <v>0.25</v>
      </c>
      <c r="G190" s="83">
        <f>G177/F190*E190</f>
        <v>1493.4559999999999</v>
      </c>
      <c r="H190" s="83">
        <f>H177/F190*E190</f>
        <v>1265.296</v>
      </c>
      <c r="I190" s="83">
        <f>I177/F190*E190</f>
        <v>1898.1920000000002</v>
      </c>
      <c r="J190" s="84">
        <f>SUM(G190:I190)</f>
        <v>4656.9440000000004</v>
      </c>
      <c r="K190" s="80">
        <v>0</v>
      </c>
      <c r="L190" s="80">
        <f>J190*K190</f>
        <v>0</v>
      </c>
      <c r="M190" s="77" t="s">
        <v>61</v>
      </c>
      <c r="N190" s="77" t="s">
        <v>320</v>
      </c>
    </row>
    <row r="191" spans="1:14" s="54" customFormat="1" ht="31.5" x14ac:dyDescent="0.25">
      <c r="A191" s="81"/>
      <c r="B191" s="82" t="s">
        <v>62</v>
      </c>
      <c r="C191" s="77" t="s">
        <v>63</v>
      </c>
      <c r="D191" s="77" t="s">
        <v>60</v>
      </c>
      <c r="E191" s="78">
        <v>12.4</v>
      </c>
      <c r="F191" s="77"/>
      <c r="G191" s="83">
        <f>G179*E191</f>
        <v>2538.9</v>
      </c>
      <c r="H191" s="83">
        <f>H179*E191</f>
        <v>1495.8119999999999</v>
      </c>
      <c r="I191" s="83">
        <f>I179*E191</f>
        <v>1764.768</v>
      </c>
      <c r="J191" s="84">
        <f t="shared" ref="J191:J195" si="29">SUM(G191:I191)</f>
        <v>5799.48</v>
      </c>
      <c r="K191" s="80">
        <v>0</v>
      </c>
      <c r="L191" s="80">
        <f>J191*K191</f>
        <v>0</v>
      </c>
      <c r="M191" s="77" t="s">
        <v>61</v>
      </c>
      <c r="N191" s="77" t="s">
        <v>320</v>
      </c>
    </row>
    <row r="192" spans="1:14" s="54" customFormat="1" ht="31.5" x14ac:dyDescent="0.25">
      <c r="A192" s="81"/>
      <c r="B192" s="82" t="s">
        <v>64</v>
      </c>
      <c r="C192" s="77" t="s">
        <v>65</v>
      </c>
      <c r="D192" s="77" t="s">
        <v>60</v>
      </c>
      <c r="E192" s="78">
        <v>12.4</v>
      </c>
      <c r="F192" s="77"/>
      <c r="G192" s="83">
        <f>G180*E192</f>
        <v>710.76800000000003</v>
      </c>
      <c r="H192" s="83">
        <f>H180*E192</f>
        <v>549.56799999999998</v>
      </c>
      <c r="I192" s="83">
        <f>I180*E192</f>
        <v>991.38000000000011</v>
      </c>
      <c r="J192" s="84">
        <f t="shared" si="29"/>
        <v>2251.7160000000003</v>
      </c>
      <c r="K192" s="80">
        <v>0</v>
      </c>
      <c r="L192" s="80">
        <f>J192*K192</f>
        <v>0</v>
      </c>
      <c r="M192" s="77" t="s">
        <v>61</v>
      </c>
      <c r="N192" s="77" t="s">
        <v>320</v>
      </c>
    </row>
    <row r="193" spans="1:14" s="54" customFormat="1" ht="31.5" x14ac:dyDescent="0.25">
      <c r="A193" s="81"/>
      <c r="B193" s="82" t="s">
        <v>106</v>
      </c>
      <c r="C193" s="77" t="s">
        <v>107</v>
      </c>
      <c r="D193" s="77" t="s">
        <v>60</v>
      </c>
      <c r="E193" s="78">
        <v>12.4</v>
      </c>
      <c r="F193" s="77"/>
      <c r="G193" s="83">
        <f>G181*E193</f>
        <v>1936.136</v>
      </c>
      <c r="H193" s="83">
        <f>H181*E193</f>
        <v>1261.8240000000001</v>
      </c>
      <c r="I193" s="83">
        <f>I181*E193</f>
        <v>1962.3</v>
      </c>
      <c r="J193" s="84">
        <f t="shared" si="29"/>
        <v>5160.26</v>
      </c>
      <c r="K193" s="80">
        <v>0</v>
      </c>
      <c r="L193" s="80">
        <f>J193*K193</f>
        <v>0</v>
      </c>
      <c r="M193" s="77" t="s">
        <v>61</v>
      </c>
      <c r="N193" s="77" t="s">
        <v>320</v>
      </c>
    </row>
    <row r="194" spans="1:14" s="54" customFormat="1" ht="31.5" x14ac:dyDescent="0.25">
      <c r="A194" s="81"/>
      <c r="B194" s="82" t="s">
        <v>108</v>
      </c>
      <c r="C194" s="77" t="s">
        <v>109</v>
      </c>
      <c r="D194" s="77" t="s">
        <v>60</v>
      </c>
      <c r="E194" s="78">
        <v>12.4</v>
      </c>
      <c r="F194" s="77"/>
      <c r="G194" s="83">
        <f>G182*E194</f>
        <v>1244.836</v>
      </c>
      <c r="H194" s="83">
        <f>H182*E194</f>
        <v>1393.7600000000002</v>
      </c>
      <c r="I194" s="83">
        <f>I182*E194</f>
        <v>1412.7320000000002</v>
      </c>
      <c r="J194" s="84">
        <f t="shared" si="29"/>
        <v>4051.3280000000004</v>
      </c>
      <c r="K194" s="80">
        <v>0</v>
      </c>
      <c r="L194" s="80">
        <f>J194*K194</f>
        <v>0</v>
      </c>
      <c r="M194" s="77" t="s">
        <v>61</v>
      </c>
      <c r="N194" s="77" t="s">
        <v>320</v>
      </c>
    </row>
    <row r="195" spans="1:14" s="54" customFormat="1" ht="31.5" x14ac:dyDescent="0.25">
      <c r="A195" s="81"/>
      <c r="B195" s="89" t="s">
        <v>66</v>
      </c>
      <c r="C195" s="77" t="s">
        <v>67</v>
      </c>
      <c r="D195" s="77" t="s">
        <v>60</v>
      </c>
      <c r="E195" s="90">
        <v>42</v>
      </c>
      <c r="F195" s="90"/>
      <c r="G195" s="83">
        <f>G183*E195</f>
        <v>1138.2</v>
      </c>
      <c r="H195" s="83">
        <f>H183*E195</f>
        <v>1513.68</v>
      </c>
      <c r="I195" s="83">
        <f>I183*E195</f>
        <v>1358.7</v>
      </c>
      <c r="J195" s="84">
        <f t="shared" si="29"/>
        <v>4010.58</v>
      </c>
      <c r="K195" s="80">
        <v>0</v>
      </c>
      <c r="L195" s="80">
        <f t="shared" ref="L195:L223" si="30">J195*K195</f>
        <v>0</v>
      </c>
      <c r="M195" s="77" t="s">
        <v>68</v>
      </c>
      <c r="N195" s="77" t="s">
        <v>320</v>
      </c>
    </row>
    <row r="196" spans="1:14" s="54" customFormat="1" ht="31.5" x14ac:dyDescent="0.25">
      <c r="A196" s="81"/>
      <c r="B196" s="89" t="s">
        <v>110</v>
      </c>
      <c r="C196" s="77" t="s">
        <v>111</v>
      </c>
      <c r="D196" s="77" t="s">
        <v>60</v>
      </c>
      <c r="E196" s="90">
        <v>42</v>
      </c>
      <c r="F196" s="90"/>
      <c r="G196" s="83">
        <f>G178/0.25*E196</f>
        <v>297.36</v>
      </c>
      <c r="H196" s="83">
        <f>H178/0.25*E196</f>
        <v>210</v>
      </c>
      <c r="I196" s="83">
        <f>I178/0.25*E196</f>
        <v>285.59999999999997</v>
      </c>
      <c r="J196" s="84">
        <f t="shared" ref="J196" si="31">SUM(G196:I196)</f>
        <v>792.96</v>
      </c>
      <c r="K196" s="80">
        <v>0</v>
      </c>
      <c r="L196" s="80">
        <f t="shared" si="30"/>
        <v>0</v>
      </c>
      <c r="M196" s="77" t="s">
        <v>68</v>
      </c>
      <c r="N196" s="77" t="s">
        <v>320</v>
      </c>
    </row>
    <row r="197" spans="1:14" s="54" customFormat="1" ht="27.75" customHeight="1" x14ac:dyDescent="0.25">
      <c r="A197" s="81"/>
      <c r="B197" s="91" t="s">
        <v>69</v>
      </c>
      <c r="C197" s="77" t="s">
        <v>70</v>
      </c>
      <c r="D197" s="77" t="s">
        <v>45</v>
      </c>
      <c r="E197" s="77">
        <v>0.19500000000000001</v>
      </c>
      <c r="F197" s="90"/>
      <c r="G197" s="78">
        <f>G177*E197+G179*E197*0.19+G180*E197*0.19+G181*E197*0.09+G182*E197*0.09</f>
        <v>20.083245000000002</v>
      </c>
      <c r="H197" s="78">
        <f>H177*E197+H179*E197*0.19+H180*E197*0.19+H181*E197*0.09+H182*E197*0.09</f>
        <v>14.844355500000001</v>
      </c>
      <c r="I197" s="78">
        <f>I177*E197+I179*E197*0.19+I180*E197*0.19+I181*E197*0.09+I182*E197*0.09</f>
        <v>20.474512499999999</v>
      </c>
      <c r="J197" s="79">
        <f>SUM(G197:I197)</f>
        <v>55.402113</v>
      </c>
      <c r="K197" s="80">
        <v>7875</v>
      </c>
      <c r="L197" s="80">
        <f t="shared" si="30"/>
        <v>436291.63987499999</v>
      </c>
      <c r="M197" s="77" t="s">
        <v>71</v>
      </c>
      <c r="N197" s="77" t="s">
        <v>321</v>
      </c>
    </row>
    <row r="198" spans="1:14" s="54" customFormat="1" ht="27.75" customHeight="1" x14ac:dyDescent="0.25">
      <c r="A198" s="92"/>
      <c r="B198" s="91" t="s">
        <v>112</v>
      </c>
      <c r="C198" s="77" t="s">
        <v>70</v>
      </c>
      <c r="D198" s="77" t="s">
        <v>45</v>
      </c>
      <c r="E198" s="77">
        <v>0.24</v>
      </c>
      <c r="F198" s="77"/>
      <c r="G198" s="78">
        <f>G178*E198</f>
        <v>0.42480000000000001</v>
      </c>
      <c r="H198" s="78">
        <f>H178*E198</f>
        <v>0.3</v>
      </c>
      <c r="I198" s="78">
        <f>I178*E198</f>
        <v>0.40799999999999997</v>
      </c>
      <c r="J198" s="79">
        <f t="shared" ref="J198:J216" si="32">SUM(G198:I198)</f>
        <v>1.1328</v>
      </c>
      <c r="K198" s="80">
        <v>7875</v>
      </c>
      <c r="L198" s="80">
        <f t="shared" si="30"/>
        <v>8920.8000000000011</v>
      </c>
      <c r="M198" s="77" t="s">
        <v>71</v>
      </c>
      <c r="N198" s="77" t="s">
        <v>321</v>
      </c>
    </row>
    <row r="199" spans="1:14" s="54" customFormat="1" ht="27.75" customHeight="1" x14ac:dyDescent="0.25">
      <c r="A199" s="92"/>
      <c r="B199" s="91" t="s">
        <v>72</v>
      </c>
      <c r="C199" s="77" t="s">
        <v>70</v>
      </c>
      <c r="D199" s="77" t="s">
        <v>45</v>
      </c>
      <c r="E199" s="77">
        <v>4.5999999999999999E-2</v>
      </c>
      <c r="F199" s="77"/>
      <c r="G199" s="78">
        <f>G183*E199</f>
        <v>1.2466000000000002</v>
      </c>
      <c r="H199" s="78">
        <f>H183*E199</f>
        <v>1.65784</v>
      </c>
      <c r="I199" s="78">
        <f>I183*E199</f>
        <v>1.4881</v>
      </c>
      <c r="J199" s="79">
        <f t="shared" si="32"/>
        <v>4.3925400000000003</v>
      </c>
      <c r="K199" s="80">
        <v>7875</v>
      </c>
      <c r="L199" s="80">
        <f t="shared" si="30"/>
        <v>34591.252500000002</v>
      </c>
      <c r="M199" s="77" t="s">
        <v>73</v>
      </c>
      <c r="N199" s="77" t="s">
        <v>321</v>
      </c>
    </row>
    <row r="200" spans="1:14" s="54" customFormat="1" ht="27.75" customHeight="1" x14ac:dyDescent="0.25">
      <c r="A200" s="92"/>
      <c r="B200" s="91" t="s">
        <v>74</v>
      </c>
      <c r="C200" s="77" t="s">
        <v>70</v>
      </c>
      <c r="D200" s="77" t="s">
        <v>45</v>
      </c>
      <c r="E200" s="77">
        <v>1.01</v>
      </c>
      <c r="F200" s="77"/>
      <c r="G200" s="78">
        <f>G188*E200</f>
        <v>0.5306560199999999</v>
      </c>
      <c r="H200" s="78">
        <f>H188*E200</f>
        <v>0.41599475999999996</v>
      </c>
      <c r="I200" s="78">
        <f>I188*E200</f>
        <v>0.53785530000000004</v>
      </c>
      <c r="J200" s="79">
        <f t="shared" si="32"/>
        <v>1.4845060800000001</v>
      </c>
      <c r="K200" s="80">
        <v>7875</v>
      </c>
      <c r="L200" s="80">
        <f t="shared" si="30"/>
        <v>11690.48538</v>
      </c>
      <c r="M200" s="77" t="s">
        <v>71</v>
      </c>
      <c r="N200" s="77" t="s">
        <v>321</v>
      </c>
    </row>
    <row r="201" spans="1:14" s="54" customFormat="1" ht="27.75" customHeight="1" x14ac:dyDescent="0.25">
      <c r="A201" s="81"/>
      <c r="B201" s="89" t="s">
        <v>75</v>
      </c>
      <c r="C201" s="77" t="s">
        <v>70</v>
      </c>
      <c r="D201" s="77" t="s">
        <v>45</v>
      </c>
      <c r="E201" s="77">
        <v>6.0000000000000001E-3</v>
      </c>
      <c r="F201" s="77"/>
      <c r="G201" s="78">
        <f>G184*E201</f>
        <v>0.46200000000000002</v>
      </c>
      <c r="H201" s="78">
        <f>H184*E201</f>
        <v>0.35399999999999998</v>
      </c>
      <c r="I201" s="78">
        <f>I184*E201</f>
        <v>0.46200000000000002</v>
      </c>
      <c r="J201" s="79">
        <f t="shared" si="32"/>
        <v>1.278</v>
      </c>
      <c r="K201" s="80">
        <v>7875</v>
      </c>
      <c r="L201" s="80">
        <f t="shared" si="30"/>
        <v>10064.25</v>
      </c>
      <c r="M201" s="77" t="s">
        <v>76</v>
      </c>
      <c r="N201" s="77" t="s">
        <v>321</v>
      </c>
    </row>
    <row r="202" spans="1:14" s="54" customFormat="1" ht="27.75" customHeight="1" x14ac:dyDescent="0.25">
      <c r="A202" s="81"/>
      <c r="B202" s="89" t="s">
        <v>77</v>
      </c>
      <c r="C202" s="77" t="s">
        <v>70</v>
      </c>
      <c r="D202" s="77" t="s">
        <v>45</v>
      </c>
      <c r="E202" s="77">
        <v>1.01</v>
      </c>
      <c r="F202" s="77"/>
      <c r="G202" s="93">
        <v>5.7000000000000002E-2</v>
      </c>
      <c r="H202" s="93">
        <v>4.2999999999999997E-2</v>
      </c>
      <c r="I202" s="93">
        <v>3.2000000000000001E-2</v>
      </c>
      <c r="J202" s="79">
        <f t="shared" si="32"/>
        <v>0.13200000000000001</v>
      </c>
      <c r="K202" s="80">
        <v>7875</v>
      </c>
      <c r="L202" s="80">
        <f t="shared" si="30"/>
        <v>1039.5</v>
      </c>
      <c r="M202" s="94"/>
      <c r="N202" s="77" t="s">
        <v>321</v>
      </c>
    </row>
    <row r="203" spans="1:14" s="54" customFormat="1" ht="22.5" customHeight="1" x14ac:dyDescent="0.25">
      <c r="A203" s="81"/>
      <c r="B203" s="89" t="s">
        <v>78</v>
      </c>
      <c r="C203" s="77" t="s">
        <v>79</v>
      </c>
      <c r="D203" s="77" t="s">
        <v>47</v>
      </c>
      <c r="E203" s="77"/>
      <c r="F203" s="77"/>
      <c r="G203" s="78">
        <v>182.58</v>
      </c>
      <c r="H203" s="78">
        <v>142.61000000000001</v>
      </c>
      <c r="I203" s="78">
        <v>188.7</v>
      </c>
      <c r="J203" s="79">
        <f t="shared" si="32"/>
        <v>513.8900000000001</v>
      </c>
      <c r="K203" s="80">
        <v>88.34</v>
      </c>
      <c r="L203" s="80">
        <f t="shared" si="30"/>
        <v>45397.042600000008</v>
      </c>
      <c r="M203" s="94"/>
      <c r="N203" s="77" t="s">
        <v>321</v>
      </c>
    </row>
    <row r="204" spans="1:14" s="54" customFormat="1" ht="22.5" customHeight="1" x14ac:dyDescent="0.25">
      <c r="A204" s="81"/>
      <c r="B204" s="89" t="s">
        <v>277</v>
      </c>
      <c r="C204" s="77" t="s">
        <v>114</v>
      </c>
      <c r="D204" s="77" t="s">
        <v>60</v>
      </c>
      <c r="E204" s="77"/>
      <c r="F204" s="77"/>
      <c r="G204" s="78">
        <v>12</v>
      </c>
      <c r="H204" s="78">
        <v>17</v>
      </c>
      <c r="I204" s="78">
        <v>13</v>
      </c>
      <c r="J204" s="79">
        <f t="shared" si="32"/>
        <v>42</v>
      </c>
      <c r="K204" s="80">
        <v>398.6</v>
      </c>
      <c r="L204" s="80">
        <f t="shared" si="30"/>
        <v>16741.2</v>
      </c>
      <c r="M204" s="94"/>
      <c r="N204" s="77" t="s">
        <v>321</v>
      </c>
    </row>
    <row r="205" spans="1:14" s="54" customFormat="1" ht="22.5" customHeight="1" x14ac:dyDescent="0.25">
      <c r="A205" s="81"/>
      <c r="B205" s="89" t="s">
        <v>278</v>
      </c>
      <c r="C205" s="77" t="s">
        <v>116</v>
      </c>
      <c r="D205" s="77" t="s">
        <v>60</v>
      </c>
      <c r="E205" s="77"/>
      <c r="F205" s="77"/>
      <c r="G205" s="78">
        <v>10</v>
      </c>
      <c r="H205" s="78"/>
      <c r="I205" s="78">
        <v>10</v>
      </c>
      <c r="J205" s="79">
        <f t="shared" si="32"/>
        <v>20</v>
      </c>
      <c r="K205" s="80">
        <v>465.03</v>
      </c>
      <c r="L205" s="80">
        <f t="shared" si="30"/>
        <v>9300.5999999999985</v>
      </c>
      <c r="M205" s="94"/>
      <c r="N205" s="77" t="s">
        <v>321</v>
      </c>
    </row>
    <row r="206" spans="1:14" s="54" customFormat="1" ht="22.5" customHeight="1" x14ac:dyDescent="0.25">
      <c r="A206" s="81"/>
      <c r="B206" s="89" t="s">
        <v>279</v>
      </c>
      <c r="C206" s="77" t="s">
        <v>280</v>
      </c>
      <c r="D206" s="77" t="s">
        <v>60</v>
      </c>
      <c r="E206" s="77"/>
      <c r="F206" s="77"/>
      <c r="G206" s="78"/>
      <c r="H206" s="78"/>
      <c r="I206" s="78">
        <v>1</v>
      </c>
      <c r="J206" s="79">
        <f t="shared" si="32"/>
        <v>1</v>
      </c>
      <c r="K206" s="80">
        <v>863.64</v>
      </c>
      <c r="L206" s="80">
        <f t="shared" si="30"/>
        <v>863.64</v>
      </c>
      <c r="M206" s="94"/>
      <c r="N206" s="77" t="s">
        <v>321</v>
      </c>
    </row>
    <row r="207" spans="1:14" s="54" customFormat="1" ht="22.5" customHeight="1" x14ac:dyDescent="0.25">
      <c r="A207" s="81"/>
      <c r="B207" s="89" t="s">
        <v>281</v>
      </c>
      <c r="C207" s="77" t="s">
        <v>282</v>
      </c>
      <c r="D207" s="77" t="s">
        <v>60</v>
      </c>
      <c r="E207" s="77"/>
      <c r="F207" s="77"/>
      <c r="G207" s="78">
        <v>6</v>
      </c>
      <c r="H207" s="78"/>
      <c r="I207" s="78">
        <v>4</v>
      </c>
      <c r="J207" s="79">
        <f t="shared" si="32"/>
        <v>10</v>
      </c>
      <c r="K207" s="80">
        <v>531.47</v>
      </c>
      <c r="L207" s="80">
        <f t="shared" si="30"/>
        <v>5314.7000000000007</v>
      </c>
      <c r="M207" s="94"/>
      <c r="N207" s="77" t="s">
        <v>321</v>
      </c>
    </row>
    <row r="208" spans="1:14" s="54" customFormat="1" ht="22.5" customHeight="1" x14ac:dyDescent="0.25">
      <c r="A208" s="81"/>
      <c r="B208" s="89" t="s">
        <v>283</v>
      </c>
      <c r="C208" s="77" t="s">
        <v>284</v>
      </c>
      <c r="D208" s="77" t="s">
        <v>60</v>
      </c>
      <c r="E208" s="77"/>
      <c r="F208" s="77"/>
      <c r="G208" s="78">
        <v>1</v>
      </c>
      <c r="H208" s="78">
        <v>3</v>
      </c>
      <c r="I208" s="78"/>
      <c r="J208" s="79">
        <f t="shared" si="32"/>
        <v>4</v>
      </c>
      <c r="K208" s="80">
        <v>620.04999999999995</v>
      </c>
      <c r="L208" s="80">
        <f t="shared" si="30"/>
        <v>2480.1999999999998</v>
      </c>
      <c r="M208" s="94"/>
      <c r="N208" s="77" t="s">
        <v>321</v>
      </c>
    </row>
    <row r="209" spans="1:15" s="54" customFormat="1" ht="22.5" customHeight="1" x14ac:dyDescent="0.25">
      <c r="A209" s="81"/>
      <c r="B209" s="89" t="s">
        <v>285</v>
      </c>
      <c r="C209" s="77" t="s">
        <v>286</v>
      </c>
      <c r="D209" s="77" t="s">
        <v>60</v>
      </c>
      <c r="E209" s="77"/>
      <c r="F209" s="77"/>
      <c r="G209" s="78"/>
      <c r="H209" s="78"/>
      <c r="I209" s="78">
        <v>1</v>
      </c>
      <c r="J209" s="79">
        <f t="shared" si="32"/>
        <v>1</v>
      </c>
      <c r="K209" s="80">
        <v>708.62</v>
      </c>
      <c r="L209" s="80">
        <f t="shared" si="30"/>
        <v>708.62</v>
      </c>
      <c r="M209" s="94"/>
      <c r="N209" s="77" t="s">
        <v>321</v>
      </c>
    </row>
    <row r="210" spans="1:15" s="54" customFormat="1" ht="22.5" customHeight="1" x14ac:dyDescent="0.25">
      <c r="A210" s="81"/>
      <c r="B210" s="89" t="s">
        <v>287</v>
      </c>
      <c r="C210" s="77" t="s">
        <v>288</v>
      </c>
      <c r="D210" s="77" t="s">
        <v>60</v>
      </c>
      <c r="E210" s="77"/>
      <c r="F210" s="77"/>
      <c r="G210" s="78">
        <v>1</v>
      </c>
      <c r="H210" s="78">
        <v>1</v>
      </c>
      <c r="I210" s="78">
        <v>1</v>
      </c>
      <c r="J210" s="79">
        <f t="shared" si="32"/>
        <v>3</v>
      </c>
      <c r="K210" s="80">
        <v>797.2</v>
      </c>
      <c r="L210" s="80">
        <f t="shared" si="30"/>
        <v>2391.6000000000004</v>
      </c>
      <c r="M210" s="94"/>
      <c r="N210" s="77" t="s">
        <v>321</v>
      </c>
    </row>
    <row r="211" spans="1:15" s="54" customFormat="1" ht="22.5" customHeight="1" x14ac:dyDescent="0.25">
      <c r="A211" s="81"/>
      <c r="B211" s="89" t="s">
        <v>289</v>
      </c>
      <c r="C211" s="77" t="s">
        <v>290</v>
      </c>
      <c r="D211" s="77" t="s">
        <v>60</v>
      </c>
      <c r="E211" s="77"/>
      <c r="F211" s="77"/>
      <c r="G211" s="78">
        <v>2</v>
      </c>
      <c r="H211" s="78"/>
      <c r="I211" s="78"/>
      <c r="J211" s="79">
        <f t="shared" si="32"/>
        <v>2</v>
      </c>
      <c r="K211" s="80">
        <v>885.78</v>
      </c>
      <c r="L211" s="80">
        <f t="shared" si="30"/>
        <v>1771.56</v>
      </c>
      <c r="M211" s="94"/>
      <c r="N211" s="77" t="s">
        <v>321</v>
      </c>
    </row>
    <row r="212" spans="1:15" s="54" customFormat="1" ht="22.5" customHeight="1" x14ac:dyDescent="0.25">
      <c r="A212" s="81"/>
      <c r="B212" s="89" t="s">
        <v>291</v>
      </c>
      <c r="C212" s="77" t="s">
        <v>292</v>
      </c>
      <c r="D212" s="77" t="s">
        <v>60</v>
      </c>
      <c r="E212" s="77"/>
      <c r="F212" s="77"/>
      <c r="G212" s="78">
        <v>24</v>
      </c>
      <c r="H212" s="78">
        <v>18</v>
      </c>
      <c r="I212" s="78">
        <v>26</v>
      </c>
      <c r="J212" s="79">
        <f t="shared" si="32"/>
        <v>68</v>
      </c>
      <c r="K212" s="80">
        <v>974.36</v>
      </c>
      <c r="L212" s="80">
        <f t="shared" si="30"/>
        <v>66256.479999999996</v>
      </c>
      <c r="M212" s="94"/>
      <c r="N212" s="77" t="s">
        <v>321</v>
      </c>
    </row>
    <row r="213" spans="1:15" s="54" customFormat="1" ht="22.5" customHeight="1" x14ac:dyDescent="0.25">
      <c r="A213" s="81"/>
      <c r="B213" s="89" t="s">
        <v>293</v>
      </c>
      <c r="C213" s="77" t="s">
        <v>294</v>
      </c>
      <c r="D213" s="77" t="s">
        <v>60</v>
      </c>
      <c r="E213" s="77"/>
      <c r="F213" s="77"/>
      <c r="G213" s="78">
        <v>8</v>
      </c>
      <c r="H213" s="78">
        <v>2</v>
      </c>
      <c r="I213" s="78">
        <v>8</v>
      </c>
      <c r="J213" s="79">
        <f t="shared" si="32"/>
        <v>18</v>
      </c>
      <c r="K213" s="80">
        <v>1151.51</v>
      </c>
      <c r="L213" s="80">
        <f t="shared" si="30"/>
        <v>20727.18</v>
      </c>
      <c r="M213" s="94"/>
      <c r="N213" s="77" t="s">
        <v>321</v>
      </c>
    </row>
    <row r="214" spans="1:15" s="54" customFormat="1" ht="22.5" customHeight="1" x14ac:dyDescent="0.25">
      <c r="A214" s="81"/>
      <c r="B214" s="89" t="s">
        <v>295</v>
      </c>
      <c r="C214" s="77" t="s">
        <v>296</v>
      </c>
      <c r="D214" s="77" t="s">
        <v>60</v>
      </c>
      <c r="E214" s="77"/>
      <c r="F214" s="77"/>
      <c r="G214" s="78">
        <v>4</v>
      </c>
      <c r="H214" s="78">
        <v>12</v>
      </c>
      <c r="I214" s="78">
        <v>4</v>
      </c>
      <c r="J214" s="79">
        <f t="shared" si="32"/>
        <v>20</v>
      </c>
      <c r="K214" s="80">
        <v>1240.0899999999999</v>
      </c>
      <c r="L214" s="80">
        <f t="shared" si="30"/>
        <v>24801.8</v>
      </c>
      <c r="M214" s="94"/>
      <c r="N214" s="77" t="s">
        <v>321</v>
      </c>
    </row>
    <row r="215" spans="1:15" s="54" customFormat="1" ht="22.5" customHeight="1" x14ac:dyDescent="0.25">
      <c r="A215" s="81"/>
      <c r="B215" s="89" t="s">
        <v>297</v>
      </c>
      <c r="C215" s="77" t="s">
        <v>118</v>
      </c>
      <c r="D215" s="77" t="s">
        <v>60</v>
      </c>
      <c r="E215" s="77"/>
      <c r="F215" s="77"/>
      <c r="G215" s="78">
        <v>5</v>
      </c>
      <c r="H215" s="78"/>
      <c r="I215" s="78">
        <v>3</v>
      </c>
      <c r="J215" s="79">
        <f t="shared" si="32"/>
        <v>8</v>
      </c>
      <c r="K215" s="80">
        <v>841.49</v>
      </c>
      <c r="L215" s="80">
        <f t="shared" si="30"/>
        <v>6731.92</v>
      </c>
      <c r="M215" s="94"/>
      <c r="N215" s="77" t="s">
        <v>321</v>
      </c>
    </row>
    <row r="216" spans="1:15" s="54" customFormat="1" ht="22.5" customHeight="1" x14ac:dyDescent="0.25">
      <c r="A216" s="81"/>
      <c r="B216" s="89" t="s">
        <v>298</v>
      </c>
      <c r="C216" s="77" t="s">
        <v>120</v>
      </c>
      <c r="D216" s="77" t="s">
        <v>60</v>
      </c>
      <c r="E216" s="77"/>
      <c r="F216" s="77"/>
      <c r="G216" s="78">
        <v>4</v>
      </c>
      <c r="H216" s="78">
        <v>6</v>
      </c>
      <c r="I216" s="78">
        <v>6</v>
      </c>
      <c r="J216" s="79">
        <f t="shared" si="32"/>
        <v>16</v>
      </c>
      <c r="K216" s="80">
        <v>981.74</v>
      </c>
      <c r="L216" s="80">
        <f t="shared" si="30"/>
        <v>15707.84</v>
      </c>
      <c r="M216" s="94"/>
      <c r="N216" s="77" t="s">
        <v>321</v>
      </c>
    </row>
    <row r="217" spans="1:15" s="54" customFormat="1" ht="22.5" customHeight="1" x14ac:dyDescent="0.25">
      <c r="A217" s="81"/>
      <c r="B217" s="89" t="s">
        <v>92</v>
      </c>
      <c r="C217" s="77" t="s">
        <v>93</v>
      </c>
      <c r="D217" s="77" t="s">
        <v>54</v>
      </c>
      <c r="E217" s="77">
        <v>1.04</v>
      </c>
      <c r="F217" s="77"/>
      <c r="G217" s="78">
        <f>149.74*E217</f>
        <v>155.7296</v>
      </c>
      <c r="H217" s="78">
        <f>121.66*E217</f>
        <v>126.5264</v>
      </c>
      <c r="I217" s="78">
        <f>158.83*E217</f>
        <v>165.18320000000003</v>
      </c>
      <c r="J217" s="79">
        <f t="shared" ref="J217:J222" si="33">SUM(G217:I217)</f>
        <v>447.43920000000003</v>
      </c>
      <c r="K217" s="80">
        <v>66.349999999999994</v>
      </c>
      <c r="L217" s="80">
        <f t="shared" si="30"/>
        <v>29687.590919999999</v>
      </c>
      <c r="M217" s="94"/>
      <c r="N217" s="77" t="s">
        <v>321</v>
      </c>
    </row>
    <row r="218" spans="1:15" s="54" customFormat="1" ht="22.5" customHeight="1" x14ac:dyDescent="0.25">
      <c r="A218" s="81"/>
      <c r="B218" s="89" t="s">
        <v>94</v>
      </c>
      <c r="C218" s="77" t="s">
        <v>95</v>
      </c>
      <c r="D218" s="77" t="s">
        <v>54</v>
      </c>
      <c r="E218" s="77">
        <v>1.04</v>
      </c>
      <c r="F218" s="77"/>
      <c r="G218" s="78">
        <f>G186*E218</f>
        <v>43.940000000000005</v>
      </c>
      <c r="H218" s="78">
        <f>H186*E218</f>
        <v>32.895200000000003</v>
      </c>
      <c r="I218" s="78">
        <f>I186*E218</f>
        <v>27.383199999999999</v>
      </c>
      <c r="J218" s="79">
        <f t="shared" si="33"/>
        <v>104.21840000000002</v>
      </c>
      <c r="K218" s="80">
        <v>64</v>
      </c>
      <c r="L218" s="80">
        <f t="shared" si="30"/>
        <v>6669.9776000000011</v>
      </c>
      <c r="M218" s="94"/>
      <c r="N218" s="77" t="s">
        <v>321</v>
      </c>
    </row>
    <row r="219" spans="1:15" s="54" customFormat="1" ht="22.5" customHeight="1" x14ac:dyDescent="0.25">
      <c r="A219" s="81"/>
      <c r="B219" s="89" t="s">
        <v>131</v>
      </c>
      <c r="C219" s="77" t="s">
        <v>39</v>
      </c>
      <c r="D219" s="77" t="s">
        <v>54</v>
      </c>
      <c r="E219" s="77">
        <v>1.04</v>
      </c>
      <c r="F219" s="77"/>
      <c r="G219" s="78">
        <f>31.12*E219</f>
        <v>32.364800000000002</v>
      </c>
      <c r="H219" s="78">
        <f>31.12*E219</f>
        <v>32.364800000000002</v>
      </c>
      <c r="I219" s="78">
        <f>31.12*E219</f>
        <v>32.364800000000002</v>
      </c>
      <c r="J219" s="79">
        <f t="shared" si="33"/>
        <v>97.094400000000007</v>
      </c>
      <c r="K219" s="80">
        <v>64.209999999999994</v>
      </c>
      <c r="L219" s="80">
        <f t="shared" si="30"/>
        <v>6234.4314239999994</v>
      </c>
      <c r="M219" s="94"/>
      <c r="N219" s="77" t="s">
        <v>321</v>
      </c>
      <c r="O219" s="2"/>
    </row>
    <row r="220" spans="1:15" s="54" customFormat="1" ht="22.5" customHeight="1" x14ac:dyDescent="0.25">
      <c r="A220" s="81"/>
      <c r="B220" s="89" t="s">
        <v>96</v>
      </c>
      <c r="C220" s="77" t="s">
        <v>39</v>
      </c>
      <c r="D220" s="77" t="s">
        <v>54</v>
      </c>
      <c r="E220" s="77">
        <v>1.04</v>
      </c>
      <c r="F220" s="77"/>
      <c r="G220" s="78">
        <f>15.21*E220</f>
        <v>15.818400000000002</v>
      </c>
      <c r="H220" s="78">
        <f>E220*22.49</f>
        <v>23.389599999999998</v>
      </c>
      <c r="I220" s="78"/>
      <c r="J220" s="79">
        <f t="shared" si="33"/>
        <v>39.207999999999998</v>
      </c>
      <c r="K220" s="80">
        <v>72.78</v>
      </c>
      <c r="L220" s="80">
        <f t="shared" si="30"/>
        <v>2853.5582399999998</v>
      </c>
      <c r="M220" s="94"/>
      <c r="N220" s="77" t="s">
        <v>321</v>
      </c>
      <c r="O220" s="2"/>
    </row>
    <row r="221" spans="1:15" s="54" customFormat="1" ht="22.5" customHeight="1" x14ac:dyDescent="0.25">
      <c r="A221" s="81"/>
      <c r="B221" s="89" t="s">
        <v>97</v>
      </c>
      <c r="C221" s="77" t="s">
        <v>39</v>
      </c>
      <c r="D221" s="77" t="s">
        <v>54</v>
      </c>
      <c r="E221" s="77">
        <v>1.04</v>
      </c>
      <c r="F221" s="77"/>
      <c r="G221" s="78">
        <f>E221*30.81</f>
        <v>32.042400000000001</v>
      </c>
      <c r="H221" s="78">
        <f>E221*6.64</f>
        <v>6.9055999999999997</v>
      </c>
      <c r="I221" s="78">
        <f>E221*18.88</f>
        <v>19.635200000000001</v>
      </c>
      <c r="J221" s="79">
        <f t="shared" si="33"/>
        <v>58.583200000000005</v>
      </c>
      <c r="K221" s="80">
        <v>74.92</v>
      </c>
      <c r="L221" s="80">
        <f t="shared" si="30"/>
        <v>4389.0533440000008</v>
      </c>
      <c r="M221" s="94"/>
      <c r="N221" s="77" t="s">
        <v>321</v>
      </c>
    </row>
    <row r="222" spans="1:15" s="54" customFormat="1" ht="22.5" customHeight="1" x14ac:dyDescent="0.25">
      <c r="A222" s="81"/>
      <c r="B222" s="89" t="s">
        <v>132</v>
      </c>
      <c r="C222" s="77" t="s">
        <v>39</v>
      </c>
      <c r="D222" s="77" t="s">
        <v>54</v>
      </c>
      <c r="E222" s="77">
        <v>1.04</v>
      </c>
      <c r="F222" s="77"/>
      <c r="G222" s="78">
        <f>10.5*E222</f>
        <v>10.92</v>
      </c>
      <c r="H222" s="78">
        <f>10.5*E222</f>
        <v>10.92</v>
      </c>
      <c r="I222" s="78">
        <f>10.5*E222</f>
        <v>10.92</v>
      </c>
      <c r="J222" s="79">
        <f t="shared" si="33"/>
        <v>32.76</v>
      </c>
      <c r="K222" s="80">
        <v>75.97</v>
      </c>
      <c r="L222" s="80">
        <f t="shared" si="30"/>
        <v>2488.7772</v>
      </c>
      <c r="M222" s="94"/>
      <c r="N222" s="77" t="s">
        <v>321</v>
      </c>
    </row>
    <row r="223" spans="1:15" s="54" customFormat="1" ht="22.5" customHeight="1" x14ac:dyDescent="0.25">
      <c r="A223" s="81"/>
      <c r="B223" s="89" t="s">
        <v>275</v>
      </c>
      <c r="C223" s="77" t="s">
        <v>276</v>
      </c>
      <c r="D223" s="77" t="s">
        <v>45</v>
      </c>
      <c r="E223" s="77">
        <v>1.04</v>
      </c>
      <c r="F223" s="77"/>
      <c r="G223" s="78">
        <f>G187*0.05*E223</f>
        <v>1.8376800000000004</v>
      </c>
      <c r="H223" s="78">
        <f>H187*0.05*E223</f>
        <v>1.9578000000000002</v>
      </c>
      <c r="I223" s="78">
        <f>I187*0.05*E223</f>
        <v>2.25108</v>
      </c>
      <c r="J223" s="79">
        <f t="shared" ref="J223" si="34">SUM(G223:I223)</f>
        <v>6.0465600000000004</v>
      </c>
      <c r="K223" s="80">
        <v>6405.83</v>
      </c>
      <c r="L223" s="80">
        <f t="shared" si="30"/>
        <v>38733.235444800004</v>
      </c>
      <c r="M223" s="94"/>
      <c r="N223" s="77" t="s">
        <v>321</v>
      </c>
    </row>
    <row r="224" spans="1:15" s="101" customFormat="1" ht="32.25" customHeight="1" x14ac:dyDescent="0.25">
      <c r="A224" s="95"/>
      <c r="B224" s="96" t="s">
        <v>133</v>
      </c>
      <c r="C224" s="97" t="s">
        <v>39</v>
      </c>
      <c r="D224" s="97" t="s">
        <v>99</v>
      </c>
      <c r="E224" s="97"/>
      <c r="F224" s="97"/>
      <c r="G224" s="98"/>
      <c r="H224" s="98"/>
      <c r="I224" s="98"/>
      <c r="J224" s="99">
        <f>L224*100/L176</f>
        <v>3.9130727487643417</v>
      </c>
      <c r="K224" s="79"/>
      <c r="L224" s="79">
        <v>114152.04240000001</v>
      </c>
      <c r="M224" s="100"/>
      <c r="N224" s="97" t="s">
        <v>321</v>
      </c>
    </row>
    <row r="225" spans="1:14" s="54" customFormat="1" x14ac:dyDescent="0.25">
      <c r="A225" s="60" t="s">
        <v>138</v>
      </c>
      <c r="B225" s="61" t="s">
        <v>139</v>
      </c>
      <c r="C225" s="62"/>
      <c r="D225" s="63"/>
      <c r="E225" s="62"/>
      <c r="F225" s="62"/>
      <c r="G225" s="64"/>
      <c r="H225" s="64"/>
      <c r="I225" s="64"/>
      <c r="J225" s="65"/>
      <c r="K225" s="65"/>
      <c r="L225" s="65">
        <f>L226+L239</f>
        <v>3798187.6369277993</v>
      </c>
      <c r="M225" s="86"/>
      <c r="N225" s="86"/>
    </row>
    <row r="226" spans="1:14" s="54" customFormat="1" x14ac:dyDescent="0.25">
      <c r="A226" s="66"/>
      <c r="B226" s="67" t="s">
        <v>34</v>
      </c>
      <c r="C226" s="68"/>
      <c r="D226" s="68"/>
      <c r="E226" s="68"/>
      <c r="F226" s="68"/>
      <c r="G226" s="69"/>
      <c r="H226" s="69"/>
      <c r="I226" s="69"/>
      <c r="J226" s="70"/>
      <c r="K226" s="70"/>
      <c r="L226" s="70">
        <f>SUM(L227:L238)</f>
        <v>2869017.0399999996</v>
      </c>
      <c r="M226" s="72"/>
      <c r="N226" s="72"/>
    </row>
    <row r="227" spans="1:14" s="54" customFormat="1" ht="24" customHeight="1" x14ac:dyDescent="0.25">
      <c r="A227" s="66"/>
      <c r="B227" s="71" t="s">
        <v>44</v>
      </c>
      <c r="C227" s="72"/>
      <c r="D227" s="72" t="s">
        <v>45</v>
      </c>
      <c r="E227" s="72"/>
      <c r="F227" s="72"/>
      <c r="G227" s="73">
        <v>30.11</v>
      </c>
      <c r="H227" s="73">
        <v>25.51</v>
      </c>
      <c r="I227" s="73">
        <v>38.270000000000003</v>
      </c>
      <c r="J227" s="70">
        <f>SUM(G227:I227)</f>
        <v>93.890000000000015</v>
      </c>
      <c r="K227" s="74">
        <v>4939</v>
      </c>
      <c r="L227" s="74">
        <f>K227*J227</f>
        <v>463722.71000000008</v>
      </c>
      <c r="M227" s="72"/>
      <c r="N227" s="72"/>
    </row>
    <row r="228" spans="1:14" s="54" customFormat="1" ht="24" customHeight="1" x14ac:dyDescent="0.25">
      <c r="A228" s="66"/>
      <c r="B228" s="71" t="s">
        <v>102</v>
      </c>
      <c r="C228" s="72"/>
      <c r="D228" s="72" t="s">
        <v>45</v>
      </c>
      <c r="E228" s="72"/>
      <c r="F228" s="72"/>
      <c r="G228" s="73">
        <v>1.77</v>
      </c>
      <c r="H228" s="73">
        <v>1.25</v>
      </c>
      <c r="I228" s="73">
        <v>1.7</v>
      </c>
      <c r="J228" s="70">
        <f t="shared" ref="J228:J237" si="35">SUM(G228:I228)</f>
        <v>4.72</v>
      </c>
      <c r="K228" s="74">
        <v>5845</v>
      </c>
      <c r="L228" s="74">
        <f t="shared" ref="L228" si="36">K228*J228</f>
        <v>27588.399999999998</v>
      </c>
      <c r="M228" s="72"/>
      <c r="N228" s="72"/>
    </row>
    <row r="229" spans="1:14" s="54" customFormat="1" ht="24" customHeight="1" x14ac:dyDescent="0.25">
      <c r="A229" s="66"/>
      <c r="B229" s="71" t="s">
        <v>46</v>
      </c>
      <c r="C229" s="72"/>
      <c r="D229" s="72" t="s">
        <v>47</v>
      </c>
      <c r="E229" s="72"/>
      <c r="F229" s="72"/>
      <c r="G229" s="73">
        <v>204.75</v>
      </c>
      <c r="H229" s="73">
        <v>120.63</v>
      </c>
      <c r="I229" s="73">
        <v>142.32</v>
      </c>
      <c r="J229" s="70">
        <f t="shared" si="35"/>
        <v>467.7</v>
      </c>
      <c r="K229" s="74">
        <v>1461</v>
      </c>
      <c r="L229" s="74">
        <f>K229*J229</f>
        <v>683309.7</v>
      </c>
      <c r="M229" s="72"/>
      <c r="N229" s="72"/>
    </row>
    <row r="230" spans="1:14" s="54" customFormat="1" ht="24" customHeight="1" x14ac:dyDescent="0.25">
      <c r="A230" s="66"/>
      <c r="B230" s="71" t="s">
        <v>48</v>
      </c>
      <c r="C230" s="72"/>
      <c r="D230" s="72" t="s">
        <v>47</v>
      </c>
      <c r="E230" s="72"/>
      <c r="F230" s="72"/>
      <c r="G230" s="73">
        <v>57.32</v>
      </c>
      <c r="H230" s="73">
        <v>44.32</v>
      </c>
      <c r="I230" s="73">
        <v>79.95</v>
      </c>
      <c r="J230" s="70">
        <f t="shared" si="35"/>
        <v>181.59</v>
      </c>
      <c r="K230" s="74">
        <v>1461</v>
      </c>
      <c r="L230" s="74">
        <f>K230*J230</f>
        <v>265302.99</v>
      </c>
      <c r="M230" s="72"/>
      <c r="N230" s="72"/>
    </row>
    <row r="231" spans="1:14" s="54" customFormat="1" ht="24" customHeight="1" x14ac:dyDescent="0.25">
      <c r="A231" s="66"/>
      <c r="B231" s="71" t="s">
        <v>103</v>
      </c>
      <c r="C231" s="72"/>
      <c r="D231" s="72" t="s">
        <v>47</v>
      </c>
      <c r="E231" s="72"/>
      <c r="F231" s="72"/>
      <c r="G231" s="73">
        <v>156.13999999999999</v>
      </c>
      <c r="H231" s="73">
        <v>101.76</v>
      </c>
      <c r="I231" s="73">
        <v>158.25</v>
      </c>
      <c r="J231" s="70">
        <f t="shared" si="35"/>
        <v>416.15</v>
      </c>
      <c r="K231" s="74">
        <v>1461</v>
      </c>
      <c r="L231" s="74">
        <f>K231*J231</f>
        <v>607995.15</v>
      </c>
      <c r="M231" s="72"/>
      <c r="N231" s="72"/>
    </row>
    <row r="232" spans="1:14" s="54" customFormat="1" ht="24" customHeight="1" x14ac:dyDescent="0.25">
      <c r="A232" s="66"/>
      <c r="B232" s="71" t="s">
        <v>104</v>
      </c>
      <c r="C232" s="72"/>
      <c r="D232" s="72" t="s">
        <v>47</v>
      </c>
      <c r="E232" s="72"/>
      <c r="F232" s="72"/>
      <c r="G232" s="73">
        <v>100.39</v>
      </c>
      <c r="H232" s="73">
        <v>112.4</v>
      </c>
      <c r="I232" s="73">
        <v>113.93</v>
      </c>
      <c r="J232" s="70">
        <f t="shared" si="35"/>
        <v>326.72000000000003</v>
      </c>
      <c r="K232" s="74">
        <v>1461</v>
      </c>
      <c r="L232" s="74">
        <f>K232*J232</f>
        <v>477337.92000000004</v>
      </c>
      <c r="M232" s="72"/>
      <c r="N232" s="72"/>
    </row>
    <row r="233" spans="1:14" s="54" customFormat="1" ht="24" customHeight="1" x14ac:dyDescent="0.25">
      <c r="A233" s="66"/>
      <c r="B233" s="71" t="s">
        <v>49</v>
      </c>
      <c r="C233" s="72"/>
      <c r="D233" s="72" t="s">
        <v>47</v>
      </c>
      <c r="E233" s="72"/>
      <c r="F233" s="72"/>
      <c r="G233" s="73">
        <v>27.1</v>
      </c>
      <c r="H233" s="73">
        <v>36.04</v>
      </c>
      <c r="I233" s="73">
        <v>32.35</v>
      </c>
      <c r="J233" s="70">
        <f t="shared" si="35"/>
        <v>95.490000000000009</v>
      </c>
      <c r="K233" s="74">
        <v>1610</v>
      </c>
      <c r="L233" s="74">
        <f t="shared" ref="L233:L237" si="37">K233*J233</f>
        <v>153738.90000000002</v>
      </c>
      <c r="M233" s="72"/>
      <c r="N233" s="72"/>
    </row>
    <row r="234" spans="1:14" s="54" customFormat="1" ht="24" customHeight="1" x14ac:dyDescent="0.25">
      <c r="A234" s="66"/>
      <c r="B234" s="71" t="s">
        <v>50</v>
      </c>
      <c r="C234" s="72"/>
      <c r="D234" s="72" t="s">
        <v>51</v>
      </c>
      <c r="E234" s="72"/>
      <c r="F234" s="72"/>
      <c r="G234" s="73">
        <v>55</v>
      </c>
      <c r="H234" s="73">
        <v>42</v>
      </c>
      <c r="I234" s="73">
        <v>56</v>
      </c>
      <c r="J234" s="70">
        <f t="shared" si="35"/>
        <v>153</v>
      </c>
      <c r="K234" s="74">
        <v>803</v>
      </c>
      <c r="L234" s="74">
        <f t="shared" si="37"/>
        <v>122859</v>
      </c>
      <c r="M234" s="72"/>
      <c r="N234" s="72"/>
    </row>
    <row r="235" spans="1:14" s="54" customFormat="1" ht="23.25" customHeight="1" x14ac:dyDescent="0.25">
      <c r="A235" s="66"/>
      <c r="B235" s="71" t="s">
        <v>52</v>
      </c>
      <c r="C235" s="72" t="s">
        <v>105</v>
      </c>
      <c r="D235" s="72" t="s">
        <v>54</v>
      </c>
      <c r="E235" s="72"/>
      <c r="F235" s="72"/>
      <c r="G235" s="129">
        <v>87.64</v>
      </c>
      <c r="H235" s="129">
        <v>70.760000000000005</v>
      </c>
      <c r="I235" s="129">
        <v>60.5</v>
      </c>
      <c r="J235" s="130">
        <f t="shared" si="35"/>
        <v>218.9</v>
      </c>
      <c r="K235" s="74">
        <v>94.5</v>
      </c>
      <c r="L235" s="74">
        <f t="shared" si="37"/>
        <v>20686.05</v>
      </c>
      <c r="M235" s="72"/>
      <c r="N235" s="72"/>
    </row>
    <row r="236" spans="1:14" s="54" customFormat="1" ht="31.5" x14ac:dyDescent="0.25">
      <c r="A236" s="66"/>
      <c r="B236" s="71" t="s">
        <v>55</v>
      </c>
      <c r="C236" s="72"/>
      <c r="D236" s="72" t="s">
        <v>54</v>
      </c>
      <c r="E236" s="72"/>
      <c r="F236" s="72"/>
      <c r="G236" s="73">
        <v>42.25</v>
      </c>
      <c r="H236" s="73">
        <v>31.63</v>
      </c>
      <c r="I236" s="73">
        <v>26.33</v>
      </c>
      <c r="J236" s="70">
        <f t="shared" si="35"/>
        <v>100.21</v>
      </c>
      <c r="K236" s="74">
        <v>118</v>
      </c>
      <c r="L236" s="74">
        <f t="shared" si="37"/>
        <v>11824.779999999999</v>
      </c>
      <c r="M236" s="72"/>
      <c r="N236" s="72"/>
    </row>
    <row r="237" spans="1:14" s="54" customFormat="1" ht="21" customHeight="1" x14ac:dyDescent="0.25">
      <c r="A237" s="66"/>
      <c r="B237" s="71" t="s">
        <v>256</v>
      </c>
      <c r="C237" s="72"/>
      <c r="D237" s="72" t="s">
        <v>47</v>
      </c>
      <c r="E237" s="72"/>
      <c r="F237" s="72"/>
      <c r="G237" s="73">
        <v>35.340000000000003</v>
      </c>
      <c r="H237" s="73">
        <v>37.65</v>
      </c>
      <c r="I237" s="73">
        <v>43.29</v>
      </c>
      <c r="J237" s="70">
        <f t="shared" si="35"/>
        <v>116.28</v>
      </c>
      <c r="K237" s="74">
        <v>298</v>
      </c>
      <c r="L237" s="74">
        <f t="shared" si="37"/>
        <v>34651.440000000002</v>
      </c>
      <c r="M237" s="72"/>
      <c r="N237" s="72"/>
    </row>
    <row r="238" spans="1:14" s="54" customFormat="1" ht="21" customHeight="1" x14ac:dyDescent="0.25">
      <c r="A238" s="66"/>
      <c r="B238" s="87" t="s">
        <v>56</v>
      </c>
      <c r="C238" s="88"/>
      <c r="D238" s="88" t="s">
        <v>45</v>
      </c>
      <c r="E238" s="88"/>
      <c r="F238" s="88"/>
      <c r="G238" s="73">
        <f>291.89*0.06*0.03</f>
        <v>0.52540199999999992</v>
      </c>
      <c r="H238" s="73">
        <f>228.82*0.06*0.03</f>
        <v>0.41187599999999996</v>
      </c>
      <c r="I238" s="73">
        <f>295.85*0.06*0.03</f>
        <v>0.53253000000000006</v>
      </c>
      <c r="J238" s="70">
        <f>SUM(G238:I238)</f>
        <v>1.469808</v>
      </c>
      <c r="K238" s="74"/>
      <c r="L238" s="74"/>
      <c r="M238" s="88" t="s">
        <v>57</v>
      </c>
      <c r="N238" s="72"/>
    </row>
    <row r="239" spans="1:14" s="54" customFormat="1" x14ac:dyDescent="0.25">
      <c r="A239" s="75"/>
      <c r="B239" s="76" t="s">
        <v>38</v>
      </c>
      <c r="C239" s="77"/>
      <c r="D239" s="77"/>
      <c r="E239" s="77"/>
      <c r="F239" s="77"/>
      <c r="G239" s="78"/>
      <c r="H239" s="78"/>
      <c r="I239" s="78"/>
      <c r="J239" s="79"/>
      <c r="K239" s="80"/>
      <c r="L239" s="79">
        <f>SUM(L240:L275)</f>
        <v>929170.59692779998</v>
      </c>
      <c r="M239" s="77"/>
      <c r="N239" s="77"/>
    </row>
    <row r="240" spans="1:14" s="54" customFormat="1" ht="31.5" x14ac:dyDescent="0.25">
      <c r="A240" s="81"/>
      <c r="B240" s="82" t="s">
        <v>58</v>
      </c>
      <c r="C240" s="77" t="s">
        <v>59</v>
      </c>
      <c r="D240" s="77" t="s">
        <v>60</v>
      </c>
      <c r="E240" s="78">
        <v>12.4</v>
      </c>
      <c r="F240" s="77">
        <v>0.25</v>
      </c>
      <c r="G240" s="83">
        <f>G227/F240*E240</f>
        <v>1493.4559999999999</v>
      </c>
      <c r="H240" s="83">
        <f>H227/F240*E240</f>
        <v>1265.296</v>
      </c>
      <c r="I240" s="83">
        <f>I227/F240*E240</f>
        <v>1898.1920000000002</v>
      </c>
      <c r="J240" s="84">
        <f>SUM(G240:I240)</f>
        <v>4656.9440000000004</v>
      </c>
      <c r="K240" s="80">
        <v>0</v>
      </c>
      <c r="L240" s="80">
        <f>J240*K240</f>
        <v>0</v>
      </c>
      <c r="M240" s="77" t="s">
        <v>61</v>
      </c>
      <c r="N240" s="77" t="s">
        <v>320</v>
      </c>
    </row>
    <row r="241" spans="1:14" s="54" customFormat="1" ht="31.5" x14ac:dyDescent="0.25">
      <c r="A241" s="81"/>
      <c r="B241" s="82" t="s">
        <v>62</v>
      </c>
      <c r="C241" s="77" t="s">
        <v>63</v>
      </c>
      <c r="D241" s="77" t="s">
        <v>60</v>
      </c>
      <c r="E241" s="78">
        <v>12.4</v>
      </c>
      <c r="F241" s="77"/>
      <c r="G241" s="83">
        <f>G229*E241</f>
        <v>2538.9</v>
      </c>
      <c r="H241" s="83">
        <f>H229*E241</f>
        <v>1495.8119999999999</v>
      </c>
      <c r="I241" s="83">
        <f>I229*E241</f>
        <v>1764.768</v>
      </c>
      <c r="J241" s="84">
        <f t="shared" ref="J241:J245" si="38">SUM(G241:I241)</f>
        <v>5799.48</v>
      </c>
      <c r="K241" s="80">
        <v>0</v>
      </c>
      <c r="L241" s="80">
        <f>J241*K241</f>
        <v>0</v>
      </c>
      <c r="M241" s="77" t="s">
        <v>61</v>
      </c>
      <c r="N241" s="77" t="s">
        <v>320</v>
      </c>
    </row>
    <row r="242" spans="1:14" s="54" customFormat="1" ht="31.5" x14ac:dyDescent="0.25">
      <c r="A242" s="81"/>
      <c r="B242" s="82" t="s">
        <v>64</v>
      </c>
      <c r="C242" s="77" t="s">
        <v>65</v>
      </c>
      <c r="D242" s="77" t="s">
        <v>60</v>
      </c>
      <c r="E242" s="78">
        <v>12.4</v>
      </c>
      <c r="F242" s="77"/>
      <c r="G242" s="83">
        <f>G230*E242</f>
        <v>710.76800000000003</v>
      </c>
      <c r="H242" s="83">
        <f>H230*E242</f>
        <v>549.56799999999998</v>
      </c>
      <c r="I242" s="83">
        <f>I230*E242</f>
        <v>991.38000000000011</v>
      </c>
      <c r="J242" s="84">
        <f t="shared" si="38"/>
        <v>2251.7160000000003</v>
      </c>
      <c r="K242" s="80">
        <v>0</v>
      </c>
      <c r="L242" s="80">
        <f>J242*K242</f>
        <v>0</v>
      </c>
      <c r="M242" s="77" t="s">
        <v>61</v>
      </c>
      <c r="N242" s="77" t="s">
        <v>320</v>
      </c>
    </row>
    <row r="243" spans="1:14" s="54" customFormat="1" ht="31.5" x14ac:dyDescent="0.25">
      <c r="A243" s="81"/>
      <c r="B243" s="82" t="s">
        <v>106</v>
      </c>
      <c r="C243" s="77" t="s">
        <v>107</v>
      </c>
      <c r="D243" s="77" t="s">
        <v>60</v>
      </c>
      <c r="E243" s="78">
        <v>12.4</v>
      </c>
      <c r="F243" s="77"/>
      <c r="G243" s="83">
        <f>G231*E243</f>
        <v>1936.136</v>
      </c>
      <c r="H243" s="83">
        <f>H231*E243</f>
        <v>1261.8240000000001</v>
      </c>
      <c r="I243" s="83">
        <f>I231*E243</f>
        <v>1962.3</v>
      </c>
      <c r="J243" s="84">
        <f t="shared" si="38"/>
        <v>5160.26</v>
      </c>
      <c r="K243" s="80">
        <v>0</v>
      </c>
      <c r="L243" s="80">
        <f>J243*K243</f>
        <v>0</v>
      </c>
      <c r="M243" s="77" t="s">
        <v>61</v>
      </c>
      <c r="N243" s="77" t="s">
        <v>320</v>
      </c>
    </row>
    <row r="244" spans="1:14" s="54" customFormat="1" ht="31.5" x14ac:dyDescent="0.25">
      <c r="A244" s="81"/>
      <c r="B244" s="82" t="s">
        <v>108</v>
      </c>
      <c r="C244" s="77" t="s">
        <v>109</v>
      </c>
      <c r="D244" s="77" t="s">
        <v>60</v>
      </c>
      <c r="E244" s="78">
        <v>12.4</v>
      </c>
      <c r="F244" s="77"/>
      <c r="G244" s="83">
        <f>G232*E244</f>
        <v>1244.836</v>
      </c>
      <c r="H244" s="83">
        <f>H232*E244</f>
        <v>1393.7600000000002</v>
      </c>
      <c r="I244" s="83">
        <f>I232*E244</f>
        <v>1412.7320000000002</v>
      </c>
      <c r="J244" s="84">
        <f t="shared" si="38"/>
        <v>4051.3280000000004</v>
      </c>
      <c r="K244" s="80">
        <v>0</v>
      </c>
      <c r="L244" s="80">
        <f>J244*K244</f>
        <v>0</v>
      </c>
      <c r="M244" s="77" t="s">
        <v>61</v>
      </c>
      <c r="N244" s="77" t="s">
        <v>320</v>
      </c>
    </row>
    <row r="245" spans="1:14" s="54" customFormat="1" ht="31.5" x14ac:dyDescent="0.25">
      <c r="A245" s="81"/>
      <c r="B245" s="89" t="s">
        <v>66</v>
      </c>
      <c r="C245" s="77" t="s">
        <v>67</v>
      </c>
      <c r="D245" s="77" t="s">
        <v>60</v>
      </c>
      <c r="E245" s="90">
        <v>42</v>
      </c>
      <c r="F245" s="90"/>
      <c r="G245" s="83">
        <f>G233*E245</f>
        <v>1138.2</v>
      </c>
      <c r="H245" s="83">
        <f>H233*E245</f>
        <v>1513.68</v>
      </c>
      <c r="I245" s="83">
        <f>I233*E245</f>
        <v>1358.7</v>
      </c>
      <c r="J245" s="84">
        <f t="shared" si="38"/>
        <v>4010.58</v>
      </c>
      <c r="K245" s="80">
        <v>0</v>
      </c>
      <c r="L245" s="80">
        <f t="shared" ref="L245:L274" si="39">J245*K245</f>
        <v>0</v>
      </c>
      <c r="M245" s="77" t="s">
        <v>68</v>
      </c>
      <c r="N245" s="77" t="s">
        <v>320</v>
      </c>
    </row>
    <row r="246" spans="1:14" s="54" customFormat="1" ht="31.5" x14ac:dyDescent="0.25">
      <c r="A246" s="81"/>
      <c r="B246" s="89" t="s">
        <v>110</v>
      </c>
      <c r="C246" s="77" t="s">
        <v>111</v>
      </c>
      <c r="D246" s="77" t="s">
        <v>60</v>
      </c>
      <c r="E246" s="90">
        <v>42</v>
      </c>
      <c r="F246" s="90"/>
      <c r="G246" s="83">
        <f>G228/0.25*E246</f>
        <v>297.36</v>
      </c>
      <c r="H246" s="83">
        <f>H228/0.25*E246</f>
        <v>210</v>
      </c>
      <c r="I246" s="83">
        <f>I228/0.25*E246</f>
        <v>285.59999999999997</v>
      </c>
      <c r="J246" s="84">
        <f t="shared" ref="J246" si="40">SUM(G246:I246)</f>
        <v>792.96</v>
      </c>
      <c r="K246" s="80">
        <v>0</v>
      </c>
      <c r="L246" s="80">
        <f t="shared" si="39"/>
        <v>0</v>
      </c>
      <c r="M246" s="77" t="s">
        <v>68</v>
      </c>
      <c r="N246" s="77" t="s">
        <v>320</v>
      </c>
    </row>
    <row r="247" spans="1:14" s="54" customFormat="1" ht="28.5" customHeight="1" x14ac:dyDescent="0.25">
      <c r="A247" s="81"/>
      <c r="B247" s="91" t="s">
        <v>69</v>
      </c>
      <c r="C247" s="77" t="s">
        <v>70</v>
      </c>
      <c r="D247" s="77" t="s">
        <v>45</v>
      </c>
      <c r="E247" s="77">
        <v>0.19500000000000001</v>
      </c>
      <c r="F247" s="90"/>
      <c r="G247" s="78">
        <f>G227*E247+G229*E247*0.19+G230*E247*0.19+G231*E247*0.09+G232*E247*0.09</f>
        <v>20.083245000000002</v>
      </c>
      <c r="H247" s="78">
        <f>H227*E247+H229*E247*0.19+H230*E247*0.19+H231*E247*0.09+H232*E247*0.09</f>
        <v>14.844355500000001</v>
      </c>
      <c r="I247" s="78">
        <f>I227*E247+I229*E247*0.19+I230*E247*0.19+I231*E247*0.09+I232*E247*0.09</f>
        <v>20.474512499999999</v>
      </c>
      <c r="J247" s="79">
        <f>SUM(G247:I247)</f>
        <v>55.402113</v>
      </c>
      <c r="K247" s="80">
        <v>7875</v>
      </c>
      <c r="L247" s="80">
        <f t="shared" si="39"/>
        <v>436291.63987499999</v>
      </c>
      <c r="M247" s="77" t="s">
        <v>71</v>
      </c>
      <c r="N247" s="77" t="s">
        <v>321</v>
      </c>
    </row>
    <row r="248" spans="1:14" s="54" customFormat="1" ht="28.5" customHeight="1" x14ac:dyDescent="0.25">
      <c r="A248" s="92"/>
      <c r="B248" s="91" t="s">
        <v>112</v>
      </c>
      <c r="C248" s="77" t="s">
        <v>70</v>
      </c>
      <c r="D248" s="77" t="s">
        <v>45</v>
      </c>
      <c r="E248" s="77">
        <v>0.24</v>
      </c>
      <c r="F248" s="77"/>
      <c r="G248" s="78">
        <f>G228*E248</f>
        <v>0.42480000000000001</v>
      </c>
      <c r="H248" s="78">
        <f>H228*E248</f>
        <v>0.3</v>
      </c>
      <c r="I248" s="78">
        <f>I228*E248</f>
        <v>0.40799999999999997</v>
      </c>
      <c r="J248" s="79">
        <f t="shared" ref="J248:J273" si="41">SUM(G248:I248)</f>
        <v>1.1328</v>
      </c>
      <c r="K248" s="80">
        <v>7875</v>
      </c>
      <c r="L248" s="80">
        <f t="shared" si="39"/>
        <v>8920.8000000000011</v>
      </c>
      <c r="M248" s="77" t="s">
        <v>71</v>
      </c>
      <c r="N248" s="77" t="s">
        <v>321</v>
      </c>
    </row>
    <row r="249" spans="1:14" s="54" customFormat="1" ht="28.5" customHeight="1" x14ac:dyDescent="0.25">
      <c r="A249" s="92"/>
      <c r="B249" s="91" t="s">
        <v>72</v>
      </c>
      <c r="C249" s="77" t="s">
        <v>70</v>
      </c>
      <c r="D249" s="77" t="s">
        <v>45</v>
      </c>
      <c r="E249" s="77">
        <v>4.5999999999999999E-2</v>
      </c>
      <c r="F249" s="77"/>
      <c r="G249" s="78">
        <f>G233*E249</f>
        <v>1.2466000000000002</v>
      </c>
      <c r="H249" s="78">
        <f>H233*E249</f>
        <v>1.65784</v>
      </c>
      <c r="I249" s="78">
        <f>I233*E249</f>
        <v>1.4881</v>
      </c>
      <c r="J249" s="79">
        <f t="shared" si="41"/>
        <v>4.3925400000000003</v>
      </c>
      <c r="K249" s="80">
        <v>7875</v>
      </c>
      <c r="L249" s="80">
        <f t="shared" si="39"/>
        <v>34591.252500000002</v>
      </c>
      <c r="M249" s="77" t="s">
        <v>73</v>
      </c>
      <c r="N249" s="77" t="s">
        <v>321</v>
      </c>
    </row>
    <row r="250" spans="1:14" s="54" customFormat="1" ht="28.5" customHeight="1" x14ac:dyDescent="0.25">
      <c r="A250" s="92"/>
      <c r="B250" s="91" t="s">
        <v>74</v>
      </c>
      <c r="C250" s="77" t="s">
        <v>70</v>
      </c>
      <c r="D250" s="77" t="s">
        <v>45</v>
      </c>
      <c r="E250" s="77">
        <v>1.01</v>
      </c>
      <c r="F250" s="77"/>
      <c r="G250" s="78">
        <f>G238*E250</f>
        <v>0.5306560199999999</v>
      </c>
      <c r="H250" s="78">
        <f>H238*E250</f>
        <v>0.41599475999999996</v>
      </c>
      <c r="I250" s="78">
        <f>I238*E250</f>
        <v>0.53785530000000004</v>
      </c>
      <c r="J250" s="79">
        <f t="shared" si="41"/>
        <v>1.4845060800000001</v>
      </c>
      <c r="K250" s="80">
        <v>7875</v>
      </c>
      <c r="L250" s="80">
        <f t="shared" si="39"/>
        <v>11690.48538</v>
      </c>
      <c r="M250" s="77" t="s">
        <v>71</v>
      </c>
      <c r="N250" s="77" t="s">
        <v>321</v>
      </c>
    </row>
    <row r="251" spans="1:14" s="54" customFormat="1" ht="28.5" customHeight="1" x14ac:dyDescent="0.25">
      <c r="A251" s="81"/>
      <c r="B251" s="89" t="s">
        <v>75</v>
      </c>
      <c r="C251" s="77" t="s">
        <v>70</v>
      </c>
      <c r="D251" s="77" t="s">
        <v>45</v>
      </c>
      <c r="E251" s="77">
        <v>6.0000000000000001E-3</v>
      </c>
      <c r="F251" s="77"/>
      <c r="G251" s="78">
        <f>G234*E251</f>
        <v>0.33</v>
      </c>
      <c r="H251" s="78">
        <f>H234*E251</f>
        <v>0.252</v>
      </c>
      <c r="I251" s="78">
        <f>I234*E251</f>
        <v>0.33600000000000002</v>
      </c>
      <c r="J251" s="79">
        <f t="shared" si="41"/>
        <v>0.91800000000000015</v>
      </c>
      <c r="K251" s="80">
        <v>7875</v>
      </c>
      <c r="L251" s="80">
        <f t="shared" si="39"/>
        <v>7229.2500000000009</v>
      </c>
      <c r="M251" s="77" t="s">
        <v>76</v>
      </c>
      <c r="N251" s="77" t="s">
        <v>321</v>
      </c>
    </row>
    <row r="252" spans="1:14" s="54" customFormat="1" ht="28.5" customHeight="1" x14ac:dyDescent="0.25">
      <c r="A252" s="81"/>
      <c r="B252" s="89" t="s">
        <v>77</v>
      </c>
      <c r="C252" s="77" t="s">
        <v>70</v>
      </c>
      <c r="D252" s="77" t="s">
        <v>45</v>
      </c>
      <c r="E252" s="77">
        <v>1.01</v>
      </c>
      <c r="F252" s="77"/>
      <c r="G252" s="93">
        <v>5.7000000000000002E-2</v>
      </c>
      <c r="H252" s="93">
        <v>4.2999999999999997E-2</v>
      </c>
      <c r="I252" s="93">
        <v>3.2000000000000001E-2</v>
      </c>
      <c r="J252" s="79">
        <f t="shared" si="41"/>
        <v>0.13200000000000001</v>
      </c>
      <c r="K252" s="80">
        <v>7875</v>
      </c>
      <c r="L252" s="80">
        <f t="shared" si="39"/>
        <v>1039.5</v>
      </c>
      <c r="M252" s="94"/>
      <c r="N252" s="77" t="s">
        <v>321</v>
      </c>
    </row>
    <row r="253" spans="1:14" s="54" customFormat="1" ht="21" customHeight="1" x14ac:dyDescent="0.25">
      <c r="A253" s="81"/>
      <c r="B253" s="89" t="s">
        <v>78</v>
      </c>
      <c r="C253" s="77" t="s">
        <v>79</v>
      </c>
      <c r="D253" s="77" t="s">
        <v>47</v>
      </c>
      <c r="E253" s="77"/>
      <c r="F253" s="77"/>
      <c r="G253" s="78">
        <v>182.58</v>
      </c>
      <c r="H253" s="78">
        <v>142.61000000000001</v>
      </c>
      <c r="I253" s="78">
        <v>188.7</v>
      </c>
      <c r="J253" s="79">
        <f t="shared" si="41"/>
        <v>513.8900000000001</v>
      </c>
      <c r="K253" s="80">
        <v>88.34</v>
      </c>
      <c r="L253" s="80">
        <f t="shared" si="39"/>
        <v>45397.042600000008</v>
      </c>
      <c r="M253" s="94"/>
      <c r="N253" s="77" t="s">
        <v>321</v>
      </c>
    </row>
    <row r="254" spans="1:14" s="54" customFormat="1" ht="21" customHeight="1" x14ac:dyDescent="0.25">
      <c r="A254" s="81"/>
      <c r="B254" s="89" t="s">
        <v>277</v>
      </c>
      <c r="C254" s="77" t="s">
        <v>114</v>
      </c>
      <c r="D254" s="77" t="s">
        <v>60</v>
      </c>
      <c r="E254" s="77"/>
      <c r="F254" s="77"/>
      <c r="G254" s="78">
        <v>12</v>
      </c>
      <c r="H254" s="78">
        <v>17</v>
      </c>
      <c r="I254" s="78">
        <v>13</v>
      </c>
      <c r="J254" s="79">
        <f t="shared" si="41"/>
        <v>42</v>
      </c>
      <c r="K254" s="80">
        <v>398.6</v>
      </c>
      <c r="L254" s="80">
        <f t="shared" si="39"/>
        <v>16741.2</v>
      </c>
      <c r="M254" s="94"/>
      <c r="N254" s="77" t="s">
        <v>321</v>
      </c>
    </row>
    <row r="255" spans="1:14" s="54" customFormat="1" ht="21" customHeight="1" x14ac:dyDescent="0.25">
      <c r="A255" s="81"/>
      <c r="B255" s="89" t="s">
        <v>278</v>
      </c>
      <c r="C255" s="77" t="s">
        <v>116</v>
      </c>
      <c r="D255" s="77" t="s">
        <v>60</v>
      </c>
      <c r="E255" s="77"/>
      <c r="F255" s="77"/>
      <c r="G255" s="78">
        <v>10</v>
      </c>
      <c r="H255" s="78"/>
      <c r="I255" s="78">
        <v>10</v>
      </c>
      <c r="J255" s="79">
        <f t="shared" si="41"/>
        <v>20</v>
      </c>
      <c r="K255" s="80">
        <v>465.03</v>
      </c>
      <c r="L255" s="80">
        <f t="shared" si="39"/>
        <v>9300.5999999999985</v>
      </c>
      <c r="M255" s="94"/>
      <c r="N255" s="77" t="s">
        <v>321</v>
      </c>
    </row>
    <row r="256" spans="1:14" s="54" customFormat="1" ht="21" customHeight="1" x14ac:dyDescent="0.25">
      <c r="A256" s="81"/>
      <c r="B256" s="89" t="s">
        <v>279</v>
      </c>
      <c r="C256" s="77" t="s">
        <v>280</v>
      </c>
      <c r="D256" s="77" t="s">
        <v>60</v>
      </c>
      <c r="E256" s="77"/>
      <c r="F256" s="77"/>
      <c r="G256" s="78"/>
      <c r="H256" s="78"/>
      <c r="I256" s="78">
        <v>1</v>
      </c>
      <c r="J256" s="79">
        <f t="shared" si="41"/>
        <v>1</v>
      </c>
      <c r="K256" s="80">
        <v>863.64</v>
      </c>
      <c r="L256" s="80">
        <f t="shared" si="39"/>
        <v>863.64</v>
      </c>
      <c r="M256" s="94"/>
      <c r="N256" s="77" t="s">
        <v>321</v>
      </c>
    </row>
    <row r="257" spans="1:15" s="54" customFormat="1" ht="21" customHeight="1" x14ac:dyDescent="0.25">
      <c r="A257" s="81"/>
      <c r="B257" s="89" t="s">
        <v>283</v>
      </c>
      <c r="C257" s="77" t="s">
        <v>284</v>
      </c>
      <c r="D257" s="77" t="s">
        <v>60</v>
      </c>
      <c r="E257" s="77"/>
      <c r="F257" s="77"/>
      <c r="G257" s="78">
        <v>1</v>
      </c>
      <c r="H257" s="78">
        <v>1</v>
      </c>
      <c r="I257" s="78"/>
      <c r="J257" s="79">
        <f t="shared" si="41"/>
        <v>2</v>
      </c>
      <c r="K257" s="80">
        <v>620.04999999999995</v>
      </c>
      <c r="L257" s="80">
        <f t="shared" si="39"/>
        <v>1240.0999999999999</v>
      </c>
      <c r="M257" s="94"/>
      <c r="N257" s="77" t="s">
        <v>321</v>
      </c>
    </row>
    <row r="258" spans="1:15" s="54" customFormat="1" ht="21" customHeight="1" x14ac:dyDescent="0.25">
      <c r="A258" s="81"/>
      <c r="B258" s="89" t="s">
        <v>285</v>
      </c>
      <c r="C258" s="77" t="s">
        <v>286</v>
      </c>
      <c r="D258" s="77" t="s">
        <v>60</v>
      </c>
      <c r="E258" s="77"/>
      <c r="F258" s="77"/>
      <c r="G258" s="78"/>
      <c r="H258" s="78"/>
      <c r="I258" s="78">
        <v>1</v>
      </c>
      <c r="J258" s="79">
        <f t="shared" si="41"/>
        <v>1</v>
      </c>
      <c r="K258" s="80">
        <v>708.62</v>
      </c>
      <c r="L258" s="80">
        <f t="shared" si="39"/>
        <v>708.62</v>
      </c>
      <c r="M258" s="94"/>
      <c r="N258" s="77" t="s">
        <v>321</v>
      </c>
    </row>
    <row r="259" spans="1:15" s="54" customFormat="1" ht="21" customHeight="1" x14ac:dyDescent="0.25">
      <c r="A259" s="81"/>
      <c r="B259" s="89" t="s">
        <v>287</v>
      </c>
      <c r="C259" s="77" t="s">
        <v>288</v>
      </c>
      <c r="D259" s="77" t="s">
        <v>60</v>
      </c>
      <c r="E259" s="77"/>
      <c r="F259" s="77"/>
      <c r="G259" s="78">
        <v>1</v>
      </c>
      <c r="H259" s="78">
        <v>1</v>
      </c>
      <c r="I259" s="78">
        <v>1</v>
      </c>
      <c r="J259" s="79">
        <f t="shared" si="41"/>
        <v>3</v>
      </c>
      <c r="K259" s="80">
        <v>797.2</v>
      </c>
      <c r="L259" s="80">
        <f t="shared" si="39"/>
        <v>2391.6000000000004</v>
      </c>
      <c r="M259" s="94"/>
      <c r="N259" s="77" t="s">
        <v>321</v>
      </c>
    </row>
    <row r="260" spans="1:15" s="54" customFormat="1" ht="21" customHeight="1" x14ac:dyDescent="0.25">
      <c r="A260" s="81"/>
      <c r="B260" s="89" t="s">
        <v>297</v>
      </c>
      <c r="C260" s="77" t="s">
        <v>118</v>
      </c>
      <c r="D260" s="77" t="s">
        <v>60</v>
      </c>
      <c r="E260" s="77"/>
      <c r="F260" s="77"/>
      <c r="G260" s="78">
        <v>5</v>
      </c>
      <c r="H260" s="78"/>
      <c r="I260" s="78">
        <v>3</v>
      </c>
      <c r="J260" s="79">
        <f t="shared" si="41"/>
        <v>8</v>
      </c>
      <c r="K260" s="80">
        <v>841.49</v>
      </c>
      <c r="L260" s="80">
        <f t="shared" si="39"/>
        <v>6731.92</v>
      </c>
      <c r="M260" s="94"/>
      <c r="N260" s="77" t="s">
        <v>321</v>
      </c>
    </row>
    <row r="261" spans="1:15" s="54" customFormat="1" ht="21" customHeight="1" x14ac:dyDescent="0.25">
      <c r="A261" s="81"/>
      <c r="B261" s="89" t="s">
        <v>298</v>
      </c>
      <c r="C261" s="77" t="s">
        <v>120</v>
      </c>
      <c r="D261" s="77" t="s">
        <v>60</v>
      </c>
      <c r="E261" s="77"/>
      <c r="F261" s="77"/>
      <c r="G261" s="78">
        <v>4</v>
      </c>
      <c r="H261" s="78">
        <v>6</v>
      </c>
      <c r="I261" s="78">
        <v>6</v>
      </c>
      <c r="J261" s="79">
        <f t="shared" si="41"/>
        <v>16</v>
      </c>
      <c r="K261" s="80">
        <v>981.74</v>
      </c>
      <c r="L261" s="80">
        <f t="shared" si="39"/>
        <v>15707.84</v>
      </c>
      <c r="M261" s="94"/>
      <c r="N261" s="77" t="s">
        <v>321</v>
      </c>
    </row>
    <row r="262" spans="1:15" s="54" customFormat="1" ht="21" customHeight="1" x14ac:dyDescent="0.25">
      <c r="A262" s="81"/>
      <c r="B262" s="89" t="s">
        <v>299</v>
      </c>
      <c r="C262" s="77" t="s">
        <v>300</v>
      </c>
      <c r="D262" s="77" t="s">
        <v>60</v>
      </c>
      <c r="E262" s="77"/>
      <c r="F262" s="77"/>
      <c r="G262" s="78">
        <v>3</v>
      </c>
      <c r="H262" s="78"/>
      <c r="I262" s="78">
        <v>2</v>
      </c>
      <c r="J262" s="79">
        <f t="shared" si="41"/>
        <v>5</v>
      </c>
      <c r="K262" s="80">
        <v>1107.23</v>
      </c>
      <c r="L262" s="80">
        <f t="shared" si="39"/>
        <v>5536.15</v>
      </c>
      <c r="M262" s="94"/>
      <c r="N262" s="77" t="s">
        <v>321</v>
      </c>
    </row>
    <row r="263" spans="1:15" s="54" customFormat="1" ht="21" customHeight="1" x14ac:dyDescent="0.25">
      <c r="A263" s="81"/>
      <c r="B263" s="89" t="s">
        <v>301</v>
      </c>
      <c r="C263" s="77" t="s">
        <v>122</v>
      </c>
      <c r="D263" s="77" t="s">
        <v>60</v>
      </c>
      <c r="E263" s="77"/>
      <c r="F263" s="77"/>
      <c r="G263" s="78"/>
      <c r="H263" s="78">
        <v>1</v>
      </c>
      <c r="I263" s="78"/>
      <c r="J263" s="79">
        <f t="shared" si="41"/>
        <v>1</v>
      </c>
      <c r="K263" s="80">
        <v>1291.76</v>
      </c>
      <c r="L263" s="80">
        <f t="shared" si="39"/>
        <v>1291.76</v>
      </c>
      <c r="M263" s="94"/>
      <c r="N263" s="77" t="s">
        <v>321</v>
      </c>
    </row>
    <row r="264" spans="1:15" s="54" customFormat="1" ht="21" customHeight="1" x14ac:dyDescent="0.25">
      <c r="A264" s="81"/>
      <c r="B264" s="89" t="s">
        <v>302</v>
      </c>
      <c r="C264" s="77" t="s">
        <v>124</v>
      </c>
      <c r="D264" s="77" t="s">
        <v>60</v>
      </c>
      <c r="E264" s="77"/>
      <c r="F264" s="77"/>
      <c r="G264" s="78">
        <v>1</v>
      </c>
      <c r="H264" s="78"/>
      <c r="I264" s="78"/>
      <c r="J264" s="79">
        <f t="shared" si="41"/>
        <v>1</v>
      </c>
      <c r="K264" s="80">
        <v>1845.38</v>
      </c>
      <c r="L264" s="80">
        <f t="shared" si="39"/>
        <v>1845.38</v>
      </c>
      <c r="M264" s="94"/>
      <c r="N264" s="77" t="s">
        <v>321</v>
      </c>
    </row>
    <row r="265" spans="1:15" s="54" customFormat="1" ht="21" customHeight="1" x14ac:dyDescent="0.25">
      <c r="A265" s="81"/>
      <c r="B265" s="89" t="s">
        <v>303</v>
      </c>
      <c r="C265" s="77" t="s">
        <v>126</v>
      </c>
      <c r="D265" s="77" t="s">
        <v>60</v>
      </c>
      <c r="E265" s="77"/>
      <c r="F265" s="77"/>
      <c r="G265" s="78">
        <v>12</v>
      </c>
      <c r="H265" s="78">
        <v>9</v>
      </c>
      <c r="I265" s="78">
        <v>13</v>
      </c>
      <c r="J265" s="79">
        <f t="shared" si="41"/>
        <v>34</v>
      </c>
      <c r="K265" s="80">
        <v>2029.91</v>
      </c>
      <c r="L265" s="80">
        <f t="shared" si="39"/>
        <v>69016.94</v>
      </c>
      <c r="M265" s="94"/>
      <c r="N265" s="77" t="s">
        <v>321</v>
      </c>
    </row>
    <row r="266" spans="1:15" s="54" customFormat="1" ht="21" customHeight="1" x14ac:dyDescent="0.25">
      <c r="A266" s="81"/>
      <c r="B266" s="89" t="s">
        <v>304</v>
      </c>
      <c r="C266" s="77" t="s">
        <v>128</v>
      </c>
      <c r="D266" s="77" t="s">
        <v>60</v>
      </c>
      <c r="E266" s="77"/>
      <c r="F266" s="77"/>
      <c r="G266" s="78">
        <v>4</v>
      </c>
      <c r="H266" s="78">
        <v>1</v>
      </c>
      <c r="I266" s="78">
        <v>4</v>
      </c>
      <c r="J266" s="79">
        <f t="shared" si="41"/>
        <v>9</v>
      </c>
      <c r="K266" s="80">
        <v>2398.9899999999998</v>
      </c>
      <c r="L266" s="80">
        <f t="shared" si="39"/>
        <v>21590.909999999996</v>
      </c>
      <c r="M266" s="94"/>
      <c r="N266" s="77" t="s">
        <v>321</v>
      </c>
    </row>
    <row r="267" spans="1:15" s="54" customFormat="1" ht="21" customHeight="1" x14ac:dyDescent="0.25">
      <c r="A267" s="81"/>
      <c r="B267" s="89" t="s">
        <v>305</v>
      </c>
      <c r="C267" s="77" t="s">
        <v>130</v>
      </c>
      <c r="D267" s="77" t="s">
        <v>60</v>
      </c>
      <c r="E267" s="77"/>
      <c r="F267" s="77"/>
      <c r="G267" s="78">
        <v>2</v>
      </c>
      <c r="H267" s="78">
        <v>6</v>
      </c>
      <c r="I267" s="78">
        <v>2</v>
      </c>
      <c r="J267" s="79">
        <f t="shared" si="41"/>
        <v>10</v>
      </c>
      <c r="K267" s="80">
        <v>2583.5300000000002</v>
      </c>
      <c r="L267" s="80">
        <f t="shared" si="39"/>
        <v>25835.300000000003</v>
      </c>
      <c r="M267" s="94"/>
      <c r="N267" s="77" t="s">
        <v>321</v>
      </c>
    </row>
    <row r="268" spans="1:15" s="54" customFormat="1" ht="21" customHeight="1" x14ac:dyDescent="0.25">
      <c r="A268" s="81"/>
      <c r="B268" s="89" t="s">
        <v>92</v>
      </c>
      <c r="C268" s="77" t="s">
        <v>93</v>
      </c>
      <c r="D268" s="77" t="s">
        <v>54</v>
      </c>
      <c r="E268" s="77">
        <v>1.04</v>
      </c>
      <c r="F268" s="77"/>
      <c r="G268" s="78">
        <f>149.74*E268</f>
        <v>155.7296</v>
      </c>
      <c r="H268" s="78">
        <f>121.66*E268</f>
        <v>126.5264</v>
      </c>
      <c r="I268" s="78">
        <f>158.83*E268</f>
        <v>165.18320000000003</v>
      </c>
      <c r="J268" s="79">
        <f t="shared" si="41"/>
        <v>447.43920000000003</v>
      </c>
      <c r="K268" s="80">
        <v>66.349999999999994</v>
      </c>
      <c r="L268" s="80">
        <f t="shared" si="39"/>
        <v>29687.590919999999</v>
      </c>
      <c r="M268" s="94"/>
      <c r="N268" s="77" t="s">
        <v>321</v>
      </c>
    </row>
    <row r="269" spans="1:15" s="54" customFormat="1" ht="21" customHeight="1" x14ac:dyDescent="0.25">
      <c r="A269" s="81"/>
      <c r="B269" s="89" t="s">
        <v>94</v>
      </c>
      <c r="C269" s="77" t="s">
        <v>95</v>
      </c>
      <c r="D269" s="77" t="s">
        <v>54</v>
      </c>
      <c r="E269" s="77">
        <v>1.04</v>
      </c>
      <c r="F269" s="77"/>
      <c r="G269" s="78">
        <f>G236*E269</f>
        <v>43.940000000000005</v>
      </c>
      <c r="H269" s="78">
        <f>H236*E269</f>
        <v>32.895200000000003</v>
      </c>
      <c r="I269" s="78">
        <f>I236*E269</f>
        <v>27.383199999999999</v>
      </c>
      <c r="J269" s="79">
        <f t="shared" si="41"/>
        <v>104.21840000000002</v>
      </c>
      <c r="K269" s="80">
        <v>64</v>
      </c>
      <c r="L269" s="80">
        <f t="shared" si="39"/>
        <v>6669.9776000000011</v>
      </c>
      <c r="M269" s="94"/>
      <c r="N269" s="77" t="s">
        <v>321</v>
      </c>
    </row>
    <row r="270" spans="1:15" s="54" customFormat="1" ht="21" customHeight="1" x14ac:dyDescent="0.25">
      <c r="A270" s="81"/>
      <c r="B270" s="89" t="s">
        <v>131</v>
      </c>
      <c r="C270" s="77" t="s">
        <v>39</v>
      </c>
      <c r="D270" s="77" t="s">
        <v>54</v>
      </c>
      <c r="E270" s="77">
        <v>1.04</v>
      </c>
      <c r="F270" s="77"/>
      <c r="G270" s="78">
        <f>31.12*E270</f>
        <v>32.364800000000002</v>
      </c>
      <c r="H270" s="78">
        <f>31.12*E270</f>
        <v>32.364800000000002</v>
      </c>
      <c r="I270" s="78">
        <f>31.12*E270</f>
        <v>32.364800000000002</v>
      </c>
      <c r="J270" s="79">
        <f t="shared" si="41"/>
        <v>97.094400000000007</v>
      </c>
      <c r="K270" s="80">
        <v>64.209999999999994</v>
      </c>
      <c r="L270" s="80">
        <f t="shared" si="39"/>
        <v>6234.4314239999994</v>
      </c>
      <c r="M270" s="94"/>
      <c r="N270" s="77" t="s">
        <v>321</v>
      </c>
      <c r="O270" s="2"/>
    </row>
    <row r="271" spans="1:15" s="54" customFormat="1" ht="21" customHeight="1" x14ac:dyDescent="0.25">
      <c r="A271" s="81"/>
      <c r="B271" s="89" t="s">
        <v>96</v>
      </c>
      <c r="C271" s="77" t="s">
        <v>39</v>
      </c>
      <c r="D271" s="77" t="s">
        <v>54</v>
      </c>
      <c r="E271" s="77">
        <v>1.04</v>
      </c>
      <c r="F271" s="77"/>
      <c r="G271" s="78">
        <f>15.21*E271</f>
        <v>15.818400000000002</v>
      </c>
      <c r="H271" s="78">
        <f>E271*22.49</f>
        <v>23.389599999999998</v>
      </c>
      <c r="I271" s="78"/>
      <c r="J271" s="79">
        <f t="shared" si="41"/>
        <v>39.207999999999998</v>
      </c>
      <c r="K271" s="80">
        <v>72.78</v>
      </c>
      <c r="L271" s="80">
        <f t="shared" si="39"/>
        <v>2853.5582399999998</v>
      </c>
      <c r="M271" s="94"/>
      <c r="N271" s="77" t="s">
        <v>321</v>
      </c>
      <c r="O271" s="2"/>
    </row>
    <row r="272" spans="1:15" s="54" customFormat="1" ht="21" customHeight="1" x14ac:dyDescent="0.25">
      <c r="A272" s="81"/>
      <c r="B272" s="89" t="s">
        <v>97</v>
      </c>
      <c r="C272" s="77" t="s">
        <v>39</v>
      </c>
      <c r="D272" s="77" t="s">
        <v>54</v>
      </c>
      <c r="E272" s="77">
        <v>1.04</v>
      </c>
      <c r="F272" s="77"/>
      <c r="G272" s="78">
        <f>E272*30.81</f>
        <v>32.042400000000001</v>
      </c>
      <c r="H272" s="78">
        <f>E272*6.64</f>
        <v>6.9055999999999997</v>
      </c>
      <c r="I272" s="78">
        <f>E272*18.88</f>
        <v>19.635200000000001</v>
      </c>
      <c r="J272" s="79">
        <f t="shared" si="41"/>
        <v>58.583200000000005</v>
      </c>
      <c r="K272" s="80">
        <v>74.92</v>
      </c>
      <c r="L272" s="80">
        <f t="shared" si="39"/>
        <v>4389.0533440000008</v>
      </c>
      <c r="M272" s="94"/>
      <c r="N272" s="77" t="s">
        <v>321</v>
      </c>
    </row>
    <row r="273" spans="1:14" s="54" customFormat="1" ht="21" customHeight="1" x14ac:dyDescent="0.25">
      <c r="A273" s="81"/>
      <c r="B273" s="89" t="s">
        <v>132</v>
      </c>
      <c r="C273" s="77" t="s">
        <v>39</v>
      </c>
      <c r="D273" s="77" t="s">
        <v>54</v>
      </c>
      <c r="E273" s="77">
        <v>1.04</v>
      </c>
      <c r="F273" s="77"/>
      <c r="G273" s="78">
        <f>10.5*E273</f>
        <v>10.92</v>
      </c>
      <c r="H273" s="78">
        <f>10.5*E273</f>
        <v>10.92</v>
      </c>
      <c r="I273" s="78">
        <f>10.5*E273</f>
        <v>10.92</v>
      </c>
      <c r="J273" s="79">
        <f t="shared" si="41"/>
        <v>32.76</v>
      </c>
      <c r="K273" s="80">
        <v>75.97</v>
      </c>
      <c r="L273" s="80">
        <f t="shared" si="39"/>
        <v>2488.7772</v>
      </c>
      <c r="M273" s="94"/>
      <c r="N273" s="77" t="s">
        <v>321</v>
      </c>
    </row>
    <row r="274" spans="1:14" s="54" customFormat="1" ht="21" customHeight="1" x14ac:dyDescent="0.25">
      <c r="A274" s="81"/>
      <c r="B274" s="89" t="s">
        <v>275</v>
      </c>
      <c r="C274" s="77" t="s">
        <v>276</v>
      </c>
      <c r="D274" s="77" t="s">
        <v>45</v>
      </c>
      <c r="E274" s="77">
        <v>1.04</v>
      </c>
      <c r="F274" s="77"/>
      <c r="G274" s="78">
        <f>G237*0.05*E274</f>
        <v>1.8376800000000004</v>
      </c>
      <c r="H274" s="78">
        <f>H237*0.05*E274</f>
        <v>1.9578000000000002</v>
      </c>
      <c r="I274" s="78">
        <f>I237*0.05*E274</f>
        <v>2.25108</v>
      </c>
      <c r="J274" s="79">
        <f t="shared" ref="J274" si="42">SUM(G274:I274)</f>
        <v>6.0465600000000004</v>
      </c>
      <c r="K274" s="80">
        <v>6405.83</v>
      </c>
      <c r="L274" s="80">
        <f t="shared" si="39"/>
        <v>38733.235444800004</v>
      </c>
      <c r="M274" s="94"/>
      <c r="N274" s="77" t="s">
        <v>321</v>
      </c>
    </row>
    <row r="275" spans="1:14" s="54" customFormat="1" ht="29.25" customHeight="1" x14ac:dyDescent="0.25">
      <c r="A275" s="81"/>
      <c r="B275" s="96" t="s">
        <v>133</v>
      </c>
      <c r="C275" s="77" t="s">
        <v>39</v>
      </c>
      <c r="D275" s="77" t="s">
        <v>99</v>
      </c>
      <c r="E275" s="77"/>
      <c r="F275" s="77"/>
      <c r="G275" s="93"/>
      <c r="H275" s="93"/>
      <c r="I275" s="93"/>
      <c r="J275" s="99">
        <f>L275*100/L226</f>
        <v>3.9787857934785924</v>
      </c>
      <c r="K275" s="80"/>
      <c r="L275" s="79">
        <v>114152.04240000001</v>
      </c>
      <c r="M275" s="94"/>
      <c r="N275" s="77" t="s">
        <v>321</v>
      </c>
    </row>
    <row r="276" spans="1:14" s="54" customFormat="1" x14ac:dyDescent="0.25">
      <c r="A276" s="60" t="s">
        <v>140</v>
      </c>
      <c r="B276" s="61" t="s">
        <v>141</v>
      </c>
      <c r="C276" s="62"/>
      <c r="D276" s="63"/>
      <c r="E276" s="62"/>
      <c r="F276" s="62"/>
      <c r="G276" s="64"/>
      <c r="H276" s="64"/>
      <c r="I276" s="64"/>
      <c r="J276" s="65"/>
      <c r="K276" s="65"/>
      <c r="L276" s="65">
        <f>L277+L290</f>
        <v>3798187.6369277993</v>
      </c>
      <c r="M276" s="86"/>
      <c r="N276" s="86"/>
    </row>
    <row r="277" spans="1:14" s="54" customFormat="1" x14ac:dyDescent="0.25">
      <c r="A277" s="66"/>
      <c r="B277" s="67" t="s">
        <v>34</v>
      </c>
      <c r="C277" s="68"/>
      <c r="D277" s="68"/>
      <c r="E277" s="68"/>
      <c r="F277" s="68"/>
      <c r="G277" s="69"/>
      <c r="H277" s="69"/>
      <c r="I277" s="69"/>
      <c r="J277" s="70"/>
      <c r="K277" s="70"/>
      <c r="L277" s="70">
        <f>SUM(L278:L289)</f>
        <v>2869017.0399999996</v>
      </c>
      <c r="M277" s="72"/>
      <c r="N277" s="72"/>
    </row>
    <row r="278" spans="1:14" s="54" customFormat="1" ht="18.75" customHeight="1" x14ac:dyDescent="0.25">
      <c r="A278" s="66"/>
      <c r="B278" s="71" t="s">
        <v>44</v>
      </c>
      <c r="C278" s="72"/>
      <c r="D278" s="72" t="s">
        <v>45</v>
      </c>
      <c r="E278" s="72"/>
      <c r="F278" s="72"/>
      <c r="G278" s="73">
        <v>30.11</v>
      </c>
      <c r="H278" s="73">
        <v>25.51</v>
      </c>
      <c r="I278" s="73">
        <v>38.270000000000003</v>
      </c>
      <c r="J278" s="70">
        <f>SUM(G278:I278)</f>
        <v>93.890000000000015</v>
      </c>
      <c r="K278" s="74">
        <v>4939</v>
      </c>
      <c r="L278" s="74">
        <f>K278*J278</f>
        <v>463722.71000000008</v>
      </c>
      <c r="M278" s="72"/>
      <c r="N278" s="72"/>
    </row>
    <row r="279" spans="1:14" s="54" customFormat="1" ht="18.75" customHeight="1" x14ac:dyDescent="0.25">
      <c r="A279" s="66"/>
      <c r="B279" s="71" t="s">
        <v>102</v>
      </c>
      <c r="C279" s="72"/>
      <c r="D279" s="72" t="s">
        <v>45</v>
      </c>
      <c r="E279" s="72"/>
      <c r="F279" s="72"/>
      <c r="G279" s="73">
        <v>1.77</v>
      </c>
      <c r="H279" s="73">
        <v>1.25</v>
      </c>
      <c r="I279" s="73">
        <v>1.7</v>
      </c>
      <c r="J279" s="70">
        <f t="shared" ref="J279:J288" si="43">SUM(G279:I279)</f>
        <v>4.72</v>
      </c>
      <c r="K279" s="74">
        <v>5845</v>
      </c>
      <c r="L279" s="74">
        <f t="shared" ref="L279" si="44">K279*J279</f>
        <v>27588.399999999998</v>
      </c>
      <c r="M279" s="72"/>
      <c r="N279" s="72"/>
    </row>
    <row r="280" spans="1:14" s="54" customFormat="1" ht="18.75" customHeight="1" x14ac:dyDescent="0.25">
      <c r="A280" s="66"/>
      <c r="B280" s="71" t="s">
        <v>46</v>
      </c>
      <c r="C280" s="72"/>
      <c r="D280" s="72" t="s">
        <v>47</v>
      </c>
      <c r="E280" s="72"/>
      <c r="F280" s="72"/>
      <c r="G280" s="73">
        <v>204.75</v>
      </c>
      <c r="H280" s="73">
        <v>120.63</v>
      </c>
      <c r="I280" s="73">
        <v>142.32</v>
      </c>
      <c r="J280" s="70">
        <f t="shared" si="43"/>
        <v>467.7</v>
      </c>
      <c r="K280" s="74">
        <v>1461</v>
      </c>
      <c r="L280" s="74">
        <f>K280*J280</f>
        <v>683309.7</v>
      </c>
      <c r="M280" s="72"/>
      <c r="N280" s="72"/>
    </row>
    <row r="281" spans="1:14" s="54" customFormat="1" ht="18.75" customHeight="1" x14ac:dyDescent="0.25">
      <c r="A281" s="66"/>
      <c r="B281" s="71" t="s">
        <v>48</v>
      </c>
      <c r="C281" s="72"/>
      <c r="D281" s="72" t="s">
        <v>47</v>
      </c>
      <c r="E281" s="72"/>
      <c r="F281" s="72"/>
      <c r="G281" s="73">
        <v>57.32</v>
      </c>
      <c r="H281" s="73">
        <v>44.32</v>
      </c>
      <c r="I281" s="73">
        <v>79.95</v>
      </c>
      <c r="J281" s="70">
        <f t="shared" si="43"/>
        <v>181.59</v>
      </c>
      <c r="K281" s="74">
        <v>1461</v>
      </c>
      <c r="L281" s="74">
        <f>K281*J281</f>
        <v>265302.99</v>
      </c>
      <c r="M281" s="72"/>
      <c r="N281" s="72"/>
    </row>
    <row r="282" spans="1:14" s="54" customFormat="1" ht="18.75" customHeight="1" x14ac:dyDescent="0.25">
      <c r="A282" s="66"/>
      <c r="B282" s="71" t="s">
        <v>103</v>
      </c>
      <c r="C282" s="72"/>
      <c r="D282" s="72" t="s">
        <v>47</v>
      </c>
      <c r="E282" s="72"/>
      <c r="F282" s="72"/>
      <c r="G282" s="73">
        <v>156.13999999999999</v>
      </c>
      <c r="H282" s="73">
        <v>101.76</v>
      </c>
      <c r="I282" s="73">
        <v>158.25</v>
      </c>
      <c r="J282" s="70">
        <f t="shared" si="43"/>
        <v>416.15</v>
      </c>
      <c r="K282" s="74">
        <v>1461</v>
      </c>
      <c r="L282" s="74">
        <f>K282*J282</f>
        <v>607995.15</v>
      </c>
      <c r="M282" s="72"/>
      <c r="N282" s="72"/>
    </row>
    <row r="283" spans="1:14" s="54" customFormat="1" ht="18.75" customHeight="1" x14ac:dyDescent="0.25">
      <c r="A283" s="66"/>
      <c r="B283" s="71" t="s">
        <v>104</v>
      </c>
      <c r="C283" s="72"/>
      <c r="D283" s="72" t="s">
        <v>47</v>
      </c>
      <c r="E283" s="72"/>
      <c r="F283" s="72"/>
      <c r="G283" s="73">
        <v>100.39</v>
      </c>
      <c r="H283" s="73">
        <v>112.4</v>
      </c>
      <c r="I283" s="73">
        <v>113.93</v>
      </c>
      <c r="J283" s="70">
        <f t="shared" si="43"/>
        <v>326.72000000000003</v>
      </c>
      <c r="K283" s="74">
        <v>1461</v>
      </c>
      <c r="L283" s="74">
        <f>K283*J283</f>
        <v>477337.92000000004</v>
      </c>
      <c r="M283" s="72"/>
      <c r="N283" s="72"/>
    </row>
    <row r="284" spans="1:14" s="54" customFormat="1" ht="18.75" customHeight="1" x14ac:dyDescent="0.25">
      <c r="A284" s="66"/>
      <c r="B284" s="71" t="s">
        <v>49</v>
      </c>
      <c r="C284" s="72"/>
      <c r="D284" s="72" t="s">
        <v>47</v>
      </c>
      <c r="E284" s="72"/>
      <c r="F284" s="72"/>
      <c r="G284" s="73">
        <v>27.1</v>
      </c>
      <c r="H284" s="73">
        <v>36.04</v>
      </c>
      <c r="I284" s="73">
        <v>32.35</v>
      </c>
      <c r="J284" s="70">
        <f t="shared" si="43"/>
        <v>95.490000000000009</v>
      </c>
      <c r="K284" s="74">
        <v>1610</v>
      </c>
      <c r="L284" s="74">
        <f t="shared" ref="L284:L288" si="45">K284*J284</f>
        <v>153738.90000000002</v>
      </c>
      <c r="M284" s="72"/>
      <c r="N284" s="72"/>
    </row>
    <row r="285" spans="1:14" s="54" customFormat="1" ht="18.75" customHeight="1" x14ac:dyDescent="0.25">
      <c r="A285" s="66"/>
      <c r="B285" s="71" t="s">
        <v>50</v>
      </c>
      <c r="C285" s="72"/>
      <c r="D285" s="72" t="s">
        <v>51</v>
      </c>
      <c r="E285" s="72"/>
      <c r="F285" s="72"/>
      <c r="G285" s="73">
        <v>55</v>
      </c>
      <c r="H285" s="73">
        <v>42</v>
      </c>
      <c r="I285" s="73">
        <v>56</v>
      </c>
      <c r="J285" s="70">
        <f t="shared" si="43"/>
        <v>153</v>
      </c>
      <c r="K285" s="74">
        <v>803</v>
      </c>
      <c r="L285" s="74">
        <f t="shared" si="45"/>
        <v>122859</v>
      </c>
      <c r="M285" s="72"/>
      <c r="N285" s="72"/>
    </row>
    <row r="286" spans="1:14" s="54" customFormat="1" ht="18.75" customHeight="1" x14ac:dyDescent="0.25">
      <c r="A286" s="66"/>
      <c r="B286" s="71" t="s">
        <v>52</v>
      </c>
      <c r="C286" s="72" t="s">
        <v>105</v>
      </c>
      <c r="D286" s="72" t="s">
        <v>54</v>
      </c>
      <c r="E286" s="72"/>
      <c r="F286" s="72"/>
      <c r="G286" s="129">
        <v>87.64</v>
      </c>
      <c r="H286" s="129">
        <v>70.760000000000005</v>
      </c>
      <c r="I286" s="129">
        <v>60.5</v>
      </c>
      <c r="J286" s="130">
        <f t="shared" si="43"/>
        <v>218.9</v>
      </c>
      <c r="K286" s="74">
        <v>94.5</v>
      </c>
      <c r="L286" s="74">
        <f t="shared" si="45"/>
        <v>20686.05</v>
      </c>
      <c r="M286" s="72"/>
      <c r="N286" s="72"/>
    </row>
    <row r="287" spans="1:14" s="54" customFormat="1" ht="31.5" x14ac:dyDescent="0.25">
      <c r="A287" s="66"/>
      <c r="B287" s="71" t="s">
        <v>55</v>
      </c>
      <c r="C287" s="72"/>
      <c r="D287" s="72" t="s">
        <v>54</v>
      </c>
      <c r="E287" s="72"/>
      <c r="F287" s="72"/>
      <c r="G287" s="73">
        <v>42.25</v>
      </c>
      <c r="H287" s="73">
        <v>31.63</v>
      </c>
      <c r="I287" s="73">
        <v>26.33</v>
      </c>
      <c r="J287" s="70">
        <f t="shared" si="43"/>
        <v>100.21</v>
      </c>
      <c r="K287" s="74">
        <v>118</v>
      </c>
      <c r="L287" s="74">
        <f t="shared" si="45"/>
        <v>11824.779999999999</v>
      </c>
      <c r="M287" s="72"/>
      <c r="N287" s="72"/>
    </row>
    <row r="288" spans="1:14" s="54" customFormat="1" x14ac:dyDescent="0.25">
      <c r="A288" s="66"/>
      <c r="B288" s="71" t="s">
        <v>256</v>
      </c>
      <c r="C288" s="72"/>
      <c r="D288" s="72" t="s">
        <v>47</v>
      </c>
      <c r="E288" s="72"/>
      <c r="F288" s="72"/>
      <c r="G288" s="73">
        <v>35.340000000000003</v>
      </c>
      <c r="H288" s="73">
        <v>37.65</v>
      </c>
      <c r="I288" s="73">
        <v>43.29</v>
      </c>
      <c r="J288" s="70">
        <f t="shared" si="43"/>
        <v>116.28</v>
      </c>
      <c r="K288" s="74">
        <v>298</v>
      </c>
      <c r="L288" s="74">
        <f t="shared" si="45"/>
        <v>34651.440000000002</v>
      </c>
      <c r="M288" s="72"/>
      <c r="N288" s="72"/>
    </row>
    <row r="289" spans="1:14" s="54" customFormat="1" x14ac:dyDescent="0.25">
      <c r="A289" s="66"/>
      <c r="B289" s="87" t="s">
        <v>56</v>
      </c>
      <c r="C289" s="88"/>
      <c r="D289" s="88" t="s">
        <v>45</v>
      </c>
      <c r="E289" s="88"/>
      <c r="F289" s="88"/>
      <c r="G289" s="73">
        <f>291.89*0.06*0.03</f>
        <v>0.52540199999999992</v>
      </c>
      <c r="H289" s="73">
        <f>228.82*0.06*0.03</f>
        <v>0.41187599999999996</v>
      </c>
      <c r="I289" s="73">
        <f>295.85*0.06*0.03</f>
        <v>0.53253000000000006</v>
      </c>
      <c r="J289" s="70">
        <f>SUM(G289:I289)</f>
        <v>1.469808</v>
      </c>
      <c r="K289" s="74"/>
      <c r="L289" s="74"/>
      <c r="M289" s="88" t="s">
        <v>57</v>
      </c>
      <c r="N289" s="72"/>
    </row>
    <row r="290" spans="1:14" s="54" customFormat="1" x14ac:dyDescent="0.25">
      <c r="A290" s="75"/>
      <c r="B290" s="76" t="s">
        <v>38</v>
      </c>
      <c r="C290" s="77"/>
      <c r="D290" s="77"/>
      <c r="E290" s="77"/>
      <c r="F290" s="77"/>
      <c r="G290" s="78"/>
      <c r="H290" s="78"/>
      <c r="I290" s="78"/>
      <c r="J290" s="79"/>
      <c r="K290" s="80"/>
      <c r="L290" s="79">
        <f>SUM(L291:L326)</f>
        <v>929170.59692779998</v>
      </c>
      <c r="M290" s="77"/>
      <c r="N290" s="77"/>
    </row>
    <row r="291" spans="1:14" s="54" customFormat="1" ht="31.5" x14ac:dyDescent="0.25">
      <c r="A291" s="81"/>
      <c r="B291" s="82" t="s">
        <v>58</v>
      </c>
      <c r="C291" s="77" t="s">
        <v>59</v>
      </c>
      <c r="D291" s="77" t="s">
        <v>60</v>
      </c>
      <c r="E291" s="78">
        <v>12.4</v>
      </c>
      <c r="F291" s="77">
        <v>0.25</v>
      </c>
      <c r="G291" s="83">
        <f>G278/F291*E291</f>
        <v>1493.4559999999999</v>
      </c>
      <c r="H291" s="83">
        <f>H278/F291*E291</f>
        <v>1265.296</v>
      </c>
      <c r="I291" s="83">
        <f>I278/F291*E291</f>
        <v>1898.1920000000002</v>
      </c>
      <c r="J291" s="84">
        <f>SUM(G291:I291)</f>
        <v>4656.9440000000004</v>
      </c>
      <c r="K291" s="80">
        <v>0</v>
      </c>
      <c r="L291" s="80">
        <f>J291*K291</f>
        <v>0</v>
      </c>
      <c r="M291" s="77" t="s">
        <v>61</v>
      </c>
      <c r="N291" s="77" t="s">
        <v>320</v>
      </c>
    </row>
    <row r="292" spans="1:14" s="54" customFormat="1" ht="31.5" x14ac:dyDescent="0.25">
      <c r="A292" s="81"/>
      <c r="B292" s="82" t="s">
        <v>62</v>
      </c>
      <c r="C292" s="77" t="s">
        <v>63</v>
      </c>
      <c r="D292" s="77" t="s">
        <v>60</v>
      </c>
      <c r="E292" s="78">
        <v>12.4</v>
      </c>
      <c r="F292" s="77"/>
      <c r="G292" s="83">
        <f>G280*E292</f>
        <v>2538.9</v>
      </c>
      <c r="H292" s="83">
        <f>H280*E292</f>
        <v>1495.8119999999999</v>
      </c>
      <c r="I292" s="83">
        <f>I280*E292</f>
        <v>1764.768</v>
      </c>
      <c r="J292" s="84">
        <f t="shared" ref="J292:J296" si="46">SUM(G292:I292)</f>
        <v>5799.48</v>
      </c>
      <c r="K292" s="80">
        <v>0</v>
      </c>
      <c r="L292" s="80">
        <f>J292*K292</f>
        <v>0</v>
      </c>
      <c r="M292" s="77" t="s">
        <v>61</v>
      </c>
      <c r="N292" s="77" t="s">
        <v>320</v>
      </c>
    </row>
    <row r="293" spans="1:14" s="54" customFormat="1" ht="31.5" x14ac:dyDescent="0.25">
      <c r="A293" s="81"/>
      <c r="B293" s="82" t="s">
        <v>64</v>
      </c>
      <c r="C293" s="77" t="s">
        <v>65</v>
      </c>
      <c r="D293" s="77" t="s">
        <v>60</v>
      </c>
      <c r="E293" s="78">
        <v>12.4</v>
      </c>
      <c r="F293" s="77"/>
      <c r="G293" s="83">
        <f>G281*E293</f>
        <v>710.76800000000003</v>
      </c>
      <c r="H293" s="83">
        <f>H281*E293</f>
        <v>549.56799999999998</v>
      </c>
      <c r="I293" s="83">
        <f>I281*E293</f>
        <v>991.38000000000011</v>
      </c>
      <c r="J293" s="84">
        <f t="shared" si="46"/>
        <v>2251.7160000000003</v>
      </c>
      <c r="K293" s="80">
        <v>0</v>
      </c>
      <c r="L293" s="80">
        <f>J293*K293</f>
        <v>0</v>
      </c>
      <c r="M293" s="77" t="s">
        <v>61</v>
      </c>
      <c r="N293" s="77" t="s">
        <v>320</v>
      </c>
    </row>
    <row r="294" spans="1:14" s="54" customFormat="1" ht="31.5" x14ac:dyDescent="0.25">
      <c r="A294" s="81"/>
      <c r="B294" s="82" t="s">
        <v>106</v>
      </c>
      <c r="C294" s="77" t="s">
        <v>107</v>
      </c>
      <c r="D294" s="77" t="s">
        <v>60</v>
      </c>
      <c r="E294" s="78">
        <v>12.4</v>
      </c>
      <c r="F294" s="77"/>
      <c r="G294" s="83">
        <f>G282*E294</f>
        <v>1936.136</v>
      </c>
      <c r="H294" s="83">
        <f>H282*E294</f>
        <v>1261.8240000000001</v>
      </c>
      <c r="I294" s="83">
        <f>I282*E294</f>
        <v>1962.3</v>
      </c>
      <c r="J294" s="84">
        <f t="shared" si="46"/>
        <v>5160.26</v>
      </c>
      <c r="K294" s="80">
        <v>0</v>
      </c>
      <c r="L294" s="80">
        <f>J294*K294</f>
        <v>0</v>
      </c>
      <c r="M294" s="77" t="s">
        <v>61</v>
      </c>
      <c r="N294" s="77" t="s">
        <v>320</v>
      </c>
    </row>
    <row r="295" spans="1:14" s="54" customFormat="1" ht="31.5" x14ac:dyDescent="0.25">
      <c r="A295" s="81"/>
      <c r="B295" s="82" t="s">
        <v>108</v>
      </c>
      <c r="C295" s="77" t="s">
        <v>109</v>
      </c>
      <c r="D295" s="77" t="s">
        <v>60</v>
      </c>
      <c r="E295" s="78">
        <v>12.4</v>
      </c>
      <c r="F295" s="77"/>
      <c r="G295" s="83">
        <f>G283*E295</f>
        <v>1244.836</v>
      </c>
      <c r="H295" s="83">
        <f>H283*E295</f>
        <v>1393.7600000000002</v>
      </c>
      <c r="I295" s="83">
        <f>I283*E295</f>
        <v>1412.7320000000002</v>
      </c>
      <c r="J295" s="84">
        <f t="shared" si="46"/>
        <v>4051.3280000000004</v>
      </c>
      <c r="K295" s="80">
        <v>0</v>
      </c>
      <c r="L295" s="80">
        <f>J295*K295</f>
        <v>0</v>
      </c>
      <c r="M295" s="77" t="s">
        <v>61</v>
      </c>
      <c r="N295" s="77" t="s">
        <v>320</v>
      </c>
    </row>
    <row r="296" spans="1:14" s="54" customFormat="1" ht="31.5" x14ac:dyDescent="0.25">
      <c r="A296" s="81"/>
      <c r="B296" s="89" t="s">
        <v>66</v>
      </c>
      <c r="C296" s="77" t="s">
        <v>67</v>
      </c>
      <c r="D296" s="77" t="s">
        <v>60</v>
      </c>
      <c r="E296" s="90">
        <v>42</v>
      </c>
      <c r="F296" s="90"/>
      <c r="G296" s="83">
        <f>G284*E296</f>
        <v>1138.2</v>
      </c>
      <c r="H296" s="83">
        <f>H284*E296</f>
        <v>1513.68</v>
      </c>
      <c r="I296" s="83">
        <f>I284*E296</f>
        <v>1358.7</v>
      </c>
      <c r="J296" s="84">
        <f t="shared" si="46"/>
        <v>4010.58</v>
      </c>
      <c r="K296" s="80">
        <v>0</v>
      </c>
      <c r="L296" s="80">
        <f t="shared" ref="L296:L325" si="47">J296*K296</f>
        <v>0</v>
      </c>
      <c r="M296" s="77" t="s">
        <v>68</v>
      </c>
      <c r="N296" s="77" t="s">
        <v>320</v>
      </c>
    </row>
    <row r="297" spans="1:14" s="54" customFormat="1" ht="31.5" x14ac:dyDescent="0.25">
      <c r="A297" s="81"/>
      <c r="B297" s="89" t="s">
        <v>110</v>
      </c>
      <c r="C297" s="77" t="s">
        <v>111</v>
      </c>
      <c r="D297" s="77" t="s">
        <v>60</v>
      </c>
      <c r="E297" s="90">
        <v>42</v>
      </c>
      <c r="F297" s="90"/>
      <c r="G297" s="83">
        <f>G279/0.25*E297</f>
        <v>297.36</v>
      </c>
      <c r="H297" s="83">
        <f>H279/0.25*E297</f>
        <v>210</v>
      </c>
      <c r="I297" s="83">
        <f>I279/0.25*E297</f>
        <v>285.59999999999997</v>
      </c>
      <c r="J297" s="84">
        <f t="shared" ref="J297" si="48">SUM(G297:I297)</f>
        <v>792.96</v>
      </c>
      <c r="K297" s="80">
        <v>0</v>
      </c>
      <c r="L297" s="80">
        <f t="shared" si="47"/>
        <v>0</v>
      </c>
      <c r="M297" s="77" t="s">
        <v>68</v>
      </c>
      <c r="N297" s="77" t="s">
        <v>320</v>
      </c>
    </row>
    <row r="298" spans="1:14" s="54" customFormat="1" ht="28.5" customHeight="1" x14ac:dyDescent="0.25">
      <c r="A298" s="81"/>
      <c r="B298" s="91" t="s">
        <v>69</v>
      </c>
      <c r="C298" s="77" t="s">
        <v>70</v>
      </c>
      <c r="D298" s="77" t="s">
        <v>45</v>
      </c>
      <c r="E298" s="77">
        <v>0.19500000000000001</v>
      </c>
      <c r="F298" s="90"/>
      <c r="G298" s="78">
        <f>G278*E298+G280*E298*0.19+G281*E298*0.19+G282*E298*0.09+G283*E298*0.09</f>
        <v>20.083245000000002</v>
      </c>
      <c r="H298" s="78">
        <f>H278*E298+H280*E298*0.19+H281*E298*0.19+H282*E298*0.09+H283*E298*0.09</f>
        <v>14.844355500000001</v>
      </c>
      <c r="I298" s="78">
        <f>I278*E298+I280*E298*0.19+I281*E298*0.19+I282*E298*0.09+I283*E298*0.09</f>
        <v>20.474512499999999</v>
      </c>
      <c r="J298" s="79">
        <f>SUM(G298:I298)</f>
        <v>55.402113</v>
      </c>
      <c r="K298" s="80">
        <v>7875</v>
      </c>
      <c r="L298" s="80">
        <f t="shared" si="47"/>
        <v>436291.63987499999</v>
      </c>
      <c r="M298" s="77" t="s">
        <v>71</v>
      </c>
      <c r="N298" s="77" t="s">
        <v>321</v>
      </c>
    </row>
    <row r="299" spans="1:14" s="54" customFormat="1" ht="28.5" customHeight="1" x14ac:dyDescent="0.25">
      <c r="A299" s="92"/>
      <c r="B299" s="91" t="s">
        <v>112</v>
      </c>
      <c r="C299" s="77" t="s">
        <v>70</v>
      </c>
      <c r="D299" s="77" t="s">
        <v>45</v>
      </c>
      <c r="E299" s="77">
        <v>0.24</v>
      </c>
      <c r="F299" s="77"/>
      <c r="G299" s="78">
        <f>G279*E299</f>
        <v>0.42480000000000001</v>
      </c>
      <c r="H299" s="78">
        <f>H279*E299</f>
        <v>0.3</v>
      </c>
      <c r="I299" s="78">
        <f>I279*E299</f>
        <v>0.40799999999999997</v>
      </c>
      <c r="J299" s="79">
        <f t="shared" ref="J299:J324" si="49">SUM(G299:I299)</f>
        <v>1.1328</v>
      </c>
      <c r="K299" s="80">
        <v>7875</v>
      </c>
      <c r="L299" s="80">
        <f t="shared" si="47"/>
        <v>8920.8000000000011</v>
      </c>
      <c r="M299" s="77" t="s">
        <v>71</v>
      </c>
      <c r="N299" s="77" t="s">
        <v>321</v>
      </c>
    </row>
    <row r="300" spans="1:14" s="54" customFormat="1" ht="28.5" customHeight="1" x14ac:dyDescent="0.25">
      <c r="A300" s="92"/>
      <c r="B300" s="91" t="s">
        <v>72</v>
      </c>
      <c r="C300" s="77" t="s">
        <v>70</v>
      </c>
      <c r="D300" s="77" t="s">
        <v>45</v>
      </c>
      <c r="E300" s="77">
        <v>4.5999999999999999E-2</v>
      </c>
      <c r="F300" s="77"/>
      <c r="G300" s="78">
        <f>G284*E300</f>
        <v>1.2466000000000002</v>
      </c>
      <c r="H300" s="78">
        <f>H284*E300</f>
        <v>1.65784</v>
      </c>
      <c r="I300" s="78">
        <f>I284*E300</f>
        <v>1.4881</v>
      </c>
      <c r="J300" s="79">
        <f t="shared" si="49"/>
        <v>4.3925400000000003</v>
      </c>
      <c r="K300" s="80">
        <v>7875</v>
      </c>
      <c r="L300" s="80">
        <f t="shared" si="47"/>
        <v>34591.252500000002</v>
      </c>
      <c r="M300" s="77" t="s">
        <v>73</v>
      </c>
      <c r="N300" s="77" t="s">
        <v>321</v>
      </c>
    </row>
    <row r="301" spans="1:14" s="54" customFormat="1" ht="28.5" customHeight="1" x14ac:dyDescent="0.25">
      <c r="A301" s="92"/>
      <c r="B301" s="91" t="s">
        <v>74</v>
      </c>
      <c r="C301" s="77" t="s">
        <v>70</v>
      </c>
      <c r="D301" s="77" t="s">
        <v>45</v>
      </c>
      <c r="E301" s="77">
        <v>1.01</v>
      </c>
      <c r="F301" s="77"/>
      <c r="G301" s="78">
        <f>G289*E301</f>
        <v>0.5306560199999999</v>
      </c>
      <c r="H301" s="78">
        <f>H289*E301</f>
        <v>0.41599475999999996</v>
      </c>
      <c r="I301" s="78">
        <f>I289*E301</f>
        <v>0.53785530000000004</v>
      </c>
      <c r="J301" s="79">
        <f t="shared" si="49"/>
        <v>1.4845060800000001</v>
      </c>
      <c r="K301" s="80">
        <v>7875</v>
      </c>
      <c r="L301" s="80">
        <f t="shared" si="47"/>
        <v>11690.48538</v>
      </c>
      <c r="M301" s="77" t="s">
        <v>71</v>
      </c>
      <c r="N301" s="77" t="s">
        <v>321</v>
      </c>
    </row>
    <row r="302" spans="1:14" s="54" customFormat="1" ht="28.5" customHeight="1" x14ac:dyDescent="0.25">
      <c r="A302" s="81"/>
      <c r="B302" s="89" t="s">
        <v>75</v>
      </c>
      <c r="C302" s="77" t="s">
        <v>70</v>
      </c>
      <c r="D302" s="77" t="s">
        <v>45</v>
      </c>
      <c r="E302" s="77">
        <v>6.0000000000000001E-3</v>
      </c>
      <c r="F302" s="77"/>
      <c r="G302" s="78">
        <f>G285*E302</f>
        <v>0.33</v>
      </c>
      <c r="H302" s="78">
        <f>H285*E302</f>
        <v>0.252</v>
      </c>
      <c r="I302" s="78">
        <f>I285*E302</f>
        <v>0.33600000000000002</v>
      </c>
      <c r="J302" s="79">
        <f t="shared" si="49"/>
        <v>0.91800000000000015</v>
      </c>
      <c r="K302" s="80">
        <v>7875</v>
      </c>
      <c r="L302" s="80">
        <f t="shared" si="47"/>
        <v>7229.2500000000009</v>
      </c>
      <c r="M302" s="77" t="s">
        <v>76</v>
      </c>
      <c r="N302" s="77" t="s">
        <v>321</v>
      </c>
    </row>
    <row r="303" spans="1:14" s="54" customFormat="1" ht="28.5" customHeight="1" x14ac:dyDescent="0.25">
      <c r="A303" s="81"/>
      <c r="B303" s="89" t="s">
        <v>77</v>
      </c>
      <c r="C303" s="77" t="s">
        <v>70</v>
      </c>
      <c r="D303" s="77" t="s">
        <v>45</v>
      </c>
      <c r="E303" s="77">
        <v>1.01</v>
      </c>
      <c r="F303" s="77"/>
      <c r="G303" s="93">
        <v>5.7000000000000002E-2</v>
      </c>
      <c r="H303" s="93">
        <v>4.2999999999999997E-2</v>
      </c>
      <c r="I303" s="93">
        <v>3.2000000000000001E-2</v>
      </c>
      <c r="J303" s="79">
        <f t="shared" si="49"/>
        <v>0.13200000000000001</v>
      </c>
      <c r="K303" s="80">
        <v>7875</v>
      </c>
      <c r="L303" s="80">
        <f t="shared" si="47"/>
        <v>1039.5</v>
      </c>
      <c r="M303" s="94"/>
      <c r="N303" s="77" t="s">
        <v>321</v>
      </c>
    </row>
    <row r="304" spans="1:14" s="54" customFormat="1" ht="23.25" customHeight="1" x14ac:dyDescent="0.25">
      <c r="A304" s="81"/>
      <c r="B304" s="89" t="s">
        <v>78</v>
      </c>
      <c r="C304" s="77" t="s">
        <v>79</v>
      </c>
      <c r="D304" s="77" t="s">
        <v>47</v>
      </c>
      <c r="E304" s="77"/>
      <c r="F304" s="77"/>
      <c r="G304" s="78">
        <v>182.58</v>
      </c>
      <c r="H304" s="78">
        <v>142.61000000000001</v>
      </c>
      <c r="I304" s="78">
        <v>188.7</v>
      </c>
      <c r="J304" s="79">
        <f t="shared" si="49"/>
        <v>513.8900000000001</v>
      </c>
      <c r="K304" s="80">
        <v>88.34</v>
      </c>
      <c r="L304" s="80">
        <f t="shared" si="47"/>
        <v>45397.042600000008</v>
      </c>
      <c r="M304" s="94"/>
      <c r="N304" s="77" t="s">
        <v>321</v>
      </c>
    </row>
    <row r="305" spans="1:14" s="54" customFormat="1" ht="23.25" customHeight="1" x14ac:dyDescent="0.25">
      <c r="A305" s="81"/>
      <c r="B305" s="89" t="s">
        <v>277</v>
      </c>
      <c r="C305" s="77" t="s">
        <v>114</v>
      </c>
      <c r="D305" s="77" t="s">
        <v>60</v>
      </c>
      <c r="E305" s="77"/>
      <c r="F305" s="77"/>
      <c r="G305" s="78">
        <v>12</v>
      </c>
      <c r="H305" s="78">
        <v>17</v>
      </c>
      <c r="I305" s="78">
        <v>13</v>
      </c>
      <c r="J305" s="79">
        <f t="shared" si="49"/>
        <v>42</v>
      </c>
      <c r="K305" s="80">
        <v>398.6</v>
      </c>
      <c r="L305" s="80">
        <f t="shared" si="47"/>
        <v>16741.2</v>
      </c>
      <c r="M305" s="94"/>
      <c r="N305" s="77" t="s">
        <v>321</v>
      </c>
    </row>
    <row r="306" spans="1:14" s="54" customFormat="1" ht="23.25" customHeight="1" x14ac:dyDescent="0.25">
      <c r="A306" s="81"/>
      <c r="B306" s="89" t="s">
        <v>278</v>
      </c>
      <c r="C306" s="77" t="s">
        <v>116</v>
      </c>
      <c r="D306" s="77" t="s">
        <v>60</v>
      </c>
      <c r="E306" s="77"/>
      <c r="F306" s="77"/>
      <c r="G306" s="78">
        <v>10</v>
      </c>
      <c r="H306" s="78"/>
      <c r="I306" s="78">
        <v>10</v>
      </c>
      <c r="J306" s="79">
        <f t="shared" si="49"/>
        <v>20</v>
      </c>
      <c r="K306" s="80">
        <v>465.03</v>
      </c>
      <c r="L306" s="80">
        <f t="shared" si="47"/>
        <v>9300.5999999999985</v>
      </c>
      <c r="M306" s="94"/>
      <c r="N306" s="77" t="s">
        <v>321</v>
      </c>
    </row>
    <row r="307" spans="1:14" s="54" customFormat="1" ht="23.25" customHeight="1" x14ac:dyDescent="0.25">
      <c r="A307" s="81"/>
      <c r="B307" s="89" t="s">
        <v>279</v>
      </c>
      <c r="C307" s="77" t="s">
        <v>280</v>
      </c>
      <c r="D307" s="77" t="s">
        <v>60</v>
      </c>
      <c r="E307" s="77"/>
      <c r="F307" s="77"/>
      <c r="G307" s="78"/>
      <c r="H307" s="78"/>
      <c r="I307" s="78">
        <v>1</v>
      </c>
      <c r="J307" s="79">
        <f t="shared" si="49"/>
        <v>1</v>
      </c>
      <c r="K307" s="80">
        <v>863.64</v>
      </c>
      <c r="L307" s="80">
        <f t="shared" si="47"/>
        <v>863.64</v>
      </c>
      <c r="M307" s="94"/>
      <c r="N307" s="77" t="s">
        <v>321</v>
      </c>
    </row>
    <row r="308" spans="1:14" s="54" customFormat="1" ht="23.25" customHeight="1" x14ac:dyDescent="0.25">
      <c r="A308" s="81"/>
      <c r="B308" s="89" t="s">
        <v>283</v>
      </c>
      <c r="C308" s="77" t="s">
        <v>284</v>
      </c>
      <c r="D308" s="77" t="s">
        <v>60</v>
      </c>
      <c r="E308" s="77"/>
      <c r="F308" s="77"/>
      <c r="G308" s="78">
        <v>1</v>
      </c>
      <c r="H308" s="78">
        <v>1</v>
      </c>
      <c r="I308" s="78"/>
      <c r="J308" s="79">
        <f t="shared" si="49"/>
        <v>2</v>
      </c>
      <c r="K308" s="80">
        <v>620.04999999999995</v>
      </c>
      <c r="L308" s="80">
        <f t="shared" si="47"/>
        <v>1240.0999999999999</v>
      </c>
      <c r="M308" s="94"/>
      <c r="N308" s="77" t="s">
        <v>321</v>
      </c>
    </row>
    <row r="309" spans="1:14" s="54" customFormat="1" ht="23.25" customHeight="1" x14ac:dyDescent="0.25">
      <c r="A309" s="81"/>
      <c r="B309" s="89" t="s">
        <v>285</v>
      </c>
      <c r="C309" s="77" t="s">
        <v>286</v>
      </c>
      <c r="D309" s="77" t="s">
        <v>60</v>
      </c>
      <c r="E309" s="77"/>
      <c r="F309" s="77"/>
      <c r="G309" s="78"/>
      <c r="H309" s="78"/>
      <c r="I309" s="78">
        <v>1</v>
      </c>
      <c r="J309" s="79">
        <f t="shared" si="49"/>
        <v>1</v>
      </c>
      <c r="K309" s="80">
        <v>708.62</v>
      </c>
      <c r="L309" s="80">
        <f t="shared" si="47"/>
        <v>708.62</v>
      </c>
      <c r="M309" s="94"/>
      <c r="N309" s="77" t="s">
        <v>321</v>
      </c>
    </row>
    <row r="310" spans="1:14" s="54" customFormat="1" ht="23.25" customHeight="1" x14ac:dyDescent="0.25">
      <c r="A310" s="81"/>
      <c r="B310" s="89" t="s">
        <v>287</v>
      </c>
      <c r="C310" s="77" t="s">
        <v>288</v>
      </c>
      <c r="D310" s="77" t="s">
        <v>60</v>
      </c>
      <c r="E310" s="77"/>
      <c r="F310" s="77"/>
      <c r="G310" s="78">
        <v>1</v>
      </c>
      <c r="H310" s="78">
        <v>1</v>
      </c>
      <c r="I310" s="78">
        <v>1</v>
      </c>
      <c r="J310" s="79">
        <f t="shared" si="49"/>
        <v>3</v>
      </c>
      <c r="K310" s="80">
        <v>797.2</v>
      </c>
      <c r="L310" s="80">
        <f t="shared" si="47"/>
        <v>2391.6000000000004</v>
      </c>
      <c r="M310" s="94"/>
      <c r="N310" s="77" t="s">
        <v>321</v>
      </c>
    </row>
    <row r="311" spans="1:14" s="54" customFormat="1" ht="23.25" customHeight="1" x14ac:dyDescent="0.25">
      <c r="A311" s="81"/>
      <c r="B311" s="89" t="s">
        <v>297</v>
      </c>
      <c r="C311" s="77" t="s">
        <v>118</v>
      </c>
      <c r="D311" s="77" t="s">
        <v>60</v>
      </c>
      <c r="E311" s="77"/>
      <c r="F311" s="77"/>
      <c r="G311" s="78">
        <v>5</v>
      </c>
      <c r="H311" s="78"/>
      <c r="I311" s="78">
        <v>3</v>
      </c>
      <c r="J311" s="79">
        <f t="shared" si="49"/>
        <v>8</v>
      </c>
      <c r="K311" s="80">
        <v>841.49</v>
      </c>
      <c r="L311" s="80">
        <f t="shared" si="47"/>
        <v>6731.92</v>
      </c>
      <c r="M311" s="94"/>
      <c r="N311" s="77" t="s">
        <v>321</v>
      </c>
    </row>
    <row r="312" spans="1:14" s="54" customFormat="1" ht="23.25" customHeight="1" x14ac:dyDescent="0.25">
      <c r="A312" s="81"/>
      <c r="B312" s="89" t="s">
        <v>298</v>
      </c>
      <c r="C312" s="77" t="s">
        <v>120</v>
      </c>
      <c r="D312" s="77" t="s">
        <v>60</v>
      </c>
      <c r="E312" s="77"/>
      <c r="F312" s="77"/>
      <c r="G312" s="78">
        <v>4</v>
      </c>
      <c r="H312" s="78">
        <v>6</v>
      </c>
      <c r="I312" s="78">
        <v>6</v>
      </c>
      <c r="J312" s="79">
        <f t="shared" si="49"/>
        <v>16</v>
      </c>
      <c r="K312" s="80">
        <v>981.74</v>
      </c>
      <c r="L312" s="80">
        <f t="shared" si="47"/>
        <v>15707.84</v>
      </c>
      <c r="M312" s="94"/>
      <c r="N312" s="77" t="s">
        <v>321</v>
      </c>
    </row>
    <row r="313" spans="1:14" s="54" customFormat="1" ht="23.25" customHeight="1" x14ac:dyDescent="0.25">
      <c r="A313" s="81"/>
      <c r="B313" s="89" t="s">
        <v>299</v>
      </c>
      <c r="C313" s="77" t="s">
        <v>300</v>
      </c>
      <c r="D313" s="77" t="s">
        <v>60</v>
      </c>
      <c r="E313" s="77"/>
      <c r="F313" s="77"/>
      <c r="G313" s="78">
        <v>3</v>
      </c>
      <c r="H313" s="78"/>
      <c r="I313" s="78">
        <v>2</v>
      </c>
      <c r="J313" s="79">
        <f t="shared" si="49"/>
        <v>5</v>
      </c>
      <c r="K313" s="80">
        <v>1107.23</v>
      </c>
      <c r="L313" s="80">
        <f t="shared" si="47"/>
        <v>5536.15</v>
      </c>
      <c r="M313" s="94"/>
      <c r="N313" s="77" t="s">
        <v>321</v>
      </c>
    </row>
    <row r="314" spans="1:14" s="54" customFormat="1" ht="23.25" customHeight="1" x14ac:dyDescent="0.25">
      <c r="A314" s="81"/>
      <c r="B314" s="89" t="s">
        <v>301</v>
      </c>
      <c r="C314" s="77" t="s">
        <v>122</v>
      </c>
      <c r="D314" s="77" t="s">
        <v>60</v>
      </c>
      <c r="E314" s="77"/>
      <c r="F314" s="77"/>
      <c r="G314" s="78"/>
      <c r="H314" s="78">
        <v>1</v>
      </c>
      <c r="I314" s="78"/>
      <c r="J314" s="79">
        <f t="shared" si="49"/>
        <v>1</v>
      </c>
      <c r="K314" s="80">
        <v>1291.76</v>
      </c>
      <c r="L314" s="80">
        <f t="shared" si="47"/>
        <v>1291.76</v>
      </c>
      <c r="M314" s="94"/>
      <c r="N314" s="77" t="s">
        <v>321</v>
      </c>
    </row>
    <row r="315" spans="1:14" s="54" customFormat="1" ht="23.25" customHeight="1" x14ac:dyDescent="0.25">
      <c r="A315" s="81"/>
      <c r="B315" s="89" t="s">
        <v>302</v>
      </c>
      <c r="C315" s="77" t="s">
        <v>124</v>
      </c>
      <c r="D315" s="77" t="s">
        <v>60</v>
      </c>
      <c r="E315" s="77"/>
      <c r="F315" s="77"/>
      <c r="G315" s="78">
        <v>1</v>
      </c>
      <c r="H315" s="78"/>
      <c r="I315" s="78"/>
      <c r="J315" s="79">
        <f t="shared" si="49"/>
        <v>1</v>
      </c>
      <c r="K315" s="80">
        <v>1845.38</v>
      </c>
      <c r="L315" s="80">
        <f t="shared" si="47"/>
        <v>1845.38</v>
      </c>
      <c r="M315" s="94"/>
      <c r="N315" s="77" t="s">
        <v>321</v>
      </c>
    </row>
    <row r="316" spans="1:14" s="54" customFormat="1" ht="23.25" customHeight="1" x14ac:dyDescent="0.25">
      <c r="A316" s="81"/>
      <c r="B316" s="89" t="s">
        <v>303</v>
      </c>
      <c r="C316" s="77" t="s">
        <v>126</v>
      </c>
      <c r="D316" s="77" t="s">
        <v>60</v>
      </c>
      <c r="E316" s="77"/>
      <c r="F316" s="77"/>
      <c r="G316" s="78">
        <v>12</v>
      </c>
      <c r="H316" s="78">
        <v>9</v>
      </c>
      <c r="I316" s="78">
        <v>13</v>
      </c>
      <c r="J316" s="79">
        <f t="shared" si="49"/>
        <v>34</v>
      </c>
      <c r="K316" s="80">
        <v>2029.91</v>
      </c>
      <c r="L316" s="80">
        <f t="shared" si="47"/>
        <v>69016.94</v>
      </c>
      <c r="M316" s="94"/>
      <c r="N316" s="77" t="s">
        <v>321</v>
      </c>
    </row>
    <row r="317" spans="1:14" s="54" customFormat="1" ht="23.25" customHeight="1" x14ac:dyDescent="0.25">
      <c r="A317" s="81"/>
      <c r="B317" s="89" t="s">
        <v>304</v>
      </c>
      <c r="C317" s="77" t="s">
        <v>128</v>
      </c>
      <c r="D317" s="77" t="s">
        <v>60</v>
      </c>
      <c r="E317" s="77"/>
      <c r="F317" s="77"/>
      <c r="G317" s="78">
        <v>4</v>
      </c>
      <c r="H317" s="78">
        <v>1</v>
      </c>
      <c r="I317" s="78">
        <v>4</v>
      </c>
      <c r="J317" s="79">
        <f t="shared" si="49"/>
        <v>9</v>
      </c>
      <c r="K317" s="80">
        <v>2398.9899999999998</v>
      </c>
      <c r="L317" s="80">
        <f t="shared" si="47"/>
        <v>21590.909999999996</v>
      </c>
      <c r="M317" s="94"/>
      <c r="N317" s="77" t="s">
        <v>321</v>
      </c>
    </row>
    <row r="318" spans="1:14" s="54" customFormat="1" ht="23.25" customHeight="1" x14ac:dyDescent="0.25">
      <c r="A318" s="81"/>
      <c r="B318" s="89" t="s">
        <v>305</v>
      </c>
      <c r="C318" s="77" t="s">
        <v>130</v>
      </c>
      <c r="D318" s="77" t="s">
        <v>60</v>
      </c>
      <c r="E318" s="77"/>
      <c r="F318" s="77"/>
      <c r="G318" s="78">
        <v>2</v>
      </c>
      <c r="H318" s="78">
        <v>6</v>
      </c>
      <c r="I318" s="78">
        <v>2</v>
      </c>
      <c r="J318" s="79">
        <f t="shared" si="49"/>
        <v>10</v>
      </c>
      <c r="K318" s="80">
        <v>2583.5300000000002</v>
      </c>
      <c r="L318" s="80">
        <f t="shared" si="47"/>
        <v>25835.300000000003</v>
      </c>
      <c r="M318" s="94"/>
      <c r="N318" s="77" t="s">
        <v>321</v>
      </c>
    </row>
    <row r="319" spans="1:14" s="54" customFormat="1" ht="23.25" customHeight="1" x14ac:dyDescent="0.25">
      <c r="A319" s="81"/>
      <c r="B319" s="89" t="s">
        <v>92</v>
      </c>
      <c r="C319" s="77" t="s">
        <v>93</v>
      </c>
      <c r="D319" s="77" t="s">
        <v>54</v>
      </c>
      <c r="E319" s="77">
        <v>1.04</v>
      </c>
      <c r="F319" s="77"/>
      <c r="G319" s="78">
        <f>149.74*E319</f>
        <v>155.7296</v>
      </c>
      <c r="H319" s="78">
        <f>121.66*E319</f>
        <v>126.5264</v>
      </c>
      <c r="I319" s="78">
        <f>158.83*E319</f>
        <v>165.18320000000003</v>
      </c>
      <c r="J319" s="79">
        <f t="shared" si="49"/>
        <v>447.43920000000003</v>
      </c>
      <c r="K319" s="80">
        <v>66.349999999999994</v>
      </c>
      <c r="L319" s="80">
        <f t="shared" si="47"/>
        <v>29687.590919999999</v>
      </c>
      <c r="M319" s="94"/>
      <c r="N319" s="77" t="s">
        <v>321</v>
      </c>
    </row>
    <row r="320" spans="1:14" s="54" customFormat="1" ht="23.25" customHeight="1" x14ac:dyDescent="0.25">
      <c r="A320" s="81"/>
      <c r="B320" s="89" t="s">
        <v>94</v>
      </c>
      <c r="C320" s="77" t="s">
        <v>95</v>
      </c>
      <c r="D320" s="77" t="s">
        <v>54</v>
      </c>
      <c r="E320" s="77">
        <v>1.04</v>
      </c>
      <c r="F320" s="77"/>
      <c r="G320" s="78">
        <f>G287*E320</f>
        <v>43.940000000000005</v>
      </c>
      <c r="H320" s="78">
        <f>H287*E320</f>
        <v>32.895200000000003</v>
      </c>
      <c r="I320" s="78">
        <f>I287*E320</f>
        <v>27.383199999999999</v>
      </c>
      <c r="J320" s="79">
        <f t="shared" si="49"/>
        <v>104.21840000000002</v>
      </c>
      <c r="K320" s="80">
        <v>64</v>
      </c>
      <c r="L320" s="80">
        <f t="shared" si="47"/>
        <v>6669.9776000000011</v>
      </c>
      <c r="M320" s="94"/>
      <c r="N320" s="77" t="s">
        <v>321</v>
      </c>
    </row>
    <row r="321" spans="1:15" s="54" customFormat="1" ht="23.25" customHeight="1" x14ac:dyDescent="0.25">
      <c r="A321" s="81"/>
      <c r="B321" s="89" t="s">
        <v>131</v>
      </c>
      <c r="C321" s="77" t="s">
        <v>39</v>
      </c>
      <c r="D321" s="77" t="s">
        <v>54</v>
      </c>
      <c r="E321" s="77">
        <v>1.04</v>
      </c>
      <c r="F321" s="77"/>
      <c r="G321" s="78">
        <f>31.12*E321</f>
        <v>32.364800000000002</v>
      </c>
      <c r="H321" s="78">
        <f>31.12*E321</f>
        <v>32.364800000000002</v>
      </c>
      <c r="I321" s="78">
        <f>31.12*E321</f>
        <v>32.364800000000002</v>
      </c>
      <c r="J321" s="79">
        <f t="shared" si="49"/>
        <v>97.094400000000007</v>
      </c>
      <c r="K321" s="80">
        <v>64.209999999999994</v>
      </c>
      <c r="L321" s="80">
        <f t="shared" si="47"/>
        <v>6234.4314239999994</v>
      </c>
      <c r="M321" s="94"/>
      <c r="N321" s="77" t="s">
        <v>321</v>
      </c>
      <c r="O321" s="2"/>
    </row>
    <row r="322" spans="1:15" s="54" customFormat="1" ht="23.25" customHeight="1" x14ac:dyDescent="0.25">
      <c r="A322" s="81"/>
      <c r="B322" s="89" t="s">
        <v>96</v>
      </c>
      <c r="C322" s="77" t="s">
        <v>39</v>
      </c>
      <c r="D322" s="77" t="s">
        <v>54</v>
      </c>
      <c r="E322" s="77">
        <v>1.04</v>
      </c>
      <c r="F322" s="77"/>
      <c r="G322" s="78">
        <f>15.21*E322</f>
        <v>15.818400000000002</v>
      </c>
      <c r="H322" s="78">
        <f>E322*22.49</f>
        <v>23.389599999999998</v>
      </c>
      <c r="I322" s="78"/>
      <c r="J322" s="79">
        <f t="shared" si="49"/>
        <v>39.207999999999998</v>
      </c>
      <c r="K322" s="80">
        <v>72.78</v>
      </c>
      <c r="L322" s="80">
        <f t="shared" si="47"/>
        <v>2853.5582399999998</v>
      </c>
      <c r="M322" s="94"/>
      <c r="N322" s="77" t="s">
        <v>321</v>
      </c>
      <c r="O322" s="2"/>
    </row>
    <row r="323" spans="1:15" s="54" customFormat="1" ht="23.25" customHeight="1" x14ac:dyDescent="0.25">
      <c r="A323" s="81"/>
      <c r="B323" s="89" t="s">
        <v>97</v>
      </c>
      <c r="C323" s="77" t="s">
        <v>39</v>
      </c>
      <c r="D323" s="77" t="s">
        <v>54</v>
      </c>
      <c r="E323" s="77">
        <v>1.04</v>
      </c>
      <c r="F323" s="77"/>
      <c r="G323" s="78">
        <f>E323*30.81</f>
        <v>32.042400000000001</v>
      </c>
      <c r="H323" s="78">
        <f>E323*6.64</f>
        <v>6.9055999999999997</v>
      </c>
      <c r="I323" s="78">
        <f>E323*18.88</f>
        <v>19.635200000000001</v>
      </c>
      <c r="J323" s="79">
        <f t="shared" si="49"/>
        <v>58.583200000000005</v>
      </c>
      <c r="K323" s="80">
        <v>74.92</v>
      </c>
      <c r="L323" s="80">
        <f t="shared" si="47"/>
        <v>4389.0533440000008</v>
      </c>
      <c r="M323" s="94"/>
      <c r="N323" s="77" t="s">
        <v>321</v>
      </c>
    </row>
    <row r="324" spans="1:15" s="54" customFormat="1" ht="23.25" customHeight="1" x14ac:dyDescent="0.25">
      <c r="A324" s="81"/>
      <c r="B324" s="89" t="s">
        <v>132</v>
      </c>
      <c r="C324" s="77" t="s">
        <v>39</v>
      </c>
      <c r="D324" s="77" t="s">
        <v>54</v>
      </c>
      <c r="E324" s="77">
        <v>1.04</v>
      </c>
      <c r="F324" s="77"/>
      <c r="G324" s="78">
        <f>10.5*E324</f>
        <v>10.92</v>
      </c>
      <c r="H324" s="78">
        <f>10.5*E324</f>
        <v>10.92</v>
      </c>
      <c r="I324" s="78">
        <f>10.5*E324</f>
        <v>10.92</v>
      </c>
      <c r="J324" s="79">
        <f t="shared" si="49"/>
        <v>32.76</v>
      </c>
      <c r="K324" s="80">
        <v>75.97</v>
      </c>
      <c r="L324" s="80">
        <f t="shared" si="47"/>
        <v>2488.7772</v>
      </c>
      <c r="M324" s="94"/>
      <c r="N324" s="77" t="s">
        <v>321</v>
      </c>
    </row>
    <row r="325" spans="1:15" s="54" customFormat="1" ht="23.25" customHeight="1" x14ac:dyDescent="0.25">
      <c r="A325" s="81"/>
      <c r="B325" s="89" t="s">
        <v>275</v>
      </c>
      <c r="C325" s="77" t="s">
        <v>276</v>
      </c>
      <c r="D325" s="77" t="s">
        <v>45</v>
      </c>
      <c r="E325" s="77">
        <v>1.04</v>
      </c>
      <c r="F325" s="77"/>
      <c r="G325" s="78">
        <f>G288*0.05*E325</f>
        <v>1.8376800000000004</v>
      </c>
      <c r="H325" s="78">
        <f>H288*0.05*E325</f>
        <v>1.9578000000000002</v>
      </c>
      <c r="I325" s="78">
        <f>I288*0.05*E325</f>
        <v>2.25108</v>
      </c>
      <c r="J325" s="79">
        <f t="shared" ref="J325" si="50">SUM(G325:I325)</f>
        <v>6.0465600000000004</v>
      </c>
      <c r="K325" s="80">
        <v>6405.83</v>
      </c>
      <c r="L325" s="80">
        <f t="shared" si="47"/>
        <v>38733.235444800004</v>
      </c>
      <c r="M325" s="94"/>
      <c r="N325" s="77" t="s">
        <v>321</v>
      </c>
    </row>
    <row r="326" spans="1:15" s="101" customFormat="1" ht="33" customHeight="1" x14ac:dyDescent="0.25">
      <c r="A326" s="95"/>
      <c r="B326" s="96" t="s">
        <v>133</v>
      </c>
      <c r="C326" s="97" t="s">
        <v>39</v>
      </c>
      <c r="D326" s="97" t="s">
        <v>99</v>
      </c>
      <c r="E326" s="97"/>
      <c r="F326" s="97"/>
      <c r="G326" s="98"/>
      <c r="H326" s="98"/>
      <c r="I326" s="98"/>
      <c r="J326" s="99">
        <f>L326*100/L277</f>
        <v>3.9787857934785924</v>
      </c>
      <c r="K326" s="79"/>
      <c r="L326" s="79">
        <v>114152.04240000001</v>
      </c>
      <c r="M326" s="100"/>
      <c r="N326" s="97" t="s">
        <v>321</v>
      </c>
    </row>
    <row r="327" spans="1:15" s="54" customFormat="1" x14ac:dyDescent="0.25">
      <c r="A327" s="60" t="s">
        <v>142</v>
      </c>
      <c r="B327" s="61" t="s">
        <v>143</v>
      </c>
      <c r="C327" s="62"/>
      <c r="D327" s="63"/>
      <c r="E327" s="62"/>
      <c r="F327" s="62"/>
      <c r="G327" s="64"/>
      <c r="H327" s="64"/>
      <c r="I327" s="64"/>
      <c r="J327" s="65"/>
      <c r="K327" s="65"/>
      <c r="L327" s="65">
        <f>L328+L341</f>
        <v>3798187.6369277993</v>
      </c>
      <c r="M327" s="86"/>
      <c r="N327" s="86"/>
    </row>
    <row r="328" spans="1:15" s="54" customFormat="1" x14ac:dyDescent="0.25">
      <c r="A328" s="66"/>
      <c r="B328" s="67" t="s">
        <v>34</v>
      </c>
      <c r="C328" s="68"/>
      <c r="D328" s="68"/>
      <c r="E328" s="68"/>
      <c r="F328" s="68"/>
      <c r="G328" s="69"/>
      <c r="H328" s="69"/>
      <c r="I328" s="69"/>
      <c r="J328" s="70"/>
      <c r="K328" s="70"/>
      <c r="L328" s="70">
        <f>SUM(L329:L340)</f>
        <v>2869017.0399999996</v>
      </c>
      <c r="M328" s="72"/>
      <c r="N328" s="72"/>
    </row>
    <row r="329" spans="1:15" s="54" customFormat="1" ht="21" customHeight="1" x14ac:dyDescent="0.25">
      <c r="A329" s="66"/>
      <c r="B329" s="71" t="s">
        <v>44</v>
      </c>
      <c r="C329" s="72"/>
      <c r="D329" s="72" t="s">
        <v>45</v>
      </c>
      <c r="E329" s="72"/>
      <c r="F329" s="72"/>
      <c r="G329" s="73">
        <v>30.11</v>
      </c>
      <c r="H329" s="73">
        <v>25.51</v>
      </c>
      <c r="I329" s="73">
        <v>38.270000000000003</v>
      </c>
      <c r="J329" s="70">
        <f>SUM(G329:I329)</f>
        <v>93.890000000000015</v>
      </c>
      <c r="K329" s="74">
        <v>4939</v>
      </c>
      <c r="L329" s="74">
        <f>K329*J329</f>
        <v>463722.71000000008</v>
      </c>
      <c r="M329" s="72"/>
      <c r="N329" s="72"/>
    </row>
    <row r="330" spans="1:15" s="54" customFormat="1" ht="21" customHeight="1" x14ac:dyDescent="0.25">
      <c r="A330" s="66"/>
      <c r="B330" s="71" t="s">
        <v>102</v>
      </c>
      <c r="C330" s="72"/>
      <c r="D330" s="72" t="s">
        <v>45</v>
      </c>
      <c r="E330" s="72"/>
      <c r="F330" s="72"/>
      <c r="G330" s="73">
        <v>1.77</v>
      </c>
      <c r="H330" s="73">
        <v>1.25</v>
      </c>
      <c r="I330" s="73">
        <v>1.7</v>
      </c>
      <c r="J330" s="70">
        <f t="shared" ref="J330:J339" si="51">SUM(G330:I330)</f>
        <v>4.72</v>
      </c>
      <c r="K330" s="74">
        <v>5845</v>
      </c>
      <c r="L330" s="74">
        <f t="shared" ref="L330" si="52">K330*J330</f>
        <v>27588.399999999998</v>
      </c>
      <c r="M330" s="72"/>
      <c r="N330" s="72"/>
    </row>
    <row r="331" spans="1:15" s="54" customFormat="1" ht="21" customHeight="1" x14ac:dyDescent="0.25">
      <c r="A331" s="66"/>
      <c r="B331" s="71" t="s">
        <v>46</v>
      </c>
      <c r="C331" s="72"/>
      <c r="D331" s="72" t="s">
        <v>47</v>
      </c>
      <c r="E331" s="72"/>
      <c r="F331" s="72"/>
      <c r="G331" s="73">
        <v>204.75</v>
      </c>
      <c r="H331" s="73">
        <v>120.63</v>
      </c>
      <c r="I331" s="73">
        <v>142.32</v>
      </c>
      <c r="J331" s="70">
        <f t="shared" si="51"/>
        <v>467.7</v>
      </c>
      <c r="K331" s="74">
        <v>1461</v>
      </c>
      <c r="L331" s="74">
        <f>K331*J331</f>
        <v>683309.7</v>
      </c>
      <c r="M331" s="72"/>
      <c r="N331" s="72"/>
    </row>
    <row r="332" spans="1:15" s="54" customFormat="1" ht="21" customHeight="1" x14ac:dyDescent="0.25">
      <c r="A332" s="66"/>
      <c r="B332" s="71" t="s">
        <v>48</v>
      </c>
      <c r="C332" s="72"/>
      <c r="D332" s="72" t="s">
        <v>47</v>
      </c>
      <c r="E332" s="72"/>
      <c r="F332" s="72"/>
      <c r="G332" s="73">
        <v>57.32</v>
      </c>
      <c r="H332" s="73">
        <v>44.32</v>
      </c>
      <c r="I332" s="73">
        <v>79.95</v>
      </c>
      <c r="J332" s="70">
        <f t="shared" si="51"/>
        <v>181.59</v>
      </c>
      <c r="K332" s="74">
        <v>1461</v>
      </c>
      <c r="L332" s="74">
        <f>K332*J332</f>
        <v>265302.99</v>
      </c>
      <c r="M332" s="72"/>
      <c r="N332" s="72"/>
    </row>
    <row r="333" spans="1:15" s="54" customFormat="1" ht="21" customHeight="1" x14ac:dyDescent="0.25">
      <c r="A333" s="66"/>
      <c r="B333" s="71" t="s">
        <v>103</v>
      </c>
      <c r="C333" s="72"/>
      <c r="D333" s="72" t="s">
        <v>47</v>
      </c>
      <c r="E333" s="72"/>
      <c r="F333" s="72"/>
      <c r="G333" s="73">
        <v>156.13999999999999</v>
      </c>
      <c r="H333" s="73">
        <v>101.76</v>
      </c>
      <c r="I333" s="73">
        <v>158.25</v>
      </c>
      <c r="J333" s="70">
        <f t="shared" si="51"/>
        <v>416.15</v>
      </c>
      <c r="K333" s="74">
        <v>1461</v>
      </c>
      <c r="L333" s="74">
        <f>K333*J333</f>
        <v>607995.15</v>
      </c>
      <c r="M333" s="72"/>
      <c r="N333" s="72"/>
    </row>
    <row r="334" spans="1:15" s="54" customFormat="1" ht="21" customHeight="1" x14ac:dyDescent="0.25">
      <c r="A334" s="66"/>
      <c r="B334" s="71" t="s">
        <v>104</v>
      </c>
      <c r="C334" s="72"/>
      <c r="D334" s="72" t="s">
        <v>47</v>
      </c>
      <c r="E334" s="72"/>
      <c r="F334" s="72"/>
      <c r="G334" s="73">
        <v>100.39</v>
      </c>
      <c r="H334" s="73">
        <v>112.4</v>
      </c>
      <c r="I334" s="73">
        <v>113.93</v>
      </c>
      <c r="J334" s="70">
        <f t="shared" si="51"/>
        <v>326.72000000000003</v>
      </c>
      <c r="K334" s="74">
        <v>1461</v>
      </c>
      <c r="L334" s="74">
        <f>K334*J334</f>
        <v>477337.92000000004</v>
      </c>
      <c r="M334" s="72"/>
      <c r="N334" s="72"/>
    </row>
    <row r="335" spans="1:15" s="54" customFormat="1" ht="21" customHeight="1" x14ac:dyDescent="0.25">
      <c r="A335" s="66"/>
      <c r="B335" s="71" t="s">
        <v>49</v>
      </c>
      <c r="C335" s="72"/>
      <c r="D335" s="72" t="s">
        <v>47</v>
      </c>
      <c r="E335" s="72"/>
      <c r="F335" s="72"/>
      <c r="G335" s="73">
        <v>27.1</v>
      </c>
      <c r="H335" s="73">
        <v>36.04</v>
      </c>
      <c r="I335" s="73">
        <v>32.35</v>
      </c>
      <c r="J335" s="70">
        <f t="shared" si="51"/>
        <v>95.490000000000009</v>
      </c>
      <c r="K335" s="74">
        <v>1610</v>
      </c>
      <c r="L335" s="74">
        <f t="shared" ref="L335:L339" si="53">K335*J335</f>
        <v>153738.90000000002</v>
      </c>
      <c r="M335" s="72"/>
      <c r="N335" s="72"/>
    </row>
    <row r="336" spans="1:15" s="54" customFormat="1" ht="21" customHeight="1" x14ac:dyDescent="0.25">
      <c r="A336" s="66"/>
      <c r="B336" s="71" t="s">
        <v>50</v>
      </c>
      <c r="C336" s="72"/>
      <c r="D336" s="72" t="s">
        <v>51</v>
      </c>
      <c r="E336" s="72"/>
      <c r="F336" s="72"/>
      <c r="G336" s="73">
        <v>55</v>
      </c>
      <c r="H336" s="73">
        <v>42</v>
      </c>
      <c r="I336" s="73">
        <v>56</v>
      </c>
      <c r="J336" s="70">
        <f t="shared" si="51"/>
        <v>153</v>
      </c>
      <c r="K336" s="74">
        <v>803</v>
      </c>
      <c r="L336" s="74">
        <f t="shared" si="53"/>
        <v>122859</v>
      </c>
      <c r="M336" s="72"/>
      <c r="N336" s="72"/>
    </row>
    <row r="337" spans="1:14" s="54" customFormat="1" ht="21" customHeight="1" x14ac:dyDescent="0.25">
      <c r="A337" s="66"/>
      <c r="B337" s="71" t="s">
        <v>52</v>
      </c>
      <c r="C337" s="72" t="s">
        <v>105</v>
      </c>
      <c r="D337" s="72" t="s">
        <v>54</v>
      </c>
      <c r="E337" s="72"/>
      <c r="F337" s="72"/>
      <c r="G337" s="129">
        <v>87.64</v>
      </c>
      <c r="H337" s="129">
        <v>70.760000000000005</v>
      </c>
      <c r="I337" s="129">
        <v>60.5</v>
      </c>
      <c r="J337" s="130">
        <f t="shared" si="51"/>
        <v>218.9</v>
      </c>
      <c r="K337" s="74">
        <v>94.5</v>
      </c>
      <c r="L337" s="74">
        <f t="shared" si="53"/>
        <v>20686.05</v>
      </c>
      <c r="M337" s="72"/>
      <c r="N337" s="72"/>
    </row>
    <row r="338" spans="1:14" s="54" customFormat="1" ht="31.5" x14ac:dyDescent="0.25">
      <c r="A338" s="66"/>
      <c r="B338" s="71" t="s">
        <v>55</v>
      </c>
      <c r="C338" s="72"/>
      <c r="D338" s="72" t="s">
        <v>54</v>
      </c>
      <c r="E338" s="72"/>
      <c r="F338" s="72"/>
      <c r="G338" s="73">
        <v>42.25</v>
      </c>
      <c r="H338" s="73">
        <v>31.63</v>
      </c>
      <c r="I338" s="73">
        <v>26.33</v>
      </c>
      <c r="J338" s="70">
        <f t="shared" si="51"/>
        <v>100.21</v>
      </c>
      <c r="K338" s="74">
        <v>118</v>
      </c>
      <c r="L338" s="74">
        <f t="shared" si="53"/>
        <v>11824.779999999999</v>
      </c>
      <c r="M338" s="72"/>
      <c r="N338" s="72"/>
    </row>
    <row r="339" spans="1:14" s="54" customFormat="1" x14ac:dyDescent="0.25">
      <c r="A339" s="66"/>
      <c r="B339" s="71" t="s">
        <v>256</v>
      </c>
      <c r="C339" s="72"/>
      <c r="D339" s="72" t="s">
        <v>47</v>
      </c>
      <c r="E339" s="72"/>
      <c r="F339" s="72"/>
      <c r="G339" s="73">
        <v>35.340000000000003</v>
      </c>
      <c r="H339" s="73">
        <v>37.65</v>
      </c>
      <c r="I339" s="73">
        <v>43.29</v>
      </c>
      <c r="J339" s="70">
        <f t="shared" si="51"/>
        <v>116.28</v>
      </c>
      <c r="K339" s="74">
        <v>298</v>
      </c>
      <c r="L339" s="74">
        <f t="shared" si="53"/>
        <v>34651.440000000002</v>
      </c>
      <c r="M339" s="72"/>
      <c r="N339" s="72"/>
    </row>
    <row r="340" spans="1:14" s="54" customFormat="1" x14ac:dyDescent="0.25">
      <c r="A340" s="66"/>
      <c r="B340" s="87" t="s">
        <v>56</v>
      </c>
      <c r="C340" s="88"/>
      <c r="D340" s="88" t="s">
        <v>45</v>
      </c>
      <c r="E340" s="88"/>
      <c r="F340" s="88"/>
      <c r="G340" s="73">
        <f>291.89*0.06*0.03</f>
        <v>0.52540199999999992</v>
      </c>
      <c r="H340" s="73">
        <f>228.82*0.06*0.03</f>
        <v>0.41187599999999996</v>
      </c>
      <c r="I340" s="73">
        <f>295.85*0.06*0.03</f>
        <v>0.53253000000000006</v>
      </c>
      <c r="J340" s="70">
        <f>SUM(G340:I340)</f>
        <v>1.469808</v>
      </c>
      <c r="K340" s="74"/>
      <c r="L340" s="74"/>
      <c r="M340" s="88" t="s">
        <v>57</v>
      </c>
      <c r="N340" s="72"/>
    </row>
    <row r="341" spans="1:14" s="54" customFormat="1" x14ac:dyDescent="0.25">
      <c r="A341" s="75"/>
      <c r="B341" s="76" t="s">
        <v>38</v>
      </c>
      <c r="C341" s="77"/>
      <c r="D341" s="77"/>
      <c r="E341" s="77"/>
      <c r="F341" s="77"/>
      <c r="G341" s="78"/>
      <c r="H341" s="78"/>
      <c r="I341" s="78"/>
      <c r="J341" s="79"/>
      <c r="K341" s="80"/>
      <c r="L341" s="79">
        <f>SUM(L342:L377)</f>
        <v>929170.59692779998</v>
      </c>
      <c r="M341" s="77"/>
      <c r="N341" s="77"/>
    </row>
    <row r="342" spans="1:14" s="54" customFormat="1" ht="31.5" x14ac:dyDescent="0.25">
      <c r="A342" s="81"/>
      <c r="B342" s="82" t="s">
        <v>58</v>
      </c>
      <c r="C342" s="77" t="s">
        <v>59</v>
      </c>
      <c r="D342" s="77" t="s">
        <v>60</v>
      </c>
      <c r="E342" s="78">
        <v>12.4</v>
      </c>
      <c r="F342" s="77">
        <v>0.25</v>
      </c>
      <c r="G342" s="83">
        <f>G329/F342*E342</f>
        <v>1493.4559999999999</v>
      </c>
      <c r="H342" s="83">
        <f>H329/F342*E342</f>
        <v>1265.296</v>
      </c>
      <c r="I342" s="83">
        <f>I329/F342*E342</f>
        <v>1898.1920000000002</v>
      </c>
      <c r="J342" s="84">
        <f>SUM(G342:I342)</f>
        <v>4656.9440000000004</v>
      </c>
      <c r="K342" s="80">
        <v>0</v>
      </c>
      <c r="L342" s="80">
        <f>J342*K342</f>
        <v>0</v>
      </c>
      <c r="M342" s="77" t="s">
        <v>61</v>
      </c>
      <c r="N342" s="77" t="s">
        <v>320</v>
      </c>
    </row>
    <row r="343" spans="1:14" s="54" customFormat="1" ht="31.5" x14ac:dyDescent="0.25">
      <c r="A343" s="81"/>
      <c r="B343" s="82" t="s">
        <v>62</v>
      </c>
      <c r="C343" s="77" t="s">
        <v>63</v>
      </c>
      <c r="D343" s="77" t="s">
        <v>60</v>
      </c>
      <c r="E343" s="78">
        <v>12.4</v>
      </c>
      <c r="F343" s="77"/>
      <c r="G343" s="83">
        <f>G331*E343</f>
        <v>2538.9</v>
      </c>
      <c r="H343" s="83">
        <f>H331*E343</f>
        <v>1495.8119999999999</v>
      </c>
      <c r="I343" s="83">
        <f>I331*E343</f>
        <v>1764.768</v>
      </c>
      <c r="J343" s="84">
        <f t="shared" ref="J343:J347" si="54">SUM(G343:I343)</f>
        <v>5799.48</v>
      </c>
      <c r="K343" s="80">
        <v>0</v>
      </c>
      <c r="L343" s="80">
        <f>J343*K343</f>
        <v>0</v>
      </c>
      <c r="M343" s="77" t="s">
        <v>61</v>
      </c>
      <c r="N343" s="77" t="s">
        <v>320</v>
      </c>
    </row>
    <row r="344" spans="1:14" s="54" customFormat="1" ht="31.5" x14ac:dyDescent="0.25">
      <c r="A344" s="81"/>
      <c r="B344" s="82" t="s">
        <v>64</v>
      </c>
      <c r="C344" s="77" t="s">
        <v>65</v>
      </c>
      <c r="D344" s="77" t="s">
        <v>60</v>
      </c>
      <c r="E344" s="78">
        <v>12.4</v>
      </c>
      <c r="F344" s="77"/>
      <c r="G344" s="83">
        <f>G332*E344</f>
        <v>710.76800000000003</v>
      </c>
      <c r="H344" s="83">
        <f>H332*E344</f>
        <v>549.56799999999998</v>
      </c>
      <c r="I344" s="83">
        <f>I332*E344</f>
        <v>991.38000000000011</v>
      </c>
      <c r="J344" s="84">
        <f t="shared" si="54"/>
        <v>2251.7160000000003</v>
      </c>
      <c r="K344" s="80">
        <v>0</v>
      </c>
      <c r="L344" s="80">
        <f>J344*K344</f>
        <v>0</v>
      </c>
      <c r="M344" s="77" t="s">
        <v>61</v>
      </c>
      <c r="N344" s="77" t="s">
        <v>320</v>
      </c>
    </row>
    <row r="345" spans="1:14" s="54" customFormat="1" ht="31.5" x14ac:dyDescent="0.25">
      <c r="A345" s="81"/>
      <c r="B345" s="82" t="s">
        <v>106</v>
      </c>
      <c r="C345" s="77" t="s">
        <v>107</v>
      </c>
      <c r="D345" s="77" t="s">
        <v>60</v>
      </c>
      <c r="E345" s="78">
        <v>12.4</v>
      </c>
      <c r="F345" s="77"/>
      <c r="G345" s="83">
        <f>G333*E345</f>
        <v>1936.136</v>
      </c>
      <c r="H345" s="83">
        <f>H333*E345</f>
        <v>1261.8240000000001</v>
      </c>
      <c r="I345" s="83">
        <f>I333*E345</f>
        <v>1962.3</v>
      </c>
      <c r="J345" s="84">
        <f t="shared" si="54"/>
        <v>5160.26</v>
      </c>
      <c r="K345" s="80">
        <v>0</v>
      </c>
      <c r="L345" s="80">
        <f>J345*K345</f>
        <v>0</v>
      </c>
      <c r="M345" s="77" t="s">
        <v>61</v>
      </c>
      <c r="N345" s="77" t="s">
        <v>320</v>
      </c>
    </row>
    <row r="346" spans="1:14" s="54" customFormat="1" ht="31.5" x14ac:dyDescent="0.25">
      <c r="A346" s="81"/>
      <c r="B346" s="82" t="s">
        <v>108</v>
      </c>
      <c r="C346" s="77" t="s">
        <v>109</v>
      </c>
      <c r="D346" s="77" t="s">
        <v>60</v>
      </c>
      <c r="E346" s="78">
        <v>12.4</v>
      </c>
      <c r="F346" s="77"/>
      <c r="G346" s="83">
        <f>G334*E346</f>
        <v>1244.836</v>
      </c>
      <c r="H346" s="83">
        <f>H334*E346</f>
        <v>1393.7600000000002</v>
      </c>
      <c r="I346" s="83">
        <f>I334*E346</f>
        <v>1412.7320000000002</v>
      </c>
      <c r="J346" s="84">
        <f t="shared" si="54"/>
        <v>4051.3280000000004</v>
      </c>
      <c r="K346" s="80">
        <v>0</v>
      </c>
      <c r="L346" s="80">
        <f>J346*K346</f>
        <v>0</v>
      </c>
      <c r="M346" s="77" t="s">
        <v>61</v>
      </c>
      <c r="N346" s="77" t="s">
        <v>320</v>
      </c>
    </row>
    <row r="347" spans="1:14" s="54" customFormat="1" ht="31.5" x14ac:dyDescent="0.25">
      <c r="A347" s="81"/>
      <c r="B347" s="89" t="s">
        <v>66</v>
      </c>
      <c r="C347" s="77" t="s">
        <v>67</v>
      </c>
      <c r="D347" s="77" t="s">
        <v>60</v>
      </c>
      <c r="E347" s="90">
        <v>42</v>
      </c>
      <c r="F347" s="90"/>
      <c r="G347" s="83">
        <f>G335*E347</f>
        <v>1138.2</v>
      </c>
      <c r="H347" s="83">
        <f>H335*E347</f>
        <v>1513.68</v>
      </c>
      <c r="I347" s="83">
        <f>I335*E347</f>
        <v>1358.7</v>
      </c>
      <c r="J347" s="84">
        <f t="shared" si="54"/>
        <v>4010.58</v>
      </c>
      <c r="K347" s="80">
        <v>0</v>
      </c>
      <c r="L347" s="80">
        <f t="shared" ref="L347:L376" si="55">J347*K347</f>
        <v>0</v>
      </c>
      <c r="M347" s="77" t="s">
        <v>68</v>
      </c>
      <c r="N347" s="77" t="s">
        <v>320</v>
      </c>
    </row>
    <row r="348" spans="1:14" s="54" customFormat="1" ht="31.5" x14ac:dyDescent="0.25">
      <c r="A348" s="81"/>
      <c r="B348" s="89" t="s">
        <v>110</v>
      </c>
      <c r="C348" s="77" t="s">
        <v>111</v>
      </c>
      <c r="D348" s="77" t="s">
        <v>60</v>
      </c>
      <c r="E348" s="90">
        <v>42</v>
      </c>
      <c r="F348" s="90"/>
      <c r="G348" s="83">
        <f>G330/0.25*E348</f>
        <v>297.36</v>
      </c>
      <c r="H348" s="83">
        <f>H330/0.25*E348</f>
        <v>210</v>
      </c>
      <c r="I348" s="83">
        <f>I330/0.25*E348</f>
        <v>285.59999999999997</v>
      </c>
      <c r="J348" s="84">
        <f t="shared" ref="J348" si="56">SUM(G348:I348)</f>
        <v>792.96</v>
      </c>
      <c r="K348" s="80">
        <v>0</v>
      </c>
      <c r="L348" s="80">
        <f t="shared" si="55"/>
        <v>0</v>
      </c>
      <c r="M348" s="77" t="s">
        <v>68</v>
      </c>
      <c r="N348" s="77" t="s">
        <v>320</v>
      </c>
    </row>
    <row r="349" spans="1:14" s="54" customFormat="1" ht="29.25" customHeight="1" x14ac:dyDescent="0.25">
      <c r="A349" s="81"/>
      <c r="B349" s="91" t="s">
        <v>69</v>
      </c>
      <c r="C349" s="77" t="s">
        <v>70</v>
      </c>
      <c r="D349" s="77" t="s">
        <v>45</v>
      </c>
      <c r="E349" s="77">
        <v>0.19500000000000001</v>
      </c>
      <c r="F349" s="90"/>
      <c r="G349" s="78">
        <f>G329*E349+G331*E349*0.19+G332*E349*0.19+G333*E349*0.09+G334*E349*0.09</f>
        <v>20.083245000000002</v>
      </c>
      <c r="H349" s="78">
        <f>H329*E349+H331*E349*0.19+H332*E349*0.19+H333*E349*0.09+H334*E349*0.09</f>
        <v>14.844355500000001</v>
      </c>
      <c r="I349" s="78">
        <f>I329*E349+I331*E349*0.19+I332*E349*0.19+I333*E349*0.09+I334*E349*0.09</f>
        <v>20.474512499999999</v>
      </c>
      <c r="J349" s="79">
        <f>SUM(G349:I349)</f>
        <v>55.402113</v>
      </c>
      <c r="K349" s="80">
        <v>7875</v>
      </c>
      <c r="L349" s="80">
        <f t="shared" si="55"/>
        <v>436291.63987499999</v>
      </c>
      <c r="M349" s="77" t="s">
        <v>71</v>
      </c>
      <c r="N349" s="77" t="s">
        <v>321</v>
      </c>
    </row>
    <row r="350" spans="1:14" s="54" customFormat="1" ht="29.25" customHeight="1" x14ac:dyDescent="0.25">
      <c r="A350" s="92"/>
      <c r="B350" s="91" t="s">
        <v>112</v>
      </c>
      <c r="C350" s="77" t="s">
        <v>70</v>
      </c>
      <c r="D350" s="77" t="s">
        <v>45</v>
      </c>
      <c r="E350" s="77">
        <v>0.24</v>
      </c>
      <c r="F350" s="77"/>
      <c r="G350" s="78">
        <f>G330*E350</f>
        <v>0.42480000000000001</v>
      </c>
      <c r="H350" s="78">
        <f>H330*E350</f>
        <v>0.3</v>
      </c>
      <c r="I350" s="78">
        <f>I330*E350</f>
        <v>0.40799999999999997</v>
      </c>
      <c r="J350" s="79">
        <f t="shared" ref="J350:J375" si="57">SUM(G350:I350)</f>
        <v>1.1328</v>
      </c>
      <c r="K350" s="80">
        <v>7875</v>
      </c>
      <c r="L350" s="80">
        <f t="shared" si="55"/>
        <v>8920.8000000000011</v>
      </c>
      <c r="M350" s="77" t="s">
        <v>71</v>
      </c>
      <c r="N350" s="77" t="s">
        <v>321</v>
      </c>
    </row>
    <row r="351" spans="1:14" s="54" customFormat="1" ht="29.25" customHeight="1" x14ac:dyDescent="0.25">
      <c r="A351" s="92"/>
      <c r="B351" s="91" t="s">
        <v>72</v>
      </c>
      <c r="C351" s="77" t="s">
        <v>70</v>
      </c>
      <c r="D351" s="77" t="s">
        <v>45</v>
      </c>
      <c r="E351" s="77">
        <v>4.5999999999999999E-2</v>
      </c>
      <c r="F351" s="77"/>
      <c r="G351" s="78">
        <f>G335*E351</f>
        <v>1.2466000000000002</v>
      </c>
      <c r="H351" s="78">
        <f>H335*E351</f>
        <v>1.65784</v>
      </c>
      <c r="I351" s="78">
        <f>I335*E351</f>
        <v>1.4881</v>
      </c>
      <c r="J351" s="79">
        <f t="shared" si="57"/>
        <v>4.3925400000000003</v>
      </c>
      <c r="K351" s="80">
        <v>7875</v>
      </c>
      <c r="L351" s="80">
        <f t="shared" si="55"/>
        <v>34591.252500000002</v>
      </c>
      <c r="M351" s="77" t="s">
        <v>73</v>
      </c>
      <c r="N351" s="77" t="s">
        <v>321</v>
      </c>
    </row>
    <row r="352" spans="1:14" s="54" customFormat="1" ht="29.25" customHeight="1" x14ac:dyDescent="0.25">
      <c r="A352" s="92"/>
      <c r="B352" s="91" t="s">
        <v>74</v>
      </c>
      <c r="C352" s="77" t="s">
        <v>70</v>
      </c>
      <c r="D352" s="77" t="s">
        <v>45</v>
      </c>
      <c r="E352" s="77">
        <v>1.01</v>
      </c>
      <c r="F352" s="77"/>
      <c r="G352" s="78">
        <f>G340*E352</f>
        <v>0.5306560199999999</v>
      </c>
      <c r="H352" s="78">
        <f>H340*E352</f>
        <v>0.41599475999999996</v>
      </c>
      <c r="I352" s="78">
        <f>I340*E352</f>
        <v>0.53785530000000004</v>
      </c>
      <c r="J352" s="79">
        <f t="shared" si="57"/>
        <v>1.4845060800000001</v>
      </c>
      <c r="K352" s="80">
        <v>7875</v>
      </c>
      <c r="L352" s="80">
        <f t="shared" si="55"/>
        <v>11690.48538</v>
      </c>
      <c r="M352" s="77" t="s">
        <v>71</v>
      </c>
      <c r="N352" s="77" t="s">
        <v>321</v>
      </c>
    </row>
    <row r="353" spans="1:14" s="54" customFormat="1" ht="29.25" customHeight="1" x14ac:dyDescent="0.25">
      <c r="A353" s="81"/>
      <c r="B353" s="89" t="s">
        <v>75</v>
      </c>
      <c r="C353" s="77" t="s">
        <v>70</v>
      </c>
      <c r="D353" s="77" t="s">
        <v>45</v>
      </c>
      <c r="E353" s="77">
        <v>6.0000000000000001E-3</v>
      </c>
      <c r="F353" s="77"/>
      <c r="G353" s="78">
        <f>G336*E353</f>
        <v>0.33</v>
      </c>
      <c r="H353" s="78">
        <f>H336*E353</f>
        <v>0.252</v>
      </c>
      <c r="I353" s="78">
        <f>I336*E353</f>
        <v>0.33600000000000002</v>
      </c>
      <c r="J353" s="79">
        <f t="shared" si="57"/>
        <v>0.91800000000000015</v>
      </c>
      <c r="K353" s="80">
        <v>7875</v>
      </c>
      <c r="L353" s="80">
        <f t="shared" si="55"/>
        <v>7229.2500000000009</v>
      </c>
      <c r="M353" s="77" t="s">
        <v>76</v>
      </c>
      <c r="N353" s="77" t="s">
        <v>321</v>
      </c>
    </row>
    <row r="354" spans="1:14" s="54" customFormat="1" ht="29.25" customHeight="1" x14ac:dyDescent="0.25">
      <c r="A354" s="81"/>
      <c r="B354" s="89" t="s">
        <v>77</v>
      </c>
      <c r="C354" s="77" t="s">
        <v>70</v>
      </c>
      <c r="D354" s="77" t="s">
        <v>45</v>
      </c>
      <c r="E354" s="77">
        <v>1.01</v>
      </c>
      <c r="F354" s="77"/>
      <c r="G354" s="93">
        <v>5.7000000000000002E-2</v>
      </c>
      <c r="H354" s="93">
        <v>4.2999999999999997E-2</v>
      </c>
      <c r="I354" s="93">
        <v>3.2000000000000001E-2</v>
      </c>
      <c r="J354" s="79">
        <f t="shared" si="57"/>
        <v>0.13200000000000001</v>
      </c>
      <c r="K354" s="80">
        <v>7875</v>
      </c>
      <c r="L354" s="80">
        <f t="shared" si="55"/>
        <v>1039.5</v>
      </c>
      <c r="M354" s="94"/>
      <c r="N354" s="77" t="s">
        <v>321</v>
      </c>
    </row>
    <row r="355" spans="1:14" s="54" customFormat="1" ht="21" customHeight="1" x14ac:dyDescent="0.25">
      <c r="A355" s="81"/>
      <c r="B355" s="89" t="s">
        <v>78</v>
      </c>
      <c r="C355" s="77" t="s">
        <v>79</v>
      </c>
      <c r="D355" s="77" t="s">
        <v>47</v>
      </c>
      <c r="E355" s="77"/>
      <c r="F355" s="77"/>
      <c r="G355" s="78">
        <v>182.58</v>
      </c>
      <c r="H355" s="78">
        <v>142.61000000000001</v>
      </c>
      <c r="I355" s="78">
        <v>188.7</v>
      </c>
      <c r="J355" s="79">
        <f t="shared" si="57"/>
        <v>513.8900000000001</v>
      </c>
      <c r="K355" s="80">
        <v>88.34</v>
      </c>
      <c r="L355" s="80">
        <f t="shared" si="55"/>
        <v>45397.042600000008</v>
      </c>
      <c r="M355" s="94"/>
      <c r="N355" s="77" t="s">
        <v>321</v>
      </c>
    </row>
    <row r="356" spans="1:14" s="54" customFormat="1" ht="21" customHeight="1" x14ac:dyDescent="0.25">
      <c r="A356" s="81"/>
      <c r="B356" s="89" t="s">
        <v>277</v>
      </c>
      <c r="C356" s="77" t="s">
        <v>114</v>
      </c>
      <c r="D356" s="77" t="s">
        <v>60</v>
      </c>
      <c r="E356" s="77"/>
      <c r="F356" s="77"/>
      <c r="G356" s="78">
        <v>12</v>
      </c>
      <c r="H356" s="78">
        <v>17</v>
      </c>
      <c r="I356" s="78">
        <v>13</v>
      </c>
      <c r="J356" s="79">
        <f t="shared" si="57"/>
        <v>42</v>
      </c>
      <c r="K356" s="80">
        <v>398.6</v>
      </c>
      <c r="L356" s="80">
        <f t="shared" si="55"/>
        <v>16741.2</v>
      </c>
      <c r="M356" s="94"/>
      <c r="N356" s="77" t="s">
        <v>321</v>
      </c>
    </row>
    <row r="357" spans="1:14" s="54" customFormat="1" ht="21" customHeight="1" x14ac:dyDescent="0.25">
      <c r="A357" s="81"/>
      <c r="B357" s="89" t="s">
        <v>278</v>
      </c>
      <c r="C357" s="77" t="s">
        <v>116</v>
      </c>
      <c r="D357" s="77" t="s">
        <v>60</v>
      </c>
      <c r="E357" s="77"/>
      <c r="F357" s="77"/>
      <c r="G357" s="78">
        <v>10</v>
      </c>
      <c r="H357" s="78"/>
      <c r="I357" s="78">
        <v>10</v>
      </c>
      <c r="J357" s="79">
        <f t="shared" si="57"/>
        <v>20</v>
      </c>
      <c r="K357" s="80">
        <v>465.03</v>
      </c>
      <c r="L357" s="80">
        <f t="shared" si="55"/>
        <v>9300.5999999999985</v>
      </c>
      <c r="M357" s="94"/>
      <c r="N357" s="77" t="s">
        <v>321</v>
      </c>
    </row>
    <row r="358" spans="1:14" s="54" customFormat="1" ht="21" customHeight="1" x14ac:dyDescent="0.25">
      <c r="A358" s="81"/>
      <c r="B358" s="89" t="s">
        <v>279</v>
      </c>
      <c r="C358" s="77" t="s">
        <v>280</v>
      </c>
      <c r="D358" s="77" t="s">
        <v>60</v>
      </c>
      <c r="E358" s="77"/>
      <c r="F358" s="77"/>
      <c r="G358" s="78"/>
      <c r="H358" s="78"/>
      <c r="I358" s="78">
        <v>1</v>
      </c>
      <c r="J358" s="79">
        <f t="shared" si="57"/>
        <v>1</v>
      </c>
      <c r="K358" s="80">
        <v>863.64</v>
      </c>
      <c r="L358" s="80">
        <f t="shared" si="55"/>
        <v>863.64</v>
      </c>
      <c r="M358" s="94"/>
      <c r="N358" s="77" t="s">
        <v>321</v>
      </c>
    </row>
    <row r="359" spans="1:14" s="54" customFormat="1" ht="21" customHeight="1" x14ac:dyDescent="0.25">
      <c r="A359" s="81"/>
      <c r="B359" s="89" t="s">
        <v>283</v>
      </c>
      <c r="C359" s="77" t="s">
        <v>284</v>
      </c>
      <c r="D359" s="77" t="s">
        <v>60</v>
      </c>
      <c r="E359" s="77"/>
      <c r="F359" s="77"/>
      <c r="G359" s="78">
        <v>1</v>
      </c>
      <c r="H359" s="78">
        <v>1</v>
      </c>
      <c r="I359" s="78"/>
      <c r="J359" s="79">
        <f t="shared" si="57"/>
        <v>2</v>
      </c>
      <c r="K359" s="80">
        <v>620.04999999999995</v>
      </c>
      <c r="L359" s="80">
        <f t="shared" si="55"/>
        <v>1240.0999999999999</v>
      </c>
      <c r="M359" s="94"/>
      <c r="N359" s="77" t="s">
        <v>321</v>
      </c>
    </row>
    <row r="360" spans="1:14" s="54" customFormat="1" ht="21" customHeight="1" x14ac:dyDescent="0.25">
      <c r="A360" s="81"/>
      <c r="B360" s="89" t="s">
        <v>285</v>
      </c>
      <c r="C360" s="77" t="s">
        <v>286</v>
      </c>
      <c r="D360" s="77" t="s">
        <v>60</v>
      </c>
      <c r="E360" s="77"/>
      <c r="F360" s="77"/>
      <c r="G360" s="78"/>
      <c r="H360" s="78"/>
      <c r="I360" s="78">
        <v>1</v>
      </c>
      <c r="J360" s="79">
        <f t="shared" si="57"/>
        <v>1</v>
      </c>
      <c r="K360" s="80">
        <v>708.62</v>
      </c>
      <c r="L360" s="80">
        <f t="shared" si="55"/>
        <v>708.62</v>
      </c>
      <c r="M360" s="94"/>
      <c r="N360" s="77" t="s">
        <v>321</v>
      </c>
    </row>
    <row r="361" spans="1:14" s="54" customFormat="1" ht="21" customHeight="1" x14ac:dyDescent="0.25">
      <c r="A361" s="81"/>
      <c r="B361" s="89" t="s">
        <v>287</v>
      </c>
      <c r="C361" s="77" t="s">
        <v>288</v>
      </c>
      <c r="D361" s="77" t="s">
        <v>60</v>
      </c>
      <c r="E361" s="77"/>
      <c r="F361" s="77"/>
      <c r="G361" s="78">
        <v>1</v>
      </c>
      <c r="H361" s="78">
        <v>1</v>
      </c>
      <c r="I361" s="78">
        <v>1</v>
      </c>
      <c r="J361" s="79">
        <f t="shared" si="57"/>
        <v>3</v>
      </c>
      <c r="K361" s="80">
        <v>797.2</v>
      </c>
      <c r="L361" s="80">
        <f t="shared" si="55"/>
        <v>2391.6000000000004</v>
      </c>
      <c r="M361" s="94"/>
      <c r="N361" s="77" t="s">
        <v>321</v>
      </c>
    </row>
    <row r="362" spans="1:14" s="54" customFormat="1" ht="21" customHeight="1" x14ac:dyDescent="0.25">
      <c r="A362" s="81"/>
      <c r="B362" s="89" t="s">
        <v>297</v>
      </c>
      <c r="C362" s="77" t="s">
        <v>118</v>
      </c>
      <c r="D362" s="77" t="s">
        <v>60</v>
      </c>
      <c r="E362" s="77"/>
      <c r="F362" s="77"/>
      <c r="G362" s="78">
        <v>5</v>
      </c>
      <c r="H362" s="78"/>
      <c r="I362" s="78">
        <v>3</v>
      </c>
      <c r="J362" s="79">
        <f t="shared" si="57"/>
        <v>8</v>
      </c>
      <c r="K362" s="80">
        <v>841.49</v>
      </c>
      <c r="L362" s="80">
        <f t="shared" si="55"/>
        <v>6731.92</v>
      </c>
      <c r="M362" s="94"/>
      <c r="N362" s="77" t="s">
        <v>321</v>
      </c>
    </row>
    <row r="363" spans="1:14" s="54" customFormat="1" ht="21" customHeight="1" x14ac:dyDescent="0.25">
      <c r="A363" s="81"/>
      <c r="B363" s="89" t="s">
        <v>298</v>
      </c>
      <c r="C363" s="77" t="s">
        <v>120</v>
      </c>
      <c r="D363" s="77" t="s">
        <v>60</v>
      </c>
      <c r="E363" s="77"/>
      <c r="F363" s="77"/>
      <c r="G363" s="78">
        <v>4</v>
      </c>
      <c r="H363" s="78">
        <v>6</v>
      </c>
      <c r="I363" s="78">
        <v>6</v>
      </c>
      <c r="J363" s="79">
        <f t="shared" si="57"/>
        <v>16</v>
      </c>
      <c r="K363" s="80">
        <v>981.74</v>
      </c>
      <c r="L363" s="80">
        <f t="shared" si="55"/>
        <v>15707.84</v>
      </c>
      <c r="M363" s="94"/>
      <c r="N363" s="77" t="s">
        <v>321</v>
      </c>
    </row>
    <row r="364" spans="1:14" s="54" customFormat="1" ht="21" customHeight="1" x14ac:dyDescent="0.25">
      <c r="A364" s="81"/>
      <c r="B364" s="89" t="s">
        <v>299</v>
      </c>
      <c r="C364" s="77" t="s">
        <v>300</v>
      </c>
      <c r="D364" s="77" t="s">
        <v>60</v>
      </c>
      <c r="E364" s="77"/>
      <c r="F364" s="77"/>
      <c r="G364" s="78">
        <v>3</v>
      </c>
      <c r="H364" s="78"/>
      <c r="I364" s="78">
        <v>2</v>
      </c>
      <c r="J364" s="79">
        <f t="shared" si="57"/>
        <v>5</v>
      </c>
      <c r="K364" s="80">
        <v>1107.23</v>
      </c>
      <c r="L364" s="80">
        <f t="shared" si="55"/>
        <v>5536.15</v>
      </c>
      <c r="M364" s="94"/>
      <c r="N364" s="77" t="s">
        <v>321</v>
      </c>
    </row>
    <row r="365" spans="1:14" s="54" customFormat="1" ht="21" customHeight="1" x14ac:dyDescent="0.25">
      <c r="A365" s="81"/>
      <c r="B365" s="89" t="s">
        <v>301</v>
      </c>
      <c r="C365" s="77" t="s">
        <v>122</v>
      </c>
      <c r="D365" s="77" t="s">
        <v>60</v>
      </c>
      <c r="E365" s="77"/>
      <c r="F365" s="77"/>
      <c r="G365" s="78"/>
      <c r="H365" s="78">
        <v>1</v>
      </c>
      <c r="I365" s="78"/>
      <c r="J365" s="79">
        <f t="shared" si="57"/>
        <v>1</v>
      </c>
      <c r="K365" s="80">
        <v>1291.76</v>
      </c>
      <c r="L365" s="80">
        <f t="shared" si="55"/>
        <v>1291.76</v>
      </c>
      <c r="M365" s="94"/>
      <c r="N365" s="77" t="s">
        <v>321</v>
      </c>
    </row>
    <row r="366" spans="1:14" s="54" customFormat="1" ht="21" customHeight="1" x14ac:dyDescent="0.25">
      <c r="A366" s="81"/>
      <c r="B366" s="89" t="s">
        <v>302</v>
      </c>
      <c r="C366" s="77" t="s">
        <v>124</v>
      </c>
      <c r="D366" s="77" t="s">
        <v>60</v>
      </c>
      <c r="E366" s="77"/>
      <c r="F366" s="77"/>
      <c r="G366" s="78">
        <v>1</v>
      </c>
      <c r="H366" s="78"/>
      <c r="I366" s="78"/>
      <c r="J366" s="79">
        <f t="shared" si="57"/>
        <v>1</v>
      </c>
      <c r="K366" s="80">
        <v>1845.38</v>
      </c>
      <c r="L366" s="80">
        <f t="shared" si="55"/>
        <v>1845.38</v>
      </c>
      <c r="M366" s="94"/>
      <c r="N366" s="77" t="s">
        <v>321</v>
      </c>
    </row>
    <row r="367" spans="1:14" s="54" customFormat="1" ht="21" customHeight="1" x14ac:dyDescent="0.25">
      <c r="A367" s="81"/>
      <c r="B367" s="89" t="s">
        <v>303</v>
      </c>
      <c r="C367" s="77" t="s">
        <v>126</v>
      </c>
      <c r="D367" s="77" t="s">
        <v>60</v>
      </c>
      <c r="E367" s="77"/>
      <c r="F367" s="77"/>
      <c r="G367" s="78">
        <v>12</v>
      </c>
      <c r="H367" s="78">
        <v>9</v>
      </c>
      <c r="I367" s="78">
        <v>13</v>
      </c>
      <c r="J367" s="79">
        <f t="shared" si="57"/>
        <v>34</v>
      </c>
      <c r="K367" s="80">
        <v>2029.91</v>
      </c>
      <c r="L367" s="80">
        <f t="shared" si="55"/>
        <v>69016.94</v>
      </c>
      <c r="M367" s="94"/>
      <c r="N367" s="77" t="s">
        <v>321</v>
      </c>
    </row>
    <row r="368" spans="1:14" s="54" customFormat="1" ht="21" customHeight="1" x14ac:dyDescent="0.25">
      <c r="A368" s="81"/>
      <c r="B368" s="89" t="s">
        <v>304</v>
      </c>
      <c r="C368" s="77" t="s">
        <v>128</v>
      </c>
      <c r="D368" s="77" t="s">
        <v>60</v>
      </c>
      <c r="E368" s="77"/>
      <c r="F368" s="77"/>
      <c r="G368" s="78">
        <v>4</v>
      </c>
      <c r="H368" s="78">
        <v>1</v>
      </c>
      <c r="I368" s="78">
        <v>4</v>
      </c>
      <c r="J368" s="79">
        <f t="shared" si="57"/>
        <v>9</v>
      </c>
      <c r="K368" s="80">
        <v>2398.9899999999998</v>
      </c>
      <c r="L368" s="80">
        <f t="shared" si="55"/>
        <v>21590.909999999996</v>
      </c>
      <c r="M368" s="94"/>
      <c r="N368" s="77" t="s">
        <v>321</v>
      </c>
    </row>
    <row r="369" spans="1:15" s="54" customFormat="1" ht="21" customHeight="1" x14ac:dyDescent="0.25">
      <c r="A369" s="81"/>
      <c r="B369" s="89" t="s">
        <v>305</v>
      </c>
      <c r="C369" s="77" t="s">
        <v>130</v>
      </c>
      <c r="D369" s="77" t="s">
        <v>60</v>
      </c>
      <c r="E369" s="77"/>
      <c r="F369" s="77"/>
      <c r="G369" s="78">
        <v>2</v>
      </c>
      <c r="H369" s="78">
        <v>6</v>
      </c>
      <c r="I369" s="78">
        <v>2</v>
      </c>
      <c r="J369" s="79">
        <f t="shared" si="57"/>
        <v>10</v>
      </c>
      <c r="K369" s="80">
        <v>2583.5300000000002</v>
      </c>
      <c r="L369" s="80">
        <f t="shared" si="55"/>
        <v>25835.300000000003</v>
      </c>
      <c r="M369" s="94"/>
      <c r="N369" s="77" t="s">
        <v>321</v>
      </c>
    </row>
    <row r="370" spans="1:15" s="54" customFormat="1" ht="21" customHeight="1" x14ac:dyDescent="0.25">
      <c r="A370" s="81"/>
      <c r="B370" s="89" t="s">
        <v>92</v>
      </c>
      <c r="C370" s="77" t="s">
        <v>93</v>
      </c>
      <c r="D370" s="77" t="s">
        <v>54</v>
      </c>
      <c r="E370" s="77">
        <v>1.04</v>
      </c>
      <c r="F370" s="77"/>
      <c r="G370" s="78">
        <f>149.74*E370</f>
        <v>155.7296</v>
      </c>
      <c r="H370" s="78">
        <f>121.66*E370</f>
        <v>126.5264</v>
      </c>
      <c r="I370" s="78">
        <f>158.83*E370</f>
        <v>165.18320000000003</v>
      </c>
      <c r="J370" s="79">
        <f t="shared" si="57"/>
        <v>447.43920000000003</v>
      </c>
      <c r="K370" s="80">
        <v>66.349999999999994</v>
      </c>
      <c r="L370" s="80">
        <f t="shared" si="55"/>
        <v>29687.590919999999</v>
      </c>
      <c r="M370" s="94"/>
      <c r="N370" s="77" t="s">
        <v>321</v>
      </c>
    </row>
    <row r="371" spans="1:15" s="54" customFormat="1" ht="21" customHeight="1" x14ac:dyDescent="0.25">
      <c r="A371" s="81"/>
      <c r="B371" s="89" t="s">
        <v>94</v>
      </c>
      <c r="C371" s="77" t="s">
        <v>95</v>
      </c>
      <c r="D371" s="77" t="s">
        <v>54</v>
      </c>
      <c r="E371" s="77">
        <v>1.04</v>
      </c>
      <c r="F371" s="77"/>
      <c r="G371" s="78">
        <f>G338*E371</f>
        <v>43.940000000000005</v>
      </c>
      <c r="H371" s="78">
        <f>H338*E371</f>
        <v>32.895200000000003</v>
      </c>
      <c r="I371" s="78">
        <f>I338*E371</f>
        <v>27.383199999999999</v>
      </c>
      <c r="J371" s="79">
        <f t="shared" si="57"/>
        <v>104.21840000000002</v>
      </c>
      <c r="K371" s="80">
        <v>64</v>
      </c>
      <c r="L371" s="80">
        <f t="shared" si="55"/>
        <v>6669.9776000000011</v>
      </c>
      <c r="M371" s="94"/>
      <c r="N371" s="77" t="s">
        <v>321</v>
      </c>
    </row>
    <row r="372" spans="1:15" s="54" customFormat="1" ht="21" customHeight="1" x14ac:dyDescent="0.25">
      <c r="A372" s="81"/>
      <c r="B372" s="89" t="s">
        <v>131</v>
      </c>
      <c r="C372" s="77" t="s">
        <v>39</v>
      </c>
      <c r="D372" s="77" t="s">
        <v>54</v>
      </c>
      <c r="E372" s="77">
        <v>1.04</v>
      </c>
      <c r="F372" s="77"/>
      <c r="G372" s="78">
        <f>31.12*E372</f>
        <v>32.364800000000002</v>
      </c>
      <c r="H372" s="78">
        <f>31.12*E372</f>
        <v>32.364800000000002</v>
      </c>
      <c r="I372" s="78">
        <f>31.12*E372</f>
        <v>32.364800000000002</v>
      </c>
      <c r="J372" s="79">
        <f t="shared" si="57"/>
        <v>97.094400000000007</v>
      </c>
      <c r="K372" s="80">
        <v>64.209999999999994</v>
      </c>
      <c r="L372" s="80">
        <f t="shared" si="55"/>
        <v>6234.4314239999994</v>
      </c>
      <c r="M372" s="94"/>
      <c r="N372" s="77" t="s">
        <v>321</v>
      </c>
      <c r="O372" s="2"/>
    </row>
    <row r="373" spans="1:15" s="54" customFormat="1" ht="21" customHeight="1" x14ac:dyDescent="0.25">
      <c r="A373" s="81"/>
      <c r="B373" s="89" t="s">
        <v>96</v>
      </c>
      <c r="C373" s="77" t="s">
        <v>39</v>
      </c>
      <c r="D373" s="77" t="s">
        <v>54</v>
      </c>
      <c r="E373" s="77">
        <v>1.04</v>
      </c>
      <c r="F373" s="77"/>
      <c r="G373" s="78">
        <f>15.21*E373</f>
        <v>15.818400000000002</v>
      </c>
      <c r="H373" s="78">
        <f>E373*22.49</f>
        <v>23.389599999999998</v>
      </c>
      <c r="I373" s="78"/>
      <c r="J373" s="79">
        <f t="shared" si="57"/>
        <v>39.207999999999998</v>
      </c>
      <c r="K373" s="80">
        <v>72.78</v>
      </c>
      <c r="L373" s="80">
        <f t="shared" si="55"/>
        <v>2853.5582399999998</v>
      </c>
      <c r="M373" s="94"/>
      <c r="N373" s="77" t="s">
        <v>321</v>
      </c>
      <c r="O373" s="2"/>
    </row>
    <row r="374" spans="1:15" s="54" customFormat="1" ht="21" customHeight="1" x14ac:dyDescent="0.25">
      <c r="A374" s="81"/>
      <c r="B374" s="89" t="s">
        <v>97</v>
      </c>
      <c r="C374" s="77" t="s">
        <v>39</v>
      </c>
      <c r="D374" s="77" t="s">
        <v>54</v>
      </c>
      <c r="E374" s="77">
        <v>1.04</v>
      </c>
      <c r="F374" s="77"/>
      <c r="G374" s="78">
        <f>E374*30.81</f>
        <v>32.042400000000001</v>
      </c>
      <c r="H374" s="78">
        <f>E374*6.64</f>
        <v>6.9055999999999997</v>
      </c>
      <c r="I374" s="78">
        <f>E374*18.88</f>
        <v>19.635200000000001</v>
      </c>
      <c r="J374" s="79">
        <f t="shared" si="57"/>
        <v>58.583200000000005</v>
      </c>
      <c r="K374" s="80">
        <v>74.92</v>
      </c>
      <c r="L374" s="80">
        <f t="shared" si="55"/>
        <v>4389.0533440000008</v>
      </c>
      <c r="M374" s="94"/>
      <c r="N374" s="77" t="s">
        <v>321</v>
      </c>
    </row>
    <row r="375" spans="1:15" s="54" customFormat="1" ht="21" customHeight="1" x14ac:dyDescent="0.25">
      <c r="A375" s="81"/>
      <c r="B375" s="89" t="s">
        <v>132</v>
      </c>
      <c r="C375" s="77" t="s">
        <v>39</v>
      </c>
      <c r="D375" s="77" t="s">
        <v>54</v>
      </c>
      <c r="E375" s="77">
        <v>1.04</v>
      </c>
      <c r="F375" s="77"/>
      <c r="G375" s="78">
        <f>10.5*E375</f>
        <v>10.92</v>
      </c>
      <c r="H375" s="78">
        <f>10.5*E375</f>
        <v>10.92</v>
      </c>
      <c r="I375" s="78">
        <f>10.5*E375</f>
        <v>10.92</v>
      </c>
      <c r="J375" s="79">
        <f t="shared" si="57"/>
        <v>32.76</v>
      </c>
      <c r="K375" s="80">
        <v>75.97</v>
      </c>
      <c r="L375" s="80">
        <f t="shared" si="55"/>
        <v>2488.7772</v>
      </c>
      <c r="M375" s="94"/>
      <c r="N375" s="77" t="s">
        <v>321</v>
      </c>
    </row>
    <row r="376" spans="1:15" s="54" customFormat="1" ht="21" customHeight="1" x14ac:dyDescent="0.25">
      <c r="A376" s="81"/>
      <c r="B376" s="89" t="s">
        <v>275</v>
      </c>
      <c r="C376" s="77" t="s">
        <v>276</v>
      </c>
      <c r="D376" s="77" t="s">
        <v>45</v>
      </c>
      <c r="E376" s="77">
        <v>1.04</v>
      </c>
      <c r="F376" s="77"/>
      <c r="G376" s="78">
        <f>G339*0.05*E376</f>
        <v>1.8376800000000004</v>
      </c>
      <c r="H376" s="78">
        <f>H339*0.05*E376</f>
        <v>1.9578000000000002</v>
      </c>
      <c r="I376" s="78">
        <f>I339*0.05*E376</f>
        <v>2.25108</v>
      </c>
      <c r="J376" s="79">
        <f t="shared" ref="J376" si="58">SUM(G376:I376)</f>
        <v>6.0465600000000004</v>
      </c>
      <c r="K376" s="80">
        <v>6405.83</v>
      </c>
      <c r="L376" s="80">
        <f t="shared" si="55"/>
        <v>38733.235444800004</v>
      </c>
      <c r="M376" s="94"/>
      <c r="N376" s="77" t="s">
        <v>321</v>
      </c>
    </row>
    <row r="377" spans="1:15" s="101" customFormat="1" ht="33.75" customHeight="1" x14ac:dyDescent="0.25">
      <c r="A377" s="95"/>
      <c r="B377" s="96" t="s">
        <v>133</v>
      </c>
      <c r="C377" s="97" t="s">
        <v>39</v>
      </c>
      <c r="D377" s="97" t="s">
        <v>99</v>
      </c>
      <c r="E377" s="97"/>
      <c r="F377" s="97"/>
      <c r="G377" s="98"/>
      <c r="H377" s="98"/>
      <c r="I377" s="98"/>
      <c r="J377" s="99">
        <f>L377*100/L328</f>
        <v>3.9787857934785924</v>
      </c>
      <c r="K377" s="79"/>
      <c r="L377" s="79">
        <v>114152.04240000001</v>
      </c>
      <c r="M377" s="100"/>
      <c r="N377" s="97" t="s">
        <v>321</v>
      </c>
    </row>
    <row r="378" spans="1:15" s="54" customFormat="1" x14ac:dyDescent="0.25">
      <c r="A378" s="60" t="s">
        <v>144</v>
      </c>
      <c r="B378" s="61" t="s">
        <v>145</v>
      </c>
      <c r="C378" s="62"/>
      <c r="D378" s="63"/>
      <c r="E378" s="62"/>
      <c r="F378" s="62"/>
      <c r="G378" s="64"/>
      <c r="H378" s="64"/>
      <c r="I378" s="64"/>
      <c r="J378" s="65"/>
      <c r="K378" s="65"/>
      <c r="L378" s="65">
        <f>L379+L392</f>
        <v>3747106.1471573994</v>
      </c>
      <c r="M378" s="86"/>
      <c r="N378" s="86"/>
    </row>
    <row r="379" spans="1:15" s="54" customFormat="1" x14ac:dyDescent="0.25">
      <c r="A379" s="66"/>
      <c r="B379" s="67" t="s">
        <v>34</v>
      </c>
      <c r="C379" s="68"/>
      <c r="D379" s="68"/>
      <c r="E379" s="68"/>
      <c r="F379" s="68"/>
      <c r="G379" s="69"/>
      <c r="H379" s="69"/>
      <c r="I379" s="69"/>
      <c r="J379" s="70"/>
      <c r="K379" s="70"/>
      <c r="L379" s="70">
        <f>SUM(L380:L391)</f>
        <v>2844896.9199999995</v>
      </c>
      <c r="M379" s="72"/>
      <c r="N379" s="72"/>
    </row>
    <row r="380" spans="1:15" s="54" customFormat="1" ht="21.75" customHeight="1" x14ac:dyDescent="0.25">
      <c r="A380" s="66"/>
      <c r="B380" s="71" t="s">
        <v>44</v>
      </c>
      <c r="C380" s="72"/>
      <c r="D380" s="72" t="s">
        <v>45</v>
      </c>
      <c r="E380" s="72"/>
      <c r="F380" s="72"/>
      <c r="G380" s="73">
        <v>30.11</v>
      </c>
      <c r="H380" s="73">
        <v>25.51</v>
      </c>
      <c r="I380" s="73">
        <v>38.270000000000003</v>
      </c>
      <c r="J380" s="70">
        <f>SUM(G380:I380)</f>
        <v>93.890000000000015</v>
      </c>
      <c r="K380" s="74">
        <v>4939</v>
      </c>
      <c r="L380" s="74">
        <f>K380*J380</f>
        <v>463722.71000000008</v>
      </c>
      <c r="M380" s="72"/>
      <c r="N380" s="72"/>
    </row>
    <row r="381" spans="1:15" s="54" customFormat="1" ht="21.75" customHeight="1" x14ac:dyDescent="0.25">
      <c r="A381" s="66"/>
      <c r="B381" s="71" t="s">
        <v>102</v>
      </c>
      <c r="C381" s="72"/>
      <c r="D381" s="72" t="s">
        <v>45</v>
      </c>
      <c r="E381" s="72"/>
      <c r="F381" s="72"/>
      <c r="G381" s="73">
        <v>1.77</v>
      </c>
      <c r="H381" s="73">
        <v>1.25</v>
      </c>
      <c r="I381" s="73">
        <v>1.7</v>
      </c>
      <c r="J381" s="70">
        <f t="shared" ref="J381:J390" si="59">SUM(G381:I381)</f>
        <v>4.72</v>
      </c>
      <c r="K381" s="74">
        <v>5845</v>
      </c>
      <c r="L381" s="74">
        <f t="shared" ref="L381" si="60">K381*J381</f>
        <v>27588.399999999998</v>
      </c>
      <c r="M381" s="72"/>
      <c r="N381" s="72"/>
    </row>
    <row r="382" spans="1:15" s="54" customFormat="1" ht="21.75" customHeight="1" x14ac:dyDescent="0.25">
      <c r="A382" s="66"/>
      <c r="B382" s="71" t="s">
        <v>46</v>
      </c>
      <c r="C382" s="72"/>
      <c r="D382" s="72" t="s">
        <v>47</v>
      </c>
      <c r="E382" s="72"/>
      <c r="F382" s="72"/>
      <c r="G382" s="73">
        <v>204.75</v>
      </c>
      <c r="H382" s="73">
        <v>120.63</v>
      </c>
      <c r="I382" s="73">
        <v>142.32</v>
      </c>
      <c r="J382" s="70">
        <f t="shared" si="59"/>
        <v>467.7</v>
      </c>
      <c r="K382" s="74">
        <v>1461</v>
      </c>
      <c r="L382" s="74">
        <f>K382*J382</f>
        <v>683309.7</v>
      </c>
      <c r="M382" s="72"/>
      <c r="N382" s="72"/>
    </row>
    <row r="383" spans="1:15" s="54" customFormat="1" ht="21.75" customHeight="1" x14ac:dyDescent="0.25">
      <c r="A383" s="66"/>
      <c r="B383" s="71" t="s">
        <v>48</v>
      </c>
      <c r="C383" s="72"/>
      <c r="D383" s="72" t="s">
        <v>47</v>
      </c>
      <c r="E383" s="72"/>
      <c r="F383" s="72"/>
      <c r="G383" s="73">
        <v>57.32</v>
      </c>
      <c r="H383" s="73">
        <v>44.32</v>
      </c>
      <c r="I383" s="73">
        <v>79.95</v>
      </c>
      <c r="J383" s="70">
        <f t="shared" si="59"/>
        <v>181.59</v>
      </c>
      <c r="K383" s="74">
        <v>1461</v>
      </c>
      <c r="L383" s="74">
        <f>K383*J383</f>
        <v>265302.99</v>
      </c>
      <c r="M383" s="72"/>
      <c r="N383" s="72"/>
    </row>
    <row r="384" spans="1:15" s="54" customFormat="1" ht="21.75" customHeight="1" x14ac:dyDescent="0.25">
      <c r="A384" s="66"/>
      <c r="B384" s="71" t="s">
        <v>103</v>
      </c>
      <c r="C384" s="72"/>
      <c r="D384" s="72" t="s">
        <v>47</v>
      </c>
      <c r="E384" s="72"/>
      <c r="F384" s="72"/>
      <c r="G384" s="73">
        <v>156.13999999999999</v>
      </c>
      <c r="H384" s="73">
        <v>101.76</v>
      </c>
      <c r="I384" s="73">
        <v>158.25</v>
      </c>
      <c r="J384" s="70">
        <f t="shared" si="59"/>
        <v>416.15</v>
      </c>
      <c r="K384" s="74">
        <v>1461</v>
      </c>
      <c r="L384" s="74">
        <f>K384*J384</f>
        <v>607995.15</v>
      </c>
      <c r="M384" s="72"/>
      <c r="N384" s="72"/>
    </row>
    <row r="385" spans="1:14" s="54" customFormat="1" ht="21.75" customHeight="1" x14ac:dyDescent="0.25">
      <c r="A385" s="66"/>
      <c r="B385" s="71" t="s">
        <v>104</v>
      </c>
      <c r="C385" s="72"/>
      <c r="D385" s="72" t="s">
        <v>47</v>
      </c>
      <c r="E385" s="72"/>
      <c r="F385" s="72"/>
      <c r="G385" s="73">
        <v>100.39</v>
      </c>
      <c r="H385" s="73">
        <v>112.4</v>
      </c>
      <c r="I385" s="73">
        <v>113.93</v>
      </c>
      <c r="J385" s="70">
        <f t="shared" si="59"/>
        <v>326.72000000000003</v>
      </c>
      <c r="K385" s="74">
        <v>1461</v>
      </c>
      <c r="L385" s="74">
        <f>K385*J385</f>
        <v>477337.92000000004</v>
      </c>
      <c r="M385" s="72"/>
      <c r="N385" s="72"/>
    </row>
    <row r="386" spans="1:14" s="54" customFormat="1" ht="21.75" customHeight="1" x14ac:dyDescent="0.25">
      <c r="A386" s="66"/>
      <c r="B386" s="71" t="s">
        <v>49</v>
      </c>
      <c r="C386" s="72"/>
      <c r="D386" s="72" t="s">
        <v>47</v>
      </c>
      <c r="E386" s="72"/>
      <c r="F386" s="72"/>
      <c r="G386" s="73">
        <v>27.1</v>
      </c>
      <c r="H386" s="73">
        <v>36.04</v>
      </c>
      <c r="I386" s="73">
        <v>32.35</v>
      </c>
      <c r="J386" s="70">
        <f t="shared" si="59"/>
        <v>95.490000000000009</v>
      </c>
      <c r="K386" s="74">
        <v>1610</v>
      </c>
      <c r="L386" s="74">
        <f t="shared" ref="L386:L390" si="61">K386*J386</f>
        <v>153738.90000000002</v>
      </c>
      <c r="M386" s="72"/>
      <c r="N386" s="72"/>
    </row>
    <row r="387" spans="1:14" s="54" customFormat="1" ht="21.75" customHeight="1" x14ac:dyDescent="0.25">
      <c r="A387" s="66"/>
      <c r="B387" s="71" t="s">
        <v>50</v>
      </c>
      <c r="C387" s="72"/>
      <c r="D387" s="72" t="s">
        <v>51</v>
      </c>
      <c r="E387" s="72"/>
      <c r="F387" s="72"/>
      <c r="G387" s="73">
        <v>55</v>
      </c>
      <c r="H387" s="73">
        <v>42</v>
      </c>
      <c r="I387" s="73">
        <v>56</v>
      </c>
      <c r="J387" s="70">
        <f t="shared" si="59"/>
        <v>153</v>
      </c>
      <c r="K387" s="74">
        <v>803</v>
      </c>
      <c r="L387" s="74">
        <f t="shared" si="61"/>
        <v>122859</v>
      </c>
      <c r="M387" s="72"/>
      <c r="N387" s="72"/>
    </row>
    <row r="388" spans="1:14" s="54" customFormat="1" ht="21.75" customHeight="1" x14ac:dyDescent="0.25">
      <c r="A388" s="66"/>
      <c r="B388" s="71" t="s">
        <v>52</v>
      </c>
      <c r="C388" s="72" t="s">
        <v>105</v>
      </c>
      <c r="D388" s="72" t="s">
        <v>54</v>
      </c>
      <c r="E388" s="72"/>
      <c r="F388" s="72"/>
      <c r="G388" s="129">
        <v>87.64</v>
      </c>
      <c r="H388" s="129">
        <v>70.760000000000005</v>
      </c>
      <c r="I388" s="129">
        <v>60.5</v>
      </c>
      <c r="J388" s="130">
        <f t="shared" si="59"/>
        <v>218.9</v>
      </c>
      <c r="K388" s="74">
        <v>94.5</v>
      </c>
      <c r="L388" s="74">
        <f t="shared" si="61"/>
        <v>20686.05</v>
      </c>
      <c r="M388" s="72"/>
      <c r="N388" s="72"/>
    </row>
    <row r="389" spans="1:14" s="54" customFormat="1" ht="31.5" x14ac:dyDescent="0.25">
      <c r="A389" s="66"/>
      <c r="B389" s="71" t="s">
        <v>55</v>
      </c>
      <c r="C389" s="72"/>
      <c r="D389" s="72" t="s">
        <v>54</v>
      </c>
      <c r="E389" s="72"/>
      <c r="F389" s="72"/>
      <c r="G389" s="73">
        <v>42.25</v>
      </c>
      <c r="H389" s="73">
        <v>31.63</v>
      </c>
      <c r="I389" s="73">
        <v>26.33</v>
      </c>
      <c r="J389" s="70">
        <f t="shared" si="59"/>
        <v>100.21</v>
      </c>
      <c r="K389" s="74">
        <v>118</v>
      </c>
      <c r="L389" s="74">
        <f t="shared" si="61"/>
        <v>11824.779999999999</v>
      </c>
      <c r="M389" s="72"/>
      <c r="N389" s="72"/>
    </row>
    <row r="390" spans="1:14" s="54" customFormat="1" ht="18.75" customHeight="1" x14ac:dyDescent="0.25">
      <c r="A390" s="66"/>
      <c r="B390" s="71" t="s">
        <v>256</v>
      </c>
      <c r="C390" s="72"/>
      <c r="D390" s="72" t="s">
        <v>47</v>
      </c>
      <c r="E390" s="72"/>
      <c r="F390" s="72"/>
      <c r="G390" s="73">
        <v>35.340000000000003</v>
      </c>
      <c r="H390" s="73"/>
      <c r="I390" s="73"/>
      <c r="J390" s="70">
        <f t="shared" si="59"/>
        <v>35.340000000000003</v>
      </c>
      <c r="K390" s="74">
        <v>298</v>
      </c>
      <c r="L390" s="74">
        <f t="shared" si="61"/>
        <v>10531.320000000002</v>
      </c>
      <c r="M390" s="72"/>
      <c r="N390" s="72"/>
    </row>
    <row r="391" spans="1:14" s="54" customFormat="1" ht="18.75" customHeight="1" x14ac:dyDescent="0.25">
      <c r="A391" s="66"/>
      <c r="B391" s="87" t="s">
        <v>56</v>
      </c>
      <c r="C391" s="88"/>
      <c r="D391" s="88" t="s">
        <v>45</v>
      </c>
      <c r="E391" s="88"/>
      <c r="F391" s="88"/>
      <c r="G391" s="73">
        <f>291.89*0.06*0.03</f>
        <v>0.52540199999999992</v>
      </c>
      <c r="H391" s="73">
        <f>228.82*0.06*0.03</f>
        <v>0.41187599999999996</v>
      </c>
      <c r="I391" s="73">
        <f>295.85*0.06*0.03</f>
        <v>0.53253000000000006</v>
      </c>
      <c r="J391" s="70">
        <f>SUM(G391:I391)</f>
        <v>1.469808</v>
      </c>
      <c r="K391" s="74"/>
      <c r="L391" s="74"/>
      <c r="M391" s="88" t="s">
        <v>57</v>
      </c>
      <c r="N391" s="72"/>
    </row>
    <row r="392" spans="1:14" s="54" customFormat="1" x14ac:dyDescent="0.25">
      <c r="A392" s="75"/>
      <c r="B392" s="76" t="s">
        <v>38</v>
      </c>
      <c r="C392" s="77"/>
      <c r="D392" s="77"/>
      <c r="E392" s="77"/>
      <c r="F392" s="77"/>
      <c r="G392" s="78"/>
      <c r="H392" s="78"/>
      <c r="I392" s="78"/>
      <c r="J392" s="79"/>
      <c r="K392" s="80"/>
      <c r="L392" s="79">
        <f>SUM(L393:L428)</f>
        <v>902209.22715739999</v>
      </c>
      <c r="M392" s="77"/>
      <c r="N392" s="77"/>
    </row>
    <row r="393" spans="1:14" s="54" customFormat="1" ht="31.5" x14ac:dyDescent="0.25">
      <c r="A393" s="81"/>
      <c r="B393" s="82" t="s">
        <v>58</v>
      </c>
      <c r="C393" s="77" t="s">
        <v>59</v>
      </c>
      <c r="D393" s="77" t="s">
        <v>60</v>
      </c>
      <c r="E393" s="78">
        <v>12.4</v>
      </c>
      <c r="F393" s="77">
        <v>0.25</v>
      </c>
      <c r="G393" s="83">
        <f>G380/F393*E393</f>
        <v>1493.4559999999999</v>
      </c>
      <c r="H393" s="83">
        <f>H380/F393*E393</f>
        <v>1265.296</v>
      </c>
      <c r="I393" s="83">
        <f>I380/F393*E393</f>
        <v>1898.1920000000002</v>
      </c>
      <c r="J393" s="84">
        <f>SUM(G393:I393)</f>
        <v>4656.9440000000004</v>
      </c>
      <c r="K393" s="80">
        <v>0</v>
      </c>
      <c r="L393" s="80">
        <f>J393*K393</f>
        <v>0</v>
      </c>
      <c r="M393" s="77" t="s">
        <v>61</v>
      </c>
      <c r="N393" s="77" t="s">
        <v>320</v>
      </c>
    </row>
    <row r="394" spans="1:14" s="54" customFormat="1" ht="31.5" x14ac:dyDescent="0.25">
      <c r="A394" s="81"/>
      <c r="B394" s="82" t="s">
        <v>62</v>
      </c>
      <c r="C394" s="77" t="s">
        <v>63</v>
      </c>
      <c r="D394" s="77" t="s">
        <v>60</v>
      </c>
      <c r="E394" s="78">
        <v>12.4</v>
      </c>
      <c r="F394" s="77"/>
      <c r="G394" s="83">
        <f>G382*E394</f>
        <v>2538.9</v>
      </c>
      <c r="H394" s="83">
        <f>H382*E394</f>
        <v>1495.8119999999999</v>
      </c>
      <c r="I394" s="83">
        <f>I382*E394</f>
        <v>1764.768</v>
      </c>
      <c r="J394" s="84">
        <f t="shared" ref="J394:J398" si="62">SUM(G394:I394)</f>
        <v>5799.48</v>
      </c>
      <c r="K394" s="80">
        <v>0</v>
      </c>
      <c r="L394" s="80">
        <f>J394*K394</f>
        <v>0</v>
      </c>
      <c r="M394" s="77" t="s">
        <v>61</v>
      </c>
      <c r="N394" s="77" t="s">
        <v>320</v>
      </c>
    </row>
    <row r="395" spans="1:14" s="54" customFormat="1" ht="31.5" x14ac:dyDescent="0.25">
      <c r="A395" s="81"/>
      <c r="B395" s="82" t="s">
        <v>64</v>
      </c>
      <c r="C395" s="77" t="s">
        <v>65</v>
      </c>
      <c r="D395" s="77" t="s">
        <v>60</v>
      </c>
      <c r="E395" s="78">
        <v>12.4</v>
      </c>
      <c r="F395" s="77"/>
      <c r="G395" s="83">
        <f>G383*E395</f>
        <v>710.76800000000003</v>
      </c>
      <c r="H395" s="83">
        <f>H383*E395</f>
        <v>549.56799999999998</v>
      </c>
      <c r="I395" s="83">
        <f>I383*E395</f>
        <v>991.38000000000011</v>
      </c>
      <c r="J395" s="84">
        <f t="shared" si="62"/>
        <v>2251.7160000000003</v>
      </c>
      <c r="K395" s="80">
        <v>0</v>
      </c>
      <c r="L395" s="80">
        <f>J395*K395</f>
        <v>0</v>
      </c>
      <c r="M395" s="77" t="s">
        <v>61</v>
      </c>
      <c r="N395" s="77" t="s">
        <v>320</v>
      </c>
    </row>
    <row r="396" spans="1:14" s="54" customFormat="1" ht="31.5" x14ac:dyDescent="0.25">
      <c r="A396" s="81"/>
      <c r="B396" s="82" t="s">
        <v>106</v>
      </c>
      <c r="C396" s="77" t="s">
        <v>107</v>
      </c>
      <c r="D396" s="77" t="s">
        <v>60</v>
      </c>
      <c r="E396" s="78">
        <v>12.4</v>
      </c>
      <c r="F396" s="77"/>
      <c r="G396" s="83">
        <f>G384*E396</f>
        <v>1936.136</v>
      </c>
      <c r="H396" s="83">
        <f>H384*E396</f>
        <v>1261.8240000000001</v>
      </c>
      <c r="I396" s="83">
        <f>I384*E396</f>
        <v>1962.3</v>
      </c>
      <c r="J396" s="84">
        <f t="shared" si="62"/>
        <v>5160.26</v>
      </c>
      <c r="K396" s="80">
        <v>0</v>
      </c>
      <c r="L396" s="80">
        <f>J396*K396</f>
        <v>0</v>
      </c>
      <c r="M396" s="77" t="s">
        <v>61</v>
      </c>
      <c r="N396" s="77" t="s">
        <v>320</v>
      </c>
    </row>
    <row r="397" spans="1:14" s="54" customFormat="1" ht="31.5" x14ac:dyDescent="0.25">
      <c r="A397" s="81"/>
      <c r="B397" s="82" t="s">
        <v>108</v>
      </c>
      <c r="C397" s="77" t="s">
        <v>109</v>
      </c>
      <c r="D397" s="77" t="s">
        <v>60</v>
      </c>
      <c r="E397" s="78">
        <v>12.4</v>
      </c>
      <c r="F397" s="77"/>
      <c r="G397" s="83">
        <f>G385*E397</f>
        <v>1244.836</v>
      </c>
      <c r="H397" s="83">
        <f>H385*E397</f>
        <v>1393.7600000000002</v>
      </c>
      <c r="I397" s="83">
        <f>I385*E397</f>
        <v>1412.7320000000002</v>
      </c>
      <c r="J397" s="84">
        <f t="shared" si="62"/>
        <v>4051.3280000000004</v>
      </c>
      <c r="K397" s="80">
        <v>0</v>
      </c>
      <c r="L397" s="80">
        <f>J397*K397</f>
        <v>0</v>
      </c>
      <c r="M397" s="77" t="s">
        <v>61</v>
      </c>
      <c r="N397" s="77" t="s">
        <v>320</v>
      </c>
    </row>
    <row r="398" spans="1:14" s="54" customFormat="1" ht="31.5" x14ac:dyDescent="0.25">
      <c r="A398" s="81"/>
      <c r="B398" s="89" t="s">
        <v>66</v>
      </c>
      <c r="C398" s="77" t="s">
        <v>67</v>
      </c>
      <c r="D398" s="77" t="s">
        <v>60</v>
      </c>
      <c r="E398" s="90">
        <v>42</v>
      </c>
      <c r="F398" s="90"/>
      <c r="G398" s="83">
        <f>G386*E398</f>
        <v>1138.2</v>
      </c>
      <c r="H398" s="83">
        <f>H386*E398</f>
        <v>1513.68</v>
      </c>
      <c r="I398" s="83">
        <f>I386*E398</f>
        <v>1358.7</v>
      </c>
      <c r="J398" s="84">
        <f t="shared" si="62"/>
        <v>4010.58</v>
      </c>
      <c r="K398" s="80">
        <v>0</v>
      </c>
      <c r="L398" s="80">
        <f t="shared" ref="L398:L427" si="63">J398*K398</f>
        <v>0</v>
      </c>
      <c r="M398" s="77" t="s">
        <v>68</v>
      </c>
      <c r="N398" s="77" t="s">
        <v>320</v>
      </c>
    </row>
    <row r="399" spans="1:14" s="54" customFormat="1" ht="31.5" x14ac:dyDescent="0.25">
      <c r="A399" s="81"/>
      <c r="B399" s="89" t="s">
        <v>110</v>
      </c>
      <c r="C399" s="77" t="s">
        <v>111</v>
      </c>
      <c r="D399" s="77" t="s">
        <v>60</v>
      </c>
      <c r="E399" s="90">
        <v>42</v>
      </c>
      <c r="F399" s="90"/>
      <c r="G399" s="83">
        <f>G381/0.25*E399</f>
        <v>297.36</v>
      </c>
      <c r="H399" s="83">
        <f>H381/0.25*E399</f>
        <v>210</v>
      </c>
      <c r="I399" s="83">
        <f>I381/0.25*E399</f>
        <v>285.59999999999997</v>
      </c>
      <c r="J399" s="84">
        <f t="shared" ref="J399" si="64">SUM(G399:I399)</f>
        <v>792.96</v>
      </c>
      <c r="K399" s="80">
        <v>0</v>
      </c>
      <c r="L399" s="80">
        <f t="shared" si="63"/>
        <v>0</v>
      </c>
      <c r="M399" s="77" t="s">
        <v>68</v>
      </c>
      <c r="N399" s="77" t="s">
        <v>320</v>
      </c>
    </row>
    <row r="400" spans="1:14" s="54" customFormat="1" ht="28.5" customHeight="1" x14ac:dyDescent="0.25">
      <c r="A400" s="81"/>
      <c r="B400" s="91" t="s">
        <v>69</v>
      </c>
      <c r="C400" s="77" t="s">
        <v>70</v>
      </c>
      <c r="D400" s="77" t="s">
        <v>45</v>
      </c>
      <c r="E400" s="77">
        <v>0.19500000000000001</v>
      </c>
      <c r="F400" s="90"/>
      <c r="G400" s="78">
        <f>G380*E400+G382*E400*0.19+G383*E400*0.19+G384*E400*0.09+G385*E400*0.09</f>
        <v>20.083245000000002</v>
      </c>
      <c r="H400" s="78">
        <f>H380*E400+H382*E400*0.19+H383*E400*0.19+H384*E400*0.09+H385*E400*0.09</f>
        <v>14.844355500000001</v>
      </c>
      <c r="I400" s="78">
        <f>I380*E400+I382*E400*0.19+I383*E400*0.19+I384*E400*0.09+I385*E400*0.09</f>
        <v>20.474512499999999</v>
      </c>
      <c r="J400" s="79">
        <f>SUM(G400:I400)</f>
        <v>55.402113</v>
      </c>
      <c r="K400" s="80">
        <v>7875</v>
      </c>
      <c r="L400" s="80">
        <f t="shared" si="63"/>
        <v>436291.63987499999</v>
      </c>
      <c r="M400" s="77" t="s">
        <v>71</v>
      </c>
      <c r="N400" s="77" t="s">
        <v>321</v>
      </c>
    </row>
    <row r="401" spans="1:14" s="54" customFormat="1" ht="28.5" customHeight="1" x14ac:dyDescent="0.25">
      <c r="A401" s="92"/>
      <c r="B401" s="91" t="s">
        <v>112</v>
      </c>
      <c r="C401" s="77" t="s">
        <v>70</v>
      </c>
      <c r="D401" s="77" t="s">
        <v>45</v>
      </c>
      <c r="E401" s="77">
        <v>0.24</v>
      </c>
      <c r="F401" s="77"/>
      <c r="G401" s="78">
        <f>G381*E401</f>
        <v>0.42480000000000001</v>
      </c>
      <c r="H401" s="78">
        <f>H381*E401</f>
        <v>0.3</v>
      </c>
      <c r="I401" s="78">
        <f>I381*E401</f>
        <v>0.40799999999999997</v>
      </c>
      <c r="J401" s="79">
        <f t="shared" ref="J401:J426" si="65">SUM(G401:I401)</f>
        <v>1.1328</v>
      </c>
      <c r="K401" s="80">
        <v>7875</v>
      </c>
      <c r="L401" s="80">
        <f t="shared" si="63"/>
        <v>8920.8000000000011</v>
      </c>
      <c r="M401" s="77" t="s">
        <v>71</v>
      </c>
      <c r="N401" s="77" t="s">
        <v>321</v>
      </c>
    </row>
    <row r="402" spans="1:14" s="54" customFormat="1" ht="28.5" customHeight="1" x14ac:dyDescent="0.25">
      <c r="A402" s="92"/>
      <c r="B402" s="91" t="s">
        <v>72</v>
      </c>
      <c r="C402" s="77" t="s">
        <v>70</v>
      </c>
      <c r="D402" s="77" t="s">
        <v>45</v>
      </c>
      <c r="E402" s="77">
        <v>4.5999999999999999E-2</v>
      </c>
      <c r="F402" s="77"/>
      <c r="G402" s="78">
        <f>G386*E402</f>
        <v>1.2466000000000002</v>
      </c>
      <c r="H402" s="78">
        <f>H386*E402</f>
        <v>1.65784</v>
      </c>
      <c r="I402" s="78">
        <f>I386*E402</f>
        <v>1.4881</v>
      </c>
      <c r="J402" s="79">
        <f t="shared" si="65"/>
        <v>4.3925400000000003</v>
      </c>
      <c r="K402" s="80">
        <v>7875</v>
      </c>
      <c r="L402" s="80">
        <f t="shared" si="63"/>
        <v>34591.252500000002</v>
      </c>
      <c r="M402" s="77" t="s">
        <v>73</v>
      </c>
      <c r="N402" s="77" t="s">
        <v>321</v>
      </c>
    </row>
    <row r="403" spans="1:14" s="54" customFormat="1" ht="28.5" customHeight="1" x14ac:dyDescent="0.25">
      <c r="A403" s="92"/>
      <c r="B403" s="91" t="s">
        <v>74</v>
      </c>
      <c r="C403" s="77" t="s">
        <v>70</v>
      </c>
      <c r="D403" s="77" t="s">
        <v>45</v>
      </c>
      <c r="E403" s="77">
        <v>1.01</v>
      </c>
      <c r="F403" s="77"/>
      <c r="G403" s="78">
        <f>G391*E403</f>
        <v>0.5306560199999999</v>
      </c>
      <c r="H403" s="78">
        <f>H391*E403</f>
        <v>0.41599475999999996</v>
      </c>
      <c r="I403" s="78">
        <f>I391*E403</f>
        <v>0.53785530000000004</v>
      </c>
      <c r="J403" s="79">
        <f t="shared" si="65"/>
        <v>1.4845060800000001</v>
      </c>
      <c r="K403" s="80">
        <v>7875</v>
      </c>
      <c r="L403" s="80">
        <f t="shared" si="63"/>
        <v>11690.48538</v>
      </c>
      <c r="M403" s="77" t="s">
        <v>71</v>
      </c>
      <c r="N403" s="77" t="s">
        <v>321</v>
      </c>
    </row>
    <row r="404" spans="1:14" s="54" customFormat="1" ht="28.5" customHeight="1" x14ac:dyDescent="0.25">
      <c r="A404" s="81"/>
      <c r="B404" s="89" t="s">
        <v>75</v>
      </c>
      <c r="C404" s="77" t="s">
        <v>70</v>
      </c>
      <c r="D404" s="77" t="s">
        <v>45</v>
      </c>
      <c r="E404" s="77">
        <v>6.0000000000000001E-3</v>
      </c>
      <c r="F404" s="77"/>
      <c r="G404" s="78">
        <f>G387*E404</f>
        <v>0.33</v>
      </c>
      <c r="H404" s="78">
        <f>H387*E404</f>
        <v>0.252</v>
      </c>
      <c r="I404" s="78">
        <f>I387*E404</f>
        <v>0.33600000000000002</v>
      </c>
      <c r="J404" s="79">
        <f t="shared" si="65"/>
        <v>0.91800000000000015</v>
      </c>
      <c r="K404" s="80">
        <v>7875</v>
      </c>
      <c r="L404" s="80">
        <f t="shared" si="63"/>
        <v>7229.2500000000009</v>
      </c>
      <c r="M404" s="77" t="s">
        <v>76</v>
      </c>
      <c r="N404" s="77" t="s">
        <v>321</v>
      </c>
    </row>
    <row r="405" spans="1:14" s="54" customFormat="1" ht="28.5" customHeight="1" x14ac:dyDescent="0.25">
      <c r="A405" s="81"/>
      <c r="B405" s="89" t="s">
        <v>77</v>
      </c>
      <c r="C405" s="77" t="s">
        <v>70</v>
      </c>
      <c r="D405" s="77" t="s">
        <v>45</v>
      </c>
      <c r="E405" s="77">
        <v>1.01</v>
      </c>
      <c r="F405" s="77"/>
      <c r="G405" s="93">
        <v>5.7000000000000002E-2</v>
      </c>
      <c r="H405" s="93">
        <v>4.2999999999999997E-2</v>
      </c>
      <c r="I405" s="93">
        <v>3.2000000000000001E-2</v>
      </c>
      <c r="J405" s="79">
        <f t="shared" si="65"/>
        <v>0.13200000000000001</v>
      </c>
      <c r="K405" s="80">
        <v>7875</v>
      </c>
      <c r="L405" s="80">
        <f t="shared" si="63"/>
        <v>1039.5</v>
      </c>
      <c r="M405" s="94"/>
      <c r="N405" s="77" t="s">
        <v>321</v>
      </c>
    </row>
    <row r="406" spans="1:14" s="54" customFormat="1" ht="23.25" customHeight="1" x14ac:dyDescent="0.25">
      <c r="A406" s="81"/>
      <c r="B406" s="89" t="s">
        <v>78</v>
      </c>
      <c r="C406" s="77" t="s">
        <v>79</v>
      </c>
      <c r="D406" s="77" t="s">
        <v>47</v>
      </c>
      <c r="E406" s="77"/>
      <c r="F406" s="77"/>
      <c r="G406" s="78">
        <v>182.58</v>
      </c>
      <c r="H406" s="78">
        <v>142.61000000000001</v>
      </c>
      <c r="I406" s="78">
        <v>188.7</v>
      </c>
      <c r="J406" s="79">
        <f t="shared" si="65"/>
        <v>513.8900000000001</v>
      </c>
      <c r="K406" s="80">
        <v>88.34</v>
      </c>
      <c r="L406" s="80">
        <f t="shared" si="63"/>
        <v>45397.042600000008</v>
      </c>
      <c r="M406" s="94"/>
      <c r="N406" s="77" t="s">
        <v>321</v>
      </c>
    </row>
    <row r="407" spans="1:14" s="54" customFormat="1" ht="23.25" customHeight="1" x14ac:dyDescent="0.25">
      <c r="A407" s="81"/>
      <c r="B407" s="89" t="s">
        <v>277</v>
      </c>
      <c r="C407" s="77" t="s">
        <v>114</v>
      </c>
      <c r="D407" s="77" t="s">
        <v>60</v>
      </c>
      <c r="E407" s="77"/>
      <c r="F407" s="77"/>
      <c r="G407" s="78">
        <v>12</v>
      </c>
      <c r="H407" s="78">
        <v>17</v>
      </c>
      <c r="I407" s="78">
        <v>13</v>
      </c>
      <c r="J407" s="79">
        <f t="shared" si="65"/>
        <v>42</v>
      </c>
      <c r="K407" s="80">
        <v>398.6</v>
      </c>
      <c r="L407" s="80">
        <f t="shared" si="63"/>
        <v>16741.2</v>
      </c>
      <c r="M407" s="94"/>
      <c r="N407" s="77" t="s">
        <v>321</v>
      </c>
    </row>
    <row r="408" spans="1:14" s="54" customFormat="1" ht="23.25" customHeight="1" x14ac:dyDescent="0.25">
      <c r="A408" s="81"/>
      <c r="B408" s="89" t="s">
        <v>278</v>
      </c>
      <c r="C408" s="77" t="s">
        <v>116</v>
      </c>
      <c r="D408" s="77" t="s">
        <v>60</v>
      </c>
      <c r="E408" s="77"/>
      <c r="F408" s="77"/>
      <c r="G408" s="78">
        <v>10</v>
      </c>
      <c r="H408" s="78"/>
      <c r="I408" s="78">
        <v>10</v>
      </c>
      <c r="J408" s="79">
        <f t="shared" si="65"/>
        <v>20</v>
      </c>
      <c r="K408" s="80">
        <v>465.03</v>
      </c>
      <c r="L408" s="80">
        <f t="shared" si="63"/>
        <v>9300.5999999999985</v>
      </c>
      <c r="M408" s="94"/>
      <c r="N408" s="77" t="s">
        <v>321</v>
      </c>
    </row>
    <row r="409" spans="1:14" s="54" customFormat="1" ht="23.25" customHeight="1" x14ac:dyDescent="0.25">
      <c r="A409" s="81"/>
      <c r="B409" s="89" t="s">
        <v>279</v>
      </c>
      <c r="C409" s="77" t="s">
        <v>280</v>
      </c>
      <c r="D409" s="77" t="s">
        <v>60</v>
      </c>
      <c r="E409" s="77"/>
      <c r="F409" s="77"/>
      <c r="G409" s="78"/>
      <c r="H409" s="78"/>
      <c r="I409" s="78">
        <v>1</v>
      </c>
      <c r="J409" s="79">
        <f t="shared" si="65"/>
        <v>1</v>
      </c>
      <c r="K409" s="80">
        <v>863.64</v>
      </c>
      <c r="L409" s="80">
        <f t="shared" si="63"/>
        <v>863.64</v>
      </c>
      <c r="M409" s="94"/>
      <c r="N409" s="77" t="s">
        <v>321</v>
      </c>
    </row>
    <row r="410" spans="1:14" s="54" customFormat="1" ht="23.25" customHeight="1" x14ac:dyDescent="0.25">
      <c r="A410" s="81"/>
      <c r="B410" s="89" t="s">
        <v>283</v>
      </c>
      <c r="C410" s="77" t="s">
        <v>284</v>
      </c>
      <c r="D410" s="77" t="s">
        <v>60</v>
      </c>
      <c r="E410" s="77"/>
      <c r="F410" s="77"/>
      <c r="G410" s="78">
        <v>1</v>
      </c>
      <c r="H410" s="78">
        <v>1</v>
      </c>
      <c r="I410" s="78"/>
      <c r="J410" s="79">
        <f t="shared" si="65"/>
        <v>2</v>
      </c>
      <c r="K410" s="80">
        <v>620.04999999999995</v>
      </c>
      <c r="L410" s="80">
        <f t="shared" si="63"/>
        <v>1240.0999999999999</v>
      </c>
      <c r="M410" s="94"/>
      <c r="N410" s="77" t="s">
        <v>321</v>
      </c>
    </row>
    <row r="411" spans="1:14" s="54" customFormat="1" ht="23.25" customHeight="1" x14ac:dyDescent="0.25">
      <c r="A411" s="81"/>
      <c r="B411" s="89" t="s">
        <v>285</v>
      </c>
      <c r="C411" s="77" t="s">
        <v>286</v>
      </c>
      <c r="D411" s="77" t="s">
        <v>60</v>
      </c>
      <c r="E411" s="77"/>
      <c r="F411" s="77"/>
      <c r="G411" s="78"/>
      <c r="H411" s="78"/>
      <c r="I411" s="78">
        <v>1</v>
      </c>
      <c r="J411" s="79">
        <f t="shared" si="65"/>
        <v>1</v>
      </c>
      <c r="K411" s="80">
        <v>708.62</v>
      </c>
      <c r="L411" s="80">
        <f t="shared" si="63"/>
        <v>708.62</v>
      </c>
      <c r="M411" s="94"/>
      <c r="N411" s="77" t="s">
        <v>321</v>
      </c>
    </row>
    <row r="412" spans="1:14" s="54" customFormat="1" ht="23.25" customHeight="1" x14ac:dyDescent="0.25">
      <c r="A412" s="81"/>
      <c r="B412" s="89" t="s">
        <v>287</v>
      </c>
      <c r="C412" s="77" t="s">
        <v>288</v>
      </c>
      <c r="D412" s="77" t="s">
        <v>60</v>
      </c>
      <c r="E412" s="77"/>
      <c r="F412" s="77"/>
      <c r="G412" s="78">
        <v>1</v>
      </c>
      <c r="H412" s="78">
        <v>1</v>
      </c>
      <c r="I412" s="78">
        <v>1</v>
      </c>
      <c r="J412" s="79">
        <f t="shared" si="65"/>
        <v>3</v>
      </c>
      <c r="K412" s="80">
        <v>797.2</v>
      </c>
      <c r="L412" s="80">
        <f t="shared" si="63"/>
        <v>2391.6000000000004</v>
      </c>
      <c r="M412" s="94"/>
      <c r="N412" s="77" t="s">
        <v>321</v>
      </c>
    </row>
    <row r="413" spans="1:14" s="54" customFormat="1" ht="23.25" customHeight="1" x14ac:dyDescent="0.25">
      <c r="A413" s="81"/>
      <c r="B413" s="89" t="s">
        <v>297</v>
      </c>
      <c r="C413" s="77" t="s">
        <v>118</v>
      </c>
      <c r="D413" s="77" t="s">
        <v>60</v>
      </c>
      <c r="E413" s="77"/>
      <c r="F413" s="77"/>
      <c r="G413" s="78">
        <v>5</v>
      </c>
      <c r="H413" s="78"/>
      <c r="I413" s="78">
        <v>3</v>
      </c>
      <c r="J413" s="79">
        <f t="shared" si="65"/>
        <v>8</v>
      </c>
      <c r="K413" s="80">
        <v>841.49</v>
      </c>
      <c r="L413" s="80">
        <f t="shared" si="63"/>
        <v>6731.92</v>
      </c>
      <c r="M413" s="94"/>
      <c r="N413" s="77" t="s">
        <v>321</v>
      </c>
    </row>
    <row r="414" spans="1:14" s="54" customFormat="1" ht="23.25" customHeight="1" x14ac:dyDescent="0.25">
      <c r="A414" s="81"/>
      <c r="B414" s="89" t="s">
        <v>298</v>
      </c>
      <c r="C414" s="77" t="s">
        <v>120</v>
      </c>
      <c r="D414" s="77" t="s">
        <v>60</v>
      </c>
      <c r="E414" s="77"/>
      <c r="F414" s="77"/>
      <c r="G414" s="78">
        <v>4</v>
      </c>
      <c r="H414" s="78">
        <v>6</v>
      </c>
      <c r="I414" s="78">
        <v>6</v>
      </c>
      <c r="J414" s="79">
        <f t="shared" si="65"/>
        <v>16</v>
      </c>
      <c r="K414" s="80">
        <v>981.74</v>
      </c>
      <c r="L414" s="80">
        <f t="shared" si="63"/>
        <v>15707.84</v>
      </c>
      <c r="M414" s="94"/>
      <c r="N414" s="77" t="s">
        <v>321</v>
      </c>
    </row>
    <row r="415" spans="1:14" s="54" customFormat="1" ht="23.25" customHeight="1" x14ac:dyDescent="0.25">
      <c r="A415" s="81"/>
      <c r="B415" s="89" t="s">
        <v>299</v>
      </c>
      <c r="C415" s="77" t="s">
        <v>300</v>
      </c>
      <c r="D415" s="77" t="s">
        <v>60</v>
      </c>
      <c r="E415" s="77"/>
      <c r="F415" s="77"/>
      <c r="G415" s="78">
        <v>3</v>
      </c>
      <c r="H415" s="78"/>
      <c r="I415" s="78">
        <v>2</v>
      </c>
      <c r="J415" s="79">
        <f t="shared" si="65"/>
        <v>5</v>
      </c>
      <c r="K415" s="80">
        <v>1107.23</v>
      </c>
      <c r="L415" s="80">
        <f t="shared" si="63"/>
        <v>5536.15</v>
      </c>
      <c r="M415" s="94"/>
      <c r="N415" s="77" t="s">
        <v>321</v>
      </c>
    </row>
    <row r="416" spans="1:14" s="54" customFormat="1" ht="23.25" customHeight="1" x14ac:dyDescent="0.25">
      <c r="A416" s="81"/>
      <c r="B416" s="89" t="s">
        <v>301</v>
      </c>
      <c r="C416" s="77" t="s">
        <v>122</v>
      </c>
      <c r="D416" s="77" t="s">
        <v>60</v>
      </c>
      <c r="E416" s="77"/>
      <c r="F416" s="77"/>
      <c r="G416" s="78"/>
      <c r="H416" s="78">
        <v>1</v>
      </c>
      <c r="I416" s="78"/>
      <c r="J416" s="79">
        <f t="shared" si="65"/>
        <v>1</v>
      </c>
      <c r="K416" s="80">
        <v>1291.76</v>
      </c>
      <c r="L416" s="80">
        <f t="shared" si="63"/>
        <v>1291.76</v>
      </c>
      <c r="M416" s="94"/>
      <c r="N416" s="77" t="s">
        <v>321</v>
      </c>
    </row>
    <row r="417" spans="1:15" s="54" customFormat="1" ht="23.25" customHeight="1" x14ac:dyDescent="0.25">
      <c r="A417" s="81"/>
      <c r="B417" s="89" t="s">
        <v>302</v>
      </c>
      <c r="C417" s="77" t="s">
        <v>124</v>
      </c>
      <c r="D417" s="77" t="s">
        <v>60</v>
      </c>
      <c r="E417" s="77"/>
      <c r="F417" s="77"/>
      <c r="G417" s="78">
        <v>1</v>
      </c>
      <c r="H417" s="78"/>
      <c r="I417" s="78"/>
      <c r="J417" s="79">
        <f t="shared" si="65"/>
        <v>1</v>
      </c>
      <c r="K417" s="80">
        <v>1845.38</v>
      </c>
      <c r="L417" s="80">
        <f t="shared" si="63"/>
        <v>1845.38</v>
      </c>
      <c r="M417" s="94"/>
      <c r="N417" s="77" t="s">
        <v>321</v>
      </c>
    </row>
    <row r="418" spans="1:15" s="54" customFormat="1" ht="23.25" customHeight="1" x14ac:dyDescent="0.25">
      <c r="A418" s="81"/>
      <c r="B418" s="89" t="s">
        <v>303</v>
      </c>
      <c r="C418" s="77" t="s">
        <v>126</v>
      </c>
      <c r="D418" s="77" t="s">
        <v>60</v>
      </c>
      <c r="E418" s="77"/>
      <c r="F418" s="77"/>
      <c r="G418" s="78">
        <v>12</v>
      </c>
      <c r="H418" s="78">
        <v>9</v>
      </c>
      <c r="I418" s="78">
        <v>13</v>
      </c>
      <c r="J418" s="79">
        <f t="shared" si="65"/>
        <v>34</v>
      </c>
      <c r="K418" s="80">
        <v>2029.91</v>
      </c>
      <c r="L418" s="80">
        <f t="shared" si="63"/>
        <v>69016.94</v>
      </c>
      <c r="M418" s="94"/>
      <c r="N418" s="77" t="s">
        <v>321</v>
      </c>
    </row>
    <row r="419" spans="1:15" s="54" customFormat="1" ht="23.25" customHeight="1" x14ac:dyDescent="0.25">
      <c r="A419" s="81"/>
      <c r="B419" s="89" t="s">
        <v>304</v>
      </c>
      <c r="C419" s="77" t="s">
        <v>128</v>
      </c>
      <c r="D419" s="77" t="s">
        <v>60</v>
      </c>
      <c r="E419" s="77"/>
      <c r="F419" s="77"/>
      <c r="G419" s="78">
        <v>4</v>
      </c>
      <c r="H419" s="78">
        <v>1</v>
      </c>
      <c r="I419" s="78">
        <v>4</v>
      </c>
      <c r="J419" s="79">
        <f t="shared" si="65"/>
        <v>9</v>
      </c>
      <c r="K419" s="80">
        <v>2398.9899999999998</v>
      </c>
      <c r="L419" s="80">
        <f t="shared" si="63"/>
        <v>21590.909999999996</v>
      </c>
      <c r="M419" s="94"/>
      <c r="N419" s="77" t="s">
        <v>321</v>
      </c>
    </row>
    <row r="420" spans="1:15" s="54" customFormat="1" ht="23.25" customHeight="1" x14ac:dyDescent="0.25">
      <c r="A420" s="81"/>
      <c r="B420" s="89" t="s">
        <v>305</v>
      </c>
      <c r="C420" s="77" t="s">
        <v>130</v>
      </c>
      <c r="D420" s="77" t="s">
        <v>60</v>
      </c>
      <c r="E420" s="77"/>
      <c r="F420" s="77"/>
      <c r="G420" s="78">
        <v>2</v>
      </c>
      <c r="H420" s="78">
        <v>6</v>
      </c>
      <c r="I420" s="78">
        <v>2</v>
      </c>
      <c r="J420" s="79">
        <f t="shared" si="65"/>
        <v>10</v>
      </c>
      <c r="K420" s="80">
        <v>2583.5300000000002</v>
      </c>
      <c r="L420" s="80">
        <f t="shared" si="63"/>
        <v>25835.300000000003</v>
      </c>
      <c r="M420" s="94"/>
      <c r="N420" s="77" t="s">
        <v>321</v>
      </c>
    </row>
    <row r="421" spans="1:15" s="54" customFormat="1" ht="23.25" customHeight="1" x14ac:dyDescent="0.25">
      <c r="A421" s="81"/>
      <c r="B421" s="89" t="s">
        <v>92</v>
      </c>
      <c r="C421" s="77" t="s">
        <v>93</v>
      </c>
      <c r="D421" s="77" t="s">
        <v>54</v>
      </c>
      <c r="E421" s="77">
        <v>1.04</v>
      </c>
      <c r="F421" s="77"/>
      <c r="G421" s="78">
        <f>149.74*E421</f>
        <v>155.7296</v>
      </c>
      <c r="H421" s="78">
        <f>121.66*E421</f>
        <v>126.5264</v>
      </c>
      <c r="I421" s="78">
        <f>158.83*E421</f>
        <v>165.18320000000003</v>
      </c>
      <c r="J421" s="79">
        <f t="shared" si="65"/>
        <v>447.43920000000003</v>
      </c>
      <c r="K421" s="80">
        <v>66.349999999999994</v>
      </c>
      <c r="L421" s="80">
        <f t="shared" si="63"/>
        <v>29687.590919999999</v>
      </c>
      <c r="M421" s="94"/>
      <c r="N421" s="77" t="s">
        <v>321</v>
      </c>
    </row>
    <row r="422" spans="1:15" s="54" customFormat="1" ht="23.25" customHeight="1" x14ac:dyDescent="0.25">
      <c r="A422" s="81"/>
      <c r="B422" s="89" t="s">
        <v>94</v>
      </c>
      <c r="C422" s="77" t="s">
        <v>95</v>
      </c>
      <c r="D422" s="77" t="s">
        <v>54</v>
      </c>
      <c r="E422" s="77">
        <v>1.04</v>
      </c>
      <c r="F422" s="77"/>
      <c r="G422" s="78">
        <f>G389*E422</f>
        <v>43.940000000000005</v>
      </c>
      <c r="H422" s="78">
        <f>H389*E422</f>
        <v>32.895200000000003</v>
      </c>
      <c r="I422" s="78">
        <f>I389*E422</f>
        <v>27.383199999999999</v>
      </c>
      <c r="J422" s="79">
        <f t="shared" si="65"/>
        <v>104.21840000000002</v>
      </c>
      <c r="K422" s="80">
        <v>64</v>
      </c>
      <c r="L422" s="80">
        <f t="shared" si="63"/>
        <v>6669.9776000000011</v>
      </c>
      <c r="M422" s="94"/>
      <c r="N422" s="77" t="s">
        <v>321</v>
      </c>
    </row>
    <row r="423" spans="1:15" s="54" customFormat="1" ht="23.25" customHeight="1" x14ac:dyDescent="0.25">
      <c r="A423" s="81"/>
      <c r="B423" s="89" t="s">
        <v>131</v>
      </c>
      <c r="C423" s="77" t="s">
        <v>39</v>
      </c>
      <c r="D423" s="77" t="s">
        <v>54</v>
      </c>
      <c r="E423" s="77">
        <v>1.04</v>
      </c>
      <c r="F423" s="77"/>
      <c r="G423" s="78">
        <f>31.12*E423</f>
        <v>32.364800000000002</v>
      </c>
      <c r="H423" s="78">
        <f>31.12*E423</f>
        <v>32.364800000000002</v>
      </c>
      <c r="I423" s="78">
        <f>31.12*E423</f>
        <v>32.364800000000002</v>
      </c>
      <c r="J423" s="79">
        <f t="shared" si="65"/>
        <v>97.094400000000007</v>
      </c>
      <c r="K423" s="80">
        <v>64.209999999999994</v>
      </c>
      <c r="L423" s="80">
        <f t="shared" si="63"/>
        <v>6234.4314239999994</v>
      </c>
      <c r="M423" s="94"/>
      <c r="N423" s="77" t="s">
        <v>321</v>
      </c>
      <c r="O423" s="2"/>
    </row>
    <row r="424" spans="1:15" s="54" customFormat="1" ht="23.25" customHeight="1" x14ac:dyDescent="0.25">
      <c r="A424" s="81"/>
      <c r="B424" s="89" t="s">
        <v>96</v>
      </c>
      <c r="C424" s="77" t="s">
        <v>39</v>
      </c>
      <c r="D424" s="77" t="s">
        <v>54</v>
      </c>
      <c r="E424" s="77">
        <v>1.04</v>
      </c>
      <c r="F424" s="77"/>
      <c r="G424" s="78">
        <f>15.21*E424</f>
        <v>15.818400000000002</v>
      </c>
      <c r="H424" s="78">
        <f>E424*22.49</f>
        <v>23.389599999999998</v>
      </c>
      <c r="I424" s="78"/>
      <c r="J424" s="79">
        <f t="shared" si="65"/>
        <v>39.207999999999998</v>
      </c>
      <c r="K424" s="80">
        <v>72.78</v>
      </c>
      <c r="L424" s="80">
        <f t="shared" si="63"/>
        <v>2853.5582399999998</v>
      </c>
      <c r="M424" s="94"/>
      <c r="N424" s="77" t="s">
        <v>321</v>
      </c>
      <c r="O424" s="2"/>
    </row>
    <row r="425" spans="1:15" s="54" customFormat="1" ht="23.25" customHeight="1" x14ac:dyDescent="0.25">
      <c r="A425" s="81"/>
      <c r="B425" s="89" t="s">
        <v>97</v>
      </c>
      <c r="C425" s="77" t="s">
        <v>39</v>
      </c>
      <c r="D425" s="77" t="s">
        <v>54</v>
      </c>
      <c r="E425" s="77">
        <v>1.04</v>
      </c>
      <c r="F425" s="77"/>
      <c r="G425" s="78">
        <f>E425*30.81</f>
        <v>32.042400000000001</v>
      </c>
      <c r="H425" s="78">
        <f>E425*6.64</f>
        <v>6.9055999999999997</v>
      </c>
      <c r="I425" s="78">
        <f>E425*18.88</f>
        <v>19.635200000000001</v>
      </c>
      <c r="J425" s="79">
        <f t="shared" si="65"/>
        <v>58.583200000000005</v>
      </c>
      <c r="K425" s="80">
        <v>74.92</v>
      </c>
      <c r="L425" s="80">
        <f t="shared" si="63"/>
        <v>4389.0533440000008</v>
      </c>
      <c r="M425" s="94"/>
      <c r="N425" s="77" t="s">
        <v>321</v>
      </c>
    </row>
    <row r="426" spans="1:15" s="54" customFormat="1" ht="23.25" customHeight="1" x14ac:dyDescent="0.25">
      <c r="A426" s="81"/>
      <c r="B426" s="89" t="s">
        <v>132</v>
      </c>
      <c r="C426" s="77" t="s">
        <v>39</v>
      </c>
      <c r="D426" s="77" t="s">
        <v>54</v>
      </c>
      <c r="E426" s="77">
        <v>1.04</v>
      </c>
      <c r="F426" s="77"/>
      <c r="G426" s="78">
        <f>10.5*E426</f>
        <v>10.92</v>
      </c>
      <c r="H426" s="78">
        <f>10.5*E426</f>
        <v>10.92</v>
      </c>
      <c r="I426" s="78">
        <f>10.5*E426</f>
        <v>10.92</v>
      </c>
      <c r="J426" s="79">
        <f t="shared" si="65"/>
        <v>32.76</v>
      </c>
      <c r="K426" s="80">
        <v>75.97</v>
      </c>
      <c r="L426" s="80">
        <f t="shared" si="63"/>
        <v>2488.7772</v>
      </c>
      <c r="M426" s="94"/>
      <c r="N426" s="77" t="s">
        <v>321</v>
      </c>
    </row>
    <row r="427" spans="1:15" s="54" customFormat="1" ht="23.25" customHeight="1" x14ac:dyDescent="0.25">
      <c r="A427" s="81"/>
      <c r="B427" s="89" t="s">
        <v>275</v>
      </c>
      <c r="C427" s="77" t="s">
        <v>276</v>
      </c>
      <c r="D427" s="77" t="s">
        <v>45</v>
      </c>
      <c r="E427" s="77">
        <v>1.04</v>
      </c>
      <c r="F427" s="77"/>
      <c r="G427" s="78">
        <f>G390*0.05*E427</f>
        <v>1.8376800000000004</v>
      </c>
      <c r="H427" s="78">
        <f>H390*0.05*E427</f>
        <v>0</v>
      </c>
      <c r="I427" s="78">
        <f>I390*0.05*E427</f>
        <v>0</v>
      </c>
      <c r="J427" s="79">
        <f t="shared" ref="J427" si="66">SUM(G427:I427)</f>
        <v>1.8376800000000004</v>
      </c>
      <c r="K427" s="80">
        <v>6405.83</v>
      </c>
      <c r="L427" s="80">
        <f t="shared" si="63"/>
        <v>11771.865674400002</v>
      </c>
      <c r="M427" s="94"/>
      <c r="N427" s="77" t="s">
        <v>321</v>
      </c>
    </row>
    <row r="428" spans="1:15" s="101" customFormat="1" ht="36" customHeight="1" x14ac:dyDescent="0.25">
      <c r="A428" s="95"/>
      <c r="B428" s="96" t="s">
        <v>133</v>
      </c>
      <c r="C428" s="97" t="s">
        <v>39</v>
      </c>
      <c r="D428" s="97" t="s">
        <v>99</v>
      </c>
      <c r="E428" s="97"/>
      <c r="F428" s="97"/>
      <c r="G428" s="98"/>
      <c r="H428" s="98"/>
      <c r="I428" s="98"/>
      <c r="J428" s="99">
        <f>L428*100/L379</f>
        <v>4.0125194553622006</v>
      </c>
      <c r="K428" s="79"/>
      <c r="L428" s="79">
        <v>114152.04240000001</v>
      </c>
      <c r="M428" s="100"/>
      <c r="N428" s="97" t="s">
        <v>321</v>
      </c>
    </row>
    <row r="429" spans="1:15" s="54" customFormat="1" x14ac:dyDescent="0.25">
      <c r="A429" s="60" t="s">
        <v>146</v>
      </c>
      <c r="B429" s="61" t="s">
        <v>147</v>
      </c>
      <c r="C429" s="62"/>
      <c r="D429" s="63"/>
      <c r="E429" s="62"/>
      <c r="F429" s="62"/>
      <c r="G429" s="64"/>
      <c r="H429" s="64"/>
      <c r="I429" s="64"/>
      <c r="J429" s="65"/>
      <c r="K429" s="65"/>
      <c r="L429" s="65">
        <f>L430+L443</f>
        <v>3747106.1471573994</v>
      </c>
      <c r="M429" s="86"/>
      <c r="N429" s="86"/>
    </row>
    <row r="430" spans="1:15" s="54" customFormat="1" x14ac:dyDescent="0.25">
      <c r="A430" s="66"/>
      <c r="B430" s="67" t="s">
        <v>34</v>
      </c>
      <c r="C430" s="68"/>
      <c r="D430" s="68"/>
      <c r="E430" s="68"/>
      <c r="F430" s="68"/>
      <c r="G430" s="69"/>
      <c r="H430" s="69"/>
      <c r="I430" s="69"/>
      <c r="J430" s="70"/>
      <c r="K430" s="70"/>
      <c r="L430" s="70">
        <f>SUM(L431:L442)</f>
        <v>2844896.9199999995</v>
      </c>
      <c r="M430" s="72"/>
      <c r="N430" s="72"/>
    </row>
    <row r="431" spans="1:15" s="54" customFormat="1" ht="21" customHeight="1" x14ac:dyDescent="0.25">
      <c r="A431" s="66"/>
      <c r="B431" s="71" t="s">
        <v>44</v>
      </c>
      <c r="C431" s="72"/>
      <c r="D431" s="72" t="s">
        <v>45</v>
      </c>
      <c r="E431" s="72"/>
      <c r="F431" s="72"/>
      <c r="G431" s="73">
        <v>30.11</v>
      </c>
      <c r="H431" s="73">
        <v>25.51</v>
      </c>
      <c r="I431" s="73">
        <v>38.270000000000003</v>
      </c>
      <c r="J431" s="70">
        <f>SUM(G431:I431)</f>
        <v>93.890000000000015</v>
      </c>
      <c r="K431" s="74">
        <v>4939</v>
      </c>
      <c r="L431" s="74">
        <f>K431*J431</f>
        <v>463722.71000000008</v>
      </c>
      <c r="M431" s="72"/>
      <c r="N431" s="72"/>
    </row>
    <row r="432" spans="1:15" s="54" customFormat="1" ht="21" customHeight="1" x14ac:dyDescent="0.25">
      <c r="A432" s="66"/>
      <c r="B432" s="71" t="s">
        <v>102</v>
      </c>
      <c r="C432" s="72"/>
      <c r="D432" s="72" t="s">
        <v>45</v>
      </c>
      <c r="E432" s="72"/>
      <c r="F432" s="72"/>
      <c r="G432" s="73">
        <v>1.77</v>
      </c>
      <c r="H432" s="73">
        <v>1.25</v>
      </c>
      <c r="I432" s="73">
        <v>1.7</v>
      </c>
      <c r="J432" s="70">
        <f t="shared" ref="J432:J441" si="67">SUM(G432:I432)</f>
        <v>4.72</v>
      </c>
      <c r="K432" s="74">
        <v>5845</v>
      </c>
      <c r="L432" s="74">
        <f t="shared" ref="L432" si="68">K432*J432</f>
        <v>27588.399999999998</v>
      </c>
      <c r="M432" s="72"/>
      <c r="N432" s="72"/>
    </row>
    <row r="433" spans="1:14" s="54" customFormat="1" ht="21" customHeight="1" x14ac:dyDescent="0.25">
      <c r="A433" s="66"/>
      <c r="B433" s="71" t="s">
        <v>46</v>
      </c>
      <c r="C433" s="72"/>
      <c r="D433" s="72" t="s">
        <v>47</v>
      </c>
      <c r="E433" s="72"/>
      <c r="F433" s="72"/>
      <c r="G433" s="73">
        <v>204.75</v>
      </c>
      <c r="H433" s="73">
        <v>120.63</v>
      </c>
      <c r="I433" s="73">
        <v>142.32</v>
      </c>
      <c r="J433" s="70">
        <f t="shared" si="67"/>
        <v>467.7</v>
      </c>
      <c r="K433" s="74">
        <v>1461</v>
      </c>
      <c r="L433" s="74">
        <f>K433*J433</f>
        <v>683309.7</v>
      </c>
      <c r="M433" s="72"/>
      <c r="N433" s="72"/>
    </row>
    <row r="434" spans="1:14" s="54" customFormat="1" ht="21" customHeight="1" x14ac:dyDescent="0.25">
      <c r="A434" s="66"/>
      <c r="B434" s="71" t="s">
        <v>48</v>
      </c>
      <c r="C434" s="72"/>
      <c r="D434" s="72" t="s">
        <v>47</v>
      </c>
      <c r="E434" s="72"/>
      <c r="F434" s="72"/>
      <c r="G434" s="73">
        <v>57.32</v>
      </c>
      <c r="H434" s="73">
        <v>44.32</v>
      </c>
      <c r="I434" s="73">
        <v>79.95</v>
      </c>
      <c r="J434" s="70">
        <f t="shared" si="67"/>
        <v>181.59</v>
      </c>
      <c r="K434" s="74">
        <v>1461</v>
      </c>
      <c r="L434" s="74">
        <f>K434*J434</f>
        <v>265302.99</v>
      </c>
      <c r="M434" s="72"/>
      <c r="N434" s="72"/>
    </row>
    <row r="435" spans="1:14" s="54" customFormat="1" ht="21" customHeight="1" x14ac:dyDescent="0.25">
      <c r="A435" s="66"/>
      <c r="B435" s="71" t="s">
        <v>103</v>
      </c>
      <c r="C435" s="72"/>
      <c r="D435" s="72" t="s">
        <v>47</v>
      </c>
      <c r="E435" s="72"/>
      <c r="F435" s="72"/>
      <c r="G435" s="73">
        <v>156.13999999999999</v>
      </c>
      <c r="H435" s="73">
        <v>101.76</v>
      </c>
      <c r="I435" s="73">
        <v>158.25</v>
      </c>
      <c r="J435" s="70">
        <f t="shared" si="67"/>
        <v>416.15</v>
      </c>
      <c r="K435" s="74">
        <v>1461</v>
      </c>
      <c r="L435" s="74">
        <f>K435*J435</f>
        <v>607995.15</v>
      </c>
      <c r="M435" s="72"/>
      <c r="N435" s="72"/>
    </row>
    <row r="436" spans="1:14" s="54" customFormat="1" ht="21" customHeight="1" x14ac:dyDescent="0.25">
      <c r="A436" s="66"/>
      <c r="B436" s="71" t="s">
        <v>104</v>
      </c>
      <c r="C436" s="72"/>
      <c r="D436" s="72" t="s">
        <v>47</v>
      </c>
      <c r="E436" s="72"/>
      <c r="F436" s="72"/>
      <c r="G436" s="73">
        <v>100.39</v>
      </c>
      <c r="H436" s="73">
        <v>112.4</v>
      </c>
      <c r="I436" s="73">
        <v>113.93</v>
      </c>
      <c r="J436" s="70">
        <f t="shared" si="67"/>
        <v>326.72000000000003</v>
      </c>
      <c r="K436" s="74">
        <v>1461</v>
      </c>
      <c r="L436" s="74">
        <f>K436*J436</f>
        <v>477337.92000000004</v>
      </c>
      <c r="M436" s="72"/>
      <c r="N436" s="72"/>
    </row>
    <row r="437" spans="1:14" s="54" customFormat="1" ht="21" customHeight="1" x14ac:dyDescent="0.25">
      <c r="A437" s="66"/>
      <c r="B437" s="71" t="s">
        <v>49</v>
      </c>
      <c r="C437" s="72"/>
      <c r="D437" s="72" t="s">
        <v>47</v>
      </c>
      <c r="E437" s="72"/>
      <c r="F437" s="72"/>
      <c r="G437" s="73">
        <v>27.1</v>
      </c>
      <c r="H437" s="73">
        <v>36.04</v>
      </c>
      <c r="I437" s="73">
        <v>32.35</v>
      </c>
      <c r="J437" s="70">
        <f t="shared" si="67"/>
        <v>95.490000000000009</v>
      </c>
      <c r="K437" s="74">
        <v>1610</v>
      </c>
      <c r="L437" s="74">
        <f t="shared" ref="L437:L441" si="69">K437*J437</f>
        <v>153738.90000000002</v>
      </c>
      <c r="M437" s="72"/>
      <c r="N437" s="72"/>
    </row>
    <row r="438" spans="1:14" s="54" customFormat="1" ht="21" customHeight="1" x14ac:dyDescent="0.25">
      <c r="A438" s="66"/>
      <c r="B438" s="71" t="s">
        <v>50</v>
      </c>
      <c r="C438" s="72"/>
      <c r="D438" s="72" t="s">
        <v>51</v>
      </c>
      <c r="E438" s="72"/>
      <c r="F438" s="72"/>
      <c r="G438" s="73">
        <v>55</v>
      </c>
      <c r="H438" s="73">
        <v>42</v>
      </c>
      <c r="I438" s="73">
        <v>56</v>
      </c>
      <c r="J438" s="70">
        <f t="shared" si="67"/>
        <v>153</v>
      </c>
      <c r="K438" s="74">
        <v>803</v>
      </c>
      <c r="L438" s="74">
        <f t="shared" si="69"/>
        <v>122859</v>
      </c>
      <c r="M438" s="72"/>
      <c r="N438" s="72"/>
    </row>
    <row r="439" spans="1:14" s="54" customFormat="1" ht="21" customHeight="1" x14ac:dyDescent="0.25">
      <c r="A439" s="66"/>
      <c r="B439" s="71" t="s">
        <v>52</v>
      </c>
      <c r="C439" s="72" t="s">
        <v>105</v>
      </c>
      <c r="D439" s="72" t="s">
        <v>54</v>
      </c>
      <c r="E439" s="72"/>
      <c r="F439" s="72"/>
      <c r="G439" s="129">
        <v>87.64</v>
      </c>
      <c r="H439" s="129">
        <v>70.760000000000005</v>
      </c>
      <c r="I439" s="129">
        <v>60.5</v>
      </c>
      <c r="J439" s="130">
        <f t="shared" si="67"/>
        <v>218.9</v>
      </c>
      <c r="K439" s="74">
        <v>94.5</v>
      </c>
      <c r="L439" s="74">
        <f t="shared" si="69"/>
        <v>20686.05</v>
      </c>
      <c r="M439" s="72"/>
      <c r="N439" s="72"/>
    </row>
    <row r="440" spans="1:14" s="54" customFormat="1" ht="31.5" x14ac:dyDescent="0.25">
      <c r="A440" s="66"/>
      <c r="B440" s="71" t="s">
        <v>55</v>
      </c>
      <c r="C440" s="72"/>
      <c r="D440" s="72" t="s">
        <v>54</v>
      </c>
      <c r="E440" s="72"/>
      <c r="F440" s="72"/>
      <c r="G440" s="73">
        <v>42.25</v>
      </c>
      <c r="H440" s="73">
        <v>31.63</v>
      </c>
      <c r="I440" s="73">
        <v>26.33</v>
      </c>
      <c r="J440" s="70">
        <f t="shared" si="67"/>
        <v>100.21</v>
      </c>
      <c r="K440" s="74">
        <v>118</v>
      </c>
      <c r="L440" s="74">
        <f t="shared" si="69"/>
        <v>11824.779999999999</v>
      </c>
      <c r="M440" s="72"/>
      <c r="N440" s="72"/>
    </row>
    <row r="441" spans="1:14" s="54" customFormat="1" ht="19.5" customHeight="1" x14ac:dyDescent="0.25">
      <c r="A441" s="66"/>
      <c r="B441" s="71" t="s">
        <v>256</v>
      </c>
      <c r="C441" s="72"/>
      <c r="D441" s="72" t="s">
        <v>47</v>
      </c>
      <c r="E441" s="72"/>
      <c r="F441" s="72"/>
      <c r="G441" s="73">
        <v>35.340000000000003</v>
      </c>
      <c r="H441" s="73"/>
      <c r="I441" s="73"/>
      <c r="J441" s="70">
        <f t="shared" si="67"/>
        <v>35.340000000000003</v>
      </c>
      <c r="K441" s="74">
        <v>298</v>
      </c>
      <c r="L441" s="74">
        <f t="shared" si="69"/>
        <v>10531.320000000002</v>
      </c>
      <c r="M441" s="72"/>
      <c r="N441" s="72"/>
    </row>
    <row r="442" spans="1:14" s="54" customFormat="1" ht="19.5" customHeight="1" x14ac:dyDescent="0.25">
      <c r="A442" s="66"/>
      <c r="B442" s="87" t="s">
        <v>56</v>
      </c>
      <c r="C442" s="88"/>
      <c r="D442" s="88" t="s">
        <v>45</v>
      </c>
      <c r="E442" s="88"/>
      <c r="F442" s="88"/>
      <c r="G442" s="73">
        <f>291.89*0.06*0.03</f>
        <v>0.52540199999999992</v>
      </c>
      <c r="H442" s="73">
        <f>228.82*0.06*0.03</f>
        <v>0.41187599999999996</v>
      </c>
      <c r="I442" s="73">
        <f>295.85*0.06*0.03</f>
        <v>0.53253000000000006</v>
      </c>
      <c r="J442" s="70">
        <f>SUM(G442:I442)</f>
        <v>1.469808</v>
      </c>
      <c r="K442" s="74"/>
      <c r="L442" s="74"/>
      <c r="M442" s="88" t="s">
        <v>57</v>
      </c>
      <c r="N442" s="72"/>
    </row>
    <row r="443" spans="1:14" s="54" customFormat="1" x14ac:dyDescent="0.25">
      <c r="A443" s="75"/>
      <c r="B443" s="76" t="s">
        <v>38</v>
      </c>
      <c r="C443" s="77"/>
      <c r="D443" s="77"/>
      <c r="E443" s="77"/>
      <c r="F443" s="77"/>
      <c r="G443" s="78"/>
      <c r="H443" s="78"/>
      <c r="I443" s="78"/>
      <c r="J443" s="79"/>
      <c r="K443" s="80"/>
      <c r="L443" s="79">
        <f>SUM(L444:L479)</f>
        <v>902209.22715739999</v>
      </c>
      <c r="M443" s="77"/>
      <c r="N443" s="77"/>
    </row>
    <row r="444" spans="1:14" s="54" customFormat="1" ht="31.5" x14ac:dyDescent="0.25">
      <c r="A444" s="81"/>
      <c r="B444" s="82" t="s">
        <v>58</v>
      </c>
      <c r="C444" s="77" t="s">
        <v>59</v>
      </c>
      <c r="D444" s="77" t="s">
        <v>60</v>
      </c>
      <c r="E444" s="78">
        <v>12.4</v>
      </c>
      <c r="F444" s="77">
        <v>0.25</v>
      </c>
      <c r="G444" s="83">
        <f>G431/F444*E444</f>
        <v>1493.4559999999999</v>
      </c>
      <c r="H444" s="83">
        <f>H431/F444*E444</f>
        <v>1265.296</v>
      </c>
      <c r="I444" s="83">
        <f>I431/F444*E444</f>
        <v>1898.1920000000002</v>
      </c>
      <c r="J444" s="84">
        <f>SUM(G444:I444)</f>
        <v>4656.9440000000004</v>
      </c>
      <c r="K444" s="80">
        <v>0</v>
      </c>
      <c r="L444" s="80">
        <f>J444*K444</f>
        <v>0</v>
      </c>
      <c r="M444" s="77" t="s">
        <v>61</v>
      </c>
      <c r="N444" s="77" t="s">
        <v>320</v>
      </c>
    </row>
    <row r="445" spans="1:14" s="54" customFormat="1" ht="31.5" x14ac:dyDescent="0.25">
      <c r="A445" s="81"/>
      <c r="B445" s="82" t="s">
        <v>62</v>
      </c>
      <c r="C445" s="77" t="s">
        <v>63</v>
      </c>
      <c r="D445" s="77" t="s">
        <v>60</v>
      </c>
      <c r="E445" s="78">
        <v>12.4</v>
      </c>
      <c r="F445" s="77"/>
      <c r="G445" s="83">
        <f>G433*E445</f>
        <v>2538.9</v>
      </c>
      <c r="H445" s="83">
        <f>H433*E445</f>
        <v>1495.8119999999999</v>
      </c>
      <c r="I445" s="83">
        <f>I433*E445</f>
        <v>1764.768</v>
      </c>
      <c r="J445" s="84">
        <f t="shared" ref="J445:J449" si="70">SUM(G445:I445)</f>
        <v>5799.48</v>
      </c>
      <c r="K445" s="80">
        <v>0</v>
      </c>
      <c r="L445" s="80">
        <f>J445*K445</f>
        <v>0</v>
      </c>
      <c r="M445" s="77" t="s">
        <v>61</v>
      </c>
      <c r="N445" s="77" t="s">
        <v>320</v>
      </c>
    </row>
    <row r="446" spans="1:14" s="54" customFormat="1" ht="31.5" x14ac:dyDescent="0.25">
      <c r="A446" s="81"/>
      <c r="B446" s="82" t="s">
        <v>64</v>
      </c>
      <c r="C446" s="77" t="s">
        <v>65</v>
      </c>
      <c r="D446" s="77" t="s">
        <v>60</v>
      </c>
      <c r="E446" s="78">
        <v>12.4</v>
      </c>
      <c r="F446" s="77"/>
      <c r="G446" s="83">
        <f>G434*E446</f>
        <v>710.76800000000003</v>
      </c>
      <c r="H446" s="83">
        <f>H434*E446</f>
        <v>549.56799999999998</v>
      </c>
      <c r="I446" s="83">
        <f>I434*E446</f>
        <v>991.38000000000011</v>
      </c>
      <c r="J446" s="84">
        <f t="shared" si="70"/>
        <v>2251.7160000000003</v>
      </c>
      <c r="K446" s="80">
        <v>0</v>
      </c>
      <c r="L446" s="80">
        <f>J446*K446</f>
        <v>0</v>
      </c>
      <c r="M446" s="77" t="s">
        <v>61</v>
      </c>
      <c r="N446" s="77" t="s">
        <v>320</v>
      </c>
    </row>
    <row r="447" spans="1:14" s="54" customFormat="1" ht="31.5" x14ac:dyDescent="0.25">
      <c r="A447" s="81"/>
      <c r="B447" s="82" t="s">
        <v>106</v>
      </c>
      <c r="C447" s="77" t="s">
        <v>107</v>
      </c>
      <c r="D447" s="77" t="s">
        <v>60</v>
      </c>
      <c r="E447" s="78">
        <v>12.4</v>
      </c>
      <c r="F447" s="77"/>
      <c r="G447" s="83">
        <f>G435*E447</f>
        <v>1936.136</v>
      </c>
      <c r="H447" s="83">
        <f>H435*E447</f>
        <v>1261.8240000000001</v>
      </c>
      <c r="I447" s="83">
        <f>I435*E447</f>
        <v>1962.3</v>
      </c>
      <c r="J447" s="84">
        <f t="shared" si="70"/>
        <v>5160.26</v>
      </c>
      <c r="K447" s="80">
        <v>0</v>
      </c>
      <c r="L447" s="80">
        <f>J447*K447</f>
        <v>0</v>
      </c>
      <c r="M447" s="77" t="s">
        <v>61</v>
      </c>
      <c r="N447" s="77" t="s">
        <v>320</v>
      </c>
    </row>
    <row r="448" spans="1:14" s="54" customFormat="1" ht="31.5" x14ac:dyDescent="0.25">
      <c r="A448" s="81"/>
      <c r="B448" s="82" t="s">
        <v>108</v>
      </c>
      <c r="C448" s="77" t="s">
        <v>109</v>
      </c>
      <c r="D448" s="77" t="s">
        <v>60</v>
      </c>
      <c r="E448" s="78">
        <v>12.4</v>
      </c>
      <c r="F448" s="77"/>
      <c r="G448" s="83">
        <f>G436*E448</f>
        <v>1244.836</v>
      </c>
      <c r="H448" s="83">
        <f>H436*E448</f>
        <v>1393.7600000000002</v>
      </c>
      <c r="I448" s="83">
        <f>I436*E448</f>
        <v>1412.7320000000002</v>
      </c>
      <c r="J448" s="84">
        <f t="shared" si="70"/>
        <v>4051.3280000000004</v>
      </c>
      <c r="K448" s="80">
        <v>0</v>
      </c>
      <c r="L448" s="80">
        <f>J448*K448</f>
        <v>0</v>
      </c>
      <c r="M448" s="77" t="s">
        <v>61</v>
      </c>
      <c r="N448" s="77" t="s">
        <v>320</v>
      </c>
    </row>
    <row r="449" spans="1:14" s="54" customFormat="1" ht="31.5" x14ac:dyDescent="0.25">
      <c r="A449" s="81"/>
      <c r="B449" s="89" t="s">
        <v>66</v>
      </c>
      <c r="C449" s="77" t="s">
        <v>67</v>
      </c>
      <c r="D449" s="77" t="s">
        <v>60</v>
      </c>
      <c r="E449" s="90">
        <v>42</v>
      </c>
      <c r="F449" s="90"/>
      <c r="G449" s="83">
        <f>G437*E449</f>
        <v>1138.2</v>
      </c>
      <c r="H449" s="83">
        <f>H437*E449</f>
        <v>1513.68</v>
      </c>
      <c r="I449" s="83">
        <f>I437*E449</f>
        <v>1358.7</v>
      </c>
      <c r="J449" s="84">
        <f t="shared" si="70"/>
        <v>4010.58</v>
      </c>
      <c r="K449" s="80">
        <v>0</v>
      </c>
      <c r="L449" s="80">
        <f t="shared" ref="L449:L478" si="71">J449*K449</f>
        <v>0</v>
      </c>
      <c r="M449" s="77" t="s">
        <v>68</v>
      </c>
      <c r="N449" s="77" t="s">
        <v>320</v>
      </c>
    </row>
    <row r="450" spans="1:14" s="54" customFormat="1" ht="31.5" x14ac:dyDescent="0.25">
      <c r="A450" s="81"/>
      <c r="B450" s="89" t="s">
        <v>110</v>
      </c>
      <c r="C450" s="77" t="s">
        <v>111</v>
      </c>
      <c r="D450" s="77" t="s">
        <v>60</v>
      </c>
      <c r="E450" s="90">
        <v>42</v>
      </c>
      <c r="F450" s="90"/>
      <c r="G450" s="83">
        <f>G432/0.25*E450</f>
        <v>297.36</v>
      </c>
      <c r="H450" s="83">
        <f>H432/0.25*E450</f>
        <v>210</v>
      </c>
      <c r="I450" s="83">
        <f>I432/0.25*E450</f>
        <v>285.59999999999997</v>
      </c>
      <c r="J450" s="84">
        <f t="shared" ref="J450" si="72">SUM(G450:I450)</f>
        <v>792.96</v>
      </c>
      <c r="K450" s="80">
        <v>0</v>
      </c>
      <c r="L450" s="80">
        <f t="shared" si="71"/>
        <v>0</v>
      </c>
      <c r="M450" s="77" t="s">
        <v>68</v>
      </c>
      <c r="N450" s="77" t="s">
        <v>320</v>
      </c>
    </row>
    <row r="451" spans="1:14" s="54" customFormat="1" ht="31.5" customHeight="1" x14ac:dyDescent="0.25">
      <c r="A451" s="81"/>
      <c r="B451" s="91" t="s">
        <v>69</v>
      </c>
      <c r="C451" s="77" t="s">
        <v>70</v>
      </c>
      <c r="D451" s="77" t="s">
        <v>45</v>
      </c>
      <c r="E451" s="77">
        <v>0.19500000000000001</v>
      </c>
      <c r="F451" s="90"/>
      <c r="G451" s="78">
        <f>G431*E451+G433*E451*0.19+G434*E451*0.19+G435*E451*0.09+G436*E451*0.09</f>
        <v>20.083245000000002</v>
      </c>
      <c r="H451" s="78">
        <f>H431*E451+H433*E451*0.19+H434*E451*0.19+H435*E451*0.09+H436*E451*0.09</f>
        <v>14.844355500000001</v>
      </c>
      <c r="I451" s="78">
        <f>I431*E451+I433*E451*0.19+I434*E451*0.19+I435*E451*0.09+I436*E451*0.09</f>
        <v>20.474512499999999</v>
      </c>
      <c r="J451" s="79">
        <f>SUM(G451:I451)</f>
        <v>55.402113</v>
      </c>
      <c r="K451" s="80">
        <v>7875</v>
      </c>
      <c r="L451" s="80">
        <f t="shared" si="71"/>
        <v>436291.63987499999</v>
      </c>
      <c r="M451" s="77" t="s">
        <v>71</v>
      </c>
      <c r="N451" s="77" t="s">
        <v>321</v>
      </c>
    </row>
    <row r="452" spans="1:14" s="54" customFormat="1" ht="31.5" customHeight="1" x14ac:dyDescent="0.25">
      <c r="A452" s="92"/>
      <c r="B452" s="91" t="s">
        <v>112</v>
      </c>
      <c r="C452" s="77" t="s">
        <v>70</v>
      </c>
      <c r="D452" s="77" t="s">
        <v>45</v>
      </c>
      <c r="E452" s="77">
        <v>0.24</v>
      </c>
      <c r="F452" s="77"/>
      <c r="G452" s="78">
        <f>G432*E452</f>
        <v>0.42480000000000001</v>
      </c>
      <c r="H452" s="78">
        <f>H432*E452</f>
        <v>0.3</v>
      </c>
      <c r="I452" s="78">
        <f>I432*E452</f>
        <v>0.40799999999999997</v>
      </c>
      <c r="J452" s="79">
        <f t="shared" ref="J452:J477" si="73">SUM(G452:I452)</f>
        <v>1.1328</v>
      </c>
      <c r="K452" s="80">
        <v>7875</v>
      </c>
      <c r="L452" s="80">
        <f t="shared" si="71"/>
        <v>8920.8000000000011</v>
      </c>
      <c r="M452" s="77" t="s">
        <v>71</v>
      </c>
      <c r="N452" s="77" t="s">
        <v>321</v>
      </c>
    </row>
    <row r="453" spans="1:14" s="54" customFormat="1" ht="31.5" customHeight="1" x14ac:dyDescent="0.25">
      <c r="A453" s="92"/>
      <c r="B453" s="91" t="s">
        <v>72</v>
      </c>
      <c r="C453" s="77" t="s">
        <v>70</v>
      </c>
      <c r="D453" s="77" t="s">
        <v>45</v>
      </c>
      <c r="E453" s="77">
        <v>4.5999999999999999E-2</v>
      </c>
      <c r="F453" s="77"/>
      <c r="G453" s="78">
        <f>G437*E453</f>
        <v>1.2466000000000002</v>
      </c>
      <c r="H453" s="78">
        <f>H437*E453</f>
        <v>1.65784</v>
      </c>
      <c r="I453" s="78">
        <f>I437*E453</f>
        <v>1.4881</v>
      </c>
      <c r="J453" s="79">
        <f t="shared" si="73"/>
        <v>4.3925400000000003</v>
      </c>
      <c r="K453" s="80">
        <v>7875</v>
      </c>
      <c r="L453" s="80">
        <f t="shared" si="71"/>
        <v>34591.252500000002</v>
      </c>
      <c r="M453" s="77" t="s">
        <v>73</v>
      </c>
      <c r="N453" s="77" t="s">
        <v>321</v>
      </c>
    </row>
    <row r="454" spans="1:14" s="54" customFormat="1" ht="31.5" customHeight="1" x14ac:dyDescent="0.25">
      <c r="A454" s="92"/>
      <c r="B454" s="91" t="s">
        <v>74</v>
      </c>
      <c r="C454" s="77" t="s">
        <v>70</v>
      </c>
      <c r="D454" s="77" t="s">
        <v>45</v>
      </c>
      <c r="E454" s="77">
        <v>1.01</v>
      </c>
      <c r="F454" s="77"/>
      <c r="G454" s="78">
        <f>G442*E454</f>
        <v>0.5306560199999999</v>
      </c>
      <c r="H454" s="78">
        <f>H442*E454</f>
        <v>0.41599475999999996</v>
      </c>
      <c r="I454" s="78">
        <f>I442*E454</f>
        <v>0.53785530000000004</v>
      </c>
      <c r="J454" s="79">
        <f t="shared" si="73"/>
        <v>1.4845060800000001</v>
      </c>
      <c r="K454" s="80">
        <v>7875</v>
      </c>
      <c r="L454" s="80">
        <f t="shared" si="71"/>
        <v>11690.48538</v>
      </c>
      <c r="M454" s="77" t="s">
        <v>71</v>
      </c>
      <c r="N454" s="77" t="s">
        <v>321</v>
      </c>
    </row>
    <row r="455" spans="1:14" s="54" customFormat="1" ht="31.5" customHeight="1" x14ac:dyDescent="0.25">
      <c r="A455" s="81"/>
      <c r="B455" s="89" t="s">
        <v>75</v>
      </c>
      <c r="C455" s="77" t="s">
        <v>70</v>
      </c>
      <c r="D455" s="77" t="s">
        <v>45</v>
      </c>
      <c r="E455" s="77">
        <v>6.0000000000000001E-3</v>
      </c>
      <c r="F455" s="77"/>
      <c r="G455" s="78">
        <f>G438*E455</f>
        <v>0.33</v>
      </c>
      <c r="H455" s="78">
        <f>H438*E455</f>
        <v>0.252</v>
      </c>
      <c r="I455" s="78">
        <f>I438*E455</f>
        <v>0.33600000000000002</v>
      </c>
      <c r="J455" s="79">
        <f t="shared" si="73"/>
        <v>0.91800000000000015</v>
      </c>
      <c r="K455" s="80">
        <v>7875</v>
      </c>
      <c r="L455" s="80">
        <f t="shared" si="71"/>
        <v>7229.2500000000009</v>
      </c>
      <c r="M455" s="77" t="s">
        <v>76</v>
      </c>
      <c r="N455" s="77" t="s">
        <v>321</v>
      </c>
    </row>
    <row r="456" spans="1:14" s="54" customFormat="1" ht="31.5" customHeight="1" x14ac:dyDescent="0.25">
      <c r="A456" s="81"/>
      <c r="B456" s="89" t="s">
        <v>77</v>
      </c>
      <c r="C456" s="77" t="s">
        <v>70</v>
      </c>
      <c r="D456" s="77" t="s">
        <v>45</v>
      </c>
      <c r="E456" s="77">
        <v>1.01</v>
      </c>
      <c r="F456" s="77"/>
      <c r="G456" s="93">
        <v>5.7000000000000002E-2</v>
      </c>
      <c r="H456" s="93">
        <v>4.2999999999999997E-2</v>
      </c>
      <c r="I456" s="93">
        <v>3.2000000000000001E-2</v>
      </c>
      <c r="J456" s="79">
        <f t="shared" si="73"/>
        <v>0.13200000000000001</v>
      </c>
      <c r="K456" s="80">
        <v>7875</v>
      </c>
      <c r="L456" s="80">
        <f t="shared" si="71"/>
        <v>1039.5</v>
      </c>
      <c r="M456" s="94"/>
      <c r="N456" s="77" t="s">
        <v>321</v>
      </c>
    </row>
    <row r="457" spans="1:14" s="54" customFormat="1" ht="23.25" customHeight="1" x14ac:dyDescent="0.25">
      <c r="A457" s="81"/>
      <c r="B457" s="89" t="s">
        <v>78</v>
      </c>
      <c r="C457" s="77" t="s">
        <v>79</v>
      </c>
      <c r="D457" s="77" t="s">
        <v>47</v>
      </c>
      <c r="E457" s="77"/>
      <c r="F457" s="77"/>
      <c r="G457" s="78">
        <v>182.58</v>
      </c>
      <c r="H457" s="78">
        <v>142.61000000000001</v>
      </c>
      <c r="I457" s="78">
        <v>188.7</v>
      </c>
      <c r="J457" s="79">
        <f t="shared" si="73"/>
        <v>513.8900000000001</v>
      </c>
      <c r="K457" s="80">
        <v>88.34</v>
      </c>
      <c r="L457" s="80">
        <f t="shared" si="71"/>
        <v>45397.042600000008</v>
      </c>
      <c r="M457" s="94"/>
      <c r="N457" s="77" t="s">
        <v>321</v>
      </c>
    </row>
    <row r="458" spans="1:14" s="54" customFormat="1" ht="23.25" customHeight="1" x14ac:dyDescent="0.25">
      <c r="A458" s="81"/>
      <c r="B458" s="89" t="s">
        <v>277</v>
      </c>
      <c r="C458" s="77" t="s">
        <v>114</v>
      </c>
      <c r="D458" s="77" t="s">
        <v>60</v>
      </c>
      <c r="E458" s="77"/>
      <c r="F458" s="77"/>
      <c r="G458" s="78">
        <v>12</v>
      </c>
      <c r="H458" s="78">
        <v>17</v>
      </c>
      <c r="I458" s="78">
        <v>13</v>
      </c>
      <c r="J458" s="79">
        <f t="shared" si="73"/>
        <v>42</v>
      </c>
      <c r="K458" s="80">
        <v>398.6</v>
      </c>
      <c r="L458" s="80">
        <f t="shared" si="71"/>
        <v>16741.2</v>
      </c>
      <c r="M458" s="94"/>
      <c r="N458" s="77" t="s">
        <v>321</v>
      </c>
    </row>
    <row r="459" spans="1:14" s="54" customFormat="1" ht="23.25" customHeight="1" x14ac:dyDescent="0.25">
      <c r="A459" s="81"/>
      <c r="B459" s="89" t="s">
        <v>278</v>
      </c>
      <c r="C459" s="77" t="s">
        <v>116</v>
      </c>
      <c r="D459" s="77" t="s">
        <v>60</v>
      </c>
      <c r="E459" s="77"/>
      <c r="F459" s="77"/>
      <c r="G459" s="78">
        <v>10</v>
      </c>
      <c r="H459" s="78"/>
      <c r="I459" s="78">
        <v>10</v>
      </c>
      <c r="J459" s="79">
        <f t="shared" si="73"/>
        <v>20</v>
      </c>
      <c r="K459" s="80">
        <v>465.03</v>
      </c>
      <c r="L459" s="80">
        <f t="shared" si="71"/>
        <v>9300.5999999999985</v>
      </c>
      <c r="M459" s="94"/>
      <c r="N459" s="77" t="s">
        <v>321</v>
      </c>
    </row>
    <row r="460" spans="1:14" s="54" customFormat="1" ht="23.25" customHeight="1" x14ac:dyDescent="0.25">
      <c r="A460" s="81"/>
      <c r="B460" s="89" t="s">
        <v>279</v>
      </c>
      <c r="C460" s="77" t="s">
        <v>280</v>
      </c>
      <c r="D460" s="77" t="s">
        <v>60</v>
      </c>
      <c r="E460" s="77"/>
      <c r="F460" s="77"/>
      <c r="G460" s="78"/>
      <c r="H460" s="78"/>
      <c r="I460" s="78">
        <v>1</v>
      </c>
      <c r="J460" s="79">
        <f t="shared" si="73"/>
        <v>1</v>
      </c>
      <c r="K460" s="80">
        <v>863.64</v>
      </c>
      <c r="L460" s="80">
        <f t="shared" si="71"/>
        <v>863.64</v>
      </c>
      <c r="M460" s="94"/>
      <c r="N460" s="77" t="s">
        <v>321</v>
      </c>
    </row>
    <row r="461" spans="1:14" s="54" customFormat="1" ht="23.25" customHeight="1" x14ac:dyDescent="0.25">
      <c r="A461" s="81"/>
      <c r="B461" s="89" t="s">
        <v>283</v>
      </c>
      <c r="C461" s="77" t="s">
        <v>284</v>
      </c>
      <c r="D461" s="77" t="s">
        <v>60</v>
      </c>
      <c r="E461" s="77"/>
      <c r="F461" s="77"/>
      <c r="G461" s="78">
        <v>1</v>
      </c>
      <c r="H461" s="78">
        <v>1</v>
      </c>
      <c r="I461" s="78"/>
      <c r="J461" s="79">
        <f t="shared" si="73"/>
        <v>2</v>
      </c>
      <c r="K461" s="80">
        <v>620.04999999999995</v>
      </c>
      <c r="L461" s="80">
        <f t="shared" si="71"/>
        <v>1240.0999999999999</v>
      </c>
      <c r="M461" s="94"/>
      <c r="N461" s="77" t="s">
        <v>321</v>
      </c>
    </row>
    <row r="462" spans="1:14" s="54" customFormat="1" ht="23.25" customHeight="1" x14ac:dyDescent="0.25">
      <c r="A462" s="81"/>
      <c r="B462" s="89" t="s">
        <v>285</v>
      </c>
      <c r="C462" s="77" t="s">
        <v>286</v>
      </c>
      <c r="D462" s="77" t="s">
        <v>60</v>
      </c>
      <c r="E462" s="77"/>
      <c r="F462" s="77"/>
      <c r="G462" s="78"/>
      <c r="H462" s="78"/>
      <c r="I462" s="78">
        <v>1</v>
      </c>
      <c r="J462" s="79">
        <f t="shared" si="73"/>
        <v>1</v>
      </c>
      <c r="K462" s="80">
        <v>708.62</v>
      </c>
      <c r="L462" s="80">
        <f t="shared" si="71"/>
        <v>708.62</v>
      </c>
      <c r="M462" s="94"/>
      <c r="N462" s="77" t="s">
        <v>321</v>
      </c>
    </row>
    <row r="463" spans="1:14" s="54" customFormat="1" ht="23.25" customHeight="1" x14ac:dyDescent="0.25">
      <c r="A463" s="81"/>
      <c r="B463" s="89" t="s">
        <v>287</v>
      </c>
      <c r="C463" s="77" t="s">
        <v>288</v>
      </c>
      <c r="D463" s="77" t="s">
        <v>60</v>
      </c>
      <c r="E463" s="77"/>
      <c r="F463" s="77"/>
      <c r="G463" s="78">
        <v>1</v>
      </c>
      <c r="H463" s="78">
        <v>1</v>
      </c>
      <c r="I463" s="78">
        <v>1</v>
      </c>
      <c r="J463" s="79">
        <f t="shared" si="73"/>
        <v>3</v>
      </c>
      <c r="K463" s="80">
        <v>797.2</v>
      </c>
      <c r="L463" s="80">
        <f t="shared" si="71"/>
        <v>2391.6000000000004</v>
      </c>
      <c r="M463" s="94"/>
      <c r="N463" s="77" t="s">
        <v>321</v>
      </c>
    </row>
    <row r="464" spans="1:14" s="54" customFormat="1" ht="23.25" customHeight="1" x14ac:dyDescent="0.25">
      <c r="A464" s="81"/>
      <c r="B464" s="89" t="s">
        <v>297</v>
      </c>
      <c r="C464" s="77" t="s">
        <v>118</v>
      </c>
      <c r="D464" s="77" t="s">
        <v>60</v>
      </c>
      <c r="E464" s="77"/>
      <c r="F464" s="77"/>
      <c r="G464" s="78">
        <v>5</v>
      </c>
      <c r="H464" s="78"/>
      <c r="I464" s="78">
        <v>3</v>
      </c>
      <c r="J464" s="79">
        <f t="shared" si="73"/>
        <v>8</v>
      </c>
      <c r="K464" s="80">
        <v>841.49</v>
      </c>
      <c r="L464" s="80">
        <f t="shared" si="71"/>
        <v>6731.92</v>
      </c>
      <c r="M464" s="94"/>
      <c r="N464" s="77" t="s">
        <v>321</v>
      </c>
    </row>
    <row r="465" spans="1:15" s="54" customFormat="1" ht="23.25" customHeight="1" x14ac:dyDescent="0.25">
      <c r="A465" s="81"/>
      <c r="B465" s="89" t="s">
        <v>298</v>
      </c>
      <c r="C465" s="77" t="s">
        <v>120</v>
      </c>
      <c r="D465" s="77" t="s">
        <v>60</v>
      </c>
      <c r="E465" s="77"/>
      <c r="F465" s="77"/>
      <c r="G465" s="78">
        <v>4</v>
      </c>
      <c r="H465" s="78">
        <v>6</v>
      </c>
      <c r="I465" s="78">
        <v>6</v>
      </c>
      <c r="J465" s="79">
        <f t="shared" si="73"/>
        <v>16</v>
      </c>
      <c r="K465" s="80">
        <v>981.74</v>
      </c>
      <c r="L465" s="80">
        <f t="shared" si="71"/>
        <v>15707.84</v>
      </c>
      <c r="M465" s="94"/>
      <c r="N465" s="77" t="s">
        <v>321</v>
      </c>
    </row>
    <row r="466" spans="1:15" s="54" customFormat="1" ht="23.25" customHeight="1" x14ac:dyDescent="0.25">
      <c r="A466" s="81"/>
      <c r="B466" s="89" t="s">
        <v>299</v>
      </c>
      <c r="C466" s="77" t="s">
        <v>300</v>
      </c>
      <c r="D466" s="77" t="s">
        <v>60</v>
      </c>
      <c r="E466" s="77"/>
      <c r="F466" s="77"/>
      <c r="G466" s="78">
        <v>3</v>
      </c>
      <c r="H466" s="78"/>
      <c r="I466" s="78">
        <v>2</v>
      </c>
      <c r="J466" s="79">
        <f t="shared" si="73"/>
        <v>5</v>
      </c>
      <c r="K466" s="80">
        <v>1107.23</v>
      </c>
      <c r="L466" s="80">
        <f t="shared" si="71"/>
        <v>5536.15</v>
      </c>
      <c r="M466" s="94"/>
      <c r="N466" s="77" t="s">
        <v>321</v>
      </c>
    </row>
    <row r="467" spans="1:15" s="54" customFormat="1" ht="23.25" customHeight="1" x14ac:dyDescent="0.25">
      <c r="A467" s="81"/>
      <c r="B467" s="89" t="s">
        <v>301</v>
      </c>
      <c r="C467" s="77" t="s">
        <v>122</v>
      </c>
      <c r="D467" s="77" t="s">
        <v>60</v>
      </c>
      <c r="E467" s="77"/>
      <c r="F467" s="77"/>
      <c r="G467" s="78"/>
      <c r="H467" s="78">
        <v>1</v>
      </c>
      <c r="I467" s="78"/>
      <c r="J467" s="79">
        <f t="shared" si="73"/>
        <v>1</v>
      </c>
      <c r="K467" s="80">
        <v>1291.76</v>
      </c>
      <c r="L467" s="80">
        <f t="shared" si="71"/>
        <v>1291.76</v>
      </c>
      <c r="M467" s="94"/>
      <c r="N467" s="77" t="s">
        <v>321</v>
      </c>
    </row>
    <row r="468" spans="1:15" s="54" customFormat="1" ht="23.25" customHeight="1" x14ac:dyDescent="0.25">
      <c r="A468" s="81"/>
      <c r="B468" s="89" t="s">
        <v>302</v>
      </c>
      <c r="C468" s="77" t="s">
        <v>124</v>
      </c>
      <c r="D468" s="77" t="s">
        <v>60</v>
      </c>
      <c r="E468" s="77"/>
      <c r="F468" s="77"/>
      <c r="G468" s="78">
        <v>1</v>
      </c>
      <c r="H468" s="78"/>
      <c r="I468" s="78"/>
      <c r="J468" s="79">
        <f t="shared" si="73"/>
        <v>1</v>
      </c>
      <c r="K468" s="80">
        <v>1845.38</v>
      </c>
      <c r="L468" s="80">
        <f t="shared" si="71"/>
        <v>1845.38</v>
      </c>
      <c r="M468" s="94"/>
      <c r="N468" s="77" t="s">
        <v>321</v>
      </c>
    </row>
    <row r="469" spans="1:15" s="54" customFormat="1" ht="23.25" customHeight="1" x14ac:dyDescent="0.25">
      <c r="A469" s="81"/>
      <c r="B469" s="89" t="s">
        <v>303</v>
      </c>
      <c r="C469" s="77" t="s">
        <v>126</v>
      </c>
      <c r="D469" s="77" t="s">
        <v>60</v>
      </c>
      <c r="E469" s="77"/>
      <c r="F469" s="77"/>
      <c r="G469" s="78">
        <v>12</v>
      </c>
      <c r="H469" s="78">
        <v>9</v>
      </c>
      <c r="I469" s="78">
        <v>13</v>
      </c>
      <c r="J469" s="79">
        <f t="shared" si="73"/>
        <v>34</v>
      </c>
      <c r="K469" s="80">
        <v>2029.91</v>
      </c>
      <c r="L469" s="80">
        <f t="shared" si="71"/>
        <v>69016.94</v>
      </c>
      <c r="M469" s="94"/>
      <c r="N469" s="77" t="s">
        <v>321</v>
      </c>
    </row>
    <row r="470" spans="1:15" s="54" customFormat="1" ht="23.25" customHeight="1" x14ac:dyDescent="0.25">
      <c r="A470" s="81"/>
      <c r="B470" s="89" t="s">
        <v>304</v>
      </c>
      <c r="C470" s="77" t="s">
        <v>128</v>
      </c>
      <c r="D470" s="77" t="s">
        <v>60</v>
      </c>
      <c r="E470" s="77"/>
      <c r="F470" s="77"/>
      <c r="G470" s="78">
        <v>4</v>
      </c>
      <c r="H470" s="78">
        <v>1</v>
      </c>
      <c r="I470" s="78">
        <v>4</v>
      </c>
      <c r="J470" s="79">
        <f t="shared" si="73"/>
        <v>9</v>
      </c>
      <c r="K470" s="80">
        <v>2398.9899999999998</v>
      </c>
      <c r="L470" s="80">
        <f t="shared" si="71"/>
        <v>21590.909999999996</v>
      </c>
      <c r="M470" s="94"/>
      <c r="N470" s="77" t="s">
        <v>321</v>
      </c>
    </row>
    <row r="471" spans="1:15" s="54" customFormat="1" ht="23.25" customHeight="1" x14ac:dyDescent="0.25">
      <c r="A471" s="81"/>
      <c r="B471" s="89" t="s">
        <v>305</v>
      </c>
      <c r="C471" s="77" t="s">
        <v>130</v>
      </c>
      <c r="D471" s="77" t="s">
        <v>60</v>
      </c>
      <c r="E471" s="77"/>
      <c r="F471" s="77"/>
      <c r="G471" s="78">
        <v>2</v>
      </c>
      <c r="H471" s="78">
        <v>6</v>
      </c>
      <c r="I471" s="78">
        <v>2</v>
      </c>
      <c r="J471" s="79">
        <f t="shared" si="73"/>
        <v>10</v>
      </c>
      <c r="K471" s="80">
        <v>2583.5300000000002</v>
      </c>
      <c r="L471" s="80">
        <f t="shared" si="71"/>
        <v>25835.300000000003</v>
      </c>
      <c r="M471" s="94"/>
      <c r="N471" s="77" t="s">
        <v>321</v>
      </c>
    </row>
    <row r="472" spans="1:15" s="54" customFormat="1" ht="23.25" customHeight="1" x14ac:dyDescent="0.25">
      <c r="A472" s="81"/>
      <c r="B472" s="89" t="s">
        <v>92</v>
      </c>
      <c r="C472" s="77" t="s">
        <v>93</v>
      </c>
      <c r="D472" s="77" t="s">
        <v>54</v>
      </c>
      <c r="E472" s="77">
        <v>1.04</v>
      </c>
      <c r="F472" s="77"/>
      <c r="G472" s="78">
        <f>149.74*E472</f>
        <v>155.7296</v>
      </c>
      <c r="H472" s="78">
        <f>121.66*E472</f>
        <v>126.5264</v>
      </c>
      <c r="I472" s="78">
        <f>158.83*E472</f>
        <v>165.18320000000003</v>
      </c>
      <c r="J472" s="79">
        <f t="shared" si="73"/>
        <v>447.43920000000003</v>
      </c>
      <c r="K472" s="80">
        <v>66.349999999999994</v>
      </c>
      <c r="L472" s="80">
        <f t="shared" si="71"/>
        <v>29687.590919999999</v>
      </c>
      <c r="M472" s="94"/>
      <c r="N472" s="77" t="s">
        <v>321</v>
      </c>
    </row>
    <row r="473" spans="1:15" s="54" customFormat="1" ht="23.25" customHeight="1" x14ac:dyDescent="0.25">
      <c r="A473" s="81"/>
      <c r="B473" s="89" t="s">
        <v>94</v>
      </c>
      <c r="C473" s="77" t="s">
        <v>95</v>
      </c>
      <c r="D473" s="77" t="s">
        <v>54</v>
      </c>
      <c r="E473" s="77">
        <v>1.04</v>
      </c>
      <c r="F473" s="77"/>
      <c r="G473" s="78">
        <f>G440*E473</f>
        <v>43.940000000000005</v>
      </c>
      <c r="H473" s="78">
        <f>H440*E473</f>
        <v>32.895200000000003</v>
      </c>
      <c r="I473" s="78">
        <f>I440*E473</f>
        <v>27.383199999999999</v>
      </c>
      <c r="J473" s="79">
        <f t="shared" si="73"/>
        <v>104.21840000000002</v>
      </c>
      <c r="K473" s="80">
        <v>64</v>
      </c>
      <c r="L473" s="80">
        <f t="shared" si="71"/>
        <v>6669.9776000000011</v>
      </c>
      <c r="M473" s="94"/>
      <c r="N473" s="77" t="s">
        <v>321</v>
      </c>
    </row>
    <row r="474" spans="1:15" s="54" customFormat="1" ht="23.25" customHeight="1" x14ac:dyDescent="0.25">
      <c r="A474" s="81"/>
      <c r="B474" s="89" t="s">
        <v>131</v>
      </c>
      <c r="C474" s="77" t="s">
        <v>39</v>
      </c>
      <c r="D474" s="77" t="s">
        <v>54</v>
      </c>
      <c r="E474" s="77">
        <v>1.04</v>
      </c>
      <c r="F474" s="77"/>
      <c r="G474" s="78">
        <f>31.12*E474</f>
        <v>32.364800000000002</v>
      </c>
      <c r="H474" s="78">
        <f>31.12*E474</f>
        <v>32.364800000000002</v>
      </c>
      <c r="I474" s="78">
        <f>31.12*E474</f>
        <v>32.364800000000002</v>
      </c>
      <c r="J474" s="79">
        <f t="shared" si="73"/>
        <v>97.094400000000007</v>
      </c>
      <c r="K474" s="80">
        <v>64.209999999999994</v>
      </c>
      <c r="L474" s="80">
        <f t="shared" si="71"/>
        <v>6234.4314239999994</v>
      </c>
      <c r="M474" s="94"/>
      <c r="N474" s="77" t="s">
        <v>321</v>
      </c>
      <c r="O474" s="2"/>
    </row>
    <row r="475" spans="1:15" s="54" customFormat="1" ht="23.25" customHeight="1" x14ac:dyDescent="0.25">
      <c r="A475" s="81"/>
      <c r="B475" s="89" t="s">
        <v>96</v>
      </c>
      <c r="C475" s="77" t="s">
        <v>39</v>
      </c>
      <c r="D475" s="77" t="s">
        <v>54</v>
      </c>
      <c r="E475" s="77">
        <v>1.04</v>
      </c>
      <c r="F475" s="77"/>
      <c r="G475" s="78">
        <f>15.21*E475</f>
        <v>15.818400000000002</v>
      </c>
      <c r="H475" s="78">
        <f>E475*22.49</f>
        <v>23.389599999999998</v>
      </c>
      <c r="I475" s="78"/>
      <c r="J475" s="79">
        <f t="shared" si="73"/>
        <v>39.207999999999998</v>
      </c>
      <c r="K475" s="80">
        <v>72.78</v>
      </c>
      <c r="L475" s="80">
        <f t="shared" si="71"/>
        <v>2853.5582399999998</v>
      </c>
      <c r="M475" s="94"/>
      <c r="N475" s="77" t="s">
        <v>321</v>
      </c>
      <c r="O475" s="2"/>
    </row>
    <row r="476" spans="1:15" s="54" customFormat="1" ht="23.25" customHeight="1" x14ac:dyDescent="0.25">
      <c r="A476" s="81"/>
      <c r="B476" s="89" t="s">
        <v>97</v>
      </c>
      <c r="C476" s="77" t="s">
        <v>39</v>
      </c>
      <c r="D476" s="77" t="s">
        <v>54</v>
      </c>
      <c r="E476" s="77">
        <v>1.04</v>
      </c>
      <c r="F476" s="77"/>
      <c r="G476" s="78">
        <f>E476*30.81</f>
        <v>32.042400000000001</v>
      </c>
      <c r="H476" s="78">
        <f>E476*6.64</f>
        <v>6.9055999999999997</v>
      </c>
      <c r="I476" s="78">
        <f>E476*18.88</f>
        <v>19.635200000000001</v>
      </c>
      <c r="J476" s="79">
        <f t="shared" si="73"/>
        <v>58.583200000000005</v>
      </c>
      <c r="K476" s="80">
        <v>74.92</v>
      </c>
      <c r="L476" s="80">
        <f t="shared" si="71"/>
        <v>4389.0533440000008</v>
      </c>
      <c r="M476" s="94"/>
      <c r="N476" s="77" t="s">
        <v>321</v>
      </c>
    </row>
    <row r="477" spans="1:15" s="54" customFormat="1" ht="23.25" customHeight="1" x14ac:dyDescent="0.25">
      <c r="A477" s="81"/>
      <c r="B477" s="89" t="s">
        <v>132</v>
      </c>
      <c r="C477" s="77" t="s">
        <v>39</v>
      </c>
      <c r="D477" s="77" t="s">
        <v>54</v>
      </c>
      <c r="E477" s="77">
        <v>1.04</v>
      </c>
      <c r="F477" s="77"/>
      <c r="G477" s="78">
        <f>10.5*E477</f>
        <v>10.92</v>
      </c>
      <c r="H477" s="78">
        <f>10.5*E477</f>
        <v>10.92</v>
      </c>
      <c r="I477" s="78">
        <f>10.5*E477</f>
        <v>10.92</v>
      </c>
      <c r="J477" s="79">
        <f t="shared" si="73"/>
        <v>32.76</v>
      </c>
      <c r="K477" s="80">
        <v>75.97</v>
      </c>
      <c r="L477" s="80">
        <f t="shared" si="71"/>
        <v>2488.7772</v>
      </c>
      <c r="M477" s="94"/>
      <c r="N477" s="77" t="s">
        <v>321</v>
      </c>
    </row>
    <row r="478" spans="1:15" s="54" customFormat="1" ht="23.25" customHeight="1" x14ac:dyDescent="0.25">
      <c r="A478" s="81"/>
      <c r="B478" s="89" t="s">
        <v>275</v>
      </c>
      <c r="C478" s="77" t="s">
        <v>276</v>
      </c>
      <c r="D478" s="77" t="s">
        <v>45</v>
      </c>
      <c r="E478" s="77">
        <v>1.04</v>
      </c>
      <c r="F478" s="77"/>
      <c r="G478" s="78">
        <f>G441*0.05*E478</f>
        <v>1.8376800000000004</v>
      </c>
      <c r="H478" s="78">
        <f>H441*0.05*E478</f>
        <v>0</v>
      </c>
      <c r="I478" s="78">
        <f>I441*0.05*E478</f>
        <v>0</v>
      </c>
      <c r="J478" s="79">
        <f t="shared" ref="J478" si="74">SUM(G478:I478)</f>
        <v>1.8376800000000004</v>
      </c>
      <c r="K478" s="80">
        <v>6405.83</v>
      </c>
      <c r="L478" s="80">
        <f t="shared" si="71"/>
        <v>11771.865674400002</v>
      </c>
      <c r="M478" s="94"/>
      <c r="N478" s="77" t="s">
        <v>321</v>
      </c>
    </row>
    <row r="479" spans="1:15" s="101" customFormat="1" ht="31.5" customHeight="1" x14ac:dyDescent="0.25">
      <c r="A479" s="95"/>
      <c r="B479" s="96" t="s">
        <v>133</v>
      </c>
      <c r="C479" s="97" t="s">
        <v>39</v>
      </c>
      <c r="D479" s="97" t="s">
        <v>99</v>
      </c>
      <c r="E479" s="97"/>
      <c r="F479" s="97"/>
      <c r="G479" s="98"/>
      <c r="H479" s="98"/>
      <c r="I479" s="98"/>
      <c r="J479" s="99">
        <f>L479*100/L430</f>
        <v>4.0125194553622006</v>
      </c>
      <c r="K479" s="79"/>
      <c r="L479" s="79">
        <v>114152.04240000001</v>
      </c>
      <c r="M479" s="100"/>
      <c r="N479" s="97" t="s">
        <v>321</v>
      </c>
    </row>
    <row r="480" spans="1:15" s="54" customFormat="1" x14ac:dyDescent="0.25">
      <c r="A480" s="60" t="s">
        <v>148</v>
      </c>
      <c r="B480" s="61" t="s">
        <v>149</v>
      </c>
      <c r="C480" s="62"/>
      <c r="D480" s="63"/>
      <c r="E480" s="62"/>
      <c r="F480" s="62"/>
      <c r="G480" s="64"/>
      <c r="H480" s="64"/>
      <c r="I480" s="64"/>
      <c r="J480" s="65"/>
      <c r="K480" s="65"/>
      <c r="L480" s="65">
        <f>L481+L494</f>
        <v>3752497.3971573994</v>
      </c>
      <c r="M480" s="86"/>
      <c r="N480" s="86"/>
    </row>
    <row r="481" spans="1:14" s="54" customFormat="1" x14ac:dyDescent="0.25">
      <c r="A481" s="66"/>
      <c r="B481" s="67" t="s">
        <v>34</v>
      </c>
      <c r="C481" s="68"/>
      <c r="D481" s="68"/>
      <c r="E481" s="68"/>
      <c r="F481" s="68"/>
      <c r="G481" s="69"/>
      <c r="H481" s="69"/>
      <c r="I481" s="69"/>
      <c r="J481" s="70"/>
      <c r="K481" s="70"/>
      <c r="L481" s="70">
        <f>SUM(L482:L493)</f>
        <v>2846502.9199999995</v>
      </c>
      <c r="M481" s="72"/>
      <c r="N481" s="72"/>
    </row>
    <row r="482" spans="1:14" s="54" customFormat="1" ht="22.5" customHeight="1" x14ac:dyDescent="0.25">
      <c r="A482" s="66"/>
      <c r="B482" s="71" t="s">
        <v>44</v>
      </c>
      <c r="C482" s="72"/>
      <c r="D482" s="72" t="s">
        <v>45</v>
      </c>
      <c r="E482" s="72"/>
      <c r="F482" s="72"/>
      <c r="G482" s="73">
        <v>30.11</v>
      </c>
      <c r="H482" s="73">
        <v>25.51</v>
      </c>
      <c r="I482" s="73">
        <v>38.270000000000003</v>
      </c>
      <c r="J482" s="70">
        <f>SUM(G482:I482)</f>
        <v>93.890000000000015</v>
      </c>
      <c r="K482" s="74">
        <v>4939</v>
      </c>
      <c r="L482" s="74">
        <f>K482*J482</f>
        <v>463722.71000000008</v>
      </c>
      <c r="M482" s="72"/>
      <c r="N482" s="72"/>
    </row>
    <row r="483" spans="1:14" s="54" customFormat="1" ht="22.5" customHeight="1" x14ac:dyDescent="0.25">
      <c r="A483" s="66"/>
      <c r="B483" s="71" t="s">
        <v>102</v>
      </c>
      <c r="C483" s="72"/>
      <c r="D483" s="72" t="s">
        <v>45</v>
      </c>
      <c r="E483" s="72"/>
      <c r="F483" s="72"/>
      <c r="G483" s="73">
        <v>1.77</v>
      </c>
      <c r="H483" s="73">
        <v>1.25</v>
      </c>
      <c r="I483" s="73">
        <v>1.7</v>
      </c>
      <c r="J483" s="70">
        <f t="shared" ref="J483:J492" si="75">SUM(G483:I483)</f>
        <v>4.72</v>
      </c>
      <c r="K483" s="74">
        <v>5845</v>
      </c>
      <c r="L483" s="74">
        <f t="shared" ref="L483" si="76">K483*J483</f>
        <v>27588.399999999998</v>
      </c>
      <c r="M483" s="72"/>
      <c r="N483" s="72"/>
    </row>
    <row r="484" spans="1:14" s="54" customFormat="1" ht="22.5" customHeight="1" x14ac:dyDescent="0.25">
      <c r="A484" s="66"/>
      <c r="B484" s="71" t="s">
        <v>46</v>
      </c>
      <c r="C484" s="72"/>
      <c r="D484" s="72" t="s">
        <v>47</v>
      </c>
      <c r="E484" s="72"/>
      <c r="F484" s="72"/>
      <c r="G484" s="73">
        <v>204.75</v>
      </c>
      <c r="H484" s="73">
        <v>120.63</v>
      </c>
      <c r="I484" s="73">
        <v>142.32</v>
      </c>
      <c r="J484" s="70">
        <f t="shared" si="75"/>
        <v>467.7</v>
      </c>
      <c r="K484" s="74">
        <v>1461</v>
      </c>
      <c r="L484" s="74">
        <f>K484*J484</f>
        <v>683309.7</v>
      </c>
      <c r="M484" s="72"/>
      <c r="N484" s="72"/>
    </row>
    <row r="485" spans="1:14" s="54" customFormat="1" ht="22.5" customHeight="1" x14ac:dyDescent="0.25">
      <c r="A485" s="66"/>
      <c r="B485" s="71" t="s">
        <v>48</v>
      </c>
      <c r="C485" s="72"/>
      <c r="D485" s="72" t="s">
        <v>47</v>
      </c>
      <c r="E485" s="72"/>
      <c r="F485" s="72"/>
      <c r="G485" s="73">
        <v>57.32</v>
      </c>
      <c r="H485" s="73">
        <v>44.32</v>
      </c>
      <c r="I485" s="73">
        <v>79.95</v>
      </c>
      <c r="J485" s="70">
        <f t="shared" si="75"/>
        <v>181.59</v>
      </c>
      <c r="K485" s="74">
        <v>1461</v>
      </c>
      <c r="L485" s="74">
        <f>K485*J485</f>
        <v>265302.99</v>
      </c>
      <c r="M485" s="72"/>
      <c r="N485" s="72"/>
    </row>
    <row r="486" spans="1:14" s="54" customFormat="1" ht="22.5" customHeight="1" x14ac:dyDescent="0.25">
      <c r="A486" s="66"/>
      <c r="B486" s="71" t="s">
        <v>103</v>
      </c>
      <c r="C486" s="72"/>
      <c r="D486" s="72" t="s">
        <v>47</v>
      </c>
      <c r="E486" s="72"/>
      <c r="F486" s="72"/>
      <c r="G486" s="73">
        <v>156.13999999999999</v>
      </c>
      <c r="H486" s="73">
        <v>101.76</v>
      </c>
      <c r="I486" s="73">
        <v>158.25</v>
      </c>
      <c r="J486" s="70">
        <f t="shared" si="75"/>
        <v>416.15</v>
      </c>
      <c r="K486" s="74">
        <v>1461</v>
      </c>
      <c r="L486" s="74">
        <f>K486*J486</f>
        <v>607995.15</v>
      </c>
      <c r="M486" s="72"/>
      <c r="N486" s="72"/>
    </row>
    <row r="487" spans="1:14" s="54" customFormat="1" ht="22.5" customHeight="1" x14ac:dyDescent="0.25">
      <c r="A487" s="66"/>
      <c r="B487" s="71" t="s">
        <v>104</v>
      </c>
      <c r="C487" s="72"/>
      <c r="D487" s="72" t="s">
        <v>47</v>
      </c>
      <c r="E487" s="72"/>
      <c r="F487" s="72"/>
      <c r="G487" s="73">
        <v>100.39</v>
      </c>
      <c r="H487" s="73">
        <v>112.4</v>
      </c>
      <c r="I487" s="73">
        <v>113.93</v>
      </c>
      <c r="J487" s="70">
        <f t="shared" si="75"/>
        <v>326.72000000000003</v>
      </c>
      <c r="K487" s="74">
        <v>1461</v>
      </c>
      <c r="L487" s="74">
        <f>K487*J487</f>
        <v>477337.92000000004</v>
      </c>
      <c r="M487" s="72"/>
      <c r="N487" s="72"/>
    </row>
    <row r="488" spans="1:14" s="54" customFormat="1" ht="22.5" customHeight="1" x14ac:dyDescent="0.25">
      <c r="A488" s="66"/>
      <c r="B488" s="71" t="s">
        <v>49</v>
      </c>
      <c r="C488" s="72"/>
      <c r="D488" s="72" t="s">
        <v>47</v>
      </c>
      <c r="E488" s="72"/>
      <c r="F488" s="72"/>
      <c r="G488" s="73">
        <v>27.1</v>
      </c>
      <c r="H488" s="73">
        <v>36.04</v>
      </c>
      <c r="I488" s="73">
        <v>32.35</v>
      </c>
      <c r="J488" s="70">
        <f t="shared" si="75"/>
        <v>95.490000000000009</v>
      </c>
      <c r="K488" s="74">
        <v>1610</v>
      </c>
      <c r="L488" s="74">
        <f t="shared" ref="L488:L492" si="77">K488*J488</f>
        <v>153738.90000000002</v>
      </c>
      <c r="M488" s="72"/>
      <c r="N488" s="72"/>
    </row>
    <row r="489" spans="1:14" s="54" customFormat="1" ht="22.5" customHeight="1" x14ac:dyDescent="0.25">
      <c r="A489" s="66"/>
      <c r="B489" s="71" t="s">
        <v>50</v>
      </c>
      <c r="C489" s="72"/>
      <c r="D489" s="72" t="s">
        <v>51</v>
      </c>
      <c r="E489" s="72"/>
      <c r="F489" s="72"/>
      <c r="G489" s="73">
        <v>55</v>
      </c>
      <c r="H489" s="73">
        <v>44</v>
      </c>
      <c r="I489" s="73">
        <v>56</v>
      </c>
      <c r="J489" s="70">
        <f t="shared" si="75"/>
        <v>155</v>
      </c>
      <c r="K489" s="74">
        <v>803</v>
      </c>
      <c r="L489" s="74">
        <f t="shared" si="77"/>
        <v>124465</v>
      </c>
      <c r="M489" s="72"/>
      <c r="N489" s="72"/>
    </row>
    <row r="490" spans="1:14" s="54" customFormat="1" ht="22.5" customHeight="1" x14ac:dyDescent="0.25">
      <c r="A490" s="66"/>
      <c r="B490" s="71" t="s">
        <v>52</v>
      </c>
      <c r="C490" s="72" t="s">
        <v>105</v>
      </c>
      <c r="D490" s="72" t="s">
        <v>54</v>
      </c>
      <c r="E490" s="72"/>
      <c r="F490" s="72"/>
      <c r="G490" s="129">
        <v>87.64</v>
      </c>
      <c r="H490" s="129">
        <v>70.760000000000005</v>
      </c>
      <c r="I490" s="129">
        <v>60.5</v>
      </c>
      <c r="J490" s="130">
        <f t="shared" si="75"/>
        <v>218.9</v>
      </c>
      <c r="K490" s="74">
        <v>94.5</v>
      </c>
      <c r="L490" s="74">
        <f t="shared" si="77"/>
        <v>20686.05</v>
      </c>
      <c r="M490" s="72"/>
      <c r="N490" s="72"/>
    </row>
    <row r="491" spans="1:14" s="54" customFormat="1" ht="31.5" x14ac:dyDescent="0.25">
      <c r="A491" s="66"/>
      <c r="B491" s="71" t="s">
        <v>55</v>
      </c>
      <c r="C491" s="72"/>
      <c r="D491" s="72" t="s">
        <v>54</v>
      </c>
      <c r="E491" s="72"/>
      <c r="F491" s="72"/>
      <c r="G491" s="73">
        <v>42.25</v>
      </c>
      <c r="H491" s="73">
        <v>31.63</v>
      </c>
      <c r="I491" s="73">
        <v>26.33</v>
      </c>
      <c r="J491" s="70">
        <f t="shared" si="75"/>
        <v>100.21</v>
      </c>
      <c r="K491" s="74">
        <v>118</v>
      </c>
      <c r="L491" s="74">
        <f t="shared" si="77"/>
        <v>11824.779999999999</v>
      </c>
      <c r="M491" s="72"/>
      <c r="N491" s="72"/>
    </row>
    <row r="492" spans="1:14" s="54" customFormat="1" ht="18.75" customHeight="1" x14ac:dyDescent="0.25">
      <c r="A492" s="66"/>
      <c r="B492" s="71" t="s">
        <v>256</v>
      </c>
      <c r="C492" s="72"/>
      <c r="D492" s="72" t="s">
        <v>47</v>
      </c>
      <c r="E492" s="72"/>
      <c r="F492" s="72"/>
      <c r="G492" s="73">
        <v>35.340000000000003</v>
      </c>
      <c r="H492" s="73"/>
      <c r="I492" s="73"/>
      <c r="J492" s="70">
        <f t="shared" si="75"/>
        <v>35.340000000000003</v>
      </c>
      <c r="K492" s="74">
        <v>298</v>
      </c>
      <c r="L492" s="74">
        <f t="shared" si="77"/>
        <v>10531.320000000002</v>
      </c>
      <c r="M492" s="72"/>
      <c r="N492" s="72"/>
    </row>
    <row r="493" spans="1:14" s="54" customFormat="1" ht="18.75" customHeight="1" x14ac:dyDescent="0.25">
      <c r="A493" s="66"/>
      <c r="B493" s="87" t="s">
        <v>56</v>
      </c>
      <c r="C493" s="88"/>
      <c r="D493" s="88" t="s">
        <v>45</v>
      </c>
      <c r="E493" s="88"/>
      <c r="F493" s="88"/>
      <c r="G493" s="73">
        <f>291.89*0.06*0.03</f>
        <v>0.52540199999999992</v>
      </c>
      <c r="H493" s="73">
        <f>228.82*0.06*0.03</f>
        <v>0.41187599999999996</v>
      </c>
      <c r="I493" s="73">
        <f>295.85*0.06*0.03</f>
        <v>0.53253000000000006</v>
      </c>
      <c r="J493" s="70">
        <f>SUM(G493:I493)</f>
        <v>1.469808</v>
      </c>
      <c r="K493" s="74"/>
      <c r="L493" s="74"/>
      <c r="M493" s="88" t="s">
        <v>57</v>
      </c>
      <c r="N493" s="72"/>
    </row>
    <row r="494" spans="1:14" s="54" customFormat="1" x14ac:dyDescent="0.25">
      <c r="A494" s="75"/>
      <c r="B494" s="76" t="s">
        <v>38</v>
      </c>
      <c r="C494" s="77"/>
      <c r="D494" s="77"/>
      <c r="E494" s="77"/>
      <c r="F494" s="77"/>
      <c r="G494" s="78"/>
      <c r="H494" s="78"/>
      <c r="I494" s="78"/>
      <c r="J494" s="79"/>
      <c r="K494" s="80"/>
      <c r="L494" s="79">
        <f>SUM(L495:L531)</f>
        <v>905994.47715739999</v>
      </c>
      <c r="M494" s="77"/>
      <c r="N494" s="77"/>
    </row>
    <row r="495" spans="1:14" s="54" customFormat="1" ht="31.5" x14ac:dyDescent="0.25">
      <c r="A495" s="81"/>
      <c r="B495" s="82" t="s">
        <v>58</v>
      </c>
      <c r="C495" s="77" t="s">
        <v>59</v>
      </c>
      <c r="D495" s="77" t="s">
        <v>60</v>
      </c>
      <c r="E495" s="78">
        <v>12.4</v>
      </c>
      <c r="F495" s="77">
        <v>0.25</v>
      </c>
      <c r="G495" s="83">
        <f>G482/F495*E495</f>
        <v>1493.4559999999999</v>
      </c>
      <c r="H495" s="83">
        <f>H482/F495*E495</f>
        <v>1265.296</v>
      </c>
      <c r="I495" s="83">
        <f>I482/F495*E495</f>
        <v>1898.1920000000002</v>
      </c>
      <c r="J495" s="84">
        <f>SUM(G495:I495)</f>
        <v>4656.9440000000004</v>
      </c>
      <c r="K495" s="80">
        <v>0</v>
      </c>
      <c r="L495" s="80">
        <f>J495*K495</f>
        <v>0</v>
      </c>
      <c r="M495" s="77" t="s">
        <v>61</v>
      </c>
      <c r="N495" s="77" t="s">
        <v>320</v>
      </c>
    </row>
    <row r="496" spans="1:14" s="54" customFormat="1" ht="31.5" x14ac:dyDescent="0.25">
      <c r="A496" s="81"/>
      <c r="B496" s="82" t="s">
        <v>62</v>
      </c>
      <c r="C496" s="77" t="s">
        <v>63</v>
      </c>
      <c r="D496" s="77" t="s">
        <v>60</v>
      </c>
      <c r="E496" s="78">
        <v>12.4</v>
      </c>
      <c r="F496" s="77"/>
      <c r="G496" s="83">
        <f>G484*E496</f>
        <v>2538.9</v>
      </c>
      <c r="H496" s="83">
        <f>H484*E496</f>
        <v>1495.8119999999999</v>
      </c>
      <c r="I496" s="83">
        <f>I484*E496</f>
        <v>1764.768</v>
      </c>
      <c r="J496" s="84">
        <f t="shared" ref="J496:J500" si="78">SUM(G496:I496)</f>
        <v>5799.48</v>
      </c>
      <c r="K496" s="80">
        <v>0</v>
      </c>
      <c r="L496" s="80">
        <f>J496*K496</f>
        <v>0</v>
      </c>
      <c r="M496" s="77" t="s">
        <v>61</v>
      </c>
      <c r="N496" s="77" t="s">
        <v>320</v>
      </c>
    </row>
    <row r="497" spans="1:14" s="54" customFormat="1" ht="31.5" x14ac:dyDescent="0.25">
      <c r="A497" s="81"/>
      <c r="B497" s="82" t="s">
        <v>64</v>
      </c>
      <c r="C497" s="77" t="s">
        <v>65</v>
      </c>
      <c r="D497" s="77" t="s">
        <v>60</v>
      </c>
      <c r="E497" s="78">
        <v>12.4</v>
      </c>
      <c r="F497" s="77"/>
      <c r="G497" s="83">
        <f>G485*E497</f>
        <v>710.76800000000003</v>
      </c>
      <c r="H497" s="83">
        <f>H485*E497</f>
        <v>549.56799999999998</v>
      </c>
      <c r="I497" s="83">
        <f>I485*E497</f>
        <v>991.38000000000011</v>
      </c>
      <c r="J497" s="84">
        <f t="shared" si="78"/>
        <v>2251.7160000000003</v>
      </c>
      <c r="K497" s="80">
        <v>0</v>
      </c>
      <c r="L497" s="80">
        <f>J497*K497</f>
        <v>0</v>
      </c>
      <c r="M497" s="77" t="s">
        <v>61</v>
      </c>
      <c r="N497" s="77" t="s">
        <v>320</v>
      </c>
    </row>
    <row r="498" spans="1:14" s="54" customFormat="1" ht="31.5" x14ac:dyDescent="0.25">
      <c r="A498" s="81"/>
      <c r="B498" s="82" t="s">
        <v>106</v>
      </c>
      <c r="C498" s="77" t="s">
        <v>107</v>
      </c>
      <c r="D498" s="77" t="s">
        <v>60</v>
      </c>
      <c r="E498" s="78">
        <v>12.4</v>
      </c>
      <c r="F498" s="77"/>
      <c r="G498" s="83">
        <f>G486*E498</f>
        <v>1936.136</v>
      </c>
      <c r="H498" s="83">
        <f>H486*E498</f>
        <v>1261.8240000000001</v>
      </c>
      <c r="I498" s="83">
        <f>I486*E498</f>
        <v>1962.3</v>
      </c>
      <c r="J498" s="84">
        <f t="shared" si="78"/>
        <v>5160.26</v>
      </c>
      <c r="K498" s="80">
        <v>0</v>
      </c>
      <c r="L498" s="80">
        <f>J498*K498</f>
        <v>0</v>
      </c>
      <c r="M498" s="77" t="s">
        <v>61</v>
      </c>
      <c r="N498" s="77" t="s">
        <v>320</v>
      </c>
    </row>
    <row r="499" spans="1:14" s="54" customFormat="1" ht="31.5" x14ac:dyDescent="0.25">
      <c r="A499" s="81"/>
      <c r="B499" s="82" t="s">
        <v>108</v>
      </c>
      <c r="C499" s="77" t="s">
        <v>109</v>
      </c>
      <c r="D499" s="77" t="s">
        <v>60</v>
      </c>
      <c r="E499" s="78">
        <v>12.4</v>
      </c>
      <c r="F499" s="77"/>
      <c r="G499" s="83">
        <f>G487*E499</f>
        <v>1244.836</v>
      </c>
      <c r="H499" s="83">
        <f>H487*E499</f>
        <v>1393.7600000000002</v>
      </c>
      <c r="I499" s="83">
        <f>I487*E499</f>
        <v>1412.7320000000002</v>
      </c>
      <c r="J499" s="84">
        <f t="shared" si="78"/>
        <v>4051.3280000000004</v>
      </c>
      <c r="K499" s="80">
        <v>0</v>
      </c>
      <c r="L499" s="80">
        <f>J499*K499</f>
        <v>0</v>
      </c>
      <c r="M499" s="77" t="s">
        <v>61</v>
      </c>
      <c r="N499" s="77" t="s">
        <v>320</v>
      </c>
    </row>
    <row r="500" spans="1:14" s="54" customFormat="1" ht="31.5" x14ac:dyDescent="0.25">
      <c r="A500" s="81"/>
      <c r="B500" s="89" t="s">
        <v>66</v>
      </c>
      <c r="C500" s="77" t="s">
        <v>67</v>
      </c>
      <c r="D500" s="77" t="s">
        <v>60</v>
      </c>
      <c r="E500" s="90">
        <v>42</v>
      </c>
      <c r="F500" s="90"/>
      <c r="G500" s="83">
        <f>G488*E500</f>
        <v>1138.2</v>
      </c>
      <c r="H500" s="83">
        <f>H488*E500</f>
        <v>1513.68</v>
      </c>
      <c r="I500" s="83">
        <f>I488*E500</f>
        <v>1358.7</v>
      </c>
      <c r="J500" s="84">
        <f t="shared" si="78"/>
        <v>4010.58</v>
      </c>
      <c r="K500" s="80">
        <v>0</v>
      </c>
      <c r="L500" s="80">
        <f t="shared" ref="L500:L530" si="79">J500*K500</f>
        <v>0</v>
      </c>
      <c r="M500" s="77" t="s">
        <v>68</v>
      </c>
      <c r="N500" s="77" t="s">
        <v>320</v>
      </c>
    </row>
    <row r="501" spans="1:14" s="54" customFormat="1" ht="31.5" x14ac:dyDescent="0.25">
      <c r="A501" s="81"/>
      <c r="B501" s="89" t="s">
        <v>110</v>
      </c>
      <c r="C501" s="77" t="s">
        <v>111</v>
      </c>
      <c r="D501" s="77" t="s">
        <v>60</v>
      </c>
      <c r="E501" s="90">
        <v>42</v>
      </c>
      <c r="F501" s="90"/>
      <c r="G501" s="83">
        <f>G483/0.25*E501</f>
        <v>297.36</v>
      </c>
      <c r="H501" s="83">
        <f>H483/0.25*E501</f>
        <v>210</v>
      </c>
      <c r="I501" s="83">
        <f>I483/0.25*E501</f>
        <v>285.59999999999997</v>
      </c>
      <c r="J501" s="84">
        <f t="shared" ref="J501" si="80">SUM(G501:I501)</f>
        <v>792.96</v>
      </c>
      <c r="K501" s="80">
        <v>0</v>
      </c>
      <c r="L501" s="80">
        <f t="shared" si="79"/>
        <v>0</v>
      </c>
      <c r="M501" s="77" t="s">
        <v>68</v>
      </c>
      <c r="N501" s="77" t="s">
        <v>320</v>
      </c>
    </row>
    <row r="502" spans="1:14" s="54" customFormat="1" ht="29.25" customHeight="1" x14ac:dyDescent="0.25">
      <c r="A502" s="81"/>
      <c r="B502" s="91" t="s">
        <v>69</v>
      </c>
      <c r="C502" s="77" t="s">
        <v>70</v>
      </c>
      <c r="D502" s="77" t="s">
        <v>45</v>
      </c>
      <c r="E502" s="77">
        <v>0.19500000000000001</v>
      </c>
      <c r="F502" s="90"/>
      <c r="G502" s="78">
        <f>G482*E502+G484*E502*0.19+G485*E502*0.19+G486*E502*0.09+G487*E502*0.09</f>
        <v>20.083245000000002</v>
      </c>
      <c r="H502" s="78">
        <f>H482*E502+H484*E502*0.19+H485*E502*0.19+H486*E502*0.09+H487*E502*0.09</f>
        <v>14.844355500000001</v>
      </c>
      <c r="I502" s="78">
        <f>I482*E502+I484*E502*0.19+I485*E502*0.19+I486*E502*0.09+I487*E502*0.09</f>
        <v>20.474512499999999</v>
      </c>
      <c r="J502" s="79">
        <f>SUM(G502:I502)</f>
        <v>55.402113</v>
      </c>
      <c r="K502" s="80">
        <v>7875</v>
      </c>
      <c r="L502" s="80">
        <f t="shared" si="79"/>
        <v>436291.63987499999</v>
      </c>
      <c r="M502" s="77" t="s">
        <v>71</v>
      </c>
      <c r="N502" s="77" t="s">
        <v>321</v>
      </c>
    </row>
    <row r="503" spans="1:14" s="54" customFormat="1" ht="29.25" customHeight="1" x14ac:dyDescent="0.25">
      <c r="A503" s="92"/>
      <c r="B503" s="91" t="s">
        <v>112</v>
      </c>
      <c r="C503" s="77" t="s">
        <v>70</v>
      </c>
      <c r="D503" s="77" t="s">
        <v>45</v>
      </c>
      <c r="E503" s="77">
        <v>0.24</v>
      </c>
      <c r="F503" s="77"/>
      <c r="G503" s="78">
        <f>G483*E503</f>
        <v>0.42480000000000001</v>
      </c>
      <c r="H503" s="78">
        <f>H483*E503</f>
        <v>0.3</v>
      </c>
      <c r="I503" s="78">
        <f>I483*E503</f>
        <v>0.40799999999999997</v>
      </c>
      <c r="J503" s="79">
        <f t="shared" ref="J503:J529" si="81">SUM(G503:I503)</f>
        <v>1.1328</v>
      </c>
      <c r="K503" s="80">
        <v>7875</v>
      </c>
      <c r="L503" s="80">
        <f t="shared" si="79"/>
        <v>8920.8000000000011</v>
      </c>
      <c r="M503" s="77" t="s">
        <v>71</v>
      </c>
      <c r="N503" s="77" t="s">
        <v>321</v>
      </c>
    </row>
    <row r="504" spans="1:14" s="54" customFormat="1" ht="29.25" customHeight="1" x14ac:dyDescent="0.25">
      <c r="A504" s="92"/>
      <c r="B504" s="91" t="s">
        <v>72</v>
      </c>
      <c r="C504" s="77" t="s">
        <v>70</v>
      </c>
      <c r="D504" s="77" t="s">
        <v>45</v>
      </c>
      <c r="E504" s="77">
        <v>4.5999999999999999E-2</v>
      </c>
      <c r="F504" s="77"/>
      <c r="G504" s="78">
        <f>G488*E504</f>
        <v>1.2466000000000002</v>
      </c>
      <c r="H504" s="78">
        <f>H488*E504</f>
        <v>1.65784</v>
      </c>
      <c r="I504" s="78">
        <f>I488*E504</f>
        <v>1.4881</v>
      </c>
      <c r="J504" s="79">
        <f t="shared" si="81"/>
        <v>4.3925400000000003</v>
      </c>
      <c r="K504" s="80">
        <v>7875</v>
      </c>
      <c r="L504" s="80">
        <f t="shared" si="79"/>
        <v>34591.252500000002</v>
      </c>
      <c r="M504" s="77" t="s">
        <v>73</v>
      </c>
      <c r="N504" s="77" t="s">
        <v>321</v>
      </c>
    </row>
    <row r="505" spans="1:14" s="54" customFormat="1" ht="29.25" customHeight="1" x14ac:dyDescent="0.25">
      <c r="A505" s="92"/>
      <c r="B505" s="91" t="s">
        <v>74</v>
      </c>
      <c r="C505" s="77" t="s">
        <v>70</v>
      </c>
      <c r="D505" s="77" t="s">
        <v>45</v>
      </c>
      <c r="E505" s="77">
        <v>1.01</v>
      </c>
      <c r="F505" s="77"/>
      <c r="G505" s="78">
        <f>G493*E505</f>
        <v>0.5306560199999999</v>
      </c>
      <c r="H505" s="78">
        <f>H493*E505</f>
        <v>0.41599475999999996</v>
      </c>
      <c r="I505" s="78">
        <f>I493*E505</f>
        <v>0.53785530000000004</v>
      </c>
      <c r="J505" s="79">
        <f t="shared" si="81"/>
        <v>1.4845060800000001</v>
      </c>
      <c r="K505" s="80">
        <v>7875</v>
      </c>
      <c r="L505" s="80">
        <f t="shared" si="79"/>
        <v>11690.48538</v>
      </c>
      <c r="M505" s="77" t="s">
        <v>71</v>
      </c>
      <c r="N505" s="77" t="s">
        <v>321</v>
      </c>
    </row>
    <row r="506" spans="1:14" s="54" customFormat="1" ht="29.25" customHeight="1" x14ac:dyDescent="0.25">
      <c r="A506" s="81"/>
      <c r="B506" s="89" t="s">
        <v>75</v>
      </c>
      <c r="C506" s="77" t="s">
        <v>70</v>
      </c>
      <c r="D506" s="77" t="s">
        <v>45</v>
      </c>
      <c r="E506" s="77">
        <v>6.0000000000000001E-3</v>
      </c>
      <c r="F506" s="77"/>
      <c r="G506" s="78">
        <f>G489*E506</f>
        <v>0.33</v>
      </c>
      <c r="H506" s="78">
        <f>H489*E506</f>
        <v>0.26400000000000001</v>
      </c>
      <c r="I506" s="78">
        <f>I489*E506</f>
        <v>0.33600000000000002</v>
      </c>
      <c r="J506" s="79">
        <f t="shared" si="81"/>
        <v>0.93000000000000016</v>
      </c>
      <c r="K506" s="80">
        <v>7875</v>
      </c>
      <c r="L506" s="80">
        <f t="shared" si="79"/>
        <v>7323.7500000000009</v>
      </c>
      <c r="M506" s="77" t="s">
        <v>76</v>
      </c>
      <c r="N506" s="77" t="s">
        <v>321</v>
      </c>
    </row>
    <row r="507" spans="1:14" s="54" customFormat="1" ht="29.25" customHeight="1" x14ac:dyDescent="0.25">
      <c r="A507" s="81"/>
      <c r="B507" s="89" t="s">
        <v>77</v>
      </c>
      <c r="C507" s="77" t="s">
        <v>70</v>
      </c>
      <c r="D507" s="77" t="s">
        <v>45</v>
      </c>
      <c r="E507" s="77">
        <v>1.01</v>
      </c>
      <c r="F507" s="77"/>
      <c r="G507" s="93">
        <v>5.7000000000000002E-2</v>
      </c>
      <c r="H507" s="93">
        <v>4.2999999999999997E-2</v>
      </c>
      <c r="I507" s="93">
        <v>3.2000000000000001E-2</v>
      </c>
      <c r="J507" s="79">
        <f t="shared" si="81"/>
        <v>0.13200000000000001</v>
      </c>
      <c r="K507" s="80">
        <v>7875</v>
      </c>
      <c r="L507" s="80">
        <f t="shared" si="79"/>
        <v>1039.5</v>
      </c>
      <c r="M507" s="94"/>
      <c r="N507" s="77" t="s">
        <v>321</v>
      </c>
    </row>
    <row r="508" spans="1:14" s="54" customFormat="1" ht="24" customHeight="1" x14ac:dyDescent="0.25">
      <c r="A508" s="81"/>
      <c r="B508" s="89" t="s">
        <v>78</v>
      </c>
      <c r="C508" s="77" t="s">
        <v>79</v>
      </c>
      <c r="D508" s="77" t="s">
        <v>47</v>
      </c>
      <c r="E508" s="77"/>
      <c r="F508" s="77"/>
      <c r="G508" s="78">
        <v>182.58</v>
      </c>
      <c r="H508" s="78">
        <v>142.61000000000001</v>
      </c>
      <c r="I508" s="78">
        <v>188.7</v>
      </c>
      <c r="J508" s="79">
        <f t="shared" si="81"/>
        <v>513.8900000000001</v>
      </c>
      <c r="K508" s="80">
        <v>88.34</v>
      </c>
      <c r="L508" s="80">
        <f t="shared" si="79"/>
        <v>45397.042600000008</v>
      </c>
      <c r="M508" s="94"/>
      <c r="N508" s="77" t="s">
        <v>321</v>
      </c>
    </row>
    <row r="509" spans="1:14" s="54" customFormat="1" ht="24" customHeight="1" x14ac:dyDescent="0.25">
      <c r="A509" s="81"/>
      <c r="B509" s="89" t="s">
        <v>277</v>
      </c>
      <c r="C509" s="77" t="s">
        <v>114</v>
      </c>
      <c r="D509" s="77" t="s">
        <v>60</v>
      </c>
      <c r="E509" s="77"/>
      <c r="F509" s="77"/>
      <c r="G509" s="78">
        <v>12</v>
      </c>
      <c r="H509" s="78">
        <v>17</v>
      </c>
      <c r="I509" s="78">
        <v>13</v>
      </c>
      <c r="J509" s="79">
        <f t="shared" si="81"/>
        <v>42</v>
      </c>
      <c r="K509" s="80">
        <v>398.6</v>
      </c>
      <c r="L509" s="80">
        <f t="shared" si="79"/>
        <v>16741.2</v>
      </c>
      <c r="M509" s="94"/>
      <c r="N509" s="77" t="s">
        <v>321</v>
      </c>
    </row>
    <row r="510" spans="1:14" s="54" customFormat="1" ht="24" customHeight="1" x14ac:dyDescent="0.25">
      <c r="A510" s="81"/>
      <c r="B510" s="89" t="s">
        <v>278</v>
      </c>
      <c r="C510" s="77" t="s">
        <v>116</v>
      </c>
      <c r="D510" s="77" t="s">
        <v>60</v>
      </c>
      <c r="E510" s="77"/>
      <c r="F510" s="77"/>
      <c r="G510" s="78">
        <v>10</v>
      </c>
      <c r="H510" s="78"/>
      <c r="I510" s="78">
        <v>10</v>
      </c>
      <c r="J510" s="79">
        <f t="shared" si="81"/>
        <v>20</v>
      </c>
      <c r="K510" s="80">
        <v>465.03</v>
      </c>
      <c r="L510" s="80">
        <f t="shared" si="79"/>
        <v>9300.5999999999985</v>
      </c>
      <c r="M510" s="94"/>
      <c r="N510" s="77" t="s">
        <v>321</v>
      </c>
    </row>
    <row r="511" spans="1:14" s="54" customFormat="1" ht="24" customHeight="1" x14ac:dyDescent="0.25">
      <c r="A511" s="81"/>
      <c r="B511" s="89" t="s">
        <v>279</v>
      </c>
      <c r="C511" s="77" t="s">
        <v>280</v>
      </c>
      <c r="D511" s="77" t="s">
        <v>60</v>
      </c>
      <c r="E511" s="77"/>
      <c r="F511" s="77"/>
      <c r="G511" s="78"/>
      <c r="H511" s="78"/>
      <c r="I511" s="78">
        <v>1</v>
      </c>
      <c r="J511" s="79">
        <f t="shared" si="81"/>
        <v>1</v>
      </c>
      <c r="K511" s="80">
        <v>863.64</v>
      </c>
      <c r="L511" s="80">
        <f t="shared" si="79"/>
        <v>863.64</v>
      </c>
      <c r="M511" s="94"/>
      <c r="N511" s="77" t="s">
        <v>321</v>
      </c>
    </row>
    <row r="512" spans="1:14" s="54" customFormat="1" ht="24" customHeight="1" x14ac:dyDescent="0.25">
      <c r="A512" s="81"/>
      <c r="B512" s="89" t="s">
        <v>283</v>
      </c>
      <c r="C512" s="77" t="s">
        <v>284</v>
      </c>
      <c r="D512" s="77" t="s">
        <v>60</v>
      </c>
      <c r="E512" s="77"/>
      <c r="F512" s="77"/>
      <c r="G512" s="78">
        <v>1</v>
      </c>
      <c r="H512" s="78">
        <v>1</v>
      </c>
      <c r="I512" s="78"/>
      <c r="J512" s="79">
        <f t="shared" si="81"/>
        <v>2</v>
      </c>
      <c r="K512" s="80">
        <v>620.04999999999995</v>
      </c>
      <c r="L512" s="80">
        <f t="shared" si="79"/>
        <v>1240.0999999999999</v>
      </c>
      <c r="M512" s="94"/>
      <c r="N512" s="77" t="s">
        <v>321</v>
      </c>
    </row>
    <row r="513" spans="1:15" s="54" customFormat="1" ht="24" customHeight="1" x14ac:dyDescent="0.25">
      <c r="A513" s="81"/>
      <c r="B513" s="89" t="s">
        <v>285</v>
      </c>
      <c r="C513" s="77" t="s">
        <v>286</v>
      </c>
      <c r="D513" s="77" t="s">
        <v>60</v>
      </c>
      <c r="E513" s="77"/>
      <c r="F513" s="77"/>
      <c r="G513" s="78"/>
      <c r="H513" s="78"/>
      <c r="I513" s="78">
        <v>1</v>
      </c>
      <c r="J513" s="79">
        <f t="shared" si="81"/>
        <v>1</v>
      </c>
      <c r="K513" s="80">
        <v>708.62</v>
      </c>
      <c r="L513" s="80">
        <f t="shared" si="79"/>
        <v>708.62</v>
      </c>
      <c r="M513" s="94"/>
      <c r="N513" s="77" t="s">
        <v>321</v>
      </c>
    </row>
    <row r="514" spans="1:15" s="54" customFormat="1" ht="24" customHeight="1" x14ac:dyDescent="0.25">
      <c r="A514" s="81"/>
      <c r="B514" s="89" t="s">
        <v>287</v>
      </c>
      <c r="C514" s="77" t="s">
        <v>288</v>
      </c>
      <c r="D514" s="77" t="s">
        <v>60</v>
      </c>
      <c r="E514" s="77"/>
      <c r="F514" s="77"/>
      <c r="G514" s="78">
        <v>1</v>
      </c>
      <c r="H514" s="78">
        <v>1</v>
      </c>
      <c r="I514" s="78">
        <v>1</v>
      </c>
      <c r="J514" s="79">
        <f t="shared" si="81"/>
        <v>3</v>
      </c>
      <c r="K514" s="80">
        <v>797.2</v>
      </c>
      <c r="L514" s="80">
        <f t="shared" si="79"/>
        <v>2391.6000000000004</v>
      </c>
      <c r="M514" s="94"/>
      <c r="N514" s="77" t="s">
        <v>321</v>
      </c>
    </row>
    <row r="515" spans="1:15" s="54" customFormat="1" ht="24" customHeight="1" x14ac:dyDescent="0.25">
      <c r="A515" s="81"/>
      <c r="B515" s="89" t="s">
        <v>297</v>
      </c>
      <c r="C515" s="77" t="s">
        <v>118</v>
      </c>
      <c r="D515" s="77" t="s">
        <v>60</v>
      </c>
      <c r="E515" s="77"/>
      <c r="F515" s="77"/>
      <c r="G515" s="78">
        <v>5</v>
      </c>
      <c r="H515" s="78"/>
      <c r="I515" s="78">
        <v>3</v>
      </c>
      <c r="J515" s="79">
        <f t="shared" si="81"/>
        <v>8</v>
      </c>
      <c r="K515" s="80">
        <v>841.49</v>
      </c>
      <c r="L515" s="80">
        <f t="shared" si="79"/>
        <v>6731.92</v>
      </c>
      <c r="M515" s="94"/>
      <c r="N515" s="77" t="s">
        <v>321</v>
      </c>
    </row>
    <row r="516" spans="1:15" s="54" customFormat="1" ht="24" customHeight="1" x14ac:dyDescent="0.25">
      <c r="A516" s="81"/>
      <c r="B516" s="89" t="s">
        <v>298</v>
      </c>
      <c r="C516" s="77" t="s">
        <v>120</v>
      </c>
      <c r="D516" s="77" t="s">
        <v>60</v>
      </c>
      <c r="E516" s="77"/>
      <c r="F516" s="77"/>
      <c r="G516" s="78">
        <v>4</v>
      </c>
      <c r="H516" s="78">
        <v>6</v>
      </c>
      <c r="I516" s="78">
        <v>6</v>
      </c>
      <c r="J516" s="79">
        <f t="shared" si="81"/>
        <v>16</v>
      </c>
      <c r="K516" s="80">
        <v>981.74</v>
      </c>
      <c r="L516" s="80">
        <f t="shared" si="79"/>
        <v>15707.84</v>
      </c>
      <c r="M516" s="94"/>
      <c r="N516" s="77" t="s">
        <v>321</v>
      </c>
    </row>
    <row r="517" spans="1:15" s="54" customFormat="1" ht="24" customHeight="1" x14ac:dyDescent="0.25">
      <c r="A517" s="81"/>
      <c r="B517" s="89" t="s">
        <v>299</v>
      </c>
      <c r="C517" s="77" t="s">
        <v>300</v>
      </c>
      <c r="D517" s="77" t="s">
        <v>60</v>
      </c>
      <c r="E517" s="77"/>
      <c r="F517" s="77"/>
      <c r="G517" s="78">
        <v>3</v>
      </c>
      <c r="H517" s="78"/>
      <c r="I517" s="78">
        <v>2</v>
      </c>
      <c r="J517" s="79">
        <f t="shared" si="81"/>
        <v>5</v>
      </c>
      <c r="K517" s="80">
        <v>1107.23</v>
      </c>
      <c r="L517" s="80">
        <f t="shared" si="79"/>
        <v>5536.15</v>
      </c>
      <c r="M517" s="94"/>
      <c r="N517" s="77" t="s">
        <v>321</v>
      </c>
    </row>
    <row r="518" spans="1:15" s="54" customFormat="1" ht="24" customHeight="1" x14ac:dyDescent="0.25">
      <c r="A518" s="81"/>
      <c r="B518" s="89" t="s">
        <v>301</v>
      </c>
      <c r="C518" s="77" t="s">
        <v>122</v>
      </c>
      <c r="D518" s="77" t="s">
        <v>60</v>
      </c>
      <c r="E518" s="77"/>
      <c r="F518" s="77"/>
      <c r="G518" s="78"/>
      <c r="H518" s="78">
        <v>1</v>
      </c>
      <c r="I518" s="78"/>
      <c r="J518" s="79">
        <f t="shared" si="81"/>
        <v>1</v>
      </c>
      <c r="K518" s="80">
        <v>1291.76</v>
      </c>
      <c r="L518" s="80">
        <f t="shared" si="79"/>
        <v>1291.76</v>
      </c>
      <c r="M518" s="94"/>
      <c r="N518" s="77" t="s">
        <v>321</v>
      </c>
    </row>
    <row r="519" spans="1:15" s="54" customFormat="1" ht="24" customHeight="1" x14ac:dyDescent="0.25">
      <c r="A519" s="81"/>
      <c r="B519" s="89" t="s">
        <v>306</v>
      </c>
      <c r="C519" s="77" t="s">
        <v>307</v>
      </c>
      <c r="D519" s="77" t="s">
        <v>60</v>
      </c>
      <c r="E519" s="77"/>
      <c r="F519" s="77"/>
      <c r="G519" s="78"/>
      <c r="H519" s="78">
        <v>1</v>
      </c>
      <c r="I519" s="78"/>
      <c r="J519" s="79">
        <f t="shared" si="81"/>
        <v>1</v>
      </c>
      <c r="K519" s="80">
        <v>1660.84</v>
      </c>
      <c r="L519" s="80">
        <f t="shared" si="79"/>
        <v>1660.84</v>
      </c>
      <c r="M519" s="94"/>
      <c r="N519" s="77" t="s">
        <v>321</v>
      </c>
    </row>
    <row r="520" spans="1:15" s="54" customFormat="1" ht="24" customHeight="1" x14ac:dyDescent="0.25">
      <c r="A520" s="81"/>
      <c r="B520" s="89" t="s">
        <v>302</v>
      </c>
      <c r="C520" s="77" t="s">
        <v>124</v>
      </c>
      <c r="D520" s="77" t="s">
        <v>60</v>
      </c>
      <c r="E520" s="77"/>
      <c r="F520" s="77"/>
      <c r="G520" s="78">
        <v>1</v>
      </c>
      <c r="H520" s="78"/>
      <c r="I520" s="78"/>
      <c r="J520" s="79">
        <f t="shared" si="81"/>
        <v>1</v>
      </c>
      <c r="K520" s="80">
        <v>1845.38</v>
      </c>
      <c r="L520" s="80">
        <f t="shared" si="79"/>
        <v>1845.38</v>
      </c>
      <c r="M520" s="94"/>
      <c r="N520" s="77" t="s">
        <v>321</v>
      </c>
    </row>
    <row r="521" spans="1:15" s="54" customFormat="1" ht="24" customHeight="1" x14ac:dyDescent="0.25">
      <c r="A521" s="81"/>
      <c r="B521" s="89" t="s">
        <v>303</v>
      </c>
      <c r="C521" s="77" t="s">
        <v>126</v>
      </c>
      <c r="D521" s="77" t="s">
        <v>60</v>
      </c>
      <c r="E521" s="77"/>
      <c r="F521" s="77"/>
      <c r="G521" s="78">
        <v>12</v>
      </c>
      <c r="H521" s="78">
        <v>10</v>
      </c>
      <c r="I521" s="78">
        <v>13</v>
      </c>
      <c r="J521" s="79">
        <f t="shared" si="81"/>
        <v>35</v>
      </c>
      <c r="K521" s="80">
        <v>2029.91</v>
      </c>
      <c r="L521" s="80">
        <f t="shared" si="79"/>
        <v>71046.850000000006</v>
      </c>
      <c r="M521" s="94"/>
      <c r="N521" s="77" t="s">
        <v>321</v>
      </c>
    </row>
    <row r="522" spans="1:15" s="54" customFormat="1" ht="24" customHeight="1" x14ac:dyDescent="0.25">
      <c r="A522" s="81"/>
      <c r="B522" s="89" t="s">
        <v>304</v>
      </c>
      <c r="C522" s="77" t="s">
        <v>128</v>
      </c>
      <c r="D522" s="77" t="s">
        <v>60</v>
      </c>
      <c r="E522" s="77"/>
      <c r="F522" s="77"/>
      <c r="G522" s="78">
        <v>4</v>
      </c>
      <c r="H522" s="78">
        <v>1</v>
      </c>
      <c r="I522" s="78">
        <v>4</v>
      </c>
      <c r="J522" s="79">
        <f t="shared" si="81"/>
        <v>9</v>
      </c>
      <c r="K522" s="80">
        <v>2398.9899999999998</v>
      </c>
      <c r="L522" s="80">
        <f t="shared" si="79"/>
        <v>21590.909999999996</v>
      </c>
      <c r="M522" s="94"/>
      <c r="N522" s="77" t="s">
        <v>321</v>
      </c>
    </row>
    <row r="523" spans="1:15" s="54" customFormat="1" ht="24" customHeight="1" x14ac:dyDescent="0.25">
      <c r="A523" s="81"/>
      <c r="B523" s="89" t="s">
        <v>305</v>
      </c>
      <c r="C523" s="77" t="s">
        <v>130</v>
      </c>
      <c r="D523" s="77" t="s">
        <v>60</v>
      </c>
      <c r="E523" s="77"/>
      <c r="F523" s="77"/>
      <c r="G523" s="78">
        <v>2</v>
      </c>
      <c r="H523" s="78">
        <v>6</v>
      </c>
      <c r="I523" s="78">
        <v>2</v>
      </c>
      <c r="J523" s="79">
        <f t="shared" si="81"/>
        <v>10</v>
      </c>
      <c r="K523" s="80">
        <v>2583.5300000000002</v>
      </c>
      <c r="L523" s="80">
        <f t="shared" si="79"/>
        <v>25835.300000000003</v>
      </c>
      <c r="M523" s="94"/>
      <c r="N523" s="77" t="s">
        <v>321</v>
      </c>
    </row>
    <row r="524" spans="1:15" s="54" customFormat="1" ht="24" customHeight="1" x14ac:dyDescent="0.25">
      <c r="A524" s="81"/>
      <c r="B524" s="89" t="s">
        <v>92</v>
      </c>
      <c r="C524" s="77" t="s">
        <v>93</v>
      </c>
      <c r="D524" s="77" t="s">
        <v>54</v>
      </c>
      <c r="E524" s="77">
        <v>1.04</v>
      </c>
      <c r="F524" s="77"/>
      <c r="G524" s="78">
        <f>149.74*E524</f>
        <v>155.7296</v>
      </c>
      <c r="H524" s="78">
        <f>121.66*E524</f>
        <v>126.5264</v>
      </c>
      <c r="I524" s="78">
        <f>158.83*E524</f>
        <v>165.18320000000003</v>
      </c>
      <c r="J524" s="79">
        <f t="shared" si="81"/>
        <v>447.43920000000003</v>
      </c>
      <c r="K524" s="80">
        <v>66.349999999999994</v>
      </c>
      <c r="L524" s="80">
        <f t="shared" si="79"/>
        <v>29687.590919999999</v>
      </c>
      <c r="M524" s="94"/>
      <c r="N524" s="77" t="s">
        <v>321</v>
      </c>
    </row>
    <row r="525" spans="1:15" s="54" customFormat="1" ht="24" customHeight="1" x14ac:dyDescent="0.25">
      <c r="A525" s="81"/>
      <c r="B525" s="89" t="s">
        <v>94</v>
      </c>
      <c r="C525" s="77" t="s">
        <v>95</v>
      </c>
      <c r="D525" s="77" t="s">
        <v>54</v>
      </c>
      <c r="E525" s="77">
        <v>1.04</v>
      </c>
      <c r="F525" s="77"/>
      <c r="G525" s="78">
        <f>G491*E525</f>
        <v>43.940000000000005</v>
      </c>
      <c r="H525" s="78">
        <f>H491*E525</f>
        <v>32.895200000000003</v>
      </c>
      <c r="I525" s="78">
        <f>I491*E525</f>
        <v>27.383199999999999</v>
      </c>
      <c r="J525" s="79">
        <f t="shared" si="81"/>
        <v>104.21840000000002</v>
      </c>
      <c r="K525" s="80">
        <v>64</v>
      </c>
      <c r="L525" s="80">
        <f t="shared" si="79"/>
        <v>6669.9776000000011</v>
      </c>
      <c r="M525" s="94"/>
      <c r="N525" s="77" t="s">
        <v>321</v>
      </c>
    </row>
    <row r="526" spans="1:15" s="54" customFormat="1" ht="24" customHeight="1" x14ac:dyDescent="0.25">
      <c r="A526" s="81"/>
      <c r="B526" s="89" t="s">
        <v>131</v>
      </c>
      <c r="C526" s="77" t="s">
        <v>39</v>
      </c>
      <c r="D526" s="77" t="s">
        <v>54</v>
      </c>
      <c r="E526" s="77">
        <v>1.04</v>
      </c>
      <c r="F526" s="77"/>
      <c r="G526" s="78">
        <f>31.12*E526</f>
        <v>32.364800000000002</v>
      </c>
      <c r="H526" s="78">
        <f>31.12*E526</f>
        <v>32.364800000000002</v>
      </c>
      <c r="I526" s="78">
        <f>31.12*E526</f>
        <v>32.364800000000002</v>
      </c>
      <c r="J526" s="79">
        <f t="shared" si="81"/>
        <v>97.094400000000007</v>
      </c>
      <c r="K526" s="80">
        <v>64.209999999999994</v>
      </c>
      <c r="L526" s="80">
        <f t="shared" si="79"/>
        <v>6234.4314239999994</v>
      </c>
      <c r="M526" s="94"/>
      <c r="N526" s="77" t="s">
        <v>321</v>
      </c>
      <c r="O526" s="2"/>
    </row>
    <row r="527" spans="1:15" s="54" customFormat="1" ht="24" customHeight="1" x14ac:dyDescent="0.25">
      <c r="A527" s="81"/>
      <c r="B527" s="89" t="s">
        <v>96</v>
      </c>
      <c r="C527" s="77" t="s">
        <v>39</v>
      </c>
      <c r="D527" s="77" t="s">
        <v>54</v>
      </c>
      <c r="E527" s="77">
        <v>1.04</v>
      </c>
      <c r="F527" s="77"/>
      <c r="G527" s="78">
        <f>15.21*E527</f>
        <v>15.818400000000002</v>
      </c>
      <c r="H527" s="78">
        <f>E527*22.49</f>
        <v>23.389599999999998</v>
      </c>
      <c r="I527" s="78"/>
      <c r="J527" s="79">
        <f t="shared" si="81"/>
        <v>39.207999999999998</v>
      </c>
      <c r="K527" s="80">
        <v>72.78</v>
      </c>
      <c r="L527" s="80">
        <f t="shared" si="79"/>
        <v>2853.5582399999998</v>
      </c>
      <c r="M527" s="94"/>
      <c r="N527" s="77" t="s">
        <v>321</v>
      </c>
      <c r="O527" s="2"/>
    </row>
    <row r="528" spans="1:15" s="54" customFormat="1" ht="24" customHeight="1" x14ac:dyDescent="0.25">
      <c r="A528" s="81"/>
      <c r="B528" s="89" t="s">
        <v>97</v>
      </c>
      <c r="C528" s="77" t="s">
        <v>39</v>
      </c>
      <c r="D528" s="77" t="s">
        <v>54</v>
      </c>
      <c r="E528" s="77">
        <v>1.04</v>
      </c>
      <c r="F528" s="77"/>
      <c r="G528" s="78">
        <f>E528*30.81</f>
        <v>32.042400000000001</v>
      </c>
      <c r="H528" s="78">
        <f>E528*6.64</f>
        <v>6.9055999999999997</v>
      </c>
      <c r="I528" s="78">
        <f>E528*18.88</f>
        <v>19.635200000000001</v>
      </c>
      <c r="J528" s="79">
        <f t="shared" si="81"/>
        <v>58.583200000000005</v>
      </c>
      <c r="K528" s="80">
        <v>74.92</v>
      </c>
      <c r="L528" s="80">
        <f t="shared" si="79"/>
        <v>4389.0533440000008</v>
      </c>
      <c r="M528" s="94"/>
      <c r="N528" s="77" t="s">
        <v>321</v>
      </c>
    </row>
    <row r="529" spans="1:14" s="54" customFormat="1" ht="24" customHeight="1" x14ac:dyDescent="0.25">
      <c r="A529" s="81"/>
      <c r="B529" s="89" t="s">
        <v>132</v>
      </c>
      <c r="C529" s="77" t="s">
        <v>39</v>
      </c>
      <c r="D529" s="77" t="s">
        <v>54</v>
      </c>
      <c r="E529" s="77">
        <v>1.04</v>
      </c>
      <c r="F529" s="77"/>
      <c r="G529" s="78">
        <f>10.5*E529</f>
        <v>10.92</v>
      </c>
      <c r="H529" s="78">
        <f>10.5*E529</f>
        <v>10.92</v>
      </c>
      <c r="I529" s="78">
        <f>10.5*E529</f>
        <v>10.92</v>
      </c>
      <c r="J529" s="79">
        <f t="shared" si="81"/>
        <v>32.76</v>
      </c>
      <c r="K529" s="80">
        <v>75.97</v>
      </c>
      <c r="L529" s="80">
        <f t="shared" si="79"/>
        <v>2488.7772</v>
      </c>
      <c r="M529" s="94"/>
      <c r="N529" s="77" t="s">
        <v>321</v>
      </c>
    </row>
    <row r="530" spans="1:14" s="54" customFormat="1" ht="24" customHeight="1" x14ac:dyDescent="0.25">
      <c r="A530" s="81"/>
      <c r="B530" s="89" t="s">
        <v>275</v>
      </c>
      <c r="C530" s="77" t="s">
        <v>276</v>
      </c>
      <c r="D530" s="77" t="s">
        <v>45</v>
      </c>
      <c r="E530" s="77">
        <v>1.04</v>
      </c>
      <c r="F530" s="77"/>
      <c r="G530" s="78">
        <f>G492*0.05*E530</f>
        <v>1.8376800000000004</v>
      </c>
      <c r="H530" s="78">
        <v>0</v>
      </c>
      <c r="I530" s="78">
        <v>0</v>
      </c>
      <c r="J530" s="79">
        <f t="shared" ref="J530" si="82">SUM(G530:I530)</f>
        <v>1.8376800000000004</v>
      </c>
      <c r="K530" s="80">
        <v>6405.83</v>
      </c>
      <c r="L530" s="80">
        <f t="shared" si="79"/>
        <v>11771.865674400002</v>
      </c>
      <c r="M530" s="94"/>
      <c r="N530" s="77" t="s">
        <v>321</v>
      </c>
    </row>
    <row r="531" spans="1:14" s="101" customFormat="1" ht="33.75" customHeight="1" x14ac:dyDescent="0.25">
      <c r="A531" s="95"/>
      <c r="B531" s="96" t="s">
        <v>133</v>
      </c>
      <c r="C531" s="97" t="s">
        <v>39</v>
      </c>
      <c r="D531" s="97" t="s">
        <v>99</v>
      </c>
      <c r="E531" s="97"/>
      <c r="F531" s="97"/>
      <c r="G531" s="98"/>
      <c r="H531" s="98"/>
      <c r="I531" s="98"/>
      <c r="J531" s="99">
        <f>L531*100/L481</f>
        <v>4.0102555875825354</v>
      </c>
      <c r="K531" s="79"/>
      <c r="L531" s="79">
        <v>114152.04240000001</v>
      </c>
      <c r="M531" s="100"/>
      <c r="N531" s="97" t="s">
        <v>321</v>
      </c>
    </row>
    <row r="532" spans="1:14" s="54" customFormat="1" x14ac:dyDescent="0.25">
      <c r="A532" s="60" t="s">
        <v>150</v>
      </c>
      <c r="B532" s="61" t="s">
        <v>151</v>
      </c>
      <c r="C532" s="62"/>
      <c r="D532" s="63"/>
      <c r="E532" s="62"/>
      <c r="F532" s="62"/>
      <c r="G532" s="64"/>
      <c r="H532" s="64"/>
      <c r="I532" s="64"/>
      <c r="J532" s="65"/>
      <c r="K532" s="65"/>
      <c r="L532" s="65">
        <f>L533+L546</f>
        <v>3752497.3971573994</v>
      </c>
      <c r="M532" s="86"/>
      <c r="N532" s="86"/>
    </row>
    <row r="533" spans="1:14" s="54" customFormat="1" x14ac:dyDescent="0.25">
      <c r="A533" s="66"/>
      <c r="B533" s="67" t="s">
        <v>34</v>
      </c>
      <c r="C533" s="68"/>
      <c r="D533" s="68"/>
      <c r="E533" s="68"/>
      <c r="F533" s="68"/>
      <c r="G533" s="69"/>
      <c r="H533" s="69"/>
      <c r="I533" s="69"/>
      <c r="J533" s="70"/>
      <c r="K533" s="70"/>
      <c r="L533" s="70">
        <f>SUM(L534:L545)</f>
        <v>2846502.9199999995</v>
      </c>
      <c r="M533" s="72"/>
      <c r="N533" s="72"/>
    </row>
    <row r="534" spans="1:14" s="54" customFormat="1" ht="21.75" customHeight="1" x14ac:dyDescent="0.25">
      <c r="A534" s="66"/>
      <c r="B534" s="71" t="s">
        <v>44</v>
      </c>
      <c r="C534" s="72"/>
      <c r="D534" s="72" t="s">
        <v>45</v>
      </c>
      <c r="E534" s="72"/>
      <c r="F534" s="72"/>
      <c r="G534" s="73">
        <v>30.11</v>
      </c>
      <c r="H534" s="73">
        <v>25.51</v>
      </c>
      <c r="I534" s="73">
        <v>38.270000000000003</v>
      </c>
      <c r="J534" s="70">
        <f>SUM(G534:I534)</f>
        <v>93.890000000000015</v>
      </c>
      <c r="K534" s="74">
        <v>4939</v>
      </c>
      <c r="L534" s="74">
        <f>K534*J534</f>
        <v>463722.71000000008</v>
      </c>
      <c r="M534" s="72"/>
      <c r="N534" s="72"/>
    </row>
    <row r="535" spans="1:14" s="54" customFormat="1" ht="21.75" customHeight="1" x14ac:dyDescent="0.25">
      <c r="A535" s="66"/>
      <c r="B535" s="71" t="s">
        <v>102</v>
      </c>
      <c r="C535" s="72"/>
      <c r="D535" s="72" t="s">
        <v>45</v>
      </c>
      <c r="E535" s="72"/>
      <c r="F535" s="72"/>
      <c r="G535" s="73">
        <v>1.77</v>
      </c>
      <c r="H535" s="73">
        <v>1.25</v>
      </c>
      <c r="I535" s="73">
        <v>1.7</v>
      </c>
      <c r="J535" s="70">
        <f t="shared" ref="J535:J544" si="83">SUM(G535:I535)</f>
        <v>4.72</v>
      </c>
      <c r="K535" s="74">
        <v>5845</v>
      </c>
      <c r="L535" s="74">
        <f t="shared" ref="L535" si="84">K535*J535</f>
        <v>27588.399999999998</v>
      </c>
      <c r="M535" s="72"/>
      <c r="N535" s="72"/>
    </row>
    <row r="536" spans="1:14" s="54" customFormat="1" ht="21.75" customHeight="1" x14ac:dyDescent="0.25">
      <c r="A536" s="66"/>
      <c r="B536" s="71" t="s">
        <v>46</v>
      </c>
      <c r="C536" s="72"/>
      <c r="D536" s="72" t="s">
        <v>47</v>
      </c>
      <c r="E536" s="72"/>
      <c r="F536" s="72"/>
      <c r="G536" s="73">
        <v>204.75</v>
      </c>
      <c r="H536" s="73">
        <v>120.63</v>
      </c>
      <c r="I536" s="73">
        <v>142.32</v>
      </c>
      <c r="J536" s="70">
        <f t="shared" si="83"/>
        <v>467.7</v>
      </c>
      <c r="K536" s="74">
        <v>1461</v>
      </c>
      <c r="L536" s="74">
        <f>K536*J536</f>
        <v>683309.7</v>
      </c>
      <c r="M536" s="72"/>
      <c r="N536" s="72"/>
    </row>
    <row r="537" spans="1:14" s="54" customFormat="1" ht="21.75" customHeight="1" x14ac:dyDescent="0.25">
      <c r="A537" s="66"/>
      <c r="B537" s="71" t="s">
        <v>48</v>
      </c>
      <c r="C537" s="72"/>
      <c r="D537" s="72" t="s">
        <v>47</v>
      </c>
      <c r="E537" s="72"/>
      <c r="F537" s="72"/>
      <c r="G537" s="73">
        <v>57.32</v>
      </c>
      <c r="H537" s="73">
        <v>44.32</v>
      </c>
      <c r="I537" s="73">
        <v>79.95</v>
      </c>
      <c r="J537" s="70">
        <f t="shared" si="83"/>
        <v>181.59</v>
      </c>
      <c r="K537" s="74">
        <v>1461</v>
      </c>
      <c r="L537" s="74">
        <f>K537*J537</f>
        <v>265302.99</v>
      </c>
      <c r="M537" s="72"/>
      <c r="N537" s="72"/>
    </row>
    <row r="538" spans="1:14" s="54" customFormat="1" ht="21.75" customHeight="1" x14ac:dyDescent="0.25">
      <c r="A538" s="66"/>
      <c r="B538" s="71" t="s">
        <v>103</v>
      </c>
      <c r="C538" s="72"/>
      <c r="D538" s="72" t="s">
        <v>47</v>
      </c>
      <c r="E538" s="72"/>
      <c r="F538" s="72"/>
      <c r="G538" s="73">
        <v>156.13999999999999</v>
      </c>
      <c r="H538" s="73">
        <v>101.76</v>
      </c>
      <c r="I538" s="73">
        <v>158.25</v>
      </c>
      <c r="J538" s="70">
        <f t="shared" si="83"/>
        <v>416.15</v>
      </c>
      <c r="K538" s="74">
        <v>1461</v>
      </c>
      <c r="L538" s="74">
        <f>K538*J538</f>
        <v>607995.15</v>
      </c>
      <c r="M538" s="72"/>
      <c r="N538" s="72"/>
    </row>
    <row r="539" spans="1:14" s="54" customFormat="1" ht="21.75" customHeight="1" x14ac:dyDescent="0.25">
      <c r="A539" s="66"/>
      <c r="B539" s="71" t="s">
        <v>104</v>
      </c>
      <c r="C539" s="72"/>
      <c r="D539" s="72" t="s">
        <v>47</v>
      </c>
      <c r="E539" s="72"/>
      <c r="F539" s="72"/>
      <c r="G539" s="73">
        <v>100.39</v>
      </c>
      <c r="H539" s="73">
        <v>112.4</v>
      </c>
      <c r="I539" s="73">
        <v>113.93</v>
      </c>
      <c r="J539" s="70">
        <f t="shared" si="83"/>
        <v>326.72000000000003</v>
      </c>
      <c r="K539" s="74">
        <v>1461</v>
      </c>
      <c r="L539" s="74">
        <f>K539*J539</f>
        <v>477337.92000000004</v>
      </c>
      <c r="M539" s="72"/>
      <c r="N539" s="72"/>
    </row>
    <row r="540" spans="1:14" s="54" customFormat="1" ht="21.75" customHeight="1" x14ac:dyDescent="0.25">
      <c r="A540" s="66"/>
      <c r="B540" s="71" t="s">
        <v>49</v>
      </c>
      <c r="C540" s="72"/>
      <c r="D540" s="72" t="s">
        <v>47</v>
      </c>
      <c r="E540" s="72"/>
      <c r="F540" s="72"/>
      <c r="G540" s="73">
        <v>27.1</v>
      </c>
      <c r="H540" s="73">
        <v>36.04</v>
      </c>
      <c r="I540" s="73">
        <v>32.35</v>
      </c>
      <c r="J540" s="70">
        <f t="shared" si="83"/>
        <v>95.490000000000009</v>
      </c>
      <c r="K540" s="74">
        <v>1610</v>
      </c>
      <c r="L540" s="74">
        <f t="shared" ref="L540:L544" si="85">K540*J540</f>
        <v>153738.90000000002</v>
      </c>
      <c r="M540" s="72"/>
      <c r="N540" s="72"/>
    </row>
    <row r="541" spans="1:14" s="54" customFormat="1" ht="21.75" customHeight="1" x14ac:dyDescent="0.25">
      <c r="A541" s="66"/>
      <c r="B541" s="71" t="s">
        <v>50</v>
      </c>
      <c r="C541" s="72"/>
      <c r="D541" s="72" t="s">
        <v>51</v>
      </c>
      <c r="E541" s="72"/>
      <c r="F541" s="72"/>
      <c r="G541" s="73">
        <v>55</v>
      </c>
      <c r="H541" s="73">
        <v>44</v>
      </c>
      <c r="I541" s="73">
        <v>56</v>
      </c>
      <c r="J541" s="70">
        <f t="shared" si="83"/>
        <v>155</v>
      </c>
      <c r="K541" s="74">
        <v>803</v>
      </c>
      <c r="L541" s="74">
        <f t="shared" si="85"/>
        <v>124465</v>
      </c>
      <c r="M541" s="72"/>
      <c r="N541" s="72"/>
    </row>
    <row r="542" spans="1:14" s="54" customFormat="1" ht="21.75" customHeight="1" x14ac:dyDescent="0.25">
      <c r="A542" s="66"/>
      <c r="B542" s="71" t="s">
        <v>52</v>
      </c>
      <c r="C542" s="72" t="s">
        <v>105</v>
      </c>
      <c r="D542" s="72" t="s">
        <v>54</v>
      </c>
      <c r="E542" s="72"/>
      <c r="F542" s="72"/>
      <c r="G542" s="129">
        <v>87.64</v>
      </c>
      <c r="H542" s="129">
        <v>70.760000000000005</v>
      </c>
      <c r="I542" s="129">
        <v>60.5</v>
      </c>
      <c r="J542" s="130">
        <f t="shared" si="83"/>
        <v>218.9</v>
      </c>
      <c r="K542" s="74">
        <v>94.5</v>
      </c>
      <c r="L542" s="74">
        <f t="shared" si="85"/>
        <v>20686.05</v>
      </c>
      <c r="M542" s="72"/>
      <c r="N542" s="72"/>
    </row>
    <row r="543" spans="1:14" s="54" customFormat="1" ht="31.5" x14ac:dyDescent="0.25">
      <c r="A543" s="66"/>
      <c r="B543" s="71" t="s">
        <v>55</v>
      </c>
      <c r="C543" s="72"/>
      <c r="D543" s="72" t="s">
        <v>54</v>
      </c>
      <c r="E543" s="72"/>
      <c r="F543" s="72"/>
      <c r="G543" s="73">
        <v>42.25</v>
      </c>
      <c r="H543" s="73">
        <v>31.63</v>
      </c>
      <c r="I543" s="73">
        <v>26.33</v>
      </c>
      <c r="J543" s="70">
        <f t="shared" si="83"/>
        <v>100.21</v>
      </c>
      <c r="K543" s="74">
        <v>118</v>
      </c>
      <c r="L543" s="74">
        <f t="shared" si="85"/>
        <v>11824.779999999999</v>
      </c>
      <c r="M543" s="72"/>
      <c r="N543" s="72"/>
    </row>
    <row r="544" spans="1:14" s="54" customFormat="1" ht="20.25" customHeight="1" x14ac:dyDescent="0.25">
      <c r="A544" s="66"/>
      <c r="B544" s="71" t="s">
        <v>256</v>
      </c>
      <c r="C544" s="72"/>
      <c r="D544" s="72" t="s">
        <v>47</v>
      </c>
      <c r="E544" s="72"/>
      <c r="F544" s="72"/>
      <c r="G544" s="73">
        <v>35.340000000000003</v>
      </c>
      <c r="H544" s="73"/>
      <c r="I544" s="73"/>
      <c r="J544" s="70">
        <f t="shared" si="83"/>
        <v>35.340000000000003</v>
      </c>
      <c r="K544" s="74">
        <v>298</v>
      </c>
      <c r="L544" s="74">
        <f t="shared" si="85"/>
        <v>10531.320000000002</v>
      </c>
      <c r="M544" s="72"/>
      <c r="N544" s="72"/>
    </row>
    <row r="545" spans="1:14" s="54" customFormat="1" ht="20.25" customHeight="1" x14ac:dyDescent="0.25">
      <c r="A545" s="66"/>
      <c r="B545" s="87" t="s">
        <v>56</v>
      </c>
      <c r="C545" s="88"/>
      <c r="D545" s="88" t="s">
        <v>45</v>
      </c>
      <c r="E545" s="88"/>
      <c r="F545" s="88"/>
      <c r="G545" s="73">
        <f>291.89*0.06*0.03</f>
        <v>0.52540199999999992</v>
      </c>
      <c r="H545" s="73">
        <f>228.82*0.06*0.03</f>
        <v>0.41187599999999996</v>
      </c>
      <c r="I545" s="73">
        <f>295.85*0.06*0.03</f>
        <v>0.53253000000000006</v>
      </c>
      <c r="J545" s="70">
        <f>SUM(G545:I545)</f>
        <v>1.469808</v>
      </c>
      <c r="K545" s="74"/>
      <c r="L545" s="74"/>
      <c r="M545" s="88" t="s">
        <v>57</v>
      </c>
      <c r="N545" s="72"/>
    </row>
    <row r="546" spans="1:14" s="54" customFormat="1" x14ac:dyDescent="0.25">
      <c r="A546" s="75"/>
      <c r="B546" s="76" t="s">
        <v>38</v>
      </c>
      <c r="C546" s="77"/>
      <c r="D546" s="77"/>
      <c r="E546" s="77"/>
      <c r="F546" s="77"/>
      <c r="G546" s="78"/>
      <c r="H546" s="78"/>
      <c r="I546" s="78"/>
      <c r="J546" s="79"/>
      <c r="K546" s="80"/>
      <c r="L546" s="79">
        <f>SUM(L547:L583)</f>
        <v>905994.47715739999</v>
      </c>
      <c r="M546" s="77"/>
      <c r="N546" s="77"/>
    </row>
    <row r="547" spans="1:14" s="54" customFormat="1" ht="31.5" x14ac:dyDescent="0.25">
      <c r="A547" s="81"/>
      <c r="B547" s="82" t="s">
        <v>58</v>
      </c>
      <c r="C547" s="77" t="s">
        <v>59</v>
      </c>
      <c r="D547" s="77" t="s">
        <v>60</v>
      </c>
      <c r="E547" s="78">
        <v>12.4</v>
      </c>
      <c r="F547" s="77">
        <v>0.25</v>
      </c>
      <c r="G547" s="83">
        <f>G534/F547*E547</f>
        <v>1493.4559999999999</v>
      </c>
      <c r="H547" s="83">
        <f>H534/F547*E547</f>
        <v>1265.296</v>
      </c>
      <c r="I547" s="83">
        <f>I534/F547*E547</f>
        <v>1898.1920000000002</v>
      </c>
      <c r="J547" s="84">
        <f>SUM(G547:I547)</f>
        <v>4656.9440000000004</v>
      </c>
      <c r="K547" s="80">
        <v>0</v>
      </c>
      <c r="L547" s="80">
        <f>J547*K547</f>
        <v>0</v>
      </c>
      <c r="M547" s="77" t="s">
        <v>61</v>
      </c>
      <c r="N547" s="77" t="s">
        <v>320</v>
      </c>
    </row>
    <row r="548" spans="1:14" s="54" customFormat="1" ht="31.5" x14ac:dyDescent="0.25">
      <c r="A548" s="81"/>
      <c r="B548" s="82" t="s">
        <v>62</v>
      </c>
      <c r="C548" s="77" t="s">
        <v>63</v>
      </c>
      <c r="D548" s="77" t="s">
        <v>60</v>
      </c>
      <c r="E548" s="78">
        <v>12.4</v>
      </c>
      <c r="F548" s="77"/>
      <c r="G548" s="83">
        <f>G536*E548</f>
        <v>2538.9</v>
      </c>
      <c r="H548" s="83">
        <f>H536*E548</f>
        <v>1495.8119999999999</v>
      </c>
      <c r="I548" s="83">
        <f>I536*E548</f>
        <v>1764.768</v>
      </c>
      <c r="J548" s="84">
        <f t="shared" ref="J548:J552" si="86">SUM(G548:I548)</f>
        <v>5799.48</v>
      </c>
      <c r="K548" s="80">
        <v>0</v>
      </c>
      <c r="L548" s="80">
        <f>J548*K548</f>
        <v>0</v>
      </c>
      <c r="M548" s="77" t="s">
        <v>61</v>
      </c>
      <c r="N548" s="77" t="s">
        <v>320</v>
      </c>
    </row>
    <row r="549" spans="1:14" s="54" customFormat="1" ht="31.5" x14ac:dyDescent="0.25">
      <c r="A549" s="81"/>
      <c r="B549" s="82" t="s">
        <v>64</v>
      </c>
      <c r="C549" s="77" t="s">
        <v>65</v>
      </c>
      <c r="D549" s="77" t="s">
        <v>60</v>
      </c>
      <c r="E549" s="78">
        <v>12.4</v>
      </c>
      <c r="F549" s="77"/>
      <c r="G549" s="83">
        <f>G537*E549</f>
        <v>710.76800000000003</v>
      </c>
      <c r="H549" s="83">
        <f>H537*E549</f>
        <v>549.56799999999998</v>
      </c>
      <c r="I549" s="83">
        <f>I537*E549</f>
        <v>991.38000000000011</v>
      </c>
      <c r="J549" s="84">
        <f t="shared" si="86"/>
        <v>2251.7160000000003</v>
      </c>
      <c r="K549" s="80">
        <v>0</v>
      </c>
      <c r="L549" s="80">
        <f>J549*K549</f>
        <v>0</v>
      </c>
      <c r="M549" s="77" t="s">
        <v>61</v>
      </c>
      <c r="N549" s="77" t="s">
        <v>320</v>
      </c>
    </row>
    <row r="550" spans="1:14" s="54" customFormat="1" ht="31.5" x14ac:dyDescent="0.25">
      <c r="A550" s="81"/>
      <c r="B550" s="82" t="s">
        <v>106</v>
      </c>
      <c r="C550" s="77" t="s">
        <v>107</v>
      </c>
      <c r="D550" s="77" t="s">
        <v>60</v>
      </c>
      <c r="E550" s="78">
        <v>12.4</v>
      </c>
      <c r="F550" s="77"/>
      <c r="G550" s="83">
        <f>G538*E550</f>
        <v>1936.136</v>
      </c>
      <c r="H550" s="83">
        <f>H538*E550</f>
        <v>1261.8240000000001</v>
      </c>
      <c r="I550" s="83">
        <f>I538*E550</f>
        <v>1962.3</v>
      </c>
      <c r="J550" s="84">
        <f t="shared" si="86"/>
        <v>5160.26</v>
      </c>
      <c r="K550" s="80">
        <v>0</v>
      </c>
      <c r="L550" s="80">
        <f>J550*K550</f>
        <v>0</v>
      </c>
      <c r="M550" s="77" t="s">
        <v>61</v>
      </c>
      <c r="N550" s="77" t="s">
        <v>320</v>
      </c>
    </row>
    <row r="551" spans="1:14" s="54" customFormat="1" ht="31.5" x14ac:dyDescent="0.25">
      <c r="A551" s="81"/>
      <c r="B551" s="82" t="s">
        <v>108</v>
      </c>
      <c r="C551" s="77" t="s">
        <v>109</v>
      </c>
      <c r="D551" s="77" t="s">
        <v>60</v>
      </c>
      <c r="E551" s="78">
        <v>12.4</v>
      </c>
      <c r="F551" s="77"/>
      <c r="G551" s="83">
        <f>G539*E551</f>
        <v>1244.836</v>
      </c>
      <c r="H551" s="83">
        <f>H539*E551</f>
        <v>1393.7600000000002</v>
      </c>
      <c r="I551" s="83">
        <f>I539*E551</f>
        <v>1412.7320000000002</v>
      </c>
      <c r="J551" s="84">
        <f t="shared" si="86"/>
        <v>4051.3280000000004</v>
      </c>
      <c r="K551" s="80">
        <v>0</v>
      </c>
      <c r="L551" s="80">
        <f>J551*K551</f>
        <v>0</v>
      </c>
      <c r="M551" s="77" t="s">
        <v>61</v>
      </c>
      <c r="N551" s="77" t="s">
        <v>320</v>
      </c>
    </row>
    <row r="552" spans="1:14" s="54" customFormat="1" ht="31.5" x14ac:dyDescent="0.25">
      <c r="A552" s="81"/>
      <c r="B552" s="89" t="s">
        <v>66</v>
      </c>
      <c r="C552" s="77" t="s">
        <v>67</v>
      </c>
      <c r="D552" s="77" t="s">
        <v>60</v>
      </c>
      <c r="E552" s="90">
        <v>42</v>
      </c>
      <c r="F552" s="90"/>
      <c r="G552" s="83">
        <f>G540*E552</f>
        <v>1138.2</v>
      </c>
      <c r="H552" s="83">
        <f>H540*E552</f>
        <v>1513.68</v>
      </c>
      <c r="I552" s="83">
        <f>I540*E552</f>
        <v>1358.7</v>
      </c>
      <c r="J552" s="84">
        <f t="shared" si="86"/>
        <v>4010.58</v>
      </c>
      <c r="K552" s="80">
        <v>0</v>
      </c>
      <c r="L552" s="80">
        <f t="shared" ref="L552:L582" si="87">J552*K552</f>
        <v>0</v>
      </c>
      <c r="M552" s="77" t="s">
        <v>68</v>
      </c>
      <c r="N552" s="77" t="s">
        <v>320</v>
      </c>
    </row>
    <row r="553" spans="1:14" s="54" customFormat="1" ht="31.5" x14ac:dyDescent="0.25">
      <c r="A553" s="81"/>
      <c r="B553" s="89" t="s">
        <v>110</v>
      </c>
      <c r="C553" s="77" t="s">
        <v>111</v>
      </c>
      <c r="D553" s="77" t="s">
        <v>60</v>
      </c>
      <c r="E553" s="90">
        <v>42</v>
      </c>
      <c r="F553" s="90"/>
      <c r="G553" s="83">
        <f>G535/0.25*E553</f>
        <v>297.36</v>
      </c>
      <c r="H553" s="83">
        <f>H535/0.25*E553</f>
        <v>210</v>
      </c>
      <c r="I553" s="83">
        <f>I535/0.25*E553</f>
        <v>285.59999999999997</v>
      </c>
      <c r="J553" s="84">
        <f t="shared" ref="J553" si="88">SUM(G553:I553)</f>
        <v>792.96</v>
      </c>
      <c r="K553" s="80">
        <v>0</v>
      </c>
      <c r="L553" s="80">
        <f t="shared" si="87"/>
        <v>0</v>
      </c>
      <c r="M553" s="77" t="s">
        <v>68</v>
      </c>
      <c r="N553" s="77" t="s">
        <v>320</v>
      </c>
    </row>
    <row r="554" spans="1:14" s="54" customFormat="1" ht="32.25" customHeight="1" x14ac:dyDescent="0.25">
      <c r="A554" s="81"/>
      <c r="B554" s="91" t="s">
        <v>69</v>
      </c>
      <c r="C554" s="77" t="s">
        <v>70</v>
      </c>
      <c r="D554" s="77" t="s">
        <v>45</v>
      </c>
      <c r="E554" s="77">
        <v>0.19500000000000001</v>
      </c>
      <c r="F554" s="90"/>
      <c r="G554" s="78">
        <f>G534*E554+G536*E554*0.19+G537*E554*0.19+G538*E554*0.09+G539*E554*0.09</f>
        <v>20.083245000000002</v>
      </c>
      <c r="H554" s="78">
        <f>H534*E554+H536*E554*0.19+H537*E554*0.19+H538*E554*0.09+H539*E554*0.09</f>
        <v>14.844355500000001</v>
      </c>
      <c r="I554" s="78">
        <f>I534*E554+I536*E554*0.19+I537*E554*0.19+I538*E554*0.09+I539*E554*0.09</f>
        <v>20.474512499999999</v>
      </c>
      <c r="J554" s="79">
        <f>SUM(G554:I554)</f>
        <v>55.402113</v>
      </c>
      <c r="K554" s="80">
        <v>7875</v>
      </c>
      <c r="L554" s="80">
        <f t="shared" si="87"/>
        <v>436291.63987499999</v>
      </c>
      <c r="M554" s="77" t="s">
        <v>71</v>
      </c>
      <c r="N554" s="77" t="s">
        <v>321</v>
      </c>
    </row>
    <row r="555" spans="1:14" s="54" customFormat="1" ht="32.25" customHeight="1" x14ac:dyDescent="0.25">
      <c r="A555" s="92"/>
      <c r="B555" s="91" t="s">
        <v>112</v>
      </c>
      <c r="C555" s="77" t="s">
        <v>70</v>
      </c>
      <c r="D555" s="77" t="s">
        <v>45</v>
      </c>
      <c r="E555" s="77">
        <v>0.24</v>
      </c>
      <c r="F555" s="77"/>
      <c r="G555" s="78">
        <f>G535*E555</f>
        <v>0.42480000000000001</v>
      </c>
      <c r="H555" s="78">
        <f>H535*E555</f>
        <v>0.3</v>
      </c>
      <c r="I555" s="78">
        <f>I535*E555</f>
        <v>0.40799999999999997</v>
      </c>
      <c r="J555" s="79">
        <f t="shared" ref="J555:J581" si="89">SUM(G555:I555)</f>
        <v>1.1328</v>
      </c>
      <c r="K555" s="80">
        <v>7875</v>
      </c>
      <c r="L555" s="80">
        <f t="shared" si="87"/>
        <v>8920.8000000000011</v>
      </c>
      <c r="M555" s="77" t="s">
        <v>71</v>
      </c>
      <c r="N555" s="77" t="s">
        <v>321</v>
      </c>
    </row>
    <row r="556" spans="1:14" s="54" customFormat="1" ht="32.25" customHeight="1" x14ac:dyDescent="0.25">
      <c r="A556" s="92"/>
      <c r="B556" s="91" t="s">
        <v>72</v>
      </c>
      <c r="C556" s="77" t="s">
        <v>70</v>
      </c>
      <c r="D556" s="77" t="s">
        <v>45</v>
      </c>
      <c r="E556" s="77">
        <v>4.5999999999999999E-2</v>
      </c>
      <c r="F556" s="77"/>
      <c r="G556" s="78">
        <f>G540*E556</f>
        <v>1.2466000000000002</v>
      </c>
      <c r="H556" s="78">
        <f>H540*E556</f>
        <v>1.65784</v>
      </c>
      <c r="I556" s="78">
        <f>I540*E556</f>
        <v>1.4881</v>
      </c>
      <c r="J556" s="79">
        <f t="shared" si="89"/>
        <v>4.3925400000000003</v>
      </c>
      <c r="K556" s="80">
        <v>7875</v>
      </c>
      <c r="L556" s="80">
        <f t="shared" si="87"/>
        <v>34591.252500000002</v>
      </c>
      <c r="M556" s="77" t="s">
        <v>73</v>
      </c>
      <c r="N556" s="77" t="s">
        <v>321</v>
      </c>
    </row>
    <row r="557" spans="1:14" s="54" customFormat="1" ht="32.25" customHeight="1" x14ac:dyDescent="0.25">
      <c r="A557" s="92"/>
      <c r="B557" s="91" t="s">
        <v>74</v>
      </c>
      <c r="C557" s="77" t="s">
        <v>70</v>
      </c>
      <c r="D557" s="77" t="s">
        <v>45</v>
      </c>
      <c r="E557" s="77">
        <v>1.01</v>
      </c>
      <c r="F557" s="77"/>
      <c r="G557" s="78">
        <f>G545*E557</f>
        <v>0.5306560199999999</v>
      </c>
      <c r="H557" s="78">
        <f>H545*E557</f>
        <v>0.41599475999999996</v>
      </c>
      <c r="I557" s="78">
        <f>I545*E557</f>
        <v>0.53785530000000004</v>
      </c>
      <c r="J557" s="79">
        <f t="shared" si="89"/>
        <v>1.4845060800000001</v>
      </c>
      <c r="K557" s="80">
        <v>7875</v>
      </c>
      <c r="L557" s="80">
        <f t="shared" si="87"/>
        <v>11690.48538</v>
      </c>
      <c r="M557" s="77" t="s">
        <v>71</v>
      </c>
      <c r="N557" s="77" t="s">
        <v>321</v>
      </c>
    </row>
    <row r="558" spans="1:14" s="54" customFormat="1" ht="32.25" customHeight="1" x14ac:dyDescent="0.25">
      <c r="A558" s="81"/>
      <c r="B558" s="89" t="s">
        <v>75</v>
      </c>
      <c r="C558" s="77" t="s">
        <v>70</v>
      </c>
      <c r="D558" s="77" t="s">
        <v>45</v>
      </c>
      <c r="E558" s="77">
        <v>6.0000000000000001E-3</v>
      </c>
      <c r="F558" s="77"/>
      <c r="G558" s="78">
        <f>G541*E558</f>
        <v>0.33</v>
      </c>
      <c r="H558" s="78">
        <f>H541*E558</f>
        <v>0.26400000000000001</v>
      </c>
      <c r="I558" s="78">
        <f>I541*E558</f>
        <v>0.33600000000000002</v>
      </c>
      <c r="J558" s="79">
        <f t="shared" si="89"/>
        <v>0.93000000000000016</v>
      </c>
      <c r="K558" s="80">
        <v>7875</v>
      </c>
      <c r="L558" s="80">
        <f t="shared" si="87"/>
        <v>7323.7500000000009</v>
      </c>
      <c r="M558" s="77" t="s">
        <v>76</v>
      </c>
      <c r="N558" s="77" t="s">
        <v>321</v>
      </c>
    </row>
    <row r="559" spans="1:14" s="54" customFormat="1" ht="32.25" customHeight="1" x14ac:dyDescent="0.25">
      <c r="A559" s="81"/>
      <c r="B559" s="89" t="s">
        <v>77</v>
      </c>
      <c r="C559" s="77" t="s">
        <v>70</v>
      </c>
      <c r="D559" s="77" t="s">
        <v>45</v>
      </c>
      <c r="E559" s="77">
        <v>1.01</v>
      </c>
      <c r="F559" s="77"/>
      <c r="G559" s="93">
        <v>5.7000000000000002E-2</v>
      </c>
      <c r="H559" s="93">
        <v>4.2999999999999997E-2</v>
      </c>
      <c r="I559" s="93">
        <v>3.2000000000000001E-2</v>
      </c>
      <c r="J559" s="79">
        <f t="shared" si="89"/>
        <v>0.13200000000000001</v>
      </c>
      <c r="K559" s="80">
        <v>7875</v>
      </c>
      <c r="L559" s="80">
        <f t="shared" si="87"/>
        <v>1039.5</v>
      </c>
      <c r="M559" s="94"/>
      <c r="N559" s="77" t="s">
        <v>321</v>
      </c>
    </row>
    <row r="560" spans="1:14" s="54" customFormat="1" ht="22.5" customHeight="1" x14ac:dyDescent="0.25">
      <c r="A560" s="81"/>
      <c r="B560" s="89" t="s">
        <v>78</v>
      </c>
      <c r="C560" s="77" t="s">
        <v>79</v>
      </c>
      <c r="D560" s="77" t="s">
        <v>47</v>
      </c>
      <c r="E560" s="77"/>
      <c r="F560" s="77"/>
      <c r="G560" s="78">
        <v>182.58</v>
      </c>
      <c r="H560" s="78">
        <v>142.61000000000001</v>
      </c>
      <c r="I560" s="78">
        <v>188.7</v>
      </c>
      <c r="J560" s="79">
        <f t="shared" si="89"/>
        <v>513.8900000000001</v>
      </c>
      <c r="K560" s="80">
        <v>88.34</v>
      </c>
      <c r="L560" s="80">
        <f t="shared" si="87"/>
        <v>45397.042600000008</v>
      </c>
      <c r="M560" s="94"/>
      <c r="N560" s="77" t="s">
        <v>321</v>
      </c>
    </row>
    <row r="561" spans="1:14" s="54" customFormat="1" ht="22.5" customHeight="1" x14ac:dyDescent="0.25">
      <c r="A561" s="81"/>
      <c r="B561" s="89" t="s">
        <v>277</v>
      </c>
      <c r="C561" s="77" t="s">
        <v>114</v>
      </c>
      <c r="D561" s="77" t="s">
        <v>60</v>
      </c>
      <c r="E561" s="77"/>
      <c r="F561" s="77"/>
      <c r="G561" s="78">
        <v>12</v>
      </c>
      <c r="H561" s="78">
        <v>17</v>
      </c>
      <c r="I561" s="78">
        <v>13</v>
      </c>
      <c r="J561" s="79">
        <f t="shared" si="89"/>
        <v>42</v>
      </c>
      <c r="K561" s="80">
        <v>398.6</v>
      </c>
      <c r="L561" s="80">
        <f t="shared" si="87"/>
        <v>16741.2</v>
      </c>
      <c r="M561" s="94"/>
      <c r="N561" s="77" t="s">
        <v>321</v>
      </c>
    </row>
    <row r="562" spans="1:14" s="54" customFormat="1" ht="22.5" customHeight="1" x14ac:dyDescent="0.25">
      <c r="A562" s="81"/>
      <c r="B562" s="89" t="s">
        <v>278</v>
      </c>
      <c r="C562" s="77" t="s">
        <v>116</v>
      </c>
      <c r="D562" s="77" t="s">
        <v>60</v>
      </c>
      <c r="E562" s="77"/>
      <c r="F562" s="77"/>
      <c r="G562" s="78">
        <v>10</v>
      </c>
      <c r="H562" s="78"/>
      <c r="I562" s="78">
        <v>10</v>
      </c>
      <c r="J562" s="79">
        <f t="shared" si="89"/>
        <v>20</v>
      </c>
      <c r="K562" s="80">
        <v>465.03</v>
      </c>
      <c r="L562" s="80">
        <f t="shared" si="87"/>
        <v>9300.5999999999985</v>
      </c>
      <c r="M562" s="94"/>
      <c r="N562" s="77" t="s">
        <v>321</v>
      </c>
    </row>
    <row r="563" spans="1:14" s="54" customFormat="1" ht="22.5" customHeight="1" x14ac:dyDescent="0.25">
      <c r="A563" s="81"/>
      <c r="B563" s="89" t="s">
        <v>279</v>
      </c>
      <c r="C563" s="77" t="s">
        <v>280</v>
      </c>
      <c r="D563" s="77" t="s">
        <v>60</v>
      </c>
      <c r="E563" s="77"/>
      <c r="F563" s="77"/>
      <c r="G563" s="78"/>
      <c r="H563" s="78"/>
      <c r="I563" s="78">
        <v>1</v>
      </c>
      <c r="J563" s="79">
        <f t="shared" si="89"/>
        <v>1</v>
      </c>
      <c r="K563" s="80">
        <v>863.64</v>
      </c>
      <c r="L563" s="80">
        <f t="shared" si="87"/>
        <v>863.64</v>
      </c>
      <c r="M563" s="94"/>
      <c r="N563" s="77" t="s">
        <v>321</v>
      </c>
    </row>
    <row r="564" spans="1:14" s="54" customFormat="1" ht="22.5" customHeight="1" x14ac:dyDescent="0.25">
      <c r="A564" s="81"/>
      <c r="B564" s="89" t="s">
        <v>283</v>
      </c>
      <c r="C564" s="77" t="s">
        <v>284</v>
      </c>
      <c r="D564" s="77" t="s">
        <v>60</v>
      </c>
      <c r="E564" s="77"/>
      <c r="F564" s="77"/>
      <c r="G564" s="78">
        <v>1</v>
      </c>
      <c r="H564" s="78">
        <v>1</v>
      </c>
      <c r="I564" s="78"/>
      <c r="J564" s="79">
        <f t="shared" si="89"/>
        <v>2</v>
      </c>
      <c r="K564" s="80">
        <v>620.04999999999995</v>
      </c>
      <c r="L564" s="80">
        <f t="shared" si="87"/>
        <v>1240.0999999999999</v>
      </c>
      <c r="M564" s="94"/>
      <c r="N564" s="77" t="s">
        <v>321</v>
      </c>
    </row>
    <row r="565" spans="1:14" s="54" customFormat="1" ht="22.5" customHeight="1" x14ac:dyDescent="0.25">
      <c r="A565" s="81"/>
      <c r="B565" s="89" t="s">
        <v>285</v>
      </c>
      <c r="C565" s="77" t="s">
        <v>286</v>
      </c>
      <c r="D565" s="77" t="s">
        <v>60</v>
      </c>
      <c r="E565" s="77"/>
      <c r="F565" s="77"/>
      <c r="G565" s="78"/>
      <c r="H565" s="78"/>
      <c r="I565" s="78">
        <v>1</v>
      </c>
      <c r="J565" s="79">
        <f t="shared" si="89"/>
        <v>1</v>
      </c>
      <c r="K565" s="80">
        <v>708.62</v>
      </c>
      <c r="L565" s="80">
        <f t="shared" si="87"/>
        <v>708.62</v>
      </c>
      <c r="M565" s="94"/>
      <c r="N565" s="77" t="s">
        <v>321</v>
      </c>
    </row>
    <row r="566" spans="1:14" s="54" customFormat="1" ht="22.5" customHeight="1" x14ac:dyDescent="0.25">
      <c r="A566" s="81"/>
      <c r="B566" s="89" t="s">
        <v>287</v>
      </c>
      <c r="C566" s="77" t="s">
        <v>288</v>
      </c>
      <c r="D566" s="77" t="s">
        <v>60</v>
      </c>
      <c r="E566" s="77"/>
      <c r="F566" s="77"/>
      <c r="G566" s="78">
        <v>1</v>
      </c>
      <c r="H566" s="78">
        <v>1</v>
      </c>
      <c r="I566" s="78">
        <v>1</v>
      </c>
      <c r="J566" s="79">
        <f t="shared" si="89"/>
        <v>3</v>
      </c>
      <c r="K566" s="80">
        <v>797.2</v>
      </c>
      <c r="L566" s="80">
        <f t="shared" si="87"/>
        <v>2391.6000000000004</v>
      </c>
      <c r="M566" s="94"/>
      <c r="N566" s="77" t="s">
        <v>321</v>
      </c>
    </row>
    <row r="567" spans="1:14" s="54" customFormat="1" ht="22.5" customHeight="1" x14ac:dyDescent="0.25">
      <c r="A567" s="81"/>
      <c r="B567" s="89" t="s">
        <v>297</v>
      </c>
      <c r="C567" s="77" t="s">
        <v>118</v>
      </c>
      <c r="D567" s="77" t="s">
        <v>60</v>
      </c>
      <c r="E567" s="77"/>
      <c r="F567" s="77"/>
      <c r="G567" s="78">
        <v>5</v>
      </c>
      <c r="H567" s="78"/>
      <c r="I567" s="78">
        <v>3</v>
      </c>
      <c r="J567" s="79">
        <f t="shared" si="89"/>
        <v>8</v>
      </c>
      <c r="K567" s="80">
        <v>841.49</v>
      </c>
      <c r="L567" s="80">
        <f t="shared" si="87"/>
        <v>6731.92</v>
      </c>
      <c r="M567" s="94"/>
      <c r="N567" s="77" t="s">
        <v>321</v>
      </c>
    </row>
    <row r="568" spans="1:14" s="54" customFormat="1" ht="22.5" customHeight="1" x14ac:dyDescent="0.25">
      <c r="A568" s="81"/>
      <c r="B568" s="89" t="s">
        <v>298</v>
      </c>
      <c r="C568" s="77" t="s">
        <v>120</v>
      </c>
      <c r="D568" s="77" t="s">
        <v>60</v>
      </c>
      <c r="E568" s="77"/>
      <c r="F568" s="77"/>
      <c r="G568" s="78">
        <v>4</v>
      </c>
      <c r="H568" s="78">
        <v>6</v>
      </c>
      <c r="I568" s="78">
        <v>6</v>
      </c>
      <c r="J568" s="79">
        <f t="shared" si="89"/>
        <v>16</v>
      </c>
      <c r="K568" s="80">
        <v>981.74</v>
      </c>
      <c r="L568" s="80">
        <f t="shared" si="87"/>
        <v>15707.84</v>
      </c>
      <c r="M568" s="94"/>
      <c r="N568" s="77" t="s">
        <v>321</v>
      </c>
    </row>
    <row r="569" spans="1:14" s="54" customFormat="1" ht="22.5" customHeight="1" x14ac:dyDescent="0.25">
      <c r="A569" s="81"/>
      <c r="B569" s="89" t="s">
        <v>299</v>
      </c>
      <c r="C569" s="77" t="s">
        <v>300</v>
      </c>
      <c r="D569" s="77" t="s">
        <v>60</v>
      </c>
      <c r="E569" s="77"/>
      <c r="F569" s="77"/>
      <c r="G569" s="78">
        <v>3</v>
      </c>
      <c r="H569" s="78"/>
      <c r="I569" s="78">
        <v>2</v>
      </c>
      <c r="J569" s="79">
        <f t="shared" si="89"/>
        <v>5</v>
      </c>
      <c r="K569" s="80">
        <v>1107.23</v>
      </c>
      <c r="L569" s="80">
        <f t="shared" si="87"/>
        <v>5536.15</v>
      </c>
      <c r="M569" s="94"/>
      <c r="N569" s="77" t="s">
        <v>321</v>
      </c>
    </row>
    <row r="570" spans="1:14" s="54" customFormat="1" ht="22.5" customHeight="1" x14ac:dyDescent="0.25">
      <c r="A570" s="81"/>
      <c r="B570" s="89" t="s">
        <v>301</v>
      </c>
      <c r="C570" s="77" t="s">
        <v>122</v>
      </c>
      <c r="D570" s="77" t="s">
        <v>60</v>
      </c>
      <c r="E570" s="77"/>
      <c r="F570" s="77"/>
      <c r="G570" s="78"/>
      <c r="H570" s="78">
        <v>1</v>
      </c>
      <c r="I570" s="78"/>
      <c r="J570" s="79">
        <f t="shared" si="89"/>
        <v>1</v>
      </c>
      <c r="K570" s="80">
        <v>1291.76</v>
      </c>
      <c r="L570" s="80">
        <f t="shared" si="87"/>
        <v>1291.76</v>
      </c>
      <c r="M570" s="94"/>
      <c r="N570" s="77" t="s">
        <v>321</v>
      </c>
    </row>
    <row r="571" spans="1:14" s="54" customFormat="1" ht="22.5" customHeight="1" x14ac:dyDescent="0.25">
      <c r="A571" s="81"/>
      <c r="B571" s="89" t="s">
        <v>306</v>
      </c>
      <c r="C571" s="77" t="s">
        <v>307</v>
      </c>
      <c r="D571" s="77" t="s">
        <v>60</v>
      </c>
      <c r="E571" s="77"/>
      <c r="F571" s="77"/>
      <c r="G571" s="78"/>
      <c r="H571" s="78">
        <v>1</v>
      </c>
      <c r="I571" s="78"/>
      <c r="J571" s="79">
        <f t="shared" si="89"/>
        <v>1</v>
      </c>
      <c r="K571" s="80">
        <v>1660.84</v>
      </c>
      <c r="L571" s="80">
        <f t="shared" si="87"/>
        <v>1660.84</v>
      </c>
      <c r="M571" s="94"/>
      <c r="N571" s="77" t="s">
        <v>321</v>
      </c>
    </row>
    <row r="572" spans="1:14" s="54" customFormat="1" ht="22.5" customHeight="1" x14ac:dyDescent="0.25">
      <c r="A572" s="81"/>
      <c r="B572" s="89" t="s">
        <v>302</v>
      </c>
      <c r="C572" s="77" t="s">
        <v>124</v>
      </c>
      <c r="D572" s="77" t="s">
        <v>60</v>
      </c>
      <c r="E572" s="77"/>
      <c r="F572" s="77"/>
      <c r="G572" s="78">
        <v>1</v>
      </c>
      <c r="H572" s="78"/>
      <c r="I572" s="78"/>
      <c r="J572" s="79">
        <f t="shared" si="89"/>
        <v>1</v>
      </c>
      <c r="K572" s="80">
        <v>1845.38</v>
      </c>
      <c r="L572" s="80">
        <f t="shared" si="87"/>
        <v>1845.38</v>
      </c>
      <c r="M572" s="94"/>
      <c r="N572" s="77" t="s">
        <v>321</v>
      </c>
    </row>
    <row r="573" spans="1:14" s="54" customFormat="1" ht="22.5" customHeight="1" x14ac:dyDescent="0.25">
      <c r="A573" s="81"/>
      <c r="B573" s="89" t="s">
        <v>303</v>
      </c>
      <c r="C573" s="77" t="s">
        <v>126</v>
      </c>
      <c r="D573" s="77" t="s">
        <v>60</v>
      </c>
      <c r="E573" s="77"/>
      <c r="F573" s="77"/>
      <c r="G573" s="78">
        <v>12</v>
      </c>
      <c r="H573" s="78">
        <v>10</v>
      </c>
      <c r="I573" s="78">
        <v>13</v>
      </c>
      <c r="J573" s="79">
        <f t="shared" si="89"/>
        <v>35</v>
      </c>
      <c r="K573" s="80">
        <v>2029.91</v>
      </c>
      <c r="L573" s="80">
        <f t="shared" si="87"/>
        <v>71046.850000000006</v>
      </c>
      <c r="M573" s="94"/>
      <c r="N573" s="77" t="s">
        <v>321</v>
      </c>
    </row>
    <row r="574" spans="1:14" s="54" customFormat="1" ht="22.5" customHeight="1" x14ac:dyDescent="0.25">
      <c r="A574" s="81"/>
      <c r="B574" s="89" t="s">
        <v>304</v>
      </c>
      <c r="C574" s="77" t="s">
        <v>128</v>
      </c>
      <c r="D574" s="77" t="s">
        <v>60</v>
      </c>
      <c r="E574" s="77"/>
      <c r="F574" s="77"/>
      <c r="G574" s="78">
        <v>4</v>
      </c>
      <c r="H574" s="78">
        <v>1</v>
      </c>
      <c r="I574" s="78">
        <v>4</v>
      </c>
      <c r="J574" s="79">
        <f t="shared" si="89"/>
        <v>9</v>
      </c>
      <c r="K574" s="80">
        <v>2398.9899999999998</v>
      </c>
      <c r="L574" s="80">
        <f t="shared" si="87"/>
        <v>21590.909999999996</v>
      </c>
      <c r="M574" s="94"/>
      <c r="N574" s="77" t="s">
        <v>321</v>
      </c>
    </row>
    <row r="575" spans="1:14" s="54" customFormat="1" ht="22.5" customHeight="1" x14ac:dyDescent="0.25">
      <c r="A575" s="81"/>
      <c r="B575" s="89" t="s">
        <v>305</v>
      </c>
      <c r="C575" s="77" t="s">
        <v>130</v>
      </c>
      <c r="D575" s="77" t="s">
        <v>60</v>
      </c>
      <c r="E575" s="77"/>
      <c r="F575" s="77"/>
      <c r="G575" s="78">
        <v>2</v>
      </c>
      <c r="H575" s="78">
        <v>6</v>
      </c>
      <c r="I575" s="78">
        <v>2</v>
      </c>
      <c r="J575" s="79">
        <f t="shared" si="89"/>
        <v>10</v>
      </c>
      <c r="K575" s="80">
        <v>2583.5300000000002</v>
      </c>
      <c r="L575" s="80">
        <f t="shared" si="87"/>
        <v>25835.300000000003</v>
      </c>
      <c r="M575" s="94"/>
      <c r="N575" s="77" t="s">
        <v>321</v>
      </c>
    </row>
    <row r="576" spans="1:14" s="54" customFormat="1" ht="22.5" customHeight="1" x14ac:dyDescent="0.25">
      <c r="A576" s="81"/>
      <c r="B576" s="89" t="s">
        <v>92</v>
      </c>
      <c r="C576" s="77" t="s">
        <v>93</v>
      </c>
      <c r="D576" s="77" t="s">
        <v>54</v>
      </c>
      <c r="E576" s="77">
        <v>1.04</v>
      </c>
      <c r="F576" s="77"/>
      <c r="G576" s="78">
        <f>149.74*E576</f>
        <v>155.7296</v>
      </c>
      <c r="H576" s="78">
        <f>121.66*E576</f>
        <v>126.5264</v>
      </c>
      <c r="I576" s="78">
        <f>158.83*E576</f>
        <v>165.18320000000003</v>
      </c>
      <c r="J576" s="79">
        <f t="shared" si="89"/>
        <v>447.43920000000003</v>
      </c>
      <c r="K576" s="80">
        <v>66.349999999999994</v>
      </c>
      <c r="L576" s="80">
        <f t="shared" si="87"/>
        <v>29687.590919999999</v>
      </c>
      <c r="M576" s="94"/>
      <c r="N576" s="77" t="s">
        <v>321</v>
      </c>
    </row>
    <row r="577" spans="1:15" s="54" customFormat="1" ht="22.5" customHeight="1" x14ac:dyDescent="0.25">
      <c r="A577" s="81"/>
      <c r="B577" s="89" t="s">
        <v>94</v>
      </c>
      <c r="C577" s="77" t="s">
        <v>95</v>
      </c>
      <c r="D577" s="77" t="s">
        <v>54</v>
      </c>
      <c r="E577" s="77">
        <v>1.04</v>
      </c>
      <c r="F577" s="77"/>
      <c r="G577" s="78">
        <f>G543*E577</f>
        <v>43.940000000000005</v>
      </c>
      <c r="H577" s="78">
        <f>H543*E577</f>
        <v>32.895200000000003</v>
      </c>
      <c r="I577" s="78">
        <f>I543*E577</f>
        <v>27.383199999999999</v>
      </c>
      <c r="J577" s="79">
        <f t="shared" si="89"/>
        <v>104.21840000000002</v>
      </c>
      <c r="K577" s="80">
        <v>64</v>
      </c>
      <c r="L577" s="80">
        <f t="shared" si="87"/>
        <v>6669.9776000000011</v>
      </c>
      <c r="M577" s="94"/>
      <c r="N577" s="77" t="s">
        <v>321</v>
      </c>
    </row>
    <row r="578" spans="1:15" s="54" customFormat="1" ht="22.5" customHeight="1" x14ac:dyDescent="0.25">
      <c r="A578" s="81"/>
      <c r="B578" s="89" t="s">
        <v>131</v>
      </c>
      <c r="C578" s="77" t="s">
        <v>39</v>
      </c>
      <c r="D578" s="77" t="s">
        <v>54</v>
      </c>
      <c r="E578" s="77">
        <v>1.04</v>
      </c>
      <c r="F578" s="77"/>
      <c r="G578" s="78">
        <f>31.12*E578</f>
        <v>32.364800000000002</v>
      </c>
      <c r="H578" s="78">
        <f>31.12*E578</f>
        <v>32.364800000000002</v>
      </c>
      <c r="I578" s="78">
        <f>31.12*E578</f>
        <v>32.364800000000002</v>
      </c>
      <c r="J578" s="79">
        <f t="shared" si="89"/>
        <v>97.094400000000007</v>
      </c>
      <c r="K578" s="80">
        <v>64.209999999999994</v>
      </c>
      <c r="L578" s="80">
        <f t="shared" si="87"/>
        <v>6234.4314239999994</v>
      </c>
      <c r="M578" s="94"/>
      <c r="N578" s="77" t="s">
        <v>321</v>
      </c>
      <c r="O578" s="2"/>
    </row>
    <row r="579" spans="1:15" s="54" customFormat="1" ht="22.5" customHeight="1" x14ac:dyDescent="0.25">
      <c r="A579" s="81"/>
      <c r="B579" s="89" t="s">
        <v>96</v>
      </c>
      <c r="C579" s="77" t="s">
        <v>39</v>
      </c>
      <c r="D579" s="77" t="s">
        <v>54</v>
      </c>
      <c r="E579" s="77">
        <v>1.04</v>
      </c>
      <c r="F579" s="77"/>
      <c r="G579" s="78">
        <f>15.21*E579</f>
        <v>15.818400000000002</v>
      </c>
      <c r="H579" s="78">
        <f>E579*22.49</f>
        <v>23.389599999999998</v>
      </c>
      <c r="I579" s="78"/>
      <c r="J579" s="79">
        <f t="shared" si="89"/>
        <v>39.207999999999998</v>
      </c>
      <c r="K579" s="80">
        <v>72.78</v>
      </c>
      <c r="L579" s="80">
        <f t="shared" si="87"/>
        <v>2853.5582399999998</v>
      </c>
      <c r="M579" s="94"/>
      <c r="N579" s="77" t="s">
        <v>321</v>
      </c>
      <c r="O579" s="2"/>
    </row>
    <row r="580" spans="1:15" s="54" customFormat="1" ht="22.5" customHeight="1" x14ac:dyDescent="0.25">
      <c r="A580" s="81"/>
      <c r="B580" s="89" t="s">
        <v>97</v>
      </c>
      <c r="C580" s="77" t="s">
        <v>39</v>
      </c>
      <c r="D580" s="77" t="s">
        <v>54</v>
      </c>
      <c r="E580" s="77">
        <v>1.04</v>
      </c>
      <c r="F580" s="77"/>
      <c r="G580" s="78">
        <f>E580*30.81</f>
        <v>32.042400000000001</v>
      </c>
      <c r="H580" s="78">
        <f>E580*6.64</f>
        <v>6.9055999999999997</v>
      </c>
      <c r="I580" s="78">
        <f>E580*18.88</f>
        <v>19.635200000000001</v>
      </c>
      <c r="J580" s="79">
        <f t="shared" si="89"/>
        <v>58.583200000000005</v>
      </c>
      <c r="K580" s="80">
        <v>74.92</v>
      </c>
      <c r="L580" s="80">
        <f t="shared" si="87"/>
        <v>4389.0533440000008</v>
      </c>
      <c r="M580" s="94"/>
      <c r="N580" s="77" t="s">
        <v>321</v>
      </c>
    </row>
    <row r="581" spans="1:15" s="54" customFormat="1" ht="22.5" customHeight="1" x14ac:dyDescent="0.25">
      <c r="A581" s="81"/>
      <c r="B581" s="89" t="s">
        <v>132</v>
      </c>
      <c r="C581" s="77" t="s">
        <v>39</v>
      </c>
      <c r="D581" s="77" t="s">
        <v>54</v>
      </c>
      <c r="E581" s="77">
        <v>1.04</v>
      </c>
      <c r="F581" s="77"/>
      <c r="G581" s="78">
        <f>10.5*E581</f>
        <v>10.92</v>
      </c>
      <c r="H581" s="78">
        <f>10.5*E581</f>
        <v>10.92</v>
      </c>
      <c r="I581" s="78">
        <f>10.5*E581</f>
        <v>10.92</v>
      </c>
      <c r="J581" s="79">
        <f t="shared" si="89"/>
        <v>32.76</v>
      </c>
      <c r="K581" s="80">
        <v>75.97</v>
      </c>
      <c r="L581" s="80">
        <f t="shared" si="87"/>
        <v>2488.7772</v>
      </c>
      <c r="M581" s="94"/>
      <c r="N581" s="77" t="s">
        <v>321</v>
      </c>
    </row>
    <row r="582" spans="1:15" s="54" customFormat="1" ht="22.5" customHeight="1" x14ac:dyDescent="0.25">
      <c r="A582" s="81"/>
      <c r="B582" s="89" t="s">
        <v>275</v>
      </c>
      <c r="C582" s="77" t="s">
        <v>276</v>
      </c>
      <c r="D582" s="77" t="s">
        <v>45</v>
      </c>
      <c r="E582" s="77">
        <v>1.04</v>
      </c>
      <c r="F582" s="77"/>
      <c r="G582" s="78">
        <f>G544*0.05*E582</f>
        <v>1.8376800000000004</v>
      </c>
      <c r="H582" s="78">
        <v>0</v>
      </c>
      <c r="I582" s="78">
        <v>0</v>
      </c>
      <c r="J582" s="79">
        <f t="shared" ref="J582" si="90">SUM(G582:I582)</f>
        <v>1.8376800000000004</v>
      </c>
      <c r="K582" s="80">
        <v>6405.83</v>
      </c>
      <c r="L582" s="80">
        <f t="shared" si="87"/>
        <v>11771.865674400002</v>
      </c>
      <c r="M582" s="94"/>
      <c r="N582" s="77" t="s">
        <v>321</v>
      </c>
    </row>
    <row r="583" spans="1:15" s="101" customFormat="1" ht="36.75" customHeight="1" x14ac:dyDescent="0.25">
      <c r="A583" s="95"/>
      <c r="B583" s="96" t="s">
        <v>133</v>
      </c>
      <c r="C583" s="97" t="s">
        <v>39</v>
      </c>
      <c r="D583" s="97" t="s">
        <v>99</v>
      </c>
      <c r="E583" s="97"/>
      <c r="F583" s="97"/>
      <c r="G583" s="98"/>
      <c r="H583" s="98"/>
      <c r="I583" s="98"/>
      <c r="J583" s="99">
        <f>L583*100/L533</f>
        <v>4.0102555875825354</v>
      </c>
      <c r="K583" s="79"/>
      <c r="L583" s="79">
        <v>114152.04240000001</v>
      </c>
      <c r="M583" s="100"/>
      <c r="N583" s="97" t="s">
        <v>321</v>
      </c>
    </row>
    <row r="584" spans="1:15" s="54" customFormat="1" x14ac:dyDescent="0.25">
      <c r="A584" s="60" t="s">
        <v>42</v>
      </c>
      <c r="B584" s="61" t="s">
        <v>153</v>
      </c>
      <c r="C584" s="62"/>
      <c r="D584" s="63"/>
      <c r="E584" s="62"/>
      <c r="F584" s="62"/>
      <c r="G584" s="64"/>
      <c r="H584" s="64"/>
      <c r="I584" s="64"/>
      <c r="J584" s="65"/>
      <c r="K584" s="65"/>
      <c r="L584" s="65">
        <f>L585+L598</f>
        <v>3672281.1531203995</v>
      </c>
      <c r="M584" s="86"/>
      <c r="N584" s="86"/>
    </row>
    <row r="585" spans="1:15" s="54" customFormat="1" x14ac:dyDescent="0.25">
      <c r="A585" s="66"/>
      <c r="B585" s="67" t="s">
        <v>34</v>
      </c>
      <c r="C585" s="68"/>
      <c r="D585" s="68"/>
      <c r="E585" s="68"/>
      <c r="F585" s="68"/>
      <c r="G585" s="69"/>
      <c r="H585" s="69"/>
      <c r="I585" s="69"/>
      <c r="J585" s="70"/>
      <c r="K585" s="70"/>
      <c r="L585" s="70">
        <f>SUM(L586:L597)</f>
        <v>2784662.0899999994</v>
      </c>
      <c r="M585" s="72"/>
      <c r="N585" s="72"/>
    </row>
    <row r="586" spans="1:15" s="54" customFormat="1" ht="18.75" customHeight="1" x14ac:dyDescent="0.25">
      <c r="A586" s="66"/>
      <c r="B586" s="71" t="s">
        <v>44</v>
      </c>
      <c r="C586" s="72"/>
      <c r="D586" s="72" t="s">
        <v>45</v>
      </c>
      <c r="E586" s="72"/>
      <c r="F586" s="72"/>
      <c r="G586" s="73">
        <v>29.5</v>
      </c>
      <c r="H586" s="73">
        <v>25.51</v>
      </c>
      <c r="I586" s="73">
        <v>36.56</v>
      </c>
      <c r="J586" s="70">
        <f>SUM(G586:I586)</f>
        <v>91.570000000000007</v>
      </c>
      <c r="K586" s="74">
        <v>4939</v>
      </c>
      <c r="L586" s="74">
        <f>K586*J586</f>
        <v>452264.23000000004</v>
      </c>
      <c r="M586" s="72"/>
      <c r="N586" s="72"/>
    </row>
    <row r="587" spans="1:15" s="54" customFormat="1" ht="18.75" customHeight="1" x14ac:dyDescent="0.25">
      <c r="A587" s="66"/>
      <c r="B587" s="71" t="s">
        <v>102</v>
      </c>
      <c r="C587" s="72"/>
      <c r="D587" s="72" t="s">
        <v>45</v>
      </c>
      <c r="E587" s="72"/>
      <c r="F587" s="72"/>
      <c r="G587" s="73">
        <v>1.96</v>
      </c>
      <c r="H587" s="73">
        <v>1.25</v>
      </c>
      <c r="I587" s="73">
        <v>2.34</v>
      </c>
      <c r="J587" s="70">
        <f t="shared" ref="J587:J596" si="91">SUM(G587:I587)</f>
        <v>5.55</v>
      </c>
      <c r="K587" s="74">
        <v>5845</v>
      </c>
      <c r="L587" s="74">
        <f t="shared" ref="L587" si="92">K587*J587</f>
        <v>32439.75</v>
      </c>
      <c r="M587" s="72"/>
      <c r="N587" s="72"/>
    </row>
    <row r="588" spans="1:15" s="54" customFormat="1" ht="18.75" customHeight="1" x14ac:dyDescent="0.25">
      <c r="A588" s="66"/>
      <c r="B588" s="71" t="s">
        <v>46</v>
      </c>
      <c r="C588" s="72"/>
      <c r="D588" s="72" t="s">
        <v>47</v>
      </c>
      <c r="E588" s="72"/>
      <c r="F588" s="72"/>
      <c r="G588" s="73">
        <v>189.11</v>
      </c>
      <c r="H588" s="73">
        <v>120.63</v>
      </c>
      <c r="I588" s="73">
        <v>138.37</v>
      </c>
      <c r="J588" s="70">
        <f t="shared" si="91"/>
        <v>448.11</v>
      </c>
      <c r="K588" s="74">
        <v>1461</v>
      </c>
      <c r="L588" s="74">
        <f>K588*J588</f>
        <v>654688.71</v>
      </c>
      <c r="M588" s="72"/>
      <c r="N588" s="72"/>
    </row>
    <row r="589" spans="1:15" s="54" customFormat="1" ht="18.75" customHeight="1" x14ac:dyDescent="0.25">
      <c r="A589" s="66"/>
      <c r="B589" s="71" t="s">
        <v>48</v>
      </c>
      <c r="C589" s="72"/>
      <c r="D589" s="72" t="s">
        <v>47</v>
      </c>
      <c r="E589" s="72"/>
      <c r="F589" s="72"/>
      <c r="G589" s="73">
        <v>55.84</v>
      </c>
      <c r="H589" s="73">
        <v>44.32</v>
      </c>
      <c r="I589" s="73">
        <v>73.53</v>
      </c>
      <c r="J589" s="70">
        <f t="shared" si="91"/>
        <v>173.69</v>
      </c>
      <c r="K589" s="74">
        <v>1461</v>
      </c>
      <c r="L589" s="74">
        <f>K589*J589</f>
        <v>253761.09</v>
      </c>
      <c r="M589" s="72"/>
      <c r="N589" s="72"/>
    </row>
    <row r="590" spans="1:15" s="54" customFormat="1" ht="18.75" customHeight="1" x14ac:dyDescent="0.25">
      <c r="A590" s="66"/>
      <c r="B590" s="71" t="s">
        <v>103</v>
      </c>
      <c r="C590" s="72"/>
      <c r="D590" s="72" t="s">
        <v>47</v>
      </c>
      <c r="E590" s="72"/>
      <c r="F590" s="72"/>
      <c r="G590" s="73">
        <v>174.72</v>
      </c>
      <c r="H590" s="73">
        <v>101.76</v>
      </c>
      <c r="I590" s="73">
        <v>126.44</v>
      </c>
      <c r="J590" s="70">
        <f t="shared" si="91"/>
        <v>402.92</v>
      </c>
      <c r="K590" s="74">
        <v>1461</v>
      </c>
      <c r="L590" s="74">
        <f>K590*J590</f>
        <v>588666.12</v>
      </c>
      <c r="M590" s="72"/>
      <c r="N590" s="72"/>
    </row>
    <row r="591" spans="1:15" s="54" customFormat="1" ht="18.75" customHeight="1" x14ac:dyDescent="0.25">
      <c r="A591" s="66"/>
      <c r="B591" s="71" t="s">
        <v>104</v>
      </c>
      <c r="C591" s="72"/>
      <c r="D591" s="72" t="s">
        <v>47</v>
      </c>
      <c r="E591" s="72"/>
      <c r="F591" s="72"/>
      <c r="G591" s="73">
        <v>94.01</v>
      </c>
      <c r="H591" s="73">
        <v>112.4</v>
      </c>
      <c r="I591" s="73">
        <v>112.82</v>
      </c>
      <c r="J591" s="70">
        <f t="shared" si="91"/>
        <v>319.23</v>
      </c>
      <c r="K591" s="74">
        <v>1461</v>
      </c>
      <c r="L591" s="74">
        <f>K591*J591</f>
        <v>466395.03</v>
      </c>
      <c r="M591" s="72"/>
      <c r="N591" s="72"/>
    </row>
    <row r="592" spans="1:15" s="54" customFormat="1" ht="18.75" customHeight="1" x14ac:dyDescent="0.25">
      <c r="A592" s="66"/>
      <c r="B592" s="71" t="s">
        <v>49</v>
      </c>
      <c r="C592" s="72"/>
      <c r="D592" s="72" t="s">
        <v>47</v>
      </c>
      <c r="E592" s="72"/>
      <c r="F592" s="72"/>
      <c r="G592" s="73">
        <v>37.82</v>
      </c>
      <c r="H592" s="73">
        <v>36.04</v>
      </c>
      <c r="I592" s="73">
        <v>36.26</v>
      </c>
      <c r="J592" s="70">
        <f t="shared" si="91"/>
        <v>110.12</v>
      </c>
      <c r="K592" s="74">
        <v>1610</v>
      </c>
      <c r="L592" s="74">
        <f t="shared" ref="L592:L596" si="93">K592*J592</f>
        <v>177293.2</v>
      </c>
      <c r="M592" s="72"/>
      <c r="N592" s="72"/>
    </row>
    <row r="593" spans="1:14" s="54" customFormat="1" ht="18.75" customHeight="1" x14ac:dyDescent="0.25">
      <c r="A593" s="66"/>
      <c r="B593" s="71" t="s">
        <v>50</v>
      </c>
      <c r="C593" s="72"/>
      <c r="D593" s="72" t="s">
        <v>51</v>
      </c>
      <c r="E593" s="72"/>
      <c r="F593" s="72"/>
      <c r="G593" s="73">
        <v>54</v>
      </c>
      <c r="H593" s="73">
        <v>44</v>
      </c>
      <c r="I593" s="73">
        <v>56</v>
      </c>
      <c r="J593" s="70">
        <f t="shared" si="91"/>
        <v>154</v>
      </c>
      <c r="K593" s="74">
        <v>803</v>
      </c>
      <c r="L593" s="74">
        <f t="shared" si="93"/>
        <v>123662</v>
      </c>
      <c r="M593" s="72"/>
      <c r="N593" s="72"/>
    </row>
    <row r="594" spans="1:14" s="54" customFormat="1" ht="18.75" customHeight="1" x14ac:dyDescent="0.25">
      <c r="A594" s="66"/>
      <c r="B594" s="71" t="s">
        <v>52</v>
      </c>
      <c r="C594" s="72" t="s">
        <v>105</v>
      </c>
      <c r="D594" s="72" t="s">
        <v>54</v>
      </c>
      <c r="E594" s="72"/>
      <c r="F594" s="72"/>
      <c r="G594" s="129">
        <v>55.61</v>
      </c>
      <c r="H594" s="129">
        <v>70.760000000000005</v>
      </c>
      <c r="I594" s="129">
        <v>35.11</v>
      </c>
      <c r="J594" s="130">
        <f t="shared" si="91"/>
        <v>161.48000000000002</v>
      </c>
      <c r="K594" s="74">
        <v>94.5</v>
      </c>
      <c r="L594" s="74">
        <f t="shared" si="93"/>
        <v>15259.860000000002</v>
      </c>
      <c r="M594" s="72"/>
      <c r="N594" s="72"/>
    </row>
    <row r="595" spans="1:14" s="54" customFormat="1" ht="31.5" x14ac:dyDescent="0.25">
      <c r="A595" s="66"/>
      <c r="B595" s="71" t="s">
        <v>55</v>
      </c>
      <c r="C595" s="72"/>
      <c r="D595" s="72" t="s">
        <v>54</v>
      </c>
      <c r="E595" s="72"/>
      <c r="F595" s="72"/>
      <c r="G595" s="73">
        <v>29.2</v>
      </c>
      <c r="H595" s="73">
        <v>31.63</v>
      </c>
      <c r="I595" s="73">
        <v>21.38</v>
      </c>
      <c r="J595" s="70">
        <f t="shared" si="91"/>
        <v>82.21</v>
      </c>
      <c r="K595" s="74">
        <v>118</v>
      </c>
      <c r="L595" s="74">
        <f t="shared" si="93"/>
        <v>9700.7799999999988</v>
      </c>
      <c r="M595" s="72"/>
      <c r="N595" s="72"/>
    </row>
    <row r="596" spans="1:14" s="54" customFormat="1" ht="24" customHeight="1" x14ac:dyDescent="0.25">
      <c r="A596" s="66"/>
      <c r="B596" s="71" t="s">
        <v>256</v>
      </c>
      <c r="C596" s="72"/>
      <c r="D596" s="72" t="s">
        <v>47</v>
      </c>
      <c r="E596" s="72"/>
      <c r="F596" s="72"/>
      <c r="G596" s="73">
        <v>35.340000000000003</v>
      </c>
      <c r="H596" s="73"/>
      <c r="I596" s="73"/>
      <c r="J596" s="70">
        <f t="shared" si="91"/>
        <v>35.340000000000003</v>
      </c>
      <c r="K596" s="74">
        <v>298</v>
      </c>
      <c r="L596" s="74">
        <f t="shared" si="93"/>
        <v>10531.320000000002</v>
      </c>
      <c r="M596" s="72"/>
      <c r="N596" s="72"/>
    </row>
    <row r="597" spans="1:14" s="54" customFormat="1" ht="24" customHeight="1" x14ac:dyDescent="0.25">
      <c r="A597" s="66"/>
      <c r="B597" s="87" t="s">
        <v>56</v>
      </c>
      <c r="C597" s="88"/>
      <c r="D597" s="88" t="s">
        <v>45</v>
      </c>
      <c r="E597" s="88"/>
      <c r="F597" s="88"/>
      <c r="G597" s="73">
        <f>282.32*0.06*0.03</f>
        <v>0.50817599999999996</v>
      </c>
      <c r="H597" s="73">
        <f>228.82*0.06*0.03</f>
        <v>0.41187599999999996</v>
      </c>
      <c r="I597" s="73">
        <f>270.93*0.06*0.03</f>
        <v>0.487674</v>
      </c>
      <c r="J597" s="70">
        <f>SUM(G597:I597)</f>
        <v>1.4077259999999998</v>
      </c>
      <c r="K597" s="74"/>
      <c r="L597" s="74"/>
      <c r="M597" s="88" t="s">
        <v>57</v>
      </c>
      <c r="N597" s="72"/>
    </row>
    <row r="598" spans="1:14" s="54" customFormat="1" x14ac:dyDescent="0.25">
      <c r="A598" s="75"/>
      <c r="B598" s="76" t="s">
        <v>38</v>
      </c>
      <c r="C598" s="77"/>
      <c r="D598" s="77"/>
      <c r="E598" s="77"/>
      <c r="F598" s="77"/>
      <c r="G598" s="78"/>
      <c r="H598" s="78"/>
      <c r="I598" s="78"/>
      <c r="J598" s="79"/>
      <c r="K598" s="80"/>
      <c r="L598" s="79">
        <f>SUM(L599:L633)</f>
        <v>887619.06312040018</v>
      </c>
      <c r="M598" s="77"/>
      <c r="N598" s="77"/>
    </row>
    <row r="599" spans="1:14" s="54" customFormat="1" ht="31.5" x14ac:dyDescent="0.25">
      <c r="A599" s="81"/>
      <c r="B599" s="82" t="s">
        <v>58</v>
      </c>
      <c r="C599" s="77" t="s">
        <v>59</v>
      </c>
      <c r="D599" s="77" t="s">
        <v>60</v>
      </c>
      <c r="E599" s="78">
        <v>12.4</v>
      </c>
      <c r="F599" s="77">
        <v>0.25</v>
      </c>
      <c r="G599" s="83">
        <f>G586/F599*E599</f>
        <v>1463.2</v>
      </c>
      <c r="H599" s="83">
        <f>H586/F599*E599</f>
        <v>1265.296</v>
      </c>
      <c r="I599" s="83">
        <f>I586/F599*E599</f>
        <v>1813.3760000000002</v>
      </c>
      <c r="J599" s="84">
        <f>SUM(G599:I599)</f>
        <v>4541.8720000000003</v>
      </c>
      <c r="K599" s="80">
        <v>0</v>
      </c>
      <c r="L599" s="80">
        <f>J599*K599</f>
        <v>0</v>
      </c>
      <c r="M599" s="77" t="s">
        <v>61</v>
      </c>
      <c r="N599" s="77" t="s">
        <v>320</v>
      </c>
    </row>
    <row r="600" spans="1:14" s="54" customFormat="1" ht="31.5" x14ac:dyDescent="0.25">
      <c r="A600" s="81"/>
      <c r="B600" s="82" t="s">
        <v>62</v>
      </c>
      <c r="C600" s="77" t="s">
        <v>63</v>
      </c>
      <c r="D600" s="77" t="s">
        <v>60</v>
      </c>
      <c r="E600" s="78">
        <v>12.4</v>
      </c>
      <c r="F600" s="77"/>
      <c r="G600" s="83">
        <f>G588*E600</f>
        <v>2344.9640000000004</v>
      </c>
      <c r="H600" s="83">
        <f>H588*E600</f>
        <v>1495.8119999999999</v>
      </c>
      <c r="I600" s="83">
        <f>I588*E600</f>
        <v>1715.788</v>
      </c>
      <c r="J600" s="84">
        <f t="shared" ref="J600:J604" si="94">SUM(G600:I600)</f>
        <v>5556.5640000000003</v>
      </c>
      <c r="K600" s="80">
        <v>0</v>
      </c>
      <c r="L600" s="80">
        <f>J600*K600</f>
        <v>0</v>
      </c>
      <c r="M600" s="77" t="s">
        <v>61</v>
      </c>
      <c r="N600" s="77" t="s">
        <v>320</v>
      </c>
    </row>
    <row r="601" spans="1:14" s="54" customFormat="1" ht="31.5" x14ac:dyDescent="0.25">
      <c r="A601" s="81"/>
      <c r="B601" s="82" t="s">
        <v>64</v>
      </c>
      <c r="C601" s="77" t="s">
        <v>65</v>
      </c>
      <c r="D601" s="77" t="s">
        <v>60</v>
      </c>
      <c r="E601" s="78">
        <v>12.4</v>
      </c>
      <c r="F601" s="77"/>
      <c r="G601" s="83">
        <f>G589*E601</f>
        <v>692.41600000000005</v>
      </c>
      <c r="H601" s="83">
        <f>H589*E601</f>
        <v>549.56799999999998</v>
      </c>
      <c r="I601" s="83">
        <f>I589*E601</f>
        <v>911.77200000000005</v>
      </c>
      <c r="J601" s="84">
        <f t="shared" si="94"/>
        <v>2153.7559999999999</v>
      </c>
      <c r="K601" s="80">
        <v>0</v>
      </c>
      <c r="L601" s="80">
        <f>J601*K601</f>
        <v>0</v>
      </c>
      <c r="M601" s="77" t="s">
        <v>61</v>
      </c>
      <c r="N601" s="77" t="s">
        <v>320</v>
      </c>
    </row>
    <row r="602" spans="1:14" s="54" customFormat="1" ht="31.5" x14ac:dyDescent="0.25">
      <c r="A602" s="81"/>
      <c r="B602" s="82" t="s">
        <v>106</v>
      </c>
      <c r="C602" s="77" t="s">
        <v>107</v>
      </c>
      <c r="D602" s="77" t="s">
        <v>60</v>
      </c>
      <c r="E602" s="78">
        <v>12.4</v>
      </c>
      <c r="F602" s="77"/>
      <c r="G602" s="83">
        <f>G590*E602</f>
        <v>2166.5280000000002</v>
      </c>
      <c r="H602" s="83">
        <f>H590*E602</f>
        <v>1261.8240000000001</v>
      </c>
      <c r="I602" s="83">
        <f>I590*E602</f>
        <v>1567.856</v>
      </c>
      <c r="J602" s="84">
        <f t="shared" si="94"/>
        <v>4996.2080000000005</v>
      </c>
      <c r="K602" s="80">
        <v>0</v>
      </c>
      <c r="L602" s="80">
        <f>J602*K602</f>
        <v>0</v>
      </c>
      <c r="M602" s="77" t="s">
        <v>61</v>
      </c>
      <c r="N602" s="77" t="s">
        <v>320</v>
      </c>
    </row>
    <row r="603" spans="1:14" s="54" customFormat="1" ht="31.5" x14ac:dyDescent="0.25">
      <c r="A603" s="81"/>
      <c r="B603" s="82" t="s">
        <v>108</v>
      </c>
      <c r="C603" s="77" t="s">
        <v>109</v>
      </c>
      <c r="D603" s="77" t="s">
        <v>60</v>
      </c>
      <c r="E603" s="78">
        <v>12.4</v>
      </c>
      <c r="F603" s="77"/>
      <c r="G603" s="83">
        <f>G591*E603</f>
        <v>1165.7240000000002</v>
      </c>
      <c r="H603" s="83">
        <f>H591*E603</f>
        <v>1393.7600000000002</v>
      </c>
      <c r="I603" s="83">
        <f>I591*E603</f>
        <v>1398.9679999999998</v>
      </c>
      <c r="J603" s="84">
        <f t="shared" si="94"/>
        <v>3958.4520000000002</v>
      </c>
      <c r="K603" s="80">
        <v>0</v>
      </c>
      <c r="L603" s="80">
        <f>J603*K603</f>
        <v>0</v>
      </c>
      <c r="M603" s="77" t="s">
        <v>61</v>
      </c>
      <c r="N603" s="77" t="s">
        <v>320</v>
      </c>
    </row>
    <row r="604" spans="1:14" s="54" customFormat="1" ht="31.5" x14ac:dyDescent="0.25">
      <c r="A604" s="81"/>
      <c r="B604" s="89" t="s">
        <v>66</v>
      </c>
      <c r="C604" s="77" t="s">
        <v>67</v>
      </c>
      <c r="D604" s="77" t="s">
        <v>60</v>
      </c>
      <c r="E604" s="90">
        <v>42</v>
      </c>
      <c r="F604" s="90"/>
      <c r="G604" s="83">
        <f>G592*E604</f>
        <v>1588.44</v>
      </c>
      <c r="H604" s="83">
        <f>H592*E604</f>
        <v>1513.68</v>
      </c>
      <c r="I604" s="83">
        <f>I592*E604</f>
        <v>1522.9199999999998</v>
      </c>
      <c r="J604" s="84">
        <f t="shared" si="94"/>
        <v>4625.04</v>
      </c>
      <c r="K604" s="80">
        <v>0</v>
      </c>
      <c r="L604" s="80">
        <f t="shared" ref="L604:L632" si="95">J604*K604</f>
        <v>0</v>
      </c>
      <c r="M604" s="77" t="s">
        <v>68</v>
      </c>
      <c r="N604" s="77" t="s">
        <v>320</v>
      </c>
    </row>
    <row r="605" spans="1:14" s="54" customFormat="1" ht="31.5" x14ac:dyDescent="0.25">
      <c r="A605" s="81"/>
      <c r="B605" s="89" t="s">
        <v>110</v>
      </c>
      <c r="C605" s="77" t="s">
        <v>111</v>
      </c>
      <c r="D605" s="77" t="s">
        <v>60</v>
      </c>
      <c r="E605" s="90">
        <v>42</v>
      </c>
      <c r="F605" s="90"/>
      <c r="G605" s="83">
        <f>G587/0.25*E605</f>
        <v>329.28</v>
      </c>
      <c r="H605" s="83">
        <f>H587/0.25*E605</f>
        <v>210</v>
      </c>
      <c r="I605" s="83">
        <f>I587/0.25*E605</f>
        <v>393.12</v>
      </c>
      <c r="J605" s="84">
        <f t="shared" ref="J605" si="96">SUM(G605:I605)</f>
        <v>932.4</v>
      </c>
      <c r="K605" s="80">
        <v>0</v>
      </c>
      <c r="L605" s="80">
        <f t="shared" si="95"/>
        <v>0</v>
      </c>
      <c r="M605" s="77" t="s">
        <v>68</v>
      </c>
      <c r="N605" s="77" t="s">
        <v>320</v>
      </c>
    </row>
    <row r="606" spans="1:14" s="54" customFormat="1" ht="29.25" customHeight="1" x14ac:dyDescent="0.25">
      <c r="A606" s="81"/>
      <c r="B606" s="91" t="s">
        <v>69</v>
      </c>
      <c r="C606" s="77" t="s">
        <v>70</v>
      </c>
      <c r="D606" s="77" t="s">
        <v>45</v>
      </c>
      <c r="E606" s="77">
        <v>0.19500000000000001</v>
      </c>
      <c r="F606" s="90"/>
      <c r="G606" s="78">
        <f>G586*E606+G588*E606*0.19+G589*E606*0.19+G590*E606*0.09+G591*E606*0.09</f>
        <v>19.544109000000002</v>
      </c>
      <c r="H606" s="78">
        <f>H586*E606+H588*E606*0.19+H589*E606*0.19+H590*E606*0.09+H591*E606*0.09</f>
        <v>14.844355500000001</v>
      </c>
      <c r="I606" s="78">
        <f>I586*E606+I588*E606*0.19+I589*E606*0.19+I590*E606*0.09+I591*E606*0.09</f>
        <v>19.179107999999999</v>
      </c>
      <c r="J606" s="79">
        <f>SUM(G606:I606)</f>
        <v>53.567572500000004</v>
      </c>
      <c r="K606" s="80">
        <v>7875</v>
      </c>
      <c r="L606" s="80">
        <f t="shared" si="95"/>
        <v>421844.63343750004</v>
      </c>
      <c r="M606" s="77" t="s">
        <v>71</v>
      </c>
      <c r="N606" s="77" t="s">
        <v>321</v>
      </c>
    </row>
    <row r="607" spans="1:14" s="54" customFormat="1" ht="29.25" customHeight="1" x14ac:dyDescent="0.25">
      <c r="A607" s="92"/>
      <c r="B607" s="91" t="s">
        <v>112</v>
      </c>
      <c r="C607" s="77" t="s">
        <v>70</v>
      </c>
      <c r="D607" s="77" t="s">
        <v>45</v>
      </c>
      <c r="E607" s="77">
        <v>0.24</v>
      </c>
      <c r="F607" s="77"/>
      <c r="G607" s="78">
        <f>G587*E607</f>
        <v>0.47039999999999998</v>
      </c>
      <c r="H607" s="78">
        <f>H587*E607</f>
        <v>0.3</v>
      </c>
      <c r="I607" s="78">
        <f>I587*E607</f>
        <v>0.56159999999999999</v>
      </c>
      <c r="J607" s="79">
        <f t="shared" ref="J607:J631" si="97">SUM(G607:I607)</f>
        <v>1.3319999999999999</v>
      </c>
      <c r="K607" s="80">
        <v>7875</v>
      </c>
      <c r="L607" s="80">
        <f t="shared" si="95"/>
        <v>10489.499999999998</v>
      </c>
      <c r="M607" s="77" t="s">
        <v>71</v>
      </c>
      <c r="N607" s="77" t="s">
        <v>321</v>
      </c>
    </row>
    <row r="608" spans="1:14" s="54" customFormat="1" ht="29.25" customHeight="1" x14ac:dyDescent="0.25">
      <c r="A608" s="92"/>
      <c r="B608" s="91" t="s">
        <v>72</v>
      </c>
      <c r="C608" s="77" t="s">
        <v>70</v>
      </c>
      <c r="D608" s="77" t="s">
        <v>45</v>
      </c>
      <c r="E608" s="77">
        <v>4.5999999999999999E-2</v>
      </c>
      <c r="F608" s="77"/>
      <c r="G608" s="78">
        <f>G592*E608</f>
        <v>1.7397199999999999</v>
      </c>
      <c r="H608" s="78">
        <f>H592*E608</f>
        <v>1.65784</v>
      </c>
      <c r="I608" s="78">
        <f>I592*E608</f>
        <v>1.6679599999999999</v>
      </c>
      <c r="J608" s="79">
        <f t="shared" si="97"/>
        <v>5.0655199999999994</v>
      </c>
      <c r="K608" s="80">
        <v>7875</v>
      </c>
      <c r="L608" s="80">
        <f t="shared" si="95"/>
        <v>39890.969999999994</v>
      </c>
      <c r="M608" s="77" t="s">
        <v>73</v>
      </c>
      <c r="N608" s="77" t="s">
        <v>321</v>
      </c>
    </row>
    <row r="609" spans="1:14" s="54" customFormat="1" ht="29.25" customHeight="1" x14ac:dyDescent="0.25">
      <c r="A609" s="92"/>
      <c r="B609" s="91" t="s">
        <v>74</v>
      </c>
      <c r="C609" s="77" t="s">
        <v>70</v>
      </c>
      <c r="D609" s="77" t="s">
        <v>45</v>
      </c>
      <c r="E609" s="77">
        <v>1.01</v>
      </c>
      <c r="F609" s="77"/>
      <c r="G609" s="78">
        <f>G597*E609</f>
        <v>0.51325776000000001</v>
      </c>
      <c r="H609" s="78">
        <f>H597*E609</f>
        <v>0.41599475999999996</v>
      </c>
      <c r="I609" s="78">
        <f>I597*E609</f>
        <v>0.49255073999999999</v>
      </c>
      <c r="J609" s="79">
        <f t="shared" si="97"/>
        <v>1.4218032599999999</v>
      </c>
      <c r="K609" s="80">
        <v>7875</v>
      </c>
      <c r="L609" s="80">
        <f t="shared" si="95"/>
        <v>11196.700672499999</v>
      </c>
      <c r="M609" s="77" t="s">
        <v>71</v>
      </c>
      <c r="N609" s="77" t="s">
        <v>321</v>
      </c>
    </row>
    <row r="610" spans="1:14" s="54" customFormat="1" ht="29.25" customHeight="1" x14ac:dyDescent="0.25">
      <c r="A610" s="81"/>
      <c r="B610" s="89" t="s">
        <v>75</v>
      </c>
      <c r="C610" s="77" t="s">
        <v>70</v>
      </c>
      <c r="D610" s="77" t="s">
        <v>45</v>
      </c>
      <c r="E610" s="77">
        <v>6.0000000000000001E-3</v>
      </c>
      <c r="F610" s="77"/>
      <c r="G610" s="78">
        <f>G593*E610</f>
        <v>0.32400000000000001</v>
      </c>
      <c r="H610" s="78">
        <f>H593*E610</f>
        <v>0.26400000000000001</v>
      </c>
      <c r="I610" s="78">
        <f>I593*E610</f>
        <v>0.33600000000000002</v>
      </c>
      <c r="J610" s="79">
        <f t="shared" si="97"/>
        <v>0.92400000000000015</v>
      </c>
      <c r="K610" s="80">
        <v>7875</v>
      </c>
      <c r="L610" s="80">
        <f t="shared" si="95"/>
        <v>7276.5000000000009</v>
      </c>
      <c r="M610" s="77" t="s">
        <v>76</v>
      </c>
      <c r="N610" s="77" t="s">
        <v>321</v>
      </c>
    </row>
    <row r="611" spans="1:14" s="54" customFormat="1" ht="29.25" customHeight="1" x14ac:dyDescent="0.25">
      <c r="A611" s="81"/>
      <c r="B611" s="89" t="s">
        <v>77</v>
      </c>
      <c r="C611" s="77" t="s">
        <v>70</v>
      </c>
      <c r="D611" s="77" t="s">
        <v>45</v>
      </c>
      <c r="E611" s="77">
        <v>1.01</v>
      </c>
      <c r="F611" s="77"/>
      <c r="G611" s="93">
        <v>3.7999999999999999E-2</v>
      </c>
      <c r="H611" s="93">
        <v>3.1E-2</v>
      </c>
      <c r="I611" s="93">
        <v>2.5000000000000001E-2</v>
      </c>
      <c r="J611" s="79">
        <f t="shared" si="97"/>
        <v>9.4E-2</v>
      </c>
      <c r="K611" s="80">
        <v>7875</v>
      </c>
      <c r="L611" s="80">
        <f t="shared" si="95"/>
        <v>740.25</v>
      </c>
      <c r="M611" s="94"/>
      <c r="N611" s="77" t="s">
        <v>321</v>
      </c>
    </row>
    <row r="612" spans="1:14" s="54" customFormat="1" ht="24.75" customHeight="1" x14ac:dyDescent="0.25">
      <c r="A612" s="81"/>
      <c r="B612" s="89" t="s">
        <v>78</v>
      </c>
      <c r="C612" s="77" t="s">
        <v>79</v>
      </c>
      <c r="D612" s="77" t="s">
        <v>47</v>
      </c>
      <c r="E612" s="77"/>
      <c r="F612" s="77"/>
      <c r="G612" s="78">
        <v>185.75</v>
      </c>
      <c r="H612" s="78">
        <v>142.61000000000001</v>
      </c>
      <c r="I612" s="78">
        <v>183.89</v>
      </c>
      <c r="J612" s="79">
        <f t="shared" si="97"/>
        <v>512.25</v>
      </c>
      <c r="K612" s="80">
        <v>88.34</v>
      </c>
      <c r="L612" s="80">
        <f t="shared" si="95"/>
        <v>45252.165000000001</v>
      </c>
      <c r="M612" s="94"/>
      <c r="N612" s="77" t="s">
        <v>321</v>
      </c>
    </row>
    <row r="613" spans="1:14" s="54" customFormat="1" ht="24.75" customHeight="1" x14ac:dyDescent="0.25">
      <c r="A613" s="81"/>
      <c r="B613" s="89" t="s">
        <v>277</v>
      </c>
      <c r="C613" s="77" t="s">
        <v>114</v>
      </c>
      <c r="D613" s="77" t="s">
        <v>60</v>
      </c>
      <c r="E613" s="77"/>
      <c r="F613" s="77"/>
      <c r="G613" s="78">
        <v>12</v>
      </c>
      <c r="H613" s="78">
        <v>17</v>
      </c>
      <c r="I613" s="78">
        <v>12</v>
      </c>
      <c r="J613" s="79">
        <f t="shared" si="97"/>
        <v>41</v>
      </c>
      <c r="K613" s="80">
        <v>398.6</v>
      </c>
      <c r="L613" s="80">
        <f t="shared" si="95"/>
        <v>16342.6</v>
      </c>
      <c r="M613" s="94"/>
      <c r="N613" s="77" t="s">
        <v>321</v>
      </c>
    </row>
    <row r="614" spans="1:14" s="54" customFormat="1" ht="24.75" customHeight="1" x14ac:dyDescent="0.25">
      <c r="A614" s="81"/>
      <c r="B614" s="89" t="s">
        <v>278</v>
      </c>
      <c r="C614" s="77" t="s">
        <v>116</v>
      </c>
      <c r="D614" s="77" t="s">
        <v>60</v>
      </c>
      <c r="E614" s="77"/>
      <c r="F614" s="77"/>
      <c r="G614" s="78">
        <v>9</v>
      </c>
      <c r="H614" s="78"/>
      <c r="I614" s="78">
        <v>9</v>
      </c>
      <c r="J614" s="79">
        <f t="shared" si="97"/>
        <v>18</v>
      </c>
      <c r="K614" s="80">
        <v>465.03</v>
      </c>
      <c r="L614" s="80">
        <f t="shared" si="95"/>
        <v>8370.5399999999991</v>
      </c>
      <c r="M614" s="94"/>
      <c r="N614" s="77" t="s">
        <v>321</v>
      </c>
    </row>
    <row r="615" spans="1:14" s="54" customFormat="1" ht="24.75" customHeight="1" x14ac:dyDescent="0.25">
      <c r="A615" s="81"/>
      <c r="B615" s="89" t="s">
        <v>283</v>
      </c>
      <c r="C615" s="77" t="s">
        <v>284</v>
      </c>
      <c r="D615" s="77" t="s">
        <v>60</v>
      </c>
      <c r="E615" s="77"/>
      <c r="F615" s="77"/>
      <c r="G615" s="78">
        <v>1</v>
      </c>
      <c r="H615" s="78">
        <v>1</v>
      </c>
      <c r="I615" s="78"/>
      <c r="J615" s="79">
        <f t="shared" si="97"/>
        <v>2</v>
      </c>
      <c r="K615" s="80">
        <v>620.04999999999995</v>
      </c>
      <c r="L615" s="80">
        <f t="shared" si="95"/>
        <v>1240.0999999999999</v>
      </c>
      <c r="M615" s="94"/>
      <c r="N615" s="77" t="s">
        <v>321</v>
      </c>
    </row>
    <row r="616" spans="1:14" s="54" customFormat="1" ht="24.75" customHeight="1" x14ac:dyDescent="0.25">
      <c r="A616" s="81"/>
      <c r="B616" s="89" t="s">
        <v>285</v>
      </c>
      <c r="C616" s="77" t="s">
        <v>286</v>
      </c>
      <c r="D616" s="77" t="s">
        <v>60</v>
      </c>
      <c r="E616" s="77"/>
      <c r="F616" s="77"/>
      <c r="G616" s="78"/>
      <c r="H616" s="78"/>
      <c r="I616" s="78">
        <v>1</v>
      </c>
      <c r="J616" s="79">
        <f t="shared" si="97"/>
        <v>1</v>
      </c>
      <c r="K616" s="80">
        <v>708.62</v>
      </c>
      <c r="L616" s="80">
        <f t="shared" si="95"/>
        <v>708.62</v>
      </c>
      <c r="M616" s="94"/>
      <c r="N616" s="77" t="s">
        <v>321</v>
      </c>
    </row>
    <row r="617" spans="1:14" s="54" customFormat="1" ht="24.75" customHeight="1" x14ac:dyDescent="0.25">
      <c r="A617" s="81"/>
      <c r="B617" s="89" t="s">
        <v>287</v>
      </c>
      <c r="C617" s="77" t="s">
        <v>288</v>
      </c>
      <c r="D617" s="77" t="s">
        <v>60</v>
      </c>
      <c r="E617" s="77"/>
      <c r="F617" s="77"/>
      <c r="G617" s="78">
        <v>1</v>
      </c>
      <c r="H617" s="78">
        <v>1</v>
      </c>
      <c r="I617" s="78">
        <v>1</v>
      </c>
      <c r="J617" s="79">
        <f t="shared" si="97"/>
        <v>3</v>
      </c>
      <c r="K617" s="80">
        <v>797.2</v>
      </c>
      <c r="L617" s="80">
        <f t="shared" si="95"/>
        <v>2391.6000000000004</v>
      </c>
      <c r="M617" s="94"/>
      <c r="N617" s="77" t="s">
        <v>321</v>
      </c>
    </row>
    <row r="618" spans="1:14" s="54" customFormat="1" ht="24.75" customHeight="1" x14ac:dyDescent="0.25">
      <c r="A618" s="81"/>
      <c r="B618" s="89" t="s">
        <v>297</v>
      </c>
      <c r="C618" s="77" t="s">
        <v>118</v>
      </c>
      <c r="D618" s="77" t="s">
        <v>60</v>
      </c>
      <c r="E618" s="77"/>
      <c r="F618" s="77"/>
      <c r="G618" s="78">
        <v>4</v>
      </c>
      <c r="H618" s="78"/>
      <c r="I618" s="78">
        <v>3</v>
      </c>
      <c r="J618" s="79">
        <f t="shared" si="97"/>
        <v>7</v>
      </c>
      <c r="K618" s="80">
        <v>841.49</v>
      </c>
      <c r="L618" s="80">
        <f t="shared" si="95"/>
        <v>5890.43</v>
      </c>
      <c r="M618" s="94"/>
      <c r="N618" s="77" t="s">
        <v>321</v>
      </c>
    </row>
    <row r="619" spans="1:14" s="54" customFormat="1" ht="24.75" customHeight="1" x14ac:dyDescent="0.25">
      <c r="A619" s="81"/>
      <c r="B619" s="89" t="s">
        <v>298</v>
      </c>
      <c r="C619" s="77" t="s">
        <v>120</v>
      </c>
      <c r="D619" s="77" t="s">
        <v>60</v>
      </c>
      <c r="E619" s="77"/>
      <c r="F619" s="77"/>
      <c r="G619" s="78">
        <v>4</v>
      </c>
      <c r="H619" s="78">
        <v>6</v>
      </c>
      <c r="I619" s="78">
        <v>5</v>
      </c>
      <c r="J619" s="79">
        <f t="shared" si="97"/>
        <v>15</v>
      </c>
      <c r="K619" s="80">
        <v>981.74</v>
      </c>
      <c r="L619" s="80">
        <f t="shared" si="95"/>
        <v>14726.1</v>
      </c>
      <c r="M619" s="94"/>
      <c r="N619" s="77" t="s">
        <v>321</v>
      </c>
    </row>
    <row r="620" spans="1:14" s="54" customFormat="1" ht="24.75" customHeight="1" x14ac:dyDescent="0.25">
      <c r="A620" s="81"/>
      <c r="B620" s="89" t="s">
        <v>301</v>
      </c>
      <c r="C620" s="77" t="s">
        <v>122</v>
      </c>
      <c r="D620" s="77" t="s">
        <v>60</v>
      </c>
      <c r="E620" s="77"/>
      <c r="F620" s="77"/>
      <c r="G620" s="78">
        <v>3</v>
      </c>
      <c r="H620" s="78">
        <v>1</v>
      </c>
      <c r="I620" s="78">
        <v>7</v>
      </c>
      <c r="J620" s="79">
        <f t="shared" si="97"/>
        <v>11</v>
      </c>
      <c r="K620" s="80">
        <v>1291.76</v>
      </c>
      <c r="L620" s="80">
        <f t="shared" si="95"/>
        <v>14209.36</v>
      </c>
      <c r="M620" s="94"/>
      <c r="N620" s="77" t="s">
        <v>321</v>
      </c>
    </row>
    <row r="621" spans="1:14" s="54" customFormat="1" ht="24.75" customHeight="1" x14ac:dyDescent="0.25">
      <c r="A621" s="81"/>
      <c r="B621" s="89" t="s">
        <v>306</v>
      </c>
      <c r="C621" s="77" t="s">
        <v>307</v>
      </c>
      <c r="D621" s="77" t="s">
        <v>60</v>
      </c>
      <c r="E621" s="77"/>
      <c r="F621" s="77"/>
      <c r="G621" s="78"/>
      <c r="H621" s="78">
        <v>1</v>
      </c>
      <c r="I621" s="78"/>
      <c r="J621" s="79">
        <f t="shared" si="97"/>
        <v>1</v>
      </c>
      <c r="K621" s="80">
        <v>1660.84</v>
      </c>
      <c r="L621" s="80">
        <f t="shared" si="95"/>
        <v>1660.84</v>
      </c>
      <c r="M621" s="94"/>
      <c r="N621" s="77" t="s">
        <v>321</v>
      </c>
    </row>
    <row r="622" spans="1:14" s="54" customFormat="1" ht="24.75" customHeight="1" x14ac:dyDescent="0.25">
      <c r="A622" s="81"/>
      <c r="B622" s="89" t="s">
        <v>302</v>
      </c>
      <c r="C622" s="77" t="s">
        <v>124</v>
      </c>
      <c r="D622" s="77" t="s">
        <v>60</v>
      </c>
      <c r="E622" s="77"/>
      <c r="F622" s="77"/>
      <c r="G622" s="78">
        <v>1</v>
      </c>
      <c r="H622" s="78"/>
      <c r="I622" s="78"/>
      <c r="J622" s="79">
        <f t="shared" si="97"/>
        <v>1</v>
      </c>
      <c r="K622" s="80">
        <v>1845.38</v>
      </c>
      <c r="L622" s="80">
        <f t="shared" si="95"/>
        <v>1845.38</v>
      </c>
      <c r="M622" s="94"/>
      <c r="N622" s="77" t="s">
        <v>321</v>
      </c>
    </row>
    <row r="623" spans="1:14" s="54" customFormat="1" ht="24.75" customHeight="1" x14ac:dyDescent="0.25">
      <c r="A623" s="81"/>
      <c r="B623" s="89" t="s">
        <v>303</v>
      </c>
      <c r="C623" s="77" t="s">
        <v>126</v>
      </c>
      <c r="D623" s="77" t="s">
        <v>60</v>
      </c>
      <c r="E623" s="77"/>
      <c r="F623" s="77"/>
      <c r="G623" s="78">
        <v>11</v>
      </c>
      <c r="H623" s="78">
        <v>10</v>
      </c>
      <c r="I623" s="78">
        <v>10</v>
      </c>
      <c r="J623" s="79">
        <f t="shared" si="97"/>
        <v>31</v>
      </c>
      <c r="K623" s="80">
        <v>2029.91</v>
      </c>
      <c r="L623" s="80">
        <f t="shared" si="95"/>
        <v>62927.21</v>
      </c>
      <c r="M623" s="94"/>
      <c r="N623" s="77" t="s">
        <v>321</v>
      </c>
    </row>
    <row r="624" spans="1:14" s="54" customFormat="1" ht="24.75" customHeight="1" x14ac:dyDescent="0.25">
      <c r="A624" s="81"/>
      <c r="B624" s="89" t="s">
        <v>304</v>
      </c>
      <c r="C624" s="77" t="s">
        <v>128</v>
      </c>
      <c r="D624" s="77" t="s">
        <v>60</v>
      </c>
      <c r="E624" s="77"/>
      <c r="F624" s="77"/>
      <c r="G624" s="78">
        <v>8</v>
      </c>
      <c r="H624" s="78">
        <v>1</v>
      </c>
      <c r="I624" s="78">
        <v>4</v>
      </c>
      <c r="J624" s="79">
        <f t="shared" si="97"/>
        <v>13</v>
      </c>
      <c r="K624" s="80">
        <v>2398.9899999999998</v>
      </c>
      <c r="L624" s="80">
        <f t="shared" si="95"/>
        <v>31186.869999999995</v>
      </c>
      <c r="M624" s="94"/>
      <c r="N624" s="77" t="s">
        <v>321</v>
      </c>
    </row>
    <row r="625" spans="1:15" s="54" customFormat="1" ht="24.75" customHeight="1" x14ac:dyDescent="0.25">
      <c r="A625" s="81"/>
      <c r="B625" s="89" t="s">
        <v>305</v>
      </c>
      <c r="C625" s="77" t="s">
        <v>130</v>
      </c>
      <c r="D625" s="77" t="s">
        <v>60</v>
      </c>
      <c r="E625" s="77"/>
      <c r="F625" s="77"/>
      <c r="G625" s="78"/>
      <c r="H625" s="78">
        <v>6</v>
      </c>
      <c r="I625" s="78">
        <v>4</v>
      </c>
      <c r="J625" s="79">
        <f t="shared" si="97"/>
        <v>10</v>
      </c>
      <c r="K625" s="80">
        <v>2583.5300000000002</v>
      </c>
      <c r="L625" s="80">
        <f t="shared" si="95"/>
        <v>25835.300000000003</v>
      </c>
      <c r="M625" s="94"/>
      <c r="N625" s="77" t="s">
        <v>321</v>
      </c>
    </row>
    <row r="626" spans="1:15" s="54" customFormat="1" ht="24.75" customHeight="1" x14ac:dyDescent="0.25">
      <c r="A626" s="81"/>
      <c r="B626" s="89" t="s">
        <v>92</v>
      </c>
      <c r="C626" s="77" t="s">
        <v>93</v>
      </c>
      <c r="D626" s="77" t="s">
        <v>54</v>
      </c>
      <c r="E626" s="77">
        <v>1.04</v>
      </c>
      <c r="F626" s="77"/>
      <c r="G626" s="78">
        <f>142.9*E626</f>
        <v>148.61600000000001</v>
      </c>
      <c r="H626" s="78">
        <f>121.66*E626</f>
        <v>126.5264</v>
      </c>
      <c r="I626" s="78">
        <f>143.25*E626</f>
        <v>148.98000000000002</v>
      </c>
      <c r="J626" s="79">
        <f t="shared" si="97"/>
        <v>424.12240000000003</v>
      </c>
      <c r="K626" s="80">
        <v>66.349999999999994</v>
      </c>
      <c r="L626" s="80">
        <f t="shared" si="95"/>
        <v>28140.521239999998</v>
      </c>
      <c r="M626" s="94"/>
      <c r="N626" s="77" t="s">
        <v>321</v>
      </c>
    </row>
    <row r="627" spans="1:15" s="54" customFormat="1" ht="24.75" customHeight="1" x14ac:dyDescent="0.25">
      <c r="A627" s="81"/>
      <c r="B627" s="89" t="s">
        <v>94</v>
      </c>
      <c r="C627" s="77" t="s">
        <v>95</v>
      </c>
      <c r="D627" s="77" t="s">
        <v>54</v>
      </c>
      <c r="E627" s="77">
        <v>1.04</v>
      </c>
      <c r="F627" s="77"/>
      <c r="G627" s="78">
        <f>G595*E627</f>
        <v>30.367999999999999</v>
      </c>
      <c r="H627" s="78">
        <f>H595*E627</f>
        <v>32.895200000000003</v>
      </c>
      <c r="I627" s="78">
        <f>I595*E627</f>
        <v>22.235199999999999</v>
      </c>
      <c r="J627" s="79">
        <f t="shared" si="97"/>
        <v>85.498400000000004</v>
      </c>
      <c r="K627" s="80">
        <v>64</v>
      </c>
      <c r="L627" s="80">
        <f t="shared" si="95"/>
        <v>5471.8976000000002</v>
      </c>
      <c r="M627" s="94"/>
      <c r="N627" s="77" t="s">
        <v>321</v>
      </c>
    </row>
    <row r="628" spans="1:15" s="54" customFormat="1" ht="24.75" customHeight="1" x14ac:dyDescent="0.25">
      <c r="A628" s="81"/>
      <c r="B628" s="89" t="s">
        <v>131</v>
      </c>
      <c r="C628" s="77" t="s">
        <v>39</v>
      </c>
      <c r="D628" s="77" t="s">
        <v>54</v>
      </c>
      <c r="E628" s="77">
        <v>1.04</v>
      </c>
      <c r="F628" s="77"/>
      <c r="G628" s="78">
        <f>E628*17.78</f>
        <v>18.491200000000003</v>
      </c>
      <c r="H628" s="78">
        <f>31.12*E628</f>
        <v>32.364800000000002</v>
      </c>
      <c r="I628" s="78">
        <f>E628*17.78</f>
        <v>18.491200000000003</v>
      </c>
      <c r="J628" s="79">
        <f t="shared" si="97"/>
        <v>69.347200000000015</v>
      </c>
      <c r="K628" s="80">
        <v>64.209999999999994</v>
      </c>
      <c r="L628" s="80">
        <f t="shared" si="95"/>
        <v>4452.7837120000004</v>
      </c>
      <c r="M628" s="94"/>
      <c r="N628" s="77" t="s">
        <v>321</v>
      </c>
      <c r="O628" s="2"/>
    </row>
    <row r="629" spans="1:15" s="54" customFormat="1" ht="24.75" customHeight="1" x14ac:dyDescent="0.25">
      <c r="A629" s="81"/>
      <c r="B629" s="89" t="s">
        <v>96</v>
      </c>
      <c r="C629" s="77" t="s">
        <v>39</v>
      </c>
      <c r="D629" s="77" t="s">
        <v>54</v>
      </c>
      <c r="E629" s="77">
        <v>1.04</v>
      </c>
      <c r="F629" s="77"/>
      <c r="G629" s="78">
        <f>E629*15.21</f>
        <v>15.818400000000002</v>
      </c>
      <c r="H629" s="78">
        <f>E629*22.49</f>
        <v>23.389599999999998</v>
      </c>
      <c r="I629" s="78"/>
      <c r="J629" s="79">
        <f t="shared" si="97"/>
        <v>39.207999999999998</v>
      </c>
      <c r="K629" s="80">
        <v>72.78</v>
      </c>
      <c r="L629" s="80">
        <f t="shared" si="95"/>
        <v>2853.5582399999998</v>
      </c>
      <c r="M629" s="94"/>
      <c r="N629" s="77" t="s">
        <v>321</v>
      </c>
      <c r="O629" s="2"/>
    </row>
    <row r="630" spans="1:15" s="54" customFormat="1" ht="24.75" customHeight="1" x14ac:dyDescent="0.25">
      <c r="A630" s="81"/>
      <c r="B630" s="89" t="s">
        <v>97</v>
      </c>
      <c r="C630" s="77" t="s">
        <v>39</v>
      </c>
      <c r="D630" s="77" t="s">
        <v>54</v>
      </c>
      <c r="E630" s="77">
        <v>1.04</v>
      </c>
      <c r="F630" s="77"/>
      <c r="G630" s="78">
        <f>E630*16.61</f>
        <v>17.2744</v>
      </c>
      <c r="H630" s="78">
        <f>E630*6.64</f>
        <v>6.9055999999999997</v>
      </c>
      <c r="I630" s="78">
        <f>E630*11.33</f>
        <v>11.783200000000001</v>
      </c>
      <c r="J630" s="79">
        <f t="shared" si="97"/>
        <v>35.963200000000001</v>
      </c>
      <c r="K630" s="80">
        <v>74.92</v>
      </c>
      <c r="L630" s="80">
        <f t="shared" si="95"/>
        <v>2694.362944</v>
      </c>
      <c r="M630" s="94"/>
      <c r="N630" s="77" t="s">
        <v>321</v>
      </c>
    </row>
    <row r="631" spans="1:15" s="54" customFormat="1" ht="24.75" customHeight="1" x14ac:dyDescent="0.25">
      <c r="A631" s="81"/>
      <c r="B631" s="89" t="s">
        <v>132</v>
      </c>
      <c r="C631" s="77" t="s">
        <v>39</v>
      </c>
      <c r="D631" s="77" t="s">
        <v>54</v>
      </c>
      <c r="E631" s="77">
        <v>1.04</v>
      </c>
      <c r="F631" s="77"/>
      <c r="G631" s="78">
        <f>E631*6</f>
        <v>6.24</v>
      </c>
      <c r="H631" s="78">
        <f>10.5*E631</f>
        <v>10.92</v>
      </c>
      <c r="I631" s="78">
        <f>E631*6</f>
        <v>6.24</v>
      </c>
      <c r="J631" s="79">
        <f t="shared" si="97"/>
        <v>23.4</v>
      </c>
      <c r="K631" s="80">
        <v>75.97</v>
      </c>
      <c r="L631" s="80">
        <f t="shared" si="95"/>
        <v>1777.6979999999999</v>
      </c>
      <c r="M631" s="94"/>
      <c r="N631" s="77" t="s">
        <v>321</v>
      </c>
    </row>
    <row r="632" spans="1:15" s="54" customFormat="1" ht="24.75" customHeight="1" x14ac:dyDescent="0.25">
      <c r="A632" s="81"/>
      <c r="B632" s="89" t="s">
        <v>275</v>
      </c>
      <c r="C632" s="77" t="s">
        <v>276</v>
      </c>
      <c r="D632" s="77" t="s">
        <v>45</v>
      </c>
      <c r="E632" s="77">
        <v>1.04</v>
      </c>
      <c r="F632" s="77"/>
      <c r="G632" s="78">
        <f>G596*0.05*E632</f>
        <v>1.8376800000000004</v>
      </c>
      <c r="H632" s="78">
        <v>0</v>
      </c>
      <c r="I632" s="78">
        <v>0</v>
      </c>
      <c r="J632" s="79">
        <f t="shared" ref="J632" si="98">SUM(G632:I632)</f>
        <v>1.8376800000000004</v>
      </c>
      <c r="K632" s="80">
        <v>6405.83</v>
      </c>
      <c r="L632" s="80">
        <f t="shared" si="95"/>
        <v>11771.865674400002</v>
      </c>
      <c r="M632" s="94"/>
      <c r="N632" s="77" t="s">
        <v>321</v>
      </c>
    </row>
    <row r="633" spans="1:15" s="101" customFormat="1" ht="31.5" customHeight="1" x14ac:dyDescent="0.25">
      <c r="A633" s="95"/>
      <c r="B633" s="96" t="s">
        <v>133</v>
      </c>
      <c r="C633" s="97" t="s">
        <v>39</v>
      </c>
      <c r="D633" s="97" t="s">
        <v>99</v>
      </c>
      <c r="E633" s="97"/>
      <c r="F633" s="97"/>
      <c r="G633" s="98"/>
      <c r="H633" s="98"/>
      <c r="I633" s="98"/>
      <c r="J633" s="99">
        <f>L633*100/L585</f>
        <v>3.8220330927117994</v>
      </c>
      <c r="K633" s="79"/>
      <c r="L633" s="79">
        <v>106430.7066</v>
      </c>
      <c r="M633" s="100"/>
      <c r="N633" s="97" t="s">
        <v>321</v>
      </c>
    </row>
    <row r="634" spans="1:15" s="54" customFormat="1" x14ac:dyDescent="0.25">
      <c r="A634" s="60" t="s">
        <v>154</v>
      </c>
      <c r="B634" s="61" t="s">
        <v>155</v>
      </c>
      <c r="C634" s="62"/>
      <c r="D634" s="63"/>
      <c r="E634" s="62"/>
      <c r="F634" s="62"/>
      <c r="G634" s="64"/>
      <c r="H634" s="64"/>
      <c r="I634" s="64"/>
      <c r="J634" s="65"/>
      <c r="K634" s="65"/>
      <c r="L634" s="65">
        <f>L635+L648</f>
        <v>3555267.8867763993</v>
      </c>
      <c r="M634" s="86"/>
      <c r="N634" s="86"/>
    </row>
    <row r="635" spans="1:15" s="54" customFormat="1" x14ac:dyDescent="0.25">
      <c r="A635" s="66"/>
      <c r="B635" s="67" t="s">
        <v>34</v>
      </c>
      <c r="C635" s="68"/>
      <c r="D635" s="68"/>
      <c r="E635" s="68"/>
      <c r="F635" s="68"/>
      <c r="G635" s="69"/>
      <c r="H635" s="69"/>
      <c r="I635" s="69"/>
      <c r="J635" s="70"/>
      <c r="K635" s="70"/>
      <c r="L635" s="70">
        <f>SUM(L636:L647)</f>
        <v>2699912.8999999994</v>
      </c>
      <c r="M635" s="72"/>
      <c r="N635" s="72"/>
    </row>
    <row r="636" spans="1:15" s="54" customFormat="1" ht="23.25" customHeight="1" x14ac:dyDescent="0.25">
      <c r="A636" s="66"/>
      <c r="B636" s="71" t="s">
        <v>44</v>
      </c>
      <c r="C636" s="72"/>
      <c r="D636" s="72" t="s">
        <v>45</v>
      </c>
      <c r="E636" s="72"/>
      <c r="F636" s="72"/>
      <c r="G636" s="73">
        <v>30.1</v>
      </c>
      <c r="H636" s="73">
        <v>25.51</v>
      </c>
      <c r="I636" s="73">
        <v>36.020000000000003</v>
      </c>
      <c r="J636" s="70">
        <f>SUM(G636:I636)</f>
        <v>91.63</v>
      </c>
      <c r="K636" s="74">
        <v>4939</v>
      </c>
      <c r="L636" s="74">
        <f>K636*J636</f>
        <v>452560.56999999995</v>
      </c>
      <c r="M636" s="72"/>
      <c r="N636" s="72"/>
    </row>
    <row r="637" spans="1:15" s="54" customFormat="1" ht="23.25" customHeight="1" x14ac:dyDescent="0.25">
      <c r="A637" s="66"/>
      <c r="B637" s="71" t="s">
        <v>102</v>
      </c>
      <c r="C637" s="72"/>
      <c r="D637" s="72" t="s">
        <v>45</v>
      </c>
      <c r="E637" s="72"/>
      <c r="F637" s="72"/>
      <c r="G637" s="73">
        <v>2.2000000000000002</v>
      </c>
      <c r="H637" s="73">
        <v>1.25</v>
      </c>
      <c r="I637" s="73">
        <v>2.0499999999999998</v>
      </c>
      <c r="J637" s="70">
        <f t="shared" ref="J637:J646" si="99">SUM(G637:I637)</f>
        <v>5.5</v>
      </c>
      <c r="K637" s="74">
        <v>5845</v>
      </c>
      <c r="L637" s="74">
        <f t="shared" ref="L637" si="100">K637*J637</f>
        <v>32147.5</v>
      </c>
      <c r="M637" s="72"/>
      <c r="N637" s="72"/>
    </row>
    <row r="638" spans="1:15" s="54" customFormat="1" ht="23.25" customHeight="1" x14ac:dyDescent="0.25">
      <c r="A638" s="66"/>
      <c r="B638" s="71" t="s">
        <v>46</v>
      </c>
      <c r="C638" s="72"/>
      <c r="D638" s="72" t="s">
        <v>47</v>
      </c>
      <c r="E638" s="72"/>
      <c r="F638" s="72"/>
      <c r="G638" s="73">
        <v>189.11</v>
      </c>
      <c r="H638" s="73">
        <v>120.63</v>
      </c>
      <c r="I638" s="73">
        <v>138.37</v>
      </c>
      <c r="J638" s="70">
        <f t="shared" si="99"/>
        <v>448.11</v>
      </c>
      <c r="K638" s="74">
        <v>1461</v>
      </c>
      <c r="L638" s="74">
        <f>K638*J638</f>
        <v>654688.71</v>
      </c>
      <c r="M638" s="72"/>
      <c r="N638" s="72"/>
    </row>
    <row r="639" spans="1:15" s="54" customFormat="1" ht="23.25" customHeight="1" x14ac:dyDescent="0.25">
      <c r="A639" s="66"/>
      <c r="B639" s="71" t="s">
        <v>48</v>
      </c>
      <c r="C639" s="72"/>
      <c r="D639" s="72" t="s">
        <v>47</v>
      </c>
      <c r="E639" s="72"/>
      <c r="F639" s="72"/>
      <c r="G639" s="73">
        <v>55.84</v>
      </c>
      <c r="H639" s="73">
        <v>44.32</v>
      </c>
      <c r="I639" s="73">
        <v>73.53</v>
      </c>
      <c r="J639" s="70">
        <f t="shared" si="99"/>
        <v>173.69</v>
      </c>
      <c r="K639" s="74">
        <v>1461</v>
      </c>
      <c r="L639" s="74">
        <f>K639*J639</f>
        <v>253761.09</v>
      </c>
      <c r="M639" s="72"/>
      <c r="N639" s="72"/>
    </row>
    <row r="640" spans="1:15" s="54" customFormat="1" ht="23.25" customHeight="1" x14ac:dyDescent="0.25">
      <c r="A640" s="66"/>
      <c r="B640" s="71" t="s">
        <v>103</v>
      </c>
      <c r="C640" s="72"/>
      <c r="D640" s="72" t="s">
        <v>47</v>
      </c>
      <c r="E640" s="72"/>
      <c r="F640" s="72"/>
      <c r="G640" s="73">
        <v>174.72</v>
      </c>
      <c r="H640" s="73">
        <v>101.76</v>
      </c>
      <c r="I640" s="73">
        <v>126.44</v>
      </c>
      <c r="J640" s="70">
        <f t="shared" si="99"/>
        <v>402.92</v>
      </c>
      <c r="K640" s="74">
        <v>1461</v>
      </c>
      <c r="L640" s="74">
        <f>K640*J640</f>
        <v>588666.12</v>
      </c>
      <c r="M640" s="72"/>
      <c r="N640" s="72"/>
    </row>
    <row r="641" spans="1:14" s="54" customFormat="1" ht="23.25" customHeight="1" x14ac:dyDescent="0.25">
      <c r="A641" s="66"/>
      <c r="B641" s="71" t="s">
        <v>104</v>
      </c>
      <c r="C641" s="72"/>
      <c r="D641" s="72" t="s">
        <v>47</v>
      </c>
      <c r="E641" s="72"/>
      <c r="F641" s="72"/>
      <c r="G641" s="73">
        <v>94.01</v>
      </c>
      <c r="H641" s="73">
        <v>112.4</v>
      </c>
      <c r="I641" s="73">
        <v>112.82</v>
      </c>
      <c r="J641" s="70">
        <f t="shared" si="99"/>
        <v>319.23</v>
      </c>
      <c r="K641" s="74">
        <v>1461</v>
      </c>
      <c r="L641" s="74">
        <f>K641*J641</f>
        <v>466395.03</v>
      </c>
      <c r="M641" s="72"/>
      <c r="N641" s="72"/>
    </row>
    <row r="642" spans="1:14" s="54" customFormat="1" ht="23.25" customHeight="1" x14ac:dyDescent="0.25">
      <c r="A642" s="66"/>
      <c r="B642" s="71" t="s">
        <v>49</v>
      </c>
      <c r="C642" s="72"/>
      <c r="D642" s="72" t="s">
        <v>47</v>
      </c>
      <c r="E642" s="72"/>
      <c r="F642" s="72"/>
      <c r="G642" s="73">
        <v>12.72</v>
      </c>
      <c r="H642" s="73">
        <v>36.04</v>
      </c>
      <c r="I642" s="73">
        <v>11.35</v>
      </c>
      <c r="J642" s="70">
        <f t="shared" si="99"/>
        <v>60.11</v>
      </c>
      <c r="K642" s="74">
        <v>1610</v>
      </c>
      <c r="L642" s="74">
        <f t="shared" ref="L642:L646" si="101">K642*J642</f>
        <v>96777.1</v>
      </c>
      <c r="M642" s="72"/>
      <c r="N642" s="72"/>
    </row>
    <row r="643" spans="1:14" s="54" customFormat="1" ht="23.25" customHeight="1" x14ac:dyDescent="0.25">
      <c r="A643" s="66"/>
      <c r="B643" s="71" t="s">
        <v>50</v>
      </c>
      <c r="C643" s="72"/>
      <c r="D643" s="72" t="s">
        <v>51</v>
      </c>
      <c r="E643" s="72"/>
      <c r="F643" s="72"/>
      <c r="G643" s="73">
        <v>54</v>
      </c>
      <c r="H643" s="73">
        <v>44</v>
      </c>
      <c r="I643" s="73">
        <v>56</v>
      </c>
      <c r="J643" s="70">
        <f t="shared" si="99"/>
        <v>154</v>
      </c>
      <c r="K643" s="74">
        <v>803</v>
      </c>
      <c r="L643" s="74">
        <f t="shared" si="101"/>
        <v>123662</v>
      </c>
      <c r="M643" s="72"/>
      <c r="N643" s="72"/>
    </row>
    <row r="644" spans="1:14" s="54" customFormat="1" ht="23.25" customHeight="1" x14ac:dyDescent="0.25">
      <c r="A644" s="66"/>
      <c r="B644" s="71" t="s">
        <v>52</v>
      </c>
      <c r="C644" s="72" t="s">
        <v>105</v>
      </c>
      <c r="D644" s="72" t="s">
        <v>54</v>
      </c>
      <c r="E644" s="72"/>
      <c r="F644" s="72"/>
      <c r="G644" s="73">
        <v>31.83</v>
      </c>
      <c r="H644" s="129">
        <v>70.760000000000005</v>
      </c>
      <c r="I644" s="73">
        <v>11.33</v>
      </c>
      <c r="J644" s="130">
        <f t="shared" si="99"/>
        <v>113.92</v>
      </c>
      <c r="K644" s="74">
        <v>94.5</v>
      </c>
      <c r="L644" s="74">
        <f t="shared" si="101"/>
        <v>10765.44</v>
      </c>
      <c r="M644" s="72"/>
      <c r="N644" s="72"/>
    </row>
    <row r="645" spans="1:14" s="54" customFormat="1" ht="31.5" x14ac:dyDescent="0.25">
      <c r="A645" s="66"/>
      <c r="B645" s="71" t="s">
        <v>55</v>
      </c>
      <c r="C645" s="72"/>
      <c r="D645" s="72" t="s">
        <v>54</v>
      </c>
      <c r="E645" s="72"/>
      <c r="F645" s="72"/>
      <c r="G645" s="73">
        <v>29.2</v>
      </c>
      <c r="H645" s="73">
        <v>31.63</v>
      </c>
      <c r="I645" s="73">
        <v>23.56</v>
      </c>
      <c r="J645" s="70">
        <f t="shared" si="99"/>
        <v>84.39</v>
      </c>
      <c r="K645" s="74">
        <v>118</v>
      </c>
      <c r="L645" s="74">
        <f t="shared" si="101"/>
        <v>9958.02</v>
      </c>
      <c r="M645" s="72"/>
      <c r="N645" s="72"/>
    </row>
    <row r="646" spans="1:14" s="54" customFormat="1" ht="21.75" customHeight="1" x14ac:dyDescent="0.25">
      <c r="A646" s="66"/>
      <c r="B646" s="71" t="s">
        <v>256</v>
      </c>
      <c r="C646" s="72"/>
      <c r="D646" s="72" t="s">
        <v>47</v>
      </c>
      <c r="E646" s="72"/>
      <c r="F646" s="72"/>
      <c r="G646" s="73">
        <v>35.340000000000003</v>
      </c>
      <c r="H646" s="73"/>
      <c r="I646" s="73"/>
      <c r="J646" s="70">
        <f t="shared" si="99"/>
        <v>35.340000000000003</v>
      </c>
      <c r="K646" s="74">
        <v>298</v>
      </c>
      <c r="L646" s="74">
        <f t="shared" si="101"/>
        <v>10531.320000000002</v>
      </c>
      <c r="M646" s="72"/>
      <c r="N646" s="72"/>
    </row>
    <row r="647" spans="1:14" s="54" customFormat="1" ht="21.75" customHeight="1" x14ac:dyDescent="0.25">
      <c r="A647" s="66"/>
      <c r="B647" s="87" t="s">
        <v>56</v>
      </c>
      <c r="C647" s="88"/>
      <c r="D647" s="88" t="s">
        <v>45</v>
      </c>
      <c r="E647" s="88"/>
      <c r="F647" s="88"/>
      <c r="G647" s="73">
        <f>282.32*0.06*0.03</f>
        <v>0.50817599999999996</v>
      </c>
      <c r="H647" s="73">
        <f>228.82*0.06*0.03</f>
        <v>0.41187599999999996</v>
      </c>
      <c r="I647" s="73">
        <f>270.93*0.06*0.03</f>
        <v>0.487674</v>
      </c>
      <c r="J647" s="70">
        <f>SUM(G647:I647)</f>
        <v>1.4077259999999998</v>
      </c>
      <c r="K647" s="74"/>
      <c r="L647" s="74"/>
      <c r="M647" s="88" t="s">
        <v>57</v>
      </c>
      <c r="N647" s="72"/>
    </row>
    <row r="648" spans="1:14" s="54" customFormat="1" x14ac:dyDescent="0.25">
      <c r="A648" s="75"/>
      <c r="B648" s="76" t="s">
        <v>38</v>
      </c>
      <c r="C648" s="77"/>
      <c r="D648" s="77"/>
      <c r="E648" s="77"/>
      <c r="F648" s="77"/>
      <c r="G648" s="78"/>
      <c r="H648" s="78"/>
      <c r="I648" s="78"/>
      <c r="J648" s="79"/>
      <c r="K648" s="80"/>
      <c r="L648" s="79">
        <f>SUM(L649:L684)</f>
        <v>855354.98677640001</v>
      </c>
      <c r="M648" s="77"/>
      <c r="N648" s="77"/>
    </row>
    <row r="649" spans="1:14" s="54" customFormat="1" ht="31.5" x14ac:dyDescent="0.25">
      <c r="A649" s="81"/>
      <c r="B649" s="82" t="s">
        <v>58</v>
      </c>
      <c r="C649" s="77" t="s">
        <v>59</v>
      </c>
      <c r="D649" s="77" t="s">
        <v>60</v>
      </c>
      <c r="E649" s="78">
        <v>12.4</v>
      </c>
      <c r="F649" s="77">
        <v>0.25</v>
      </c>
      <c r="G649" s="83">
        <f>G636/F649*E649</f>
        <v>1492.96</v>
      </c>
      <c r="H649" s="83">
        <f>H636/F649*E649</f>
        <v>1265.296</v>
      </c>
      <c r="I649" s="83">
        <f>I636/F649*E649</f>
        <v>1786.5920000000001</v>
      </c>
      <c r="J649" s="84">
        <f>SUM(G649:I649)</f>
        <v>4544.848</v>
      </c>
      <c r="K649" s="80">
        <v>0</v>
      </c>
      <c r="L649" s="80">
        <f>J649*K649</f>
        <v>0</v>
      </c>
      <c r="M649" s="77" t="s">
        <v>61</v>
      </c>
      <c r="N649" s="77" t="s">
        <v>320</v>
      </c>
    </row>
    <row r="650" spans="1:14" s="54" customFormat="1" ht="31.5" x14ac:dyDescent="0.25">
      <c r="A650" s="81"/>
      <c r="B650" s="82" t="s">
        <v>62</v>
      </c>
      <c r="C650" s="77" t="s">
        <v>63</v>
      </c>
      <c r="D650" s="77" t="s">
        <v>60</v>
      </c>
      <c r="E650" s="78">
        <v>12.4</v>
      </c>
      <c r="F650" s="77"/>
      <c r="G650" s="83">
        <f>G638*E650</f>
        <v>2344.9640000000004</v>
      </c>
      <c r="H650" s="83">
        <f>H638*E650</f>
        <v>1495.8119999999999</v>
      </c>
      <c r="I650" s="83">
        <f>I638*E650</f>
        <v>1715.788</v>
      </c>
      <c r="J650" s="84">
        <f t="shared" ref="J650:J654" si="102">SUM(G650:I650)</f>
        <v>5556.5640000000003</v>
      </c>
      <c r="K650" s="80">
        <v>0</v>
      </c>
      <c r="L650" s="80">
        <f>J650*K650</f>
        <v>0</v>
      </c>
      <c r="M650" s="77" t="s">
        <v>61</v>
      </c>
      <c r="N650" s="77" t="s">
        <v>320</v>
      </c>
    </row>
    <row r="651" spans="1:14" s="54" customFormat="1" ht="31.5" x14ac:dyDescent="0.25">
      <c r="A651" s="81"/>
      <c r="B651" s="82" t="s">
        <v>64</v>
      </c>
      <c r="C651" s="77" t="s">
        <v>65</v>
      </c>
      <c r="D651" s="77" t="s">
        <v>60</v>
      </c>
      <c r="E651" s="78">
        <v>12.4</v>
      </c>
      <c r="F651" s="77"/>
      <c r="G651" s="83">
        <f>G639*E651</f>
        <v>692.41600000000005</v>
      </c>
      <c r="H651" s="83">
        <f>H639*E651</f>
        <v>549.56799999999998</v>
      </c>
      <c r="I651" s="83">
        <f>I639*E651</f>
        <v>911.77200000000005</v>
      </c>
      <c r="J651" s="84">
        <f t="shared" si="102"/>
        <v>2153.7559999999999</v>
      </c>
      <c r="K651" s="80">
        <v>0</v>
      </c>
      <c r="L651" s="80">
        <f>J651*K651</f>
        <v>0</v>
      </c>
      <c r="M651" s="77" t="s">
        <v>61</v>
      </c>
      <c r="N651" s="77" t="s">
        <v>320</v>
      </c>
    </row>
    <row r="652" spans="1:14" s="54" customFormat="1" ht="31.5" x14ac:dyDescent="0.25">
      <c r="A652" s="81"/>
      <c r="B652" s="82" t="s">
        <v>106</v>
      </c>
      <c r="C652" s="77" t="s">
        <v>107</v>
      </c>
      <c r="D652" s="77" t="s">
        <v>60</v>
      </c>
      <c r="E652" s="78">
        <v>12.4</v>
      </c>
      <c r="F652" s="77"/>
      <c r="G652" s="83">
        <f>G640*E652</f>
        <v>2166.5280000000002</v>
      </c>
      <c r="H652" s="83">
        <f>H640*E652</f>
        <v>1261.8240000000001</v>
      </c>
      <c r="I652" s="83">
        <f>I640*E652</f>
        <v>1567.856</v>
      </c>
      <c r="J652" s="84">
        <f t="shared" si="102"/>
        <v>4996.2080000000005</v>
      </c>
      <c r="K652" s="80">
        <v>0</v>
      </c>
      <c r="L652" s="80">
        <f>J652*K652</f>
        <v>0</v>
      </c>
      <c r="M652" s="77" t="s">
        <v>61</v>
      </c>
      <c r="N652" s="77" t="s">
        <v>320</v>
      </c>
    </row>
    <row r="653" spans="1:14" s="54" customFormat="1" ht="31.5" x14ac:dyDescent="0.25">
      <c r="A653" s="81"/>
      <c r="B653" s="82" t="s">
        <v>108</v>
      </c>
      <c r="C653" s="77" t="s">
        <v>109</v>
      </c>
      <c r="D653" s="77" t="s">
        <v>60</v>
      </c>
      <c r="E653" s="78">
        <v>12.4</v>
      </c>
      <c r="F653" s="77"/>
      <c r="G653" s="83">
        <f>G641*E653</f>
        <v>1165.7240000000002</v>
      </c>
      <c r="H653" s="83">
        <f>H641*E653</f>
        <v>1393.7600000000002</v>
      </c>
      <c r="I653" s="83">
        <f>I641*E653</f>
        <v>1398.9679999999998</v>
      </c>
      <c r="J653" s="84">
        <f t="shared" si="102"/>
        <v>3958.4520000000002</v>
      </c>
      <c r="K653" s="80">
        <v>0</v>
      </c>
      <c r="L653" s="80">
        <f>J653*K653</f>
        <v>0</v>
      </c>
      <c r="M653" s="77" t="s">
        <v>61</v>
      </c>
      <c r="N653" s="77" t="s">
        <v>320</v>
      </c>
    </row>
    <row r="654" spans="1:14" s="54" customFormat="1" ht="31.5" x14ac:dyDescent="0.25">
      <c r="A654" s="81"/>
      <c r="B654" s="89" t="s">
        <v>66</v>
      </c>
      <c r="C654" s="77" t="s">
        <v>67</v>
      </c>
      <c r="D654" s="77" t="s">
        <v>60</v>
      </c>
      <c r="E654" s="90">
        <v>42</v>
      </c>
      <c r="F654" s="90"/>
      <c r="G654" s="83">
        <f>G642*E654</f>
        <v>534.24</v>
      </c>
      <c r="H654" s="83">
        <f>H642*E654</f>
        <v>1513.68</v>
      </c>
      <c r="I654" s="83">
        <f>I642*E654</f>
        <v>476.7</v>
      </c>
      <c r="J654" s="84">
        <f t="shared" si="102"/>
        <v>2524.62</v>
      </c>
      <c r="K654" s="80">
        <v>0</v>
      </c>
      <c r="L654" s="80">
        <f t="shared" ref="L654:L683" si="103">J654*K654</f>
        <v>0</v>
      </c>
      <c r="M654" s="77" t="s">
        <v>68</v>
      </c>
      <c r="N654" s="77" t="s">
        <v>320</v>
      </c>
    </row>
    <row r="655" spans="1:14" s="54" customFormat="1" ht="31.5" x14ac:dyDescent="0.25">
      <c r="A655" s="81"/>
      <c r="B655" s="89" t="s">
        <v>110</v>
      </c>
      <c r="C655" s="77" t="s">
        <v>111</v>
      </c>
      <c r="D655" s="77" t="s">
        <v>60</v>
      </c>
      <c r="E655" s="90">
        <v>42</v>
      </c>
      <c r="F655" s="90"/>
      <c r="G655" s="83">
        <f>G637/0.25*E655</f>
        <v>369.6</v>
      </c>
      <c r="H655" s="83">
        <f>H637/0.25*E655</f>
        <v>210</v>
      </c>
      <c r="I655" s="83">
        <f>I637/0.25*E655</f>
        <v>344.4</v>
      </c>
      <c r="J655" s="84">
        <f t="shared" ref="J655" si="104">SUM(G655:I655)</f>
        <v>924</v>
      </c>
      <c r="K655" s="80">
        <v>0</v>
      </c>
      <c r="L655" s="80">
        <f t="shared" si="103"/>
        <v>0</v>
      </c>
      <c r="M655" s="77" t="s">
        <v>68</v>
      </c>
      <c r="N655" s="77" t="s">
        <v>320</v>
      </c>
    </row>
    <row r="656" spans="1:14" s="54" customFormat="1" ht="30" customHeight="1" x14ac:dyDescent="0.25">
      <c r="A656" s="81"/>
      <c r="B656" s="91" t="s">
        <v>69</v>
      </c>
      <c r="C656" s="77" t="s">
        <v>70</v>
      </c>
      <c r="D656" s="77" t="s">
        <v>45</v>
      </c>
      <c r="E656" s="77">
        <v>0.19500000000000001</v>
      </c>
      <c r="F656" s="90"/>
      <c r="G656" s="78">
        <f>G636*E656+G638*E656*0.19+G639*E656*0.19+G640*E656*0.09+G641*E656*0.09</f>
        <v>19.661109000000003</v>
      </c>
      <c r="H656" s="78">
        <f>H636*E656+H638*E656*0.19+H639*E656*0.19+H640*E656*0.09+H641*E656*0.09</f>
        <v>14.844355500000001</v>
      </c>
      <c r="I656" s="78">
        <f>I636*E656+I638*E656*0.19+I639*E656*0.19+I640*E656*0.09+I641*E656*0.09</f>
        <v>19.073808</v>
      </c>
      <c r="J656" s="79">
        <f>SUM(G656:I656)</f>
        <v>53.579272500000002</v>
      </c>
      <c r="K656" s="80">
        <v>7875</v>
      </c>
      <c r="L656" s="80">
        <f t="shared" si="103"/>
        <v>421936.7709375</v>
      </c>
      <c r="M656" s="77" t="s">
        <v>71</v>
      </c>
      <c r="N656" s="77" t="s">
        <v>321</v>
      </c>
    </row>
    <row r="657" spans="1:14" s="54" customFormat="1" ht="30" customHeight="1" x14ac:dyDescent="0.25">
      <c r="A657" s="92"/>
      <c r="B657" s="91" t="s">
        <v>112</v>
      </c>
      <c r="C657" s="77" t="s">
        <v>70</v>
      </c>
      <c r="D657" s="77" t="s">
        <v>45</v>
      </c>
      <c r="E657" s="77">
        <v>0.24</v>
      </c>
      <c r="F657" s="77"/>
      <c r="G657" s="78">
        <f>G637*E657</f>
        <v>0.52800000000000002</v>
      </c>
      <c r="H657" s="78">
        <f>H637*E657</f>
        <v>0.3</v>
      </c>
      <c r="I657" s="78">
        <f>I637*E657</f>
        <v>0.49199999999999994</v>
      </c>
      <c r="J657" s="79">
        <f t="shared" ref="J657:J682" si="105">SUM(G657:I657)</f>
        <v>1.32</v>
      </c>
      <c r="K657" s="80">
        <v>7875</v>
      </c>
      <c r="L657" s="80">
        <f t="shared" si="103"/>
        <v>10395</v>
      </c>
      <c r="M657" s="77" t="s">
        <v>71</v>
      </c>
      <c r="N657" s="77" t="s">
        <v>321</v>
      </c>
    </row>
    <row r="658" spans="1:14" s="54" customFormat="1" ht="30" customHeight="1" x14ac:dyDescent="0.25">
      <c r="A658" s="92"/>
      <c r="B658" s="91" t="s">
        <v>72</v>
      </c>
      <c r="C658" s="77" t="s">
        <v>70</v>
      </c>
      <c r="D658" s="77" t="s">
        <v>45</v>
      </c>
      <c r="E658" s="77">
        <v>4.5999999999999999E-2</v>
      </c>
      <c r="F658" s="77"/>
      <c r="G658" s="78">
        <f>G642*E658</f>
        <v>0.58511999999999997</v>
      </c>
      <c r="H658" s="78">
        <f>H642*E658</f>
        <v>1.65784</v>
      </c>
      <c r="I658" s="78">
        <f>I642*E658</f>
        <v>0.52210000000000001</v>
      </c>
      <c r="J658" s="79">
        <f t="shared" si="105"/>
        <v>2.7650600000000001</v>
      </c>
      <c r="K658" s="80">
        <v>7875</v>
      </c>
      <c r="L658" s="80">
        <f t="shared" si="103"/>
        <v>21774.8475</v>
      </c>
      <c r="M658" s="77" t="s">
        <v>73</v>
      </c>
      <c r="N658" s="77" t="s">
        <v>321</v>
      </c>
    </row>
    <row r="659" spans="1:14" s="54" customFormat="1" ht="30" customHeight="1" x14ac:dyDescent="0.25">
      <c r="A659" s="92"/>
      <c r="B659" s="91" t="s">
        <v>74</v>
      </c>
      <c r="C659" s="77" t="s">
        <v>70</v>
      </c>
      <c r="D659" s="77" t="s">
        <v>45</v>
      </c>
      <c r="E659" s="77">
        <v>1.01</v>
      </c>
      <c r="F659" s="77"/>
      <c r="G659" s="78">
        <f>G647*E659</f>
        <v>0.51325776000000001</v>
      </c>
      <c r="H659" s="78">
        <f>H647*E659</f>
        <v>0.41599475999999996</v>
      </c>
      <c r="I659" s="78">
        <f>I647*E659</f>
        <v>0.49255073999999999</v>
      </c>
      <c r="J659" s="79">
        <f t="shared" si="105"/>
        <v>1.4218032599999999</v>
      </c>
      <c r="K659" s="80">
        <v>7875</v>
      </c>
      <c r="L659" s="80">
        <f t="shared" si="103"/>
        <v>11196.700672499999</v>
      </c>
      <c r="M659" s="77" t="s">
        <v>71</v>
      </c>
      <c r="N659" s="77" t="s">
        <v>321</v>
      </c>
    </row>
    <row r="660" spans="1:14" s="54" customFormat="1" ht="30" customHeight="1" x14ac:dyDescent="0.25">
      <c r="A660" s="81"/>
      <c r="B660" s="89" t="s">
        <v>75</v>
      </c>
      <c r="C660" s="77" t="s">
        <v>70</v>
      </c>
      <c r="D660" s="77" t="s">
        <v>45</v>
      </c>
      <c r="E660" s="77">
        <v>6.0000000000000001E-3</v>
      </c>
      <c r="F660" s="77"/>
      <c r="G660" s="78">
        <f>G643*E660</f>
        <v>0.32400000000000001</v>
      </c>
      <c r="H660" s="78">
        <f>H643*E660</f>
        <v>0.26400000000000001</v>
      </c>
      <c r="I660" s="78">
        <f>I643*E660</f>
        <v>0.33600000000000002</v>
      </c>
      <c r="J660" s="79">
        <f t="shared" si="105"/>
        <v>0.92400000000000015</v>
      </c>
      <c r="K660" s="80">
        <v>7875</v>
      </c>
      <c r="L660" s="80">
        <f t="shared" si="103"/>
        <v>7276.5000000000009</v>
      </c>
      <c r="M660" s="77" t="s">
        <v>76</v>
      </c>
      <c r="N660" s="77" t="s">
        <v>321</v>
      </c>
    </row>
    <row r="661" spans="1:14" s="54" customFormat="1" ht="30" customHeight="1" x14ac:dyDescent="0.25">
      <c r="A661" s="81"/>
      <c r="B661" s="89" t="s">
        <v>77</v>
      </c>
      <c r="C661" s="77" t="s">
        <v>70</v>
      </c>
      <c r="D661" s="77" t="s">
        <v>45</v>
      </c>
      <c r="E661" s="77">
        <v>1.01</v>
      </c>
      <c r="F661" s="77"/>
      <c r="G661" s="93">
        <v>3.7999999999999999E-2</v>
      </c>
      <c r="H661" s="93">
        <v>3.1E-2</v>
      </c>
      <c r="I661" s="93">
        <v>0.03</v>
      </c>
      <c r="J661" s="79">
        <f t="shared" si="105"/>
        <v>9.9000000000000005E-2</v>
      </c>
      <c r="K661" s="80">
        <v>7875</v>
      </c>
      <c r="L661" s="80">
        <f t="shared" si="103"/>
        <v>779.625</v>
      </c>
      <c r="M661" s="94"/>
      <c r="N661" s="77" t="s">
        <v>321</v>
      </c>
    </row>
    <row r="662" spans="1:14" s="54" customFormat="1" ht="24" customHeight="1" x14ac:dyDescent="0.25">
      <c r="A662" s="81"/>
      <c r="B662" s="89" t="s">
        <v>78</v>
      </c>
      <c r="C662" s="77" t="s">
        <v>79</v>
      </c>
      <c r="D662" s="77" t="s">
        <v>47</v>
      </c>
      <c r="E662" s="77"/>
      <c r="F662" s="77"/>
      <c r="G662" s="78">
        <v>178.98</v>
      </c>
      <c r="H662" s="78">
        <v>142.61000000000001</v>
      </c>
      <c r="I662" s="78">
        <v>173.37</v>
      </c>
      <c r="J662" s="79">
        <f t="shared" si="105"/>
        <v>494.96000000000004</v>
      </c>
      <c r="K662" s="80">
        <v>88.34</v>
      </c>
      <c r="L662" s="80">
        <f t="shared" si="103"/>
        <v>43724.766400000008</v>
      </c>
      <c r="M662" s="94"/>
      <c r="N662" s="77" t="s">
        <v>321</v>
      </c>
    </row>
    <row r="663" spans="1:14" s="54" customFormat="1" ht="24" customHeight="1" x14ac:dyDescent="0.25">
      <c r="A663" s="81"/>
      <c r="B663" s="89" t="s">
        <v>277</v>
      </c>
      <c r="C663" s="77" t="s">
        <v>114</v>
      </c>
      <c r="D663" s="77" t="s">
        <v>60</v>
      </c>
      <c r="E663" s="77"/>
      <c r="F663" s="77"/>
      <c r="G663" s="78">
        <v>12</v>
      </c>
      <c r="H663" s="78">
        <v>17</v>
      </c>
      <c r="I663" s="78">
        <v>12</v>
      </c>
      <c r="J663" s="79">
        <f t="shared" si="105"/>
        <v>41</v>
      </c>
      <c r="K663" s="80">
        <v>398.6</v>
      </c>
      <c r="L663" s="80">
        <f t="shared" si="103"/>
        <v>16342.6</v>
      </c>
      <c r="M663" s="94"/>
      <c r="N663" s="77" t="s">
        <v>321</v>
      </c>
    </row>
    <row r="664" spans="1:14" s="54" customFormat="1" ht="24" customHeight="1" x14ac:dyDescent="0.25">
      <c r="A664" s="81"/>
      <c r="B664" s="89" t="s">
        <v>278</v>
      </c>
      <c r="C664" s="77" t="s">
        <v>116</v>
      </c>
      <c r="D664" s="77" t="s">
        <v>60</v>
      </c>
      <c r="E664" s="77"/>
      <c r="F664" s="77"/>
      <c r="G664" s="78">
        <v>9</v>
      </c>
      <c r="H664" s="78"/>
      <c r="I664" s="78">
        <v>9</v>
      </c>
      <c r="J664" s="79">
        <f t="shared" si="105"/>
        <v>18</v>
      </c>
      <c r="K664" s="80">
        <v>465.03</v>
      </c>
      <c r="L664" s="80">
        <f t="shared" si="103"/>
        <v>8370.5399999999991</v>
      </c>
      <c r="M664" s="94"/>
      <c r="N664" s="77" t="s">
        <v>321</v>
      </c>
    </row>
    <row r="665" spans="1:14" s="54" customFormat="1" ht="24" customHeight="1" x14ac:dyDescent="0.25">
      <c r="A665" s="81"/>
      <c r="B665" s="89" t="s">
        <v>281</v>
      </c>
      <c r="C665" s="77" t="s">
        <v>282</v>
      </c>
      <c r="D665" s="77" t="s">
        <v>60</v>
      </c>
      <c r="E665" s="77"/>
      <c r="F665" s="77"/>
      <c r="G665" s="78"/>
      <c r="H665" s="78"/>
      <c r="I665" s="78"/>
      <c r="J665" s="79">
        <f t="shared" si="105"/>
        <v>0</v>
      </c>
      <c r="K665" s="80">
        <v>531.47</v>
      </c>
      <c r="L665" s="80">
        <f t="shared" si="103"/>
        <v>0</v>
      </c>
      <c r="M665" s="94"/>
      <c r="N665" s="77" t="s">
        <v>321</v>
      </c>
    </row>
    <row r="666" spans="1:14" s="54" customFormat="1" ht="24" customHeight="1" x14ac:dyDescent="0.25">
      <c r="A666" s="81"/>
      <c r="B666" s="89" t="s">
        <v>283</v>
      </c>
      <c r="C666" s="77" t="s">
        <v>284</v>
      </c>
      <c r="D666" s="77" t="s">
        <v>60</v>
      </c>
      <c r="E666" s="77"/>
      <c r="F666" s="77"/>
      <c r="G666" s="78">
        <v>1</v>
      </c>
      <c r="H666" s="78">
        <v>1</v>
      </c>
      <c r="I666" s="78"/>
      <c r="J666" s="79">
        <f t="shared" si="105"/>
        <v>2</v>
      </c>
      <c r="K666" s="80">
        <v>620.04999999999995</v>
      </c>
      <c r="L666" s="80">
        <f t="shared" si="103"/>
        <v>1240.0999999999999</v>
      </c>
      <c r="M666" s="94"/>
      <c r="N666" s="77" t="s">
        <v>321</v>
      </c>
    </row>
    <row r="667" spans="1:14" s="54" customFormat="1" ht="24" customHeight="1" x14ac:dyDescent="0.25">
      <c r="A667" s="81"/>
      <c r="B667" s="89" t="s">
        <v>285</v>
      </c>
      <c r="C667" s="77" t="s">
        <v>286</v>
      </c>
      <c r="D667" s="77" t="s">
        <v>60</v>
      </c>
      <c r="E667" s="77"/>
      <c r="F667" s="77"/>
      <c r="G667" s="78"/>
      <c r="H667" s="78"/>
      <c r="I667" s="78">
        <v>1</v>
      </c>
      <c r="J667" s="79">
        <f t="shared" si="105"/>
        <v>1</v>
      </c>
      <c r="K667" s="80">
        <v>708.62</v>
      </c>
      <c r="L667" s="80">
        <f t="shared" si="103"/>
        <v>708.62</v>
      </c>
      <c r="M667" s="94"/>
      <c r="N667" s="77" t="s">
        <v>321</v>
      </c>
    </row>
    <row r="668" spans="1:14" s="54" customFormat="1" ht="24" customHeight="1" x14ac:dyDescent="0.25">
      <c r="A668" s="81"/>
      <c r="B668" s="89" t="s">
        <v>287</v>
      </c>
      <c r="C668" s="77" t="s">
        <v>288</v>
      </c>
      <c r="D668" s="77" t="s">
        <v>60</v>
      </c>
      <c r="E668" s="77"/>
      <c r="F668" s="77"/>
      <c r="G668" s="78">
        <v>1</v>
      </c>
      <c r="H668" s="78">
        <v>1</v>
      </c>
      <c r="I668" s="78">
        <v>1</v>
      </c>
      <c r="J668" s="79">
        <f t="shared" si="105"/>
        <v>3</v>
      </c>
      <c r="K668" s="80">
        <v>797.2</v>
      </c>
      <c r="L668" s="80">
        <f t="shared" si="103"/>
        <v>2391.6000000000004</v>
      </c>
      <c r="M668" s="94"/>
      <c r="N668" s="77" t="s">
        <v>321</v>
      </c>
    </row>
    <row r="669" spans="1:14" s="54" customFormat="1" ht="24" customHeight="1" x14ac:dyDescent="0.25">
      <c r="A669" s="81"/>
      <c r="B669" s="89" t="s">
        <v>297</v>
      </c>
      <c r="C669" s="77" t="s">
        <v>118</v>
      </c>
      <c r="D669" s="77" t="s">
        <v>60</v>
      </c>
      <c r="E669" s="77"/>
      <c r="F669" s="77"/>
      <c r="G669" s="78">
        <v>4</v>
      </c>
      <c r="H669" s="78"/>
      <c r="I669" s="78">
        <v>3</v>
      </c>
      <c r="J669" s="79">
        <f t="shared" si="105"/>
        <v>7</v>
      </c>
      <c r="K669" s="80">
        <v>841.49</v>
      </c>
      <c r="L669" s="80">
        <f t="shared" si="103"/>
        <v>5890.43</v>
      </c>
      <c r="M669" s="94"/>
      <c r="N669" s="77" t="s">
        <v>321</v>
      </c>
    </row>
    <row r="670" spans="1:14" s="54" customFormat="1" ht="24" customHeight="1" x14ac:dyDescent="0.25">
      <c r="A670" s="81"/>
      <c r="B670" s="89" t="s">
        <v>298</v>
      </c>
      <c r="C670" s="77" t="s">
        <v>120</v>
      </c>
      <c r="D670" s="77" t="s">
        <v>60</v>
      </c>
      <c r="E670" s="77"/>
      <c r="F670" s="77"/>
      <c r="G670" s="78">
        <v>4</v>
      </c>
      <c r="H670" s="78">
        <v>6</v>
      </c>
      <c r="I670" s="78">
        <v>5</v>
      </c>
      <c r="J670" s="79">
        <f t="shared" si="105"/>
        <v>15</v>
      </c>
      <c r="K670" s="80">
        <v>981.74</v>
      </c>
      <c r="L670" s="80">
        <f t="shared" si="103"/>
        <v>14726.1</v>
      </c>
      <c r="M670" s="94"/>
      <c r="N670" s="77" t="s">
        <v>321</v>
      </c>
    </row>
    <row r="671" spans="1:14" s="54" customFormat="1" ht="24" customHeight="1" x14ac:dyDescent="0.25">
      <c r="A671" s="81"/>
      <c r="B671" s="89" t="s">
        <v>299</v>
      </c>
      <c r="C671" s="77" t="s">
        <v>300</v>
      </c>
      <c r="D671" s="77" t="s">
        <v>60</v>
      </c>
      <c r="E671" s="77"/>
      <c r="F671" s="77"/>
      <c r="G671" s="78">
        <v>1</v>
      </c>
      <c r="H671" s="78"/>
      <c r="I671" s="78"/>
      <c r="J671" s="79">
        <f t="shared" si="105"/>
        <v>1</v>
      </c>
      <c r="K671" s="80">
        <v>1107.23</v>
      </c>
      <c r="L671" s="80">
        <f t="shared" si="103"/>
        <v>1107.23</v>
      </c>
      <c r="M671" s="94"/>
      <c r="N671" s="77" t="s">
        <v>321</v>
      </c>
    </row>
    <row r="672" spans="1:14" s="54" customFormat="1" ht="24" customHeight="1" x14ac:dyDescent="0.25">
      <c r="A672" s="81"/>
      <c r="B672" s="89" t="s">
        <v>301</v>
      </c>
      <c r="C672" s="77" t="s">
        <v>122</v>
      </c>
      <c r="D672" s="77" t="s">
        <v>60</v>
      </c>
      <c r="E672" s="77"/>
      <c r="F672" s="77"/>
      <c r="G672" s="78">
        <v>4</v>
      </c>
      <c r="H672" s="78">
        <v>1</v>
      </c>
      <c r="I672" s="78">
        <v>8</v>
      </c>
      <c r="J672" s="79">
        <f t="shared" si="105"/>
        <v>13</v>
      </c>
      <c r="K672" s="80">
        <v>1291.76</v>
      </c>
      <c r="L672" s="80">
        <f t="shared" si="103"/>
        <v>16792.88</v>
      </c>
      <c r="M672" s="94"/>
      <c r="N672" s="77" t="s">
        <v>321</v>
      </c>
    </row>
    <row r="673" spans="1:15" s="54" customFormat="1" ht="24" customHeight="1" x14ac:dyDescent="0.25">
      <c r="A673" s="81"/>
      <c r="B673" s="89" t="s">
        <v>306</v>
      </c>
      <c r="C673" s="77" t="s">
        <v>307</v>
      </c>
      <c r="D673" s="77" t="s">
        <v>60</v>
      </c>
      <c r="E673" s="77"/>
      <c r="F673" s="77"/>
      <c r="G673" s="78"/>
      <c r="H673" s="78">
        <v>1</v>
      </c>
      <c r="I673" s="78"/>
      <c r="J673" s="79">
        <f t="shared" si="105"/>
        <v>1</v>
      </c>
      <c r="K673" s="80">
        <v>1660.84</v>
      </c>
      <c r="L673" s="80">
        <f t="shared" si="103"/>
        <v>1660.84</v>
      </c>
      <c r="M673" s="94"/>
      <c r="N673" s="77" t="s">
        <v>321</v>
      </c>
    </row>
    <row r="674" spans="1:15" s="54" customFormat="1" ht="24" customHeight="1" x14ac:dyDescent="0.25">
      <c r="A674" s="81"/>
      <c r="B674" s="89" t="s">
        <v>303</v>
      </c>
      <c r="C674" s="77" t="s">
        <v>126</v>
      </c>
      <c r="D674" s="77" t="s">
        <v>60</v>
      </c>
      <c r="E674" s="77"/>
      <c r="F674" s="77"/>
      <c r="G674" s="78">
        <v>10</v>
      </c>
      <c r="H674" s="78">
        <v>10</v>
      </c>
      <c r="I674" s="78">
        <v>8</v>
      </c>
      <c r="J674" s="79">
        <f t="shared" si="105"/>
        <v>28</v>
      </c>
      <c r="K674" s="80">
        <v>2029.91</v>
      </c>
      <c r="L674" s="80">
        <f t="shared" si="103"/>
        <v>56837.48</v>
      </c>
      <c r="M674" s="94"/>
      <c r="N674" s="77" t="s">
        <v>321</v>
      </c>
    </row>
    <row r="675" spans="1:15" s="54" customFormat="1" ht="24" customHeight="1" x14ac:dyDescent="0.25">
      <c r="A675" s="81"/>
      <c r="B675" s="89" t="s">
        <v>304</v>
      </c>
      <c r="C675" s="77" t="s">
        <v>128</v>
      </c>
      <c r="D675" s="77" t="s">
        <v>60</v>
      </c>
      <c r="E675" s="77"/>
      <c r="F675" s="77"/>
      <c r="G675" s="78">
        <v>8</v>
      </c>
      <c r="H675" s="78">
        <v>1</v>
      </c>
      <c r="I675" s="78">
        <v>4</v>
      </c>
      <c r="J675" s="79">
        <f t="shared" si="105"/>
        <v>13</v>
      </c>
      <c r="K675" s="80">
        <v>2398.9899999999998</v>
      </c>
      <c r="L675" s="80">
        <f t="shared" si="103"/>
        <v>31186.869999999995</v>
      </c>
      <c r="M675" s="94"/>
      <c r="N675" s="77" t="s">
        <v>321</v>
      </c>
    </row>
    <row r="676" spans="1:15" s="54" customFormat="1" ht="24" customHeight="1" x14ac:dyDescent="0.25">
      <c r="A676" s="81"/>
      <c r="B676" s="89" t="s">
        <v>305</v>
      </c>
      <c r="C676" s="77" t="s">
        <v>130</v>
      </c>
      <c r="D676" s="77" t="s">
        <v>60</v>
      </c>
      <c r="E676" s="77"/>
      <c r="F676" s="77"/>
      <c r="G676" s="78"/>
      <c r="H676" s="78">
        <v>6</v>
      </c>
      <c r="I676" s="78">
        <v>5</v>
      </c>
      <c r="J676" s="79">
        <f t="shared" si="105"/>
        <v>11</v>
      </c>
      <c r="K676" s="80">
        <v>2583.5300000000002</v>
      </c>
      <c r="L676" s="80">
        <f t="shared" si="103"/>
        <v>28418.83</v>
      </c>
      <c r="M676" s="94"/>
      <c r="N676" s="77" t="s">
        <v>321</v>
      </c>
    </row>
    <row r="677" spans="1:15" s="54" customFormat="1" ht="24" customHeight="1" x14ac:dyDescent="0.25">
      <c r="A677" s="81"/>
      <c r="B677" s="89" t="s">
        <v>92</v>
      </c>
      <c r="C677" s="77" t="s">
        <v>93</v>
      </c>
      <c r="D677" s="77" t="s">
        <v>54</v>
      </c>
      <c r="E677" s="77">
        <v>1.04</v>
      </c>
      <c r="F677" s="77"/>
      <c r="G677" s="78">
        <f>141.95*E677</f>
        <v>147.62799999999999</v>
      </c>
      <c r="H677" s="78">
        <f>121.66*E677</f>
        <v>126.5264</v>
      </c>
      <c r="I677" s="78">
        <f>145.14*E677</f>
        <v>150.94559999999998</v>
      </c>
      <c r="J677" s="79">
        <f t="shared" si="105"/>
        <v>425.1</v>
      </c>
      <c r="K677" s="80">
        <v>66.349999999999994</v>
      </c>
      <c r="L677" s="80">
        <f t="shared" si="103"/>
        <v>28205.384999999998</v>
      </c>
      <c r="M677" s="94"/>
      <c r="N677" s="77" t="s">
        <v>321</v>
      </c>
    </row>
    <row r="678" spans="1:15" s="54" customFormat="1" ht="24" customHeight="1" x14ac:dyDescent="0.25">
      <c r="A678" s="81"/>
      <c r="B678" s="89" t="s">
        <v>94</v>
      </c>
      <c r="C678" s="77" t="s">
        <v>95</v>
      </c>
      <c r="D678" s="77" t="s">
        <v>54</v>
      </c>
      <c r="E678" s="77">
        <v>1.04</v>
      </c>
      <c r="F678" s="77"/>
      <c r="G678" s="78">
        <f>G645*E678</f>
        <v>30.367999999999999</v>
      </c>
      <c r="H678" s="78">
        <f>H645*E678</f>
        <v>32.895200000000003</v>
      </c>
      <c r="I678" s="78">
        <f>I645*E678</f>
        <v>24.502399999999998</v>
      </c>
      <c r="J678" s="79">
        <f t="shared" si="105"/>
        <v>87.765599999999992</v>
      </c>
      <c r="K678" s="80">
        <v>64</v>
      </c>
      <c r="L678" s="80">
        <f t="shared" si="103"/>
        <v>5616.9983999999995</v>
      </c>
      <c r="M678" s="94"/>
      <c r="N678" s="77" t="s">
        <v>321</v>
      </c>
    </row>
    <row r="679" spans="1:15" s="54" customFormat="1" ht="24" customHeight="1" x14ac:dyDescent="0.25">
      <c r="A679" s="81"/>
      <c r="B679" s="89" t="s">
        <v>131</v>
      </c>
      <c r="C679" s="77" t="s">
        <v>39</v>
      </c>
      <c r="D679" s="77" t="s">
        <v>54</v>
      </c>
      <c r="E679" s="77">
        <v>1.04</v>
      </c>
      <c r="F679" s="77"/>
      <c r="G679" s="78"/>
      <c r="H679" s="78">
        <f>31.12*E679</f>
        <v>32.364800000000002</v>
      </c>
      <c r="I679" s="78"/>
      <c r="J679" s="79">
        <f t="shared" si="105"/>
        <v>32.364800000000002</v>
      </c>
      <c r="K679" s="80">
        <v>64.209999999999994</v>
      </c>
      <c r="L679" s="80">
        <f t="shared" si="103"/>
        <v>2078.1438079999998</v>
      </c>
      <c r="M679" s="94"/>
      <c r="N679" s="77" t="s">
        <v>321</v>
      </c>
      <c r="O679" s="2"/>
    </row>
    <row r="680" spans="1:15" s="54" customFormat="1" ht="24" customHeight="1" x14ac:dyDescent="0.25">
      <c r="A680" s="81"/>
      <c r="B680" s="89" t="s">
        <v>96</v>
      </c>
      <c r="C680" s="77" t="s">
        <v>39</v>
      </c>
      <c r="D680" s="77" t="s">
        <v>54</v>
      </c>
      <c r="E680" s="77">
        <v>1.04</v>
      </c>
      <c r="F680" s="77"/>
      <c r="G680" s="78">
        <f>E680*15.21</f>
        <v>15.818400000000002</v>
      </c>
      <c r="H680" s="78">
        <f>E680*22.49</f>
        <v>23.389599999999998</v>
      </c>
      <c r="I680" s="78"/>
      <c r="J680" s="79">
        <f t="shared" si="105"/>
        <v>39.207999999999998</v>
      </c>
      <c r="K680" s="80">
        <v>72.78</v>
      </c>
      <c r="L680" s="80">
        <f t="shared" si="103"/>
        <v>2853.5582399999998</v>
      </c>
      <c r="M680" s="94"/>
      <c r="N680" s="77" t="s">
        <v>321</v>
      </c>
      <c r="O680" s="2"/>
    </row>
    <row r="681" spans="1:15" s="54" customFormat="1" ht="24" customHeight="1" x14ac:dyDescent="0.25">
      <c r="A681" s="81"/>
      <c r="B681" s="89" t="s">
        <v>97</v>
      </c>
      <c r="C681" s="77" t="s">
        <v>39</v>
      </c>
      <c r="D681" s="77" t="s">
        <v>54</v>
      </c>
      <c r="E681" s="77">
        <v>1.04</v>
      </c>
      <c r="F681" s="77"/>
      <c r="G681" s="78">
        <f>E681*16.61</f>
        <v>17.2744</v>
      </c>
      <c r="H681" s="78">
        <f>E681*6.64</f>
        <v>6.9055999999999997</v>
      </c>
      <c r="I681" s="78">
        <f>E681*11.33</f>
        <v>11.783200000000001</v>
      </c>
      <c r="J681" s="79">
        <f t="shared" si="105"/>
        <v>35.963200000000001</v>
      </c>
      <c r="K681" s="80">
        <v>74.92</v>
      </c>
      <c r="L681" s="80">
        <f t="shared" si="103"/>
        <v>2694.362944</v>
      </c>
      <c r="M681" s="94"/>
      <c r="N681" s="77" t="s">
        <v>321</v>
      </c>
    </row>
    <row r="682" spans="1:15" s="54" customFormat="1" ht="24" customHeight="1" x14ac:dyDescent="0.25">
      <c r="A682" s="81"/>
      <c r="B682" s="89" t="s">
        <v>132</v>
      </c>
      <c r="C682" s="77" t="s">
        <v>39</v>
      </c>
      <c r="D682" s="77" t="s">
        <v>54</v>
      </c>
      <c r="E682" s="77">
        <v>1.04</v>
      </c>
      <c r="F682" s="77"/>
      <c r="G682" s="78"/>
      <c r="H682" s="78">
        <f>10.5*E682</f>
        <v>10.92</v>
      </c>
      <c r="I682" s="78"/>
      <c r="J682" s="79">
        <f t="shared" si="105"/>
        <v>10.92</v>
      </c>
      <c r="K682" s="80">
        <v>75.97</v>
      </c>
      <c r="L682" s="80">
        <f t="shared" si="103"/>
        <v>829.5924</v>
      </c>
      <c r="M682" s="94"/>
      <c r="N682" s="77" t="s">
        <v>321</v>
      </c>
    </row>
    <row r="683" spans="1:15" s="54" customFormat="1" ht="24" customHeight="1" x14ac:dyDescent="0.25">
      <c r="A683" s="81"/>
      <c r="B683" s="89" t="s">
        <v>275</v>
      </c>
      <c r="C683" s="77" t="s">
        <v>276</v>
      </c>
      <c r="D683" s="77" t="s">
        <v>45</v>
      </c>
      <c r="E683" s="77">
        <v>1.04</v>
      </c>
      <c r="F683" s="77"/>
      <c r="G683" s="78">
        <f>G646*0.05*E683</f>
        <v>1.8376800000000004</v>
      </c>
      <c r="H683" s="78">
        <v>0</v>
      </c>
      <c r="I683" s="78">
        <v>0</v>
      </c>
      <c r="J683" s="79">
        <f t="shared" ref="J683" si="106">SUM(G683:I683)</f>
        <v>1.8376800000000004</v>
      </c>
      <c r="K683" s="80">
        <v>6405.83</v>
      </c>
      <c r="L683" s="80">
        <f t="shared" si="103"/>
        <v>11771.865674400002</v>
      </c>
      <c r="M683" s="94"/>
      <c r="N683" s="77" t="s">
        <v>321</v>
      </c>
    </row>
    <row r="684" spans="1:15" s="101" customFormat="1" ht="34.5" customHeight="1" x14ac:dyDescent="0.25">
      <c r="A684" s="95"/>
      <c r="B684" s="96" t="s">
        <v>133</v>
      </c>
      <c r="C684" s="97" t="s">
        <v>39</v>
      </c>
      <c r="D684" s="97" t="s">
        <v>99</v>
      </c>
      <c r="E684" s="97"/>
      <c r="F684" s="97"/>
      <c r="G684" s="98"/>
      <c r="H684" s="98"/>
      <c r="I684" s="98"/>
      <c r="J684" s="99">
        <f>L684*100/L635</f>
        <v>3.6499973684336271</v>
      </c>
      <c r="K684" s="79"/>
      <c r="L684" s="79">
        <v>98546.749800000005</v>
      </c>
      <c r="M684" s="100"/>
      <c r="N684" s="97" t="s">
        <v>321</v>
      </c>
    </row>
    <row r="685" spans="1:15" s="54" customFormat="1" x14ac:dyDescent="0.25">
      <c r="A685" s="60" t="s">
        <v>156</v>
      </c>
      <c r="B685" s="61" t="s">
        <v>157</v>
      </c>
      <c r="C685" s="62"/>
      <c r="D685" s="63"/>
      <c r="E685" s="62"/>
      <c r="F685" s="62"/>
      <c r="G685" s="64"/>
      <c r="H685" s="64"/>
      <c r="I685" s="64"/>
      <c r="J685" s="65"/>
      <c r="K685" s="65"/>
      <c r="L685" s="65">
        <f>L686+L699</f>
        <v>3762674.3857849995</v>
      </c>
      <c r="M685" s="86"/>
      <c r="N685" s="86"/>
    </row>
    <row r="686" spans="1:15" s="54" customFormat="1" x14ac:dyDescent="0.25">
      <c r="A686" s="66"/>
      <c r="B686" s="67" t="s">
        <v>34</v>
      </c>
      <c r="C686" s="68"/>
      <c r="D686" s="68"/>
      <c r="E686" s="68"/>
      <c r="F686" s="68"/>
      <c r="G686" s="69"/>
      <c r="H686" s="69"/>
      <c r="I686" s="69"/>
      <c r="J686" s="70"/>
      <c r="K686" s="70"/>
      <c r="L686" s="70">
        <f>SUM(L687:L698)</f>
        <v>2878362.9049999993</v>
      </c>
      <c r="M686" s="72"/>
      <c r="N686" s="72"/>
    </row>
    <row r="687" spans="1:15" s="54" customFormat="1" ht="21.75" customHeight="1" x14ac:dyDescent="0.25">
      <c r="A687" s="66"/>
      <c r="B687" s="71" t="s">
        <v>44</v>
      </c>
      <c r="C687" s="72"/>
      <c r="D687" s="72" t="s">
        <v>45</v>
      </c>
      <c r="E687" s="72"/>
      <c r="F687" s="72"/>
      <c r="G687" s="73">
        <v>32.479999999999997</v>
      </c>
      <c r="H687" s="73">
        <v>23.77</v>
      </c>
      <c r="I687" s="73">
        <v>39.03</v>
      </c>
      <c r="J687" s="70">
        <f>SUM(G687:I687)</f>
        <v>95.28</v>
      </c>
      <c r="K687" s="74">
        <v>4939</v>
      </c>
      <c r="L687" s="74">
        <f>K687*J687</f>
        <v>470587.92</v>
      </c>
      <c r="M687" s="72"/>
      <c r="N687" s="72"/>
    </row>
    <row r="688" spans="1:15" s="54" customFormat="1" ht="21.75" customHeight="1" x14ac:dyDescent="0.25">
      <c r="A688" s="66"/>
      <c r="B688" s="71" t="s">
        <v>102</v>
      </c>
      <c r="C688" s="72"/>
      <c r="D688" s="72" t="s">
        <v>45</v>
      </c>
      <c r="E688" s="72"/>
      <c r="F688" s="72"/>
      <c r="G688" s="73">
        <v>2.2000000000000002</v>
      </c>
      <c r="H688" s="73">
        <v>1.51</v>
      </c>
      <c r="I688" s="73">
        <v>1.99</v>
      </c>
      <c r="J688" s="70">
        <f t="shared" ref="J688:J697" si="107">SUM(G688:I688)</f>
        <v>5.7</v>
      </c>
      <c r="K688" s="74">
        <v>5845</v>
      </c>
      <c r="L688" s="74">
        <f t="shared" ref="L688" si="108">K688*J688</f>
        <v>33316.5</v>
      </c>
      <c r="M688" s="72"/>
      <c r="N688" s="72"/>
    </row>
    <row r="689" spans="1:14" s="54" customFormat="1" ht="21.75" customHeight="1" x14ac:dyDescent="0.25">
      <c r="A689" s="66"/>
      <c r="B689" s="71" t="s">
        <v>46</v>
      </c>
      <c r="C689" s="72"/>
      <c r="D689" s="72" t="s">
        <v>47</v>
      </c>
      <c r="E689" s="72"/>
      <c r="F689" s="72"/>
      <c r="G689" s="73">
        <v>211.16</v>
      </c>
      <c r="H689" s="73">
        <v>120.63</v>
      </c>
      <c r="I689" s="73">
        <v>155</v>
      </c>
      <c r="J689" s="70">
        <f t="shared" si="107"/>
        <v>486.78999999999996</v>
      </c>
      <c r="K689" s="74">
        <v>1461</v>
      </c>
      <c r="L689" s="74">
        <f>K689*J689</f>
        <v>711200.19</v>
      </c>
      <c r="M689" s="72"/>
      <c r="N689" s="72"/>
    </row>
    <row r="690" spans="1:14" s="54" customFormat="1" ht="21.75" customHeight="1" x14ac:dyDescent="0.25">
      <c r="A690" s="66"/>
      <c r="B690" s="71" t="s">
        <v>48</v>
      </c>
      <c r="C690" s="72"/>
      <c r="D690" s="72" t="s">
        <v>47</v>
      </c>
      <c r="E690" s="72"/>
      <c r="F690" s="72"/>
      <c r="G690" s="73">
        <v>60.37</v>
      </c>
      <c r="H690" s="73">
        <v>44.32</v>
      </c>
      <c r="I690" s="73">
        <v>81.319999999999993</v>
      </c>
      <c r="J690" s="70">
        <f t="shared" si="107"/>
        <v>186.01</v>
      </c>
      <c r="K690" s="74">
        <v>1461</v>
      </c>
      <c r="L690" s="74">
        <f>K690*J690</f>
        <v>271760.61</v>
      </c>
      <c r="M690" s="72"/>
      <c r="N690" s="72"/>
    </row>
    <row r="691" spans="1:14" s="54" customFormat="1" ht="21.75" customHeight="1" x14ac:dyDescent="0.25">
      <c r="A691" s="66"/>
      <c r="B691" s="71" t="s">
        <v>103</v>
      </c>
      <c r="C691" s="72"/>
      <c r="D691" s="72" t="s">
        <v>47</v>
      </c>
      <c r="E691" s="72"/>
      <c r="F691" s="72"/>
      <c r="G691" s="73">
        <v>195.67</v>
      </c>
      <c r="H691" s="73">
        <v>101.76</v>
      </c>
      <c r="I691" s="73">
        <v>142.25</v>
      </c>
      <c r="J691" s="70">
        <f t="shared" si="107"/>
        <v>439.68</v>
      </c>
      <c r="K691" s="74">
        <v>1461</v>
      </c>
      <c r="L691" s="74">
        <f>K691*J691</f>
        <v>642372.48</v>
      </c>
      <c r="M691" s="72"/>
      <c r="N691" s="72"/>
    </row>
    <row r="692" spans="1:14" s="54" customFormat="1" ht="21.75" customHeight="1" x14ac:dyDescent="0.25">
      <c r="A692" s="66"/>
      <c r="B692" s="71" t="s">
        <v>104</v>
      </c>
      <c r="C692" s="72"/>
      <c r="D692" s="72" t="s">
        <v>47</v>
      </c>
      <c r="E692" s="72"/>
      <c r="F692" s="72"/>
      <c r="G692" s="73">
        <v>105.96</v>
      </c>
      <c r="H692" s="73">
        <v>112.4</v>
      </c>
      <c r="I692" s="73">
        <v>126.77</v>
      </c>
      <c r="J692" s="70">
        <f t="shared" si="107"/>
        <v>345.13</v>
      </c>
      <c r="K692" s="74">
        <v>1461</v>
      </c>
      <c r="L692" s="74">
        <f>K692*J692</f>
        <v>504234.93</v>
      </c>
      <c r="M692" s="72"/>
      <c r="N692" s="72"/>
    </row>
    <row r="693" spans="1:14" s="54" customFormat="1" ht="21.75" customHeight="1" x14ac:dyDescent="0.25">
      <c r="A693" s="66"/>
      <c r="B693" s="71" t="s">
        <v>49</v>
      </c>
      <c r="C693" s="72"/>
      <c r="D693" s="72" t="s">
        <v>47</v>
      </c>
      <c r="E693" s="72"/>
      <c r="F693" s="72"/>
      <c r="G693" s="73">
        <v>14.7</v>
      </c>
      <c r="H693" s="73">
        <v>29.74</v>
      </c>
      <c r="I693" s="73">
        <v>13.15</v>
      </c>
      <c r="J693" s="70">
        <f t="shared" si="107"/>
        <v>57.589999999999996</v>
      </c>
      <c r="K693" s="74">
        <v>1610</v>
      </c>
      <c r="L693" s="74">
        <f t="shared" ref="L693:L697" si="109">K693*J693</f>
        <v>92719.9</v>
      </c>
      <c r="M693" s="72"/>
      <c r="N693" s="72"/>
    </row>
    <row r="694" spans="1:14" s="54" customFormat="1" ht="21.75" customHeight="1" x14ac:dyDescent="0.25">
      <c r="A694" s="66"/>
      <c r="B694" s="71" t="s">
        <v>50</v>
      </c>
      <c r="C694" s="72"/>
      <c r="D694" s="72" t="s">
        <v>51</v>
      </c>
      <c r="E694" s="72"/>
      <c r="F694" s="72"/>
      <c r="G694" s="73">
        <v>53</v>
      </c>
      <c r="H694" s="73">
        <v>44</v>
      </c>
      <c r="I694" s="73">
        <v>56</v>
      </c>
      <c r="J694" s="70">
        <f t="shared" si="107"/>
        <v>153</v>
      </c>
      <c r="K694" s="74">
        <v>803</v>
      </c>
      <c r="L694" s="74">
        <f t="shared" si="109"/>
        <v>122859</v>
      </c>
      <c r="M694" s="72"/>
      <c r="N694" s="72"/>
    </row>
    <row r="695" spans="1:14" s="54" customFormat="1" ht="21.75" customHeight="1" x14ac:dyDescent="0.25">
      <c r="A695" s="66"/>
      <c r="B695" s="71" t="s">
        <v>52</v>
      </c>
      <c r="C695" s="72" t="s">
        <v>105</v>
      </c>
      <c r="D695" s="72" t="s">
        <v>54</v>
      </c>
      <c r="E695" s="72"/>
      <c r="F695" s="72"/>
      <c r="G695" s="73">
        <v>31.83</v>
      </c>
      <c r="H695" s="129">
        <v>57.63</v>
      </c>
      <c r="I695" s="73">
        <v>11.33</v>
      </c>
      <c r="J695" s="130">
        <f t="shared" si="107"/>
        <v>100.79</v>
      </c>
      <c r="K695" s="74">
        <v>94.5</v>
      </c>
      <c r="L695" s="74">
        <f t="shared" si="109"/>
        <v>9524.6550000000007</v>
      </c>
      <c r="M695" s="72"/>
      <c r="N695" s="72"/>
    </row>
    <row r="696" spans="1:14" s="54" customFormat="1" ht="31.5" x14ac:dyDescent="0.25">
      <c r="A696" s="66"/>
      <c r="B696" s="71" t="s">
        <v>55</v>
      </c>
      <c r="C696" s="72"/>
      <c r="D696" s="72" t="s">
        <v>54</v>
      </c>
      <c r="E696" s="72"/>
      <c r="F696" s="72"/>
      <c r="G696" s="73">
        <v>29.2</v>
      </c>
      <c r="H696" s="73">
        <v>16.18</v>
      </c>
      <c r="I696" s="73">
        <v>23.56</v>
      </c>
      <c r="J696" s="70">
        <f t="shared" si="107"/>
        <v>68.94</v>
      </c>
      <c r="K696" s="74">
        <v>118</v>
      </c>
      <c r="L696" s="74">
        <f t="shared" si="109"/>
        <v>8134.92</v>
      </c>
      <c r="M696" s="72"/>
      <c r="N696" s="72"/>
    </row>
    <row r="697" spans="1:14" s="54" customFormat="1" ht="20.25" customHeight="1" x14ac:dyDescent="0.25">
      <c r="A697" s="66"/>
      <c r="B697" s="71" t="s">
        <v>256</v>
      </c>
      <c r="C697" s="72"/>
      <c r="D697" s="72" t="s">
        <v>47</v>
      </c>
      <c r="E697" s="72"/>
      <c r="F697" s="72"/>
      <c r="G697" s="73">
        <v>39.1</v>
      </c>
      <c r="H697" s="73"/>
      <c r="I697" s="73"/>
      <c r="J697" s="70">
        <f t="shared" si="107"/>
        <v>39.1</v>
      </c>
      <c r="K697" s="74">
        <v>298</v>
      </c>
      <c r="L697" s="74">
        <f t="shared" si="109"/>
        <v>11651.800000000001</v>
      </c>
      <c r="M697" s="72"/>
      <c r="N697" s="72"/>
    </row>
    <row r="698" spans="1:14" s="54" customFormat="1" ht="20.25" customHeight="1" x14ac:dyDescent="0.25">
      <c r="A698" s="66"/>
      <c r="B698" s="87" t="s">
        <v>56</v>
      </c>
      <c r="C698" s="88"/>
      <c r="D698" s="88" t="s">
        <v>45</v>
      </c>
      <c r="E698" s="88"/>
      <c r="F698" s="88"/>
      <c r="G698" s="73">
        <f>282.32*0.06*0.03</f>
        <v>0.50817599999999996</v>
      </c>
      <c r="H698" s="73">
        <f>223.5*0.06*0.03</f>
        <v>0.40229999999999999</v>
      </c>
      <c r="I698" s="73">
        <f>270.93*0.06*0.03</f>
        <v>0.487674</v>
      </c>
      <c r="J698" s="70">
        <f>SUM(G698:I698)</f>
        <v>1.39815</v>
      </c>
      <c r="K698" s="74"/>
      <c r="L698" s="74"/>
      <c r="M698" s="88" t="s">
        <v>57</v>
      </c>
      <c r="N698" s="72"/>
    </row>
    <row r="699" spans="1:14" s="54" customFormat="1" x14ac:dyDescent="0.25">
      <c r="A699" s="75"/>
      <c r="B699" s="76" t="s">
        <v>38</v>
      </c>
      <c r="C699" s="77"/>
      <c r="D699" s="77"/>
      <c r="E699" s="77"/>
      <c r="F699" s="77"/>
      <c r="G699" s="78"/>
      <c r="H699" s="78"/>
      <c r="I699" s="78"/>
      <c r="J699" s="79"/>
      <c r="K699" s="80"/>
      <c r="L699" s="79">
        <f>SUM(L700:L734)</f>
        <v>884311.48078499991</v>
      </c>
      <c r="M699" s="77"/>
      <c r="N699" s="77"/>
    </row>
    <row r="700" spans="1:14" s="54" customFormat="1" ht="31.5" x14ac:dyDescent="0.25">
      <c r="A700" s="81"/>
      <c r="B700" s="82" t="s">
        <v>58</v>
      </c>
      <c r="C700" s="77" t="s">
        <v>59</v>
      </c>
      <c r="D700" s="77" t="s">
        <v>60</v>
      </c>
      <c r="E700" s="78">
        <v>12.4</v>
      </c>
      <c r="F700" s="77">
        <v>0.25</v>
      </c>
      <c r="G700" s="83">
        <f>G687/F700*E700</f>
        <v>1611.0079999999998</v>
      </c>
      <c r="H700" s="83">
        <f>H687/F700*E700</f>
        <v>1178.992</v>
      </c>
      <c r="I700" s="83">
        <f>I687/F700*E700</f>
        <v>1935.8880000000001</v>
      </c>
      <c r="J700" s="84">
        <f>SUM(G700:I700)</f>
        <v>4725.8879999999999</v>
      </c>
      <c r="K700" s="80">
        <v>0</v>
      </c>
      <c r="L700" s="80">
        <f>J700*K700</f>
        <v>0</v>
      </c>
      <c r="M700" s="77" t="s">
        <v>61</v>
      </c>
      <c r="N700" s="77" t="s">
        <v>320</v>
      </c>
    </row>
    <row r="701" spans="1:14" s="54" customFormat="1" ht="31.5" x14ac:dyDescent="0.25">
      <c r="A701" s="81"/>
      <c r="B701" s="82" t="s">
        <v>62</v>
      </c>
      <c r="C701" s="77" t="s">
        <v>63</v>
      </c>
      <c r="D701" s="77" t="s">
        <v>60</v>
      </c>
      <c r="E701" s="78">
        <v>12.4</v>
      </c>
      <c r="F701" s="77"/>
      <c r="G701" s="83">
        <f>G689*E701</f>
        <v>2618.384</v>
      </c>
      <c r="H701" s="83">
        <f>H689*E701</f>
        <v>1495.8119999999999</v>
      </c>
      <c r="I701" s="83">
        <f>I689*E701</f>
        <v>1922</v>
      </c>
      <c r="J701" s="84">
        <f t="shared" ref="J701:J705" si="110">SUM(G701:I701)</f>
        <v>6036.1959999999999</v>
      </c>
      <c r="K701" s="80">
        <v>0</v>
      </c>
      <c r="L701" s="80">
        <f>J701*K701</f>
        <v>0</v>
      </c>
      <c r="M701" s="77" t="s">
        <v>61</v>
      </c>
      <c r="N701" s="77" t="s">
        <v>320</v>
      </c>
    </row>
    <row r="702" spans="1:14" s="54" customFormat="1" ht="31.5" x14ac:dyDescent="0.25">
      <c r="A702" s="81"/>
      <c r="B702" s="82" t="s">
        <v>64</v>
      </c>
      <c r="C702" s="77" t="s">
        <v>65</v>
      </c>
      <c r="D702" s="77" t="s">
        <v>60</v>
      </c>
      <c r="E702" s="78">
        <v>12.4</v>
      </c>
      <c r="F702" s="77"/>
      <c r="G702" s="83">
        <f>G690*E702</f>
        <v>748.58799999999997</v>
      </c>
      <c r="H702" s="83">
        <f>H690*E702</f>
        <v>549.56799999999998</v>
      </c>
      <c r="I702" s="83">
        <f>I690*E702</f>
        <v>1008.3679999999999</v>
      </c>
      <c r="J702" s="84">
        <f t="shared" si="110"/>
        <v>2306.5239999999999</v>
      </c>
      <c r="K702" s="80">
        <v>0</v>
      </c>
      <c r="L702" s="80">
        <f>J702*K702</f>
        <v>0</v>
      </c>
      <c r="M702" s="77" t="s">
        <v>61</v>
      </c>
      <c r="N702" s="77" t="s">
        <v>320</v>
      </c>
    </row>
    <row r="703" spans="1:14" s="54" customFormat="1" ht="31.5" x14ac:dyDescent="0.25">
      <c r="A703" s="81"/>
      <c r="B703" s="82" t="s">
        <v>106</v>
      </c>
      <c r="C703" s="77" t="s">
        <v>107</v>
      </c>
      <c r="D703" s="77" t="s">
        <v>60</v>
      </c>
      <c r="E703" s="78">
        <v>12.4</v>
      </c>
      <c r="F703" s="77"/>
      <c r="G703" s="83">
        <f>G691*E703</f>
        <v>2426.308</v>
      </c>
      <c r="H703" s="83">
        <f>H691*E703</f>
        <v>1261.8240000000001</v>
      </c>
      <c r="I703" s="83">
        <f>I691*E703</f>
        <v>1763.9</v>
      </c>
      <c r="J703" s="84">
        <f t="shared" si="110"/>
        <v>5452.0320000000002</v>
      </c>
      <c r="K703" s="80">
        <v>0</v>
      </c>
      <c r="L703" s="80">
        <f>J703*K703</f>
        <v>0</v>
      </c>
      <c r="M703" s="77" t="s">
        <v>61</v>
      </c>
      <c r="N703" s="77" t="s">
        <v>320</v>
      </c>
    </row>
    <row r="704" spans="1:14" s="54" customFormat="1" ht="31.5" x14ac:dyDescent="0.25">
      <c r="A704" s="81"/>
      <c r="B704" s="82" t="s">
        <v>108</v>
      </c>
      <c r="C704" s="77" t="s">
        <v>109</v>
      </c>
      <c r="D704" s="77" t="s">
        <v>60</v>
      </c>
      <c r="E704" s="78">
        <v>12.4</v>
      </c>
      <c r="F704" s="77"/>
      <c r="G704" s="83">
        <f>G692*E704</f>
        <v>1313.904</v>
      </c>
      <c r="H704" s="83">
        <f>H692*E704</f>
        <v>1393.7600000000002</v>
      </c>
      <c r="I704" s="83">
        <f>I692*E704</f>
        <v>1571.9480000000001</v>
      </c>
      <c r="J704" s="84">
        <f t="shared" si="110"/>
        <v>4279.6120000000001</v>
      </c>
      <c r="K704" s="80">
        <v>0</v>
      </c>
      <c r="L704" s="80">
        <f>J704*K704</f>
        <v>0</v>
      </c>
      <c r="M704" s="77" t="s">
        <v>61</v>
      </c>
      <c r="N704" s="77" t="s">
        <v>320</v>
      </c>
    </row>
    <row r="705" spans="1:14" s="54" customFormat="1" ht="31.5" x14ac:dyDescent="0.25">
      <c r="A705" s="81"/>
      <c r="B705" s="89" t="s">
        <v>66</v>
      </c>
      <c r="C705" s="77" t="s">
        <v>67</v>
      </c>
      <c r="D705" s="77" t="s">
        <v>60</v>
      </c>
      <c r="E705" s="90">
        <v>42</v>
      </c>
      <c r="F705" s="90"/>
      <c r="G705" s="83">
        <f>G693*E705</f>
        <v>617.4</v>
      </c>
      <c r="H705" s="83">
        <f>H693*E705</f>
        <v>1249.08</v>
      </c>
      <c r="I705" s="83">
        <f>I693*E705</f>
        <v>552.30000000000007</v>
      </c>
      <c r="J705" s="84">
        <f t="shared" si="110"/>
        <v>2418.7800000000002</v>
      </c>
      <c r="K705" s="80">
        <v>0</v>
      </c>
      <c r="L705" s="80">
        <f t="shared" ref="L705:L733" si="111">J705*K705</f>
        <v>0</v>
      </c>
      <c r="M705" s="77" t="s">
        <v>68</v>
      </c>
      <c r="N705" s="77" t="s">
        <v>320</v>
      </c>
    </row>
    <row r="706" spans="1:14" s="54" customFormat="1" ht="31.5" x14ac:dyDescent="0.25">
      <c r="A706" s="81"/>
      <c r="B706" s="89" t="s">
        <v>110</v>
      </c>
      <c r="C706" s="77" t="s">
        <v>111</v>
      </c>
      <c r="D706" s="77" t="s">
        <v>60</v>
      </c>
      <c r="E706" s="90">
        <v>42</v>
      </c>
      <c r="F706" s="90"/>
      <c r="G706" s="83">
        <f>G688/0.25*E706</f>
        <v>369.6</v>
      </c>
      <c r="H706" s="83">
        <f>H688/0.25*E706</f>
        <v>253.68</v>
      </c>
      <c r="I706" s="83">
        <f>I688/0.25*E706</f>
        <v>334.32</v>
      </c>
      <c r="J706" s="84">
        <f t="shared" ref="J706" si="112">SUM(G706:I706)</f>
        <v>957.59999999999991</v>
      </c>
      <c r="K706" s="80">
        <v>0</v>
      </c>
      <c r="L706" s="80">
        <f t="shared" si="111"/>
        <v>0</v>
      </c>
      <c r="M706" s="77" t="s">
        <v>68</v>
      </c>
      <c r="N706" s="77" t="s">
        <v>320</v>
      </c>
    </row>
    <row r="707" spans="1:14" s="54" customFormat="1" ht="27.75" customHeight="1" x14ac:dyDescent="0.25">
      <c r="A707" s="81"/>
      <c r="B707" s="91" t="s">
        <v>69</v>
      </c>
      <c r="C707" s="77" t="s">
        <v>70</v>
      </c>
      <c r="D707" s="77" t="s">
        <v>45</v>
      </c>
      <c r="E707" s="77">
        <v>0.19500000000000001</v>
      </c>
      <c r="F707" s="90"/>
      <c r="G707" s="78">
        <f>G687*E707+G689*E707*0.19+G690*E707*0.19+G691*E707*0.09+G692*E707*0.09</f>
        <v>21.687393</v>
      </c>
      <c r="H707" s="78">
        <f>H687*E707+H689*E707*0.19+H690*E707*0.19+H691*E707*0.09+H692*E707*0.09</f>
        <v>14.505055500000001</v>
      </c>
      <c r="I707" s="78">
        <f>I687*E707+I689*E707*0.19+I690*E707*0.19+I691*E707*0.09+I692*E707*0.09</f>
        <v>21.087807000000002</v>
      </c>
      <c r="J707" s="79">
        <f>SUM(G707:I707)</f>
        <v>57.280255499999996</v>
      </c>
      <c r="K707" s="80">
        <v>7875</v>
      </c>
      <c r="L707" s="80">
        <f t="shared" si="111"/>
        <v>451082.01206249994</v>
      </c>
      <c r="M707" s="77" t="s">
        <v>71</v>
      </c>
      <c r="N707" s="77" t="s">
        <v>321</v>
      </c>
    </row>
    <row r="708" spans="1:14" s="54" customFormat="1" ht="27.75" customHeight="1" x14ac:dyDescent="0.25">
      <c r="A708" s="92"/>
      <c r="B708" s="91" t="s">
        <v>112</v>
      </c>
      <c r="C708" s="77" t="s">
        <v>70</v>
      </c>
      <c r="D708" s="77" t="s">
        <v>45</v>
      </c>
      <c r="E708" s="77">
        <v>0.24</v>
      </c>
      <c r="F708" s="77"/>
      <c r="G708" s="78">
        <f>G688*E708</f>
        <v>0.52800000000000002</v>
      </c>
      <c r="H708" s="78">
        <f>H688*E708</f>
        <v>0.3624</v>
      </c>
      <c r="I708" s="78">
        <f>I688*E708</f>
        <v>0.47759999999999997</v>
      </c>
      <c r="J708" s="79">
        <f t="shared" ref="J708:J732" si="113">SUM(G708:I708)</f>
        <v>1.3680000000000001</v>
      </c>
      <c r="K708" s="80">
        <v>7875</v>
      </c>
      <c r="L708" s="80">
        <f t="shared" si="111"/>
        <v>10773</v>
      </c>
      <c r="M708" s="77" t="s">
        <v>71</v>
      </c>
      <c r="N708" s="77" t="s">
        <v>321</v>
      </c>
    </row>
    <row r="709" spans="1:14" s="54" customFormat="1" ht="27.75" customHeight="1" x14ac:dyDescent="0.25">
      <c r="A709" s="92"/>
      <c r="B709" s="91" t="s">
        <v>72</v>
      </c>
      <c r="C709" s="77" t="s">
        <v>70</v>
      </c>
      <c r="D709" s="77" t="s">
        <v>45</v>
      </c>
      <c r="E709" s="77">
        <v>4.5999999999999999E-2</v>
      </c>
      <c r="F709" s="77"/>
      <c r="G709" s="78">
        <f>G693*E709</f>
        <v>0.67619999999999991</v>
      </c>
      <c r="H709" s="78">
        <f>H693*E709</f>
        <v>1.3680399999999999</v>
      </c>
      <c r="I709" s="78">
        <f>I693*E709</f>
        <v>0.60489999999999999</v>
      </c>
      <c r="J709" s="79">
        <f t="shared" si="113"/>
        <v>2.6491400000000001</v>
      </c>
      <c r="K709" s="80">
        <v>7875</v>
      </c>
      <c r="L709" s="80">
        <f t="shared" si="111"/>
        <v>20861.977500000001</v>
      </c>
      <c r="M709" s="77" t="s">
        <v>73</v>
      </c>
      <c r="N709" s="77" t="s">
        <v>321</v>
      </c>
    </row>
    <row r="710" spans="1:14" s="54" customFormat="1" ht="27.75" customHeight="1" x14ac:dyDescent="0.25">
      <c r="A710" s="92"/>
      <c r="B710" s="91" t="s">
        <v>74</v>
      </c>
      <c r="C710" s="77" t="s">
        <v>70</v>
      </c>
      <c r="D710" s="77" t="s">
        <v>45</v>
      </c>
      <c r="E710" s="77">
        <v>1.01</v>
      </c>
      <c r="F710" s="77"/>
      <c r="G710" s="78">
        <f>G698*E710</f>
        <v>0.51325776000000001</v>
      </c>
      <c r="H710" s="78">
        <f>H698*E710</f>
        <v>0.40632299999999999</v>
      </c>
      <c r="I710" s="78">
        <f>I698*E710</f>
        <v>0.49255073999999999</v>
      </c>
      <c r="J710" s="79">
        <f t="shared" si="113"/>
        <v>1.4121315000000001</v>
      </c>
      <c r="K710" s="80">
        <v>7875</v>
      </c>
      <c r="L710" s="80">
        <f t="shared" si="111"/>
        <v>11120.535562500001</v>
      </c>
      <c r="M710" s="77" t="s">
        <v>71</v>
      </c>
      <c r="N710" s="77" t="s">
        <v>321</v>
      </c>
    </row>
    <row r="711" spans="1:14" s="54" customFormat="1" ht="27.75" customHeight="1" x14ac:dyDescent="0.25">
      <c r="A711" s="81"/>
      <c r="B711" s="89" t="s">
        <v>75</v>
      </c>
      <c r="C711" s="77" t="s">
        <v>70</v>
      </c>
      <c r="D711" s="77" t="s">
        <v>45</v>
      </c>
      <c r="E711" s="77">
        <v>6.0000000000000001E-3</v>
      </c>
      <c r="F711" s="77"/>
      <c r="G711" s="78">
        <f>G694*E711</f>
        <v>0.318</v>
      </c>
      <c r="H711" s="78">
        <f>H694*E711</f>
        <v>0.26400000000000001</v>
      </c>
      <c r="I711" s="78">
        <f>I694*E711</f>
        <v>0.33600000000000002</v>
      </c>
      <c r="J711" s="79">
        <f t="shared" si="113"/>
        <v>0.91800000000000015</v>
      </c>
      <c r="K711" s="80">
        <v>7875</v>
      </c>
      <c r="L711" s="80">
        <f t="shared" si="111"/>
        <v>7229.2500000000009</v>
      </c>
      <c r="M711" s="77" t="s">
        <v>76</v>
      </c>
      <c r="N711" s="77" t="s">
        <v>321</v>
      </c>
    </row>
    <row r="712" spans="1:14" s="54" customFormat="1" ht="27.75" customHeight="1" x14ac:dyDescent="0.25">
      <c r="A712" s="81"/>
      <c r="B712" s="89" t="s">
        <v>77</v>
      </c>
      <c r="C712" s="77" t="s">
        <v>70</v>
      </c>
      <c r="D712" s="77" t="s">
        <v>45</v>
      </c>
      <c r="E712" s="77">
        <v>1.01</v>
      </c>
      <c r="F712" s="77"/>
      <c r="G712" s="93">
        <v>3.7999999999999999E-2</v>
      </c>
      <c r="H712" s="93">
        <v>2.1000000000000001E-2</v>
      </c>
      <c r="I712" s="93">
        <v>0.03</v>
      </c>
      <c r="J712" s="79">
        <f t="shared" si="113"/>
        <v>8.8999999999999996E-2</v>
      </c>
      <c r="K712" s="80">
        <v>7875</v>
      </c>
      <c r="L712" s="80">
        <f t="shared" si="111"/>
        <v>700.875</v>
      </c>
      <c r="M712" s="94"/>
      <c r="N712" s="77" t="s">
        <v>321</v>
      </c>
    </row>
    <row r="713" spans="1:14" s="54" customFormat="1" ht="24" customHeight="1" x14ac:dyDescent="0.25">
      <c r="A713" s="81"/>
      <c r="B713" s="89" t="s">
        <v>78</v>
      </c>
      <c r="C713" s="77" t="s">
        <v>79</v>
      </c>
      <c r="D713" s="77" t="s">
        <v>47</v>
      </c>
      <c r="E713" s="77"/>
      <c r="F713" s="77"/>
      <c r="G713" s="78">
        <v>220.37</v>
      </c>
      <c r="H713" s="78">
        <v>138.57</v>
      </c>
      <c r="I713" s="78">
        <v>212.85</v>
      </c>
      <c r="J713" s="79">
        <f t="shared" si="113"/>
        <v>571.79</v>
      </c>
      <c r="K713" s="80">
        <v>88.34</v>
      </c>
      <c r="L713" s="80">
        <f t="shared" si="111"/>
        <v>50511.928599999999</v>
      </c>
      <c r="M713" s="94"/>
      <c r="N713" s="77" t="s">
        <v>321</v>
      </c>
    </row>
    <row r="714" spans="1:14" s="54" customFormat="1" ht="24" customHeight="1" x14ac:dyDescent="0.25">
      <c r="A714" s="81"/>
      <c r="B714" s="89" t="s">
        <v>277</v>
      </c>
      <c r="C714" s="77" t="s">
        <v>114</v>
      </c>
      <c r="D714" s="77" t="s">
        <v>60</v>
      </c>
      <c r="E714" s="77"/>
      <c r="F714" s="77"/>
      <c r="G714" s="78">
        <v>12</v>
      </c>
      <c r="H714" s="78">
        <v>8</v>
      </c>
      <c r="I714" s="78">
        <v>12</v>
      </c>
      <c r="J714" s="79">
        <f t="shared" si="113"/>
        <v>32</v>
      </c>
      <c r="K714" s="80">
        <v>398.6</v>
      </c>
      <c r="L714" s="80">
        <f t="shared" si="111"/>
        <v>12755.2</v>
      </c>
      <c r="M714" s="94"/>
      <c r="N714" s="77" t="s">
        <v>321</v>
      </c>
    </row>
    <row r="715" spans="1:14" s="54" customFormat="1" ht="24" customHeight="1" x14ac:dyDescent="0.25">
      <c r="A715" s="81"/>
      <c r="B715" s="89" t="s">
        <v>278</v>
      </c>
      <c r="C715" s="77" t="s">
        <v>116</v>
      </c>
      <c r="D715" s="77" t="s">
        <v>60</v>
      </c>
      <c r="E715" s="77"/>
      <c r="F715" s="77"/>
      <c r="G715" s="78">
        <v>8</v>
      </c>
      <c r="H715" s="78">
        <v>9</v>
      </c>
      <c r="I715" s="78">
        <v>9</v>
      </c>
      <c r="J715" s="79">
        <f t="shared" si="113"/>
        <v>26</v>
      </c>
      <c r="K715" s="80">
        <v>465.03</v>
      </c>
      <c r="L715" s="80">
        <f t="shared" si="111"/>
        <v>12090.779999999999</v>
      </c>
      <c r="M715" s="94"/>
      <c r="N715" s="77" t="s">
        <v>321</v>
      </c>
    </row>
    <row r="716" spans="1:14" s="54" customFormat="1" ht="24" customHeight="1" x14ac:dyDescent="0.25">
      <c r="A716" s="81"/>
      <c r="B716" s="89" t="s">
        <v>283</v>
      </c>
      <c r="C716" s="77" t="s">
        <v>284</v>
      </c>
      <c r="D716" s="77" t="s">
        <v>60</v>
      </c>
      <c r="E716" s="77"/>
      <c r="F716" s="77"/>
      <c r="G716" s="78">
        <v>1</v>
      </c>
      <c r="H716" s="78">
        <v>1</v>
      </c>
      <c r="I716" s="78"/>
      <c r="J716" s="79">
        <f t="shared" si="113"/>
        <v>2</v>
      </c>
      <c r="K716" s="80">
        <v>620.04999999999995</v>
      </c>
      <c r="L716" s="80">
        <f t="shared" si="111"/>
        <v>1240.0999999999999</v>
      </c>
      <c r="M716" s="94"/>
      <c r="N716" s="77" t="s">
        <v>321</v>
      </c>
    </row>
    <row r="717" spans="1:14" s="54" customFormat="1" ht="24" customHeight="1" x14ac:dyDescent="0.25">
      <c r="A717" s="81"/>
      <c r="B717" s="89" t="s">
        <v>285</v>
      </c>
      <c r="C717" s="77" t="s">
        <v>286</v>
      </c>
      <c r="D717" s="77" t="s">
        <v>60</v>
      </c>
      <c r="E717" s="77"/>
      <c r="F717" s="77"/>
      <c r="G717" s="78"/>
      <c r="H717" s="78"/>
      <c r="I717" s="78">
        <v>1</v>
      </c>
      <c r="J717" s="79">
        <f t="shared" si="113"/>
        <v>1</v>
      </c>
      <c r="K717" s="80">
        <v>708.62</v>
      </c>
      <c r="L717" s="80">
        <f t="shared" si="111"/>
        <v>708.62</v>
      </c>
      <c r="M717" s="94"/>
      <c r="N717" s="77" t="s">
        <v>321</v>
      </c>
    </row>
    <row r="718" spans="1:14" s="54" customFormat="1" ht="24" customHeight="1" x14ac:dyDescent="0.25">
      <c r="A718" s="81"/>
      <c r="B718" s="89" t="s">
        <v>287</v>
      </c>
      <c r="C718" s="77" t="s">
        <v>288</v>
      </c>
      <c r="D718" s="77" t="s">
        <v>60</v>
      </c>
      <c r="E718" s="77"/>
      <c r="F718" s="77"/>
      <c r="G718" s="78">
        <v>1</v>
      </c>
      <c r="H718" s="78">
        <v>1</v>
      </c>
      <c r="I718" s="78">
        <v>1</v>
      </c>
      <c r="J718" s="79">
        <f t="shared" si="113"/>
        <v>3</v>
      </c>
      <c r="K718" s="80">
        <v>797.2</v>
      </c>
      <c r="L718" s="80">
        <f t="shared" si="111"/>
        <v>2391.6000000000004</v>
      </c>
      <c r="M718" s="94"/>
      <c r="N718" s="77" t="s">
        <v>321</v>
      </c>
    </row>
    <row r="719" spans="1:14" s="54" customFormat="1" ht="24" customHeight="1" x14ac:dyDescent="0.25">
      <c r="A719" s="81"/>
      <c r="B719" s="89" t="s">
        <v>297</v>
      </c>
      <c r="C719" s="77" t="s">
        <v>118</v>
      </c>
      <c r="D719" s="77" t="s">
        <v>60</v>
      </c>
      <c r="E719" s="77"/>
      <c r="F719" s="77"/>
      <c r="G719" s="78">
        <v>4</v>
      </c>
      <c r="H719" s="78">
        <v>1</v>
      </c>
      <c r="I719" s="78">
        <v>3</v>
      </c>
      <c r="J719" s="79">
        <f t="shared" si="113"/>
        <v>8</v>
      </c>
      <c r="K719" s="80">
        <v>841.49</v>
      </c>
      <c r="L719" s="80">
        <f t="shared" si="111"/>
        <v>6731.92</v>
      </c>
      <c r="M719" s="94"/>
      <c r="N719" s="77" t="s">
        <v>321</v>
      </c>
    </row>
    <row r="720" spans="1:14" s="54" customFormat="1" ht="24" customHeight="1" x14ac:dyDescent="0.25">
      <c r="A720" s="81"/>
      <c r="B720" s="89" t="s">
        <v>298</v>
      </c>
      <c r="C720" s="77" t="s">
        <v>120</v>
      </c>
      <c r="D720" s="77" t="s">
        <v>60</v>
      </c>
      <c r="E720" s="77"/>
      <c r="F720" s="77"/>
      <c r="G720" s="78">
        <v>4</v>
      </c>
      <c r="H720" s="78">
        <v>5</v>
      </c>
      <c r="I720" s="78">
        <v>5</v>
      </c>
      <c r="J720" s="79">
        <f t="shared" si="113"/>
        <v>14</v>
      </c>
      <c r="K720" s="80">
        <v>981.74</v>
      </c>
      <c r="L720" s="80">
        <f t="shared" si="111"/>
        <v>13744.36</v>
      </c>
      <c r="M720" s="94"/>
      <c r="N720" s="77" t="s">
        <v>321</v>
      </c>
    </row>
    <row r="721" spans="1:15" s="54" customFormat="1" ht="24" customHeight="1" x14ac:dyDescent="0.25">
      <c r="A721" s="81"/>
      <c r="B721" s="89" t="s">
        <v>301</v>
      </c>
      <c r="C721" s="77" t="s">
        <v>122</v>
      </c>
      <c r="D721" s="77" t="s">
        <v>60</v>
      </c>
      <c r="E721" s="77"/>
      <c r="F721" s="77"/>
      <c r="G721" s="78">
        <v>3</v>
      </c>
      <c r="H721" s="78">
        <v>1</v>
      </c>
      <c r="I721" s="78">
        <v>7</v>
      </c>
      <c r="J721" s="79">
        <f t="shared" si="113"/>
        <v>11</v>
      </c>
      <c r="K721" s="80">
        <v>1291.76</v>
      </c>
      <c r="L721" s="80">
        <f t="shared" si="111"/>
        <v>14209.36</v>
      </c>
      <c r="M721" s="94"/>
      <c r="N721" s="77" t="s">
        <v>321</v>
      </c>
    </row>
    <row r="722" spans="1:15" s="54" customFormat="1" ht="24" customHeight="1" x14ac:dyDescent="0.25">
      <c r="A722" s="81"/>
      <c r="B722" s="89" t="s">
        <v>306</v>
      </c>
      <c r="C722" s="77" t="s">
        <v>307</v>
      </c>
      <c r="D722" s="77" t="s">
        <v>60</v>
      </c>
      <c r="E722" s="77"/>
      <c r="F722" s="77"/>
      <c r="G722" s="78"/>
      <c r="H722" s="78">
        <v>1</v>
      </c>
      <c r="I722" s="78"/>
      <c r="J722" s="79">
        <f t="shared" si="113"/>
        <v>1</v>
      </c>
      <c r="K722" s="80">
        <v>1660.84</v>
      </c>
      <c r="L722" s="80">
        <f t="shared" si="111"/>
        <v>1660.84</v>
      </c>
      <c r="M722" s="94"/>
      <c r="N722" s="77" t="s">
        <v>321</v>
      </c>
    </row>
    <row r="723" spans="1:15" s="54" customFormat="1" ht="24" customHeight="1" x14ac:dyDescent="0.25">
      <c r="A723" s="81"/>
      <c r="B723" s="89" t="s">
        <v>302</v>
      </c>
      <c r="C723" s="77" t="s">
        <v>124</v>
      </c>
      <c r="D723" s="77" t="s">
        <v>60</v>
      </c>
      <c r="E723" s="77"/>
      <c r="F723" s="77"/>
      <c r="G723" s="78">
        <v>2</v>
      </c>
      <c r="H723" s="78"/>
      <c r="I723" s="78"/>
      <c r="J723" s="79">
        <f t="shared" si="113"/>
        <v>2</v>
      </c>
      <c r="K723" s="80">
        <v>1845.38</v>
      </c>
      <c r="L723" s="80">
        <f t="shared" si="111"/>
        <v>3690.76</v>
      </c>
      <c r="M723" s="94"/>
      <c r="N723" s="77" t="s">
        <v>321</v>
      </c>
    </row>
    <row r="724" spans="1:15" s="54" customFormat="1" ht="24" customHeight="1" x14ac:dyDescent="0.25">
      <c r="A724" s="81"/>
      <c r="B724" s="89" t="s">
        <v>303</v>
      </c>
      <c r="C724" s="77" t="s">
        <v>126</v>
      </c>
      <c r="D724" s="77" t="s">
        <v>60</v>
      </c>
      <c r="E724" s="77"/>
      <c r="F724" s="77"/>
      <c r="G724" s="78">
        <v>10</v>
      </c>
      <c r="H724" s="78">
        <v>10</v>
      </c>
      <c r="I724" s="78">
        <v>10</v>
      </c>
      <c r="J724" s="79">
        <f t="shared" si="113"/>
        <v>30</v>
      </c>
      <c r="K724" s="80">
        <v>2029.91</v>
      </c>
      <c r="L724" s="80">
        <f t="shared" si="111"/>
        <v>60897.3</v>
      </c>
      <c r="M724" s="94"/>
      <c r="N724" s="77" t="s">
        <v>321</v>
      </c>
    </row>
    <row r="725" spans="1:15" s="54" customFormat="1" ht="24" customHeight="1" x14ac:dyDescent="0.25">
      <c r="A725" s="81"/>
      <c r="B725" s="89" t="s">
        <v>304</v>
      </c>
      <c r="C725" s="77" t="s">
        <v>128</v>
      </c>
      <c r="D725" s="77" t="s">
        <v>60</v>
      </c>
      <c r="E725" s="77"/>
      <c r="F725" s="77"/>
      <c r="G725" s="78">
        <v>8</v>
      </c>
      <c r="H725" s="78">
        <v>2</v>
      </c>
      <c r="I725" s="78">
        <v>4</v>
      </c>
      <c r="J725" s="79">
        <f t="shared" si="113"/>
        <v>14</v>
      </c>
      <c r="K725" s="80">
        <v>2398.9899999999998</v>
      </c>
      <c r="L725" s="80">
        <f t="shared" si="111"/>
        <v>33585.86</v>
      </c>
      <c r="M725" s="94"/>
      <c r="N725" s="77" t="s">
        <v>321</v>
      </c>
    </row>
    <row r="726" spans="1:15" s="54" customFormat="1" ht="24" customHeight="1" x14ac:dyDescent="0.25">
      <c r="A726" s="81"/>
      <c r="B726" s="89" t="s">
        <v>305</v>
      </c>
      <c r="C726" s="77" t="s">
        <v>130</v>
      </c>
      <c r="D726" s="77" t="s">
        <v>60</v>
      </c>
      <c r="E726" s="77"/>
      <c r="F726" s="77"/>
      <c r="G726" s="78"/>
      <c r="H726" s="78">
        <v>5</v>
      </c>
      <c r="I726" s="78">
        <v>4</v>
      </c>
      <c r="J726" s="79">
        <f t="shared" si="113"/>
        <v>9</v>
      </c>
      <c r="K726" s="80">
        <v>2583.5300000000002</v>
      </c>
      <c r="L726" s="80">
        <f t="shared" si="111"/>
        <v>23251.77</v>
      </c>
      <c r="M726" s="94"/>
      <c r="N726" s="77" t="s">
        <v>321</v>
      </c>
    </row>
    <row r="727" spans="1:15" s="54" customFormat="1" ht="24" customHeight="1" x14ac:dyDescent="0.25">
      <c r="A727" s="81"/>
      <c r="B727" s="89" t="s">
        <v>92</v>
      </c>
      <c r="C727" s="77" t="s">
        <v>93</v>
      </c>
      <c r="D727" s="77" t="s">
        <v>54</v>
      </c>
      <c r="E727" s="77">
        <v>1.04</v>
      </c>
      <c r="F727" s="77"/>
      <c r="G727" s="78">
        <f>168.74*E727</f>
        <v>175.48960000000002</v>
      </c>
      <c r="H727" s="78">
        <f>120.83*E727</f>
        <v>125.6632</v>
      </c>
      <c r="I727" s="78">
        <f>168.74*E727</f>
        <v>175.48960000000002</v>
      </c>
      <c r="J727" s="79">
        <f t="shared" si="113"/>
        <v>476.64240000000007</v>
      </c>
      <c r="K727" s="80">
        <v>66.349999999999994</v>
      </c>
      <c r="L727" s="80">
        <f t="shared" si="111"/>
        <v>31625.223240000003</v>
      </c>
      <c r="M727" s="94"/>
      <c r="N727" s="77" t="s">
        <v>321</v>
      </c>
    </row>
    <row r="728" spans="1:15" s="54" customFormat="1" ht="24" customHeight="1" x14ac:dyDescent="0.25">
      <c r="A728" s="81"/>
      <c r="B728" s="89" t="s">
        <v>94</v>
      </c>
      <c r="C728" s="77" t="s">
        <v>95</v>
      </c>
      <c r="D728" s="77" t="s">
        <v>54</v>
      </c>
      <c r="E728" s="77">
        <v>1.04</v>
      </c>
      <c r="F728" s="77"/>
      <c r="G728" s="78">
        <f>G696*E728</f>
        <v>30.367999999999999</v>
      </c>
      <c r="H728" s="78">
        <f>H696*E728</f>
        <v>16.827200000000001</v>
      </c>
      <c r="I728" s="78">
        <f>I696*E728</f>
        <v>24.502399999999998</v>
      </c>
      <c r="J728" s="79">
        <f t="shared" si="113"/>
        <v>71.697599999999994</v>
      </c>
      <c r="K728" s="80">
        <v>64</v>
      </c>
      <c r="L728" s="80">
        <f t="shared" si="111"/>
        <v>4588.6463999999996</v>
      </c>
      <c r="M728" s="94"/>
      <c r="N728" s="77" t="s">
        <v>321</v>
      </c>
    </row>
    <row r="729" spans="1:15" s="54" customFormat="1" ht="24" customHeight="1" x14ac:dyDescent="0.25">
      <c r="A729" s="81"/>
      <c r="B729" s="89" t="s">
        <v>131</v>
      </c>
      <c r="C729" s="77" t="s">
        <v>39</v>
      </c>
      <c r="D729" s="77" t="s">
        <v>54</v>
      </c>
      <c r="E729" s="77">
        <v>1.04</v>
      </c>
      <c r="F729" s="77"/>
      <c r="G729" s="78"/>
      <c r="H729" s="78">
        <f>4.45*E729</f>
        <v>4.6280000000000001</v>
      </c>
      <c r="I729" s="78"/>
      <c r="J729" s="79">
        <f t="shared" si="113"/>
        <v>4.6280000000000001</v>
      </c>
      <c r="K729" s="80">
        <v>64.209999999999994</v>
      </c>
      <c r="L729" s="80">
        <f t="shared" si="111"/>
        <v>297.16388000000001</v>
      </c>
      <c r="M729" s="94"/>
      <c r="N729" s="77" t="s">
        <v>321</v>
      </c>
      <c r="O729" s="2"/>
    </row>
    <row r="730" spans="1:15" s="54" customFormat="1" ht="24" customHeight="1" x14ac:dyDescent="0.25">
      <c r="A730" s="81"/>
      <c r="B730" s="89" t="s">
        <v>96</v>
      </c>
      <c r="C730" s="77" t="s">
        <v>39</v>
      </c>
      <c r="D730" s="77" t="s">
        <v>54</v>
      </c>
      <c r="E730" s="77">
        <v>1.04</v>
      </c>
      <c r="F730" s="77"/>
      <c r="G730" s="78">
        <f>E730*15.21</f>
        <v>15.818400000000002</v>
      </c>
      <c r="H730" s="78">
        <f>E730*45.64</f>
        <v>47.465600000000002</v>
      </c>
      <c r="I730" s="78"/>
      <c r="J730" s="79">
        <f t="shared" si="113"/>
        <v>63.284000000000006</v>
      </c>
      <c r="K730" s="80">
        <v>72.78</v>
      </c>
      <c r="L730" s="80">
        <f t="shared" si="111"/>
        <v>4605.8095200000007</v>
      </c>
      <c r="M730" s="94"/>
      <c r="N730" s="77" t="s">
        <v>321</v>
      </c>
      <c r="O730" s="2"/>
    </row>
    <row r="731" spans="1:15" s="54" customFormat="1" ht="24" customHeight="1" x14ac:dyDescent="0.25">
      <c r="A731" s="81"/>
      <c r="B731" s="89" t="s">
        <v>97</v>
      </c>
      <c r="C731" s="77" t="s">
        <v>39</v>
      </c>
      <c r="D731" s="77" t="s">
        <v>54</v>
      </c>
      <c r="E731" s="77">
        <v>1.04</v>
      </c>
      <c r="F731" s="77"/>
      <c r="G731" s="78">
        <f>E731*16.61</f>
        <v>17.2744</v>
      </c>
      <c r="H731" s="78">
        <f>E731*6.04</f>
        <v>6.2816000000000001</v>
      </c>
      <c r="I731" s="78">
        <f>E731*11.33</f>
        <v>11.783200000000001</v>
      </c>
      <c r="J731" s="79">
        <f t="shared" si="113"/>
        <v>35.339200000000005</v>
      </c>
      <c r="K731" s="80">
        <v>74.92</v>
      </c>
      <c r="L731" s="80">
        <f t="shared" si="111"/>
        <v>2647.6128640000006</v>
      </c>
      <c r="M731" s="94"/>
      <c r="N731" s="77" t="s">
        <v>321</v>
      </c>
    </row>
    <row r="732" spans="1:15" s="54" customFormat="1" ht="24" customHeight="1" x14ac:dyDescent="0.25">
      <c r="A732" s="81"/>
      <c r="B732" s="89" t="s">
        <v>132</v>
      </c>
      <c r="C732" s="77" t="s">
        <v>39</v>
      </c>
      <c r="D732" s="77" t="s">
        <v>54</v>
      </c>
      <c r="E732" s="77">
        <v>1.04</v>
      </c>
      <c r="F732" s="77"/>
      <c r="G732" s="78"/>
      <c r="H732" s="78">
        <f>1.5*E732</f>
        <v>1.56</v>
      </c>
      <c r="I732" s="78"/>
      <c r="J732" s="79">
        <f t="shared" si="113"/>
        <v>1.56</v>
      </c>
      <c r="K732" s="80">
        <v>75.97</v>
      </c>
      <c r="L732" s="80">
        <f t="shared" si="111"/>
        <v>118.5132</v>
      </c>
      <c r="M732" s="94"/>
      <c r="N732" s="77" t="s">
        <v>321</v>
      </c>
    </row>
    <row r="733" spans="1:15" s="54" customFormat="1" ht="24" customHeight="1" x14ac:dyDescent="0.25">
      <c r="A733" s="81"/>
      <c r="B733" s="89" t="s">
        <v>275</v>
      </c>
      <c r="C733" s="77" t="s">
        <v>276</v>
      </c>
      <c r="D733" s="77" t="s">
        <v>45</v>
      </c>
      <c r="E733" s="77">
        <v>1.04</v>
      </c>
      <c r="F733" s="77"/>
      <c r="G733" s="78">
        <f>G697*0.05*E733</f>
        <v>2.0332000000000003</v>
      </c>
      <c r="H733" s="78">
        <v>0</v>
      </c>
      <c r="I733" s="78">
        <v>0</v>
      </c>
      <c r="J733" s="79">
        <f t="shared" ref="J733" si="114">SUM(G733:I733)</f>
        <v>2.0332000000000003</v>
      </c>
      <c r="K733" s="80">
        <v>6405.83</v>
      </c>
      <c r="L733" s="80">
        <f t="shared" si="111"/>
        <v>13024.333556000001</v>
      </c>
      <c r="M733" s="94"/>
      <c r="N733" s="77" t="s">
        <v>321</v>
      </c>
    </row>
    <row r="734" spans="1:15" s="101" customFormat="1" ht="32.25" customHeight="1" x14ac:dyDescent="0.25">
      <c r="A734" s="95"/>
      <c r="B734" s="96" t="s">
        <v>133</v>
      </c>
      <c r="C734" s="97" t="s">
        <v>39</v>
      </c>
      <c r="D734" s="97" t="s">
        <v>99</v>
      </c>
      <c r="E734" s="97"/>
      <c r="F734" s="97"/>
      <c r="G734" s="98"/>
      <c r="H734" s="98"/>
      <c r="I734" s="98"/>
      <c r="J734" s="99">
        <f>L734*100/L686</f>
        <v>3.0630650932461219</v>
      </c>
      <c r="K734" s="79"/>
      <c r="L734" s="79">
        <v>88166.129400000005</v>
      </c>
      <c r="M734" s="100"/>
      <c r="N734" s="97" t="s">
        <v>321</v>
      </c>
    </row>
    <row r="735" spans="1:15" s="54" customFormat="1" x14ac:dyDescent="0.25">
      <c r="A735" s="60" t="s">
        <v>158</v>
      </c>
      <c r="B735" s="61" t="s">
        <v>159</v>
      </c>
      <c r="C735" s="62"/>
      <c r="D735" s="63"/>
      <c r="E735" s="62"/>
      <c r="F735" s="62"/>
      <c r="G735" s="64"/>
      <c r="H735" s="64"/>
      <c r="I735" s="64"/>
      <c r="J735" s="65"/>
      <c r="K735" s="65"/>
      <c r="L735" s="65">
        <f>L736+L748</f>
        <v>1010244.9130955001</v>
      </c>
      <c r="M735" s="86"/>
      <c r="N735" s="86"/>
    </row>
    <row r="736" spans="1:15" s="54" customFormat="1" x14ac:dyDescent="0.25">
      <c r="A736" s="66"/>
      <c r="B736" s="67" t="s">
        <v>34</v>
      </c>
      <c r="C736" s="68"/>
      <c r="D736" s="68"/>
      <c r="E736" s="68"/>
      <c r="F736" s="68"/>
      <c r="G736" s="69"/>
      <c r="H736" s="69"/>
      <c r="I736" s="69"/>
      <c r="J736" s="70"/>
      <c r="K736" s="70"/>
      <c r="L736" s="70">
        <f>SUM(L737:L747)</f>
        <v>770393.70000000007</v>
      </c>
      <c r="M736" s="72"/>
      <c r="N736" s="72"/>
    </row>
    <row r="737" spans="1:14" s="54" customFormat="1" ht="24" customHeight="1" x14ac:dyDescent="0.25">
      <c r="A737" s="66"/>
      <c r="B737" s="71" t="s">
        <v>44</v>
      </c>
      <c r="C737" s="72"/>
      <c r="D737" s="72" t="s">
        <v>45</v>
      </c>
      <c r="E737" s="72"/>
      <c r="F737" s="72"/>
      <c r="G737" s="72"/>
      <c r="H737" s="73">
        <v>23.77</v>
      </c>
      <c r="I737" s="73"/>
      <c r="J737" s="70">
        <f>SUM(G737:I737)</f>
        <v>23.77</v>
      </c>
      <c r="K737" s="74">
        <v>4939</v>
      </c>
      <c r="L737" s="74">
        <f>K737*J737</f>
        <v>117400.03</v>
      </c>
      <c r="M737" s="72"/>
      <c r="N737" s="72"/>
    </row>
    <row r="738" spans="1:14" s="54" customFormat="1" ht="24" customHeight="1" x14ac:dyDescent="0.25">
      <c r="A738" s="66"/>
      <c r="B738" s="71" t="s">
        <v>102</v>
      </c>
      <c r="C738" s="72"/>
      <c r="D738" s="72" t="s">
        <v>45</v>
      </c>
      <c r="E738" s="72"/>
      <c r="F738" s="72"/>
      <c r="G738" s="72"/>
      <c r="H738" s="73">
        <v>1.51</v>
      </c>
      <c r="I738" s="73"/>
      <c r="J738" s="70">
        <f t="shared" ref="J738:J746" si="115">SUM(G738:I738)</f>
        <v>1.51</v>
      </c>
      <c r="K738" s="74">
        <v>5845</v>
      </c>
      <c r="L738" s="74">
        <f t="shared" ref="L738" si="116">K738*J738</f>
        <v>8825.9500000000007</v>
      </c>
      <c r="M738" s="72"/>
      <c r="N738" s="72"/>
    </row>
    <row r="739" spans="1:14" s="54" customFormat="1" ht="24" customHeight="1" x14ac:dyDescent="0.25">
      <c r="A739" s="66"/>
      <c r="B739" s="71" t="s">
        <v>46</v>
      </c>
      <c r="C739" s="72"/>
      <c r="D739" s="72" t="s">
        <v>47</v>
      </c>
      <c r="E739" s="72"/>
      <c r="F739" s="72"/>
      <c r="G739" s="72"/>
      <c r="H739" s="73">
        <v>120.63</v>
      </c>
      <c r="I739" s="73"/>
      <c r="J739" s="70">
        <f t="shared" si="115"/>
        <v>120.63</v>
      </c>
      <c r="K739" s="74">
        <v>1461</v>
      </c>
      <c r="L739" s="74">
        <f>K739*J739</f>
        <v>176240.43</v>
      </c>
      <c r="M739" s="72"/>
      <c r="N739" s="72"/>
    </row>
    <row r="740" spans="1:14" s="54" customFormat="1" ht="24" customHeight="1" x14ac:dyDescent="0.25">
      <c r="A740" s="66"/>
      <c r="B740" s="71" t="s">
        <v>48</v>
      </c>
      <c r="C740" s="72"/>
      <c r="D740" s="72" t="s">
        <v>47</v>
      </c>
      <c r="E740" s="72"/>
      <c r="F740" s="72"/>
      <c r="G740" s="72"/>
      <c r="H740" s="73">
        <v>44.32</v>
      </c>
      <c r="I740" s="73"/>
      <c r="J740" s="70">
        <f t="shared" si="115"/>
        <v>44.32</v>
      </c>
      <c r="K740" s="74">
        <v>1461</v>
      </c>
      <c r="L740" s="74">
        <f>K740*J740</f>
        <v>64751.519999999997</v>
      </c>
      <c r="M740" s="72"/>
      <c r="N740" s="72"/>
    </row>
    <row r="741" spans="1:14" s="54" customFormat="1" ht="24" customHeight="1" x14ac:dyDescent="0.25">
      <c r="A741" s="66"/>
      <c r="B741" s="71" t="s">
        <v>103</v>
      </c>
      <c r="C741" s="72"/>
      <c r="D741" s="72" t="s">
        <v>47</v>
      </c>
      <c r="E741" s="72"/>
      <c r="F741" s="72"/>
      <c r="G741" s="72"/>
      <c r="H741" s="73">
        <v>101.76</v>
      </c>
      <c r="I741" s="73"/>
      <c r="J741" s="70">
        <f t="shared" si="115"/>
        <v>101.76</v>
      </c>
      <c r="K741" s="74">
        <v>1461</v>
      </c>
      <c r="L741" s="74">
        <f>K741*J741</f>
        <v>148671.36000000002</v>
      </c>
      <c r="M741" s="72"/>
      <c r="N741" s="72"/>
    </row>
    <row r="742" spans="1:14" s="54" customFormat="1" ht="24" customHeight="1" x14ac:dyDescent="0.25">
      <c r="A742" s="66"/>
      <c r="B742" s="71" t="s">
        <v>104</v>
      </c>
      <c r="C742" s="72"/>
      <c r="D742" s="72" t="s">
        <v>47</v>
      </c>
      <c r="E742" s="72"/>
      <c r="F742" s="72"/>
      <c r="G742" s="72"/>
      <c r="H742" s="73">
        <v>112.4</v>
      </c>
      <c r="I742" s="73"/>
      <c r="J742" s="70">
        <f t="shared" si="115"/>
        <v>112.4</v>
      </c>
      <c r="K742" s="74">
        <v>1461</v>
      </c>
      <c r="L742" s="74">
        <f>K742*J742</f>
        <v>164216.4</v>
      </c>
      <c r="M742" s="72"/>
      <c r="N742" s="72"/>
    </row>
    <row r="743" spans="1:14" s="54" customFormat="1" ht="24" customHeight="1" x14ac:dyDescent="0.25">
      <c r="A743" s="66"/>
      <c r="B743" s="71" t="s">
        <v>49</v>
      </c>
      <c r="C743" s="72"/>
      <c r="D743" s="72" t="s">
        <v>47</v>
      </c>
      <c r="E743" s="72"/>
      <c r="F743" s="72"/>
      <c r="G743" s="72"/>
      <c r="H743" s="73">
        <v>29.74</v>
      </c>
      <c r="I743" s="73"/>
      <c r="J743" s="70">
        <f t="shared" si="115"/>
        <v>29.74</v>
      </c>
      <c r="K743" s="74">
        <v>1610</v>
      </c>
      <c r="L743" s="74">
        <f t="shared" ref="L743:L746" si="117">K743*J743</f>
        <v>47881.399999999994</v>
      </c>
      <c r="M743" s="72"/>
      <c r="N743" s="72"/>
    </row>
    <row r="744" spans="1:14" s="54" customFormat="1" ht="24" customHeight="1" x14ac:dyDescent="0.25">
      <c r="A744" s="66"/>
      <c r="B744" s="71" t="s">
        <v>50</v>
      </c>
      <c r="C744" s="72"/>
      <c r="D744" s="72" t="s">
        <v>51</v>
      </c>
      <c r="E744" s="72"/>
      <c r="F744" s="72"/>
      <c r="G744" s="73"/>
      <c r="H744" s="73">
        <v>44</v>
      </c>
      <c r="I744" s="73"/>
      <c r="J744" s="70">
        <f t="shared" si="115"/>
        <v>44</v>
      </c>
      <c r="K744" s="74">
        <v>803</v>
      </c>
      <c r="L744" s="74">
        <f t="shared" si="117"/>
        <v>35332</v>
      </c>
      <c r="M744" s="72"/>
      <c r="N744" s="72"/>
    </row>
    <row r="745" spans="1:14" s="54" customFormat="1" ht="24" customHeight="1" x14ac:dyDescent="0.25">
      <c r="A745" s="66"/>
      <c r="B745" s="71" t="s">
        <v>52</v>
      </c>
      <c r="C745" s="72" t="s">
        <v>105</v>
      </c>
      <c r="D745" s="72" t="s">
        <v>54</v>
      </c>
      <c r="E745" s="72"/>
      <c r="F745" s="72"/>
      <c r="G745" s="73"/>
      <c r="H745" s="129">
        <v>54.66</v>
      </c>
      <c r="I745" s="73"/>
      <c r="J745" s="130">
        <f t="shared" si="115"/>
        <v>54.66</v>
      </c>
      <c r="K745" s="74">
        <v>94.5</v>
      </c>
      <c r="L745" s="74">
        <f t="shared" si="117"/>
        <v>5165.37</v>
      </c>
      <c r="M745" s="72"/>
      <c r="N745" s="72"/>
    </row>
    <row r="746" spans="1:14" s="54" customFormat="1" ht="31.5" x14ac:dyDescent="0.25">
      <c r="A746" s="66"/>
      <c r="B746" s="71" t="s">
        <v>55</v>
      </c>
      <c r="C746" s="72"/>
      <c r="D746" s="72" t="s">
        <v>54</v>
      </c>
      <c r="E746" s="72"/>
      <c r="F746" s="72"/>
      <c r="G746" s="73"/>
      <c r="H746" s="73">
        <v>16.18</v>
      </c>
      <c r="I746" s="73"/>
      <c r="J746" s="70">
        <f t="shared" si="115"/>
        <v>16.18</v>
      </c>
      <c r="K746" s="74">
        <v>118</v>
      </c>
      <c r="L746" s="74">
        <f t="shared" si="117"/>
        <v>1909.24</v>
      </c>
      <c r="M746" s="72"/>
      <c r="N746" s="72"/>
    </row>
    <row r="747" spans="1:14" s="54" customFormat="1" x14ac:dyDescent="0.25">
      <c r="A747" s="66"/>
      <c r="B747" s="87" t="s">
        <v>56</v>
      </c>
      <c r="C747" s="88"/>
      <c r="D747" s="88" t="s">
        <v>45</v>
      </c>
      <c r="E747" s="88"/>
      <c r="F747" s="88"/>
      <c r="G747" s="73"/>
      <c r="H747" s="73">
        <f>223.5*0.06*0.03</f>
        <v>0.40229999999999999</v>
      </c>
      <c r="I747" s="73"/>
      <c r="J747" s="70">
        <f>SUM(G747:I747)</f>
        <v>0.40229999999999999</v>
      </c>
      <c r="K747" s="74"/>
      <c r="L747" s="74"/>
      <c r="M747" s="88" t="s">
        <v>57</v>
      </c>
      <c r="N747" s="72"/>
    </row>
    <row r="748" spans="1:14" s="54" customFormat="1" x14ac:dyDescent="0.25">
      <c r="A748" s="75"/>
      <c r="B748" s="76" t="s">
        <v>38</v>
      </c>
      <c r="C748" s="77"/>
      <c r="D748" s="77"/>
      <c r="E748" s="77"/>
      <c r="F748" s="77"/>
      <c r="G748" s="78"/>
      <c r="H748" s="78"/>
      <c r="I748" s="78"/>
      <c r="J748" s="79"/>
      <c r="K748" s="80"/>
      <c r="L748" s="79">
        <f>SUM(L749:L780)</f>
        <v>239851.21309550002</v>
      </c>
      <c r="M748" s="77"/>
      <c r="N748" s="77"/>
    </row>
    <row r="749" spans="1:14" s="54" customFormat="1" ht="31.5" x14ac:dyDescent="0.25">
      <c r="A749" s="81"/>
      <c r="B749" s="82" t="s">
        <v>58</v>
      </c>
      <c r="C749" s="77" t="s">
        <v>59</v>
      </c>
      <c r="D749" s="77" t="s">
        <v>60</v>
      </c>
      <c r="E749" s="78">
        <v>12.4</v>
      </c>
      <c r="F749" s="77">
        <v>0.25</v>
      </c>
      <c r="G749" s="83"/>
      <c r="H749" s="83">
        <f>H737/F749*E749</f>
        <v>1178.992</v>
      </c>
      <c r="I749" s="83"/>
      <c r="J749" s="84">
        <f>SUM(G749:I749)</f>
        <v>1178.992</v>
      </c>
      <c r="K749" s="80">
        <v>0</v>
      </c>
      <c r="L749" s="80">
        <f>J749*K749</f>
        <v>0</v>
      </c>
      <c r="M749" s="77" t="s">
        <v>61</v>
      </c>
      <c r="N749" s="77" t="s">
        <v>320</v>
      </c>
    </row>
    <row r="750" spans="1:14" s="54" customFormat="1" ht="31.5" x14ac:dyDescent="0.25">
      <c r="A750" s="81"/>
      <c r="B750" s="82" t="s">
        <v>62</v>
      </c>
      <c r="C750" s="77" t="s">
        <v>63</v>
      </c>
      <c r="D750" s="77" t="s">
        <v>60</v>
      </c>
      <c r="E750" s="78">
        <v>12.4</v>
      </c>
      <c r="F750" s="77"/>
      <c r="G750" s="83"/>
      <c r="H750" s="83">
        <f>H739*E750</f>
        <v>1495.8119999999999</v>
      </c>
      <c r="I750" s="83"/>
      <c r="J750" s="84">
        <f t="shared" ref="J750:J754" si="118">SUM(G750:I750)</f>
        <v>1495.8119999999999</v>
      </c>
      <c r="K750" s="80">
        <v>0</v>
      </c>
      <c r="L750" s="80">
        <f>J750*K750</f>
        <v>0</v>
      </c>
      <c r="M750" s="77" t="s">
        <v>61</v>
      </c>
      <c r="N750" s="77" t="s">
        <v>320</v>
      </c>
    </row>
    <row r="751" spans="1:14" s="54" customFormat="1" ht="31.5" x14ac:dyDescent="0.25">
      <c r="A751" s="81"/>
      <c r="B751" s="82" t="s">
        <v>64</v>
      </c>
      <c r="C751" s="77" t="s">
        <v>65</v>
      </c>
      <c r="D751" s="77" t="s">
        <v>60</v>
      </c>
      <c r="E751" s="78">
        <v>12.4</v>
      </c>
      <c r="F751" s="77"/>
      <c r="G751" s="83"/>
      <c r="H751" s="83">
        <f>H740*E751</f>
        <v>549.56799999999998</v>
      </c>
      <c r="I751" s="83"/>
      <c r="J751" s="84">
        <f t="shared" si="118"/>
        <v>549.56799999999998</v>
      </c>
      <c r="K751" s="80">
        <v>0</v>
      </c>
      <c r="L751" s="80">
        <f>J751*K751</f>
        <v>0</v>
      </c>
      <c r="M751" s="77" t="s">
        <v>61</v>
      </c>
      <c r="N751" s="77" t="s">
        <v>320</v>
      </c>
    </row>
    <row r="752" spans="1:14" s="54" customFormat="1" ht="31.5" x14ac:dyDescent="0.25">
      <c r="A752" s="81"/>
      <c r="B752" s="82" t="s">
        <v>106</v>
      </c>
      <c r="C752" s="77" t="s">
        <v>107</v>
      </c>
      <c r="D752" s="77" t="s">
        <v>60</v>
      </c>
      <c r="E752" s="78">
        <v>12.4</v>
      </c>
      <c r="F752" s="77"/>
      <c r="G752" s="83"/>
      <c r="H752" s="83">
        <f>H741*E752</f>
        <v>1261.8240000000001</v>
      </c>
      <c r="I752" s="83"/>
      <c r="J752" s="84">
        <f t="shared" si="118"/>
        <v>1261.8240000000001</v>
      </c>
      <c r="K752" s="80">
        <v>0</v>
      </c>
      <c r="L752" s="80">
        <f>J752*K752</f>
        <v>0</v>
      </c>
      <c r="M752" s="77" t="s">
        <v>61</v>
      </c>
      <c r="N752" s="77" t="s">
        <v>320</v>
      </c>
    </row>
    <row r="753" spans="1:14" s="54" customFormat="1" ht="31.5" x14ac:dyDescent="0.25">
      <c r="A753" s="81"/>
      <c r="B753" s="82" t="s">
        <v>108</v>
      </c>
      <c r="C753" s="77" t="s">
        <v>109</v>
      </c>
      <c r="D753" s="77" t="s">
        <v>60</v>
      </c>
      <c r="E753" s="78">
        <v>12.4</v>
      </c>
      <c r="F753" s="77"/>
      <c r="G753" s="83"/>
      <c r="H753" s="83">
        <f>H742*E753</f>
        <v>1393.7600000000002</v>
      </c>
      <c r="I753" s="83"/>
      <c r="J753" s="84">
        <f t="shared" si="118"/>
        <v>1393.7600000000002</v>
      </c>
      <c r="K753" s="80">
        <v>0</v>
      </c>
      <c r="L753" s="80">
        <f>J753*K753</f>
        <v>0</v>
      </c>
      <c r="M753" s="77" t="s">
        <v>61</v>
      </c>
      <c r="N753" s="77" t="s">
        <v>320</v>
      </c>
    </row>
    <row r="754" spans="1:14" s="54" customFormat="1" ht="31.5" x14ac:dyDescent="0.25">
      <c r="A754" s="81"/>
      <c r="B754" s="89" t="s">
        <v>66</v>
      </c>
      <c r="C754" s="77" t="s">
        <v>67</v>
      </c>
      <c r="D754" s="77" t="s">
        <v>60</v>
      </c>
      <c r="E754" s="90">
        <v>42</v>
      </c>
      <c r="F754" s="90"/>
      <c r="G754" s="83"/>
      <c r="H754" s="83">
        <f>H743*E754</f>
        <v>1249.08</v>
      </c>
      <c r="I754" s="83"/>
      <c r="J754" s="84">
        <f t="shared" si="118"/>
        <v>1249.08</v>
      </c>
      <c r="K754" s="80">
        <v>0</v>
      </c>
      <c r="L754" s="80">
        <f t="shared" ref="L754:L779" si="119">J754*K754</f>
        <v>0</v>
      </c>
      <c r="M754" s="77" t="s">
        <v>68</v>
      </c>
      <c r="N754" s="77" t="s">
        <v>320</v>
      </c>
    </row>
    <row r="755" spans="1:14" s="54" customFormat="1" ht="31.5" x14ac:dyDescent="0.25">
      <c r="A755" s="81"/>
      <c r="B755" s="89" t="s">
        <v>110</v>
      </c>
      <c r="C755" s="77" t="s">
        <v>111</v>
      </c>
      <c r="D755" s="77" t="s">
        <v>60</v>
      </c>
      <c r="E755" s="90">
        <v>42</v>
      </c>
      <c r="F755" s="90"/>
      <c r="G755" s="83"/>
      <c r="H755" s="83">
        <f>H738/0.25*E755</f>
        <v>253.68</v>
      </c>
      <c r="I755" s="83"/>
      <c r="J755" s="84">
        <f t="shared" ref="J755" si="120">SUM(G755:I755)</f>
        <v>253.68</v>
      </c>
      <c r="K755" s="80">
        <v>0</v>
      </c>
      <c r="L755" s="80">
        <f t="shared" si="119"/>
        <v>0</v>
      </c>
      <c r="M755" s="77" t="s">
        <v>68</v>
      </c>
      <c r="N755" s="77" t="s">
        <v>320</v>
      </c>
    </row>
    <row r="756" spans="1:14" s="54" customFormat="1" ht="30.75" customHeight="1" x14ac:dyDescent="0.25">
      <c r="A756" s="81"/>
      <c r="B756" s="91" t="s">
        <v>69</v>
      </c>
      <c r="C756" s="77" t="s">
        <v>70</v>
      </c>
      <c r="D756" s="77" t="s">
        <v>45</v>
      </c>
      <c r="E756" s="77">
        <v>0.19500000000000001</v>
      </c>
      <c r="F756" s="90"/>
      <c r="G756" s="78"/>
      <c r="H756" s="78">
        <f>(H737+H739*0.19+H740*0.19+H741*0.09+H742*0.09)*E756</f>
        <v>14.505055500000001</v>
      </c>
      <c r="I756" s="78"/>
      <c r="J756" s="79">
        <f>SUM(G756:I756)</f>
        <v>14.505055500000001</v>
      </c>
      <c r="K756" s="80">
        <v>7875</v>
      </c>
      <c r="L756" s="80">
        <f t="shared" si="119"/>
        <v>114227.3120625</v>
      </c>
      <c r="M756" s="77" t="s">
        <v>71</v>
      </c>
      <c r="N756" s="77" t="s">
        <v>321</v>
      </c>
    </row>
    <row r="757" spans="1:14" s="54" customFormat="1" ht="30.75" customHeight="1" x14ac:dyDescent="0.25">
      <c r="A757" s="92"/>
      <c r="B757" s="91" t="s">
        <v>112</v>
      </c>
      <c r="C757" s="77" t="s">
        <v>70</v>
      </c>
      <c r="D757" s="77" t="s">
        <v>45</v>
      </c>
      <c r="E757" s="77">
        <v>0.24</v>
      </c>
      <c r="F757" s="77"/>
      <c r="G757" s="78"/>
      <c r="H757" s="78">
        <f>H738*E757</f>
        <v>0.3624</v>
      </c>
      <c r="I757" s="78"/>
      <c r="J757" s="79">
        <f t="shared" ref="J757:J779" si="121">SUM(G757:I757)</f>
        <v>0.3624</v>
      </c>
      <c r="K757" s="80">
        <v>7875</v>
      </c>
      <c r="L757" s="80">
        <f t="shared" si="119"/>
        <v>2853.9</v>
      </c>
      <c r="M757" s="77" t="s">
        <v>71</v>
      </c>
      <c r="N757" s="77" t="s">
        <v>321</v>
      </c>
    </row>
    <row r="758" spans="1:14" s="54" customFormat="1" ht="30.75" customHeight="1" x14ac:dyDescent="0.25">
      <c r="A758" s="92"/>
      <c r="B758" s="91" t="s">
        <v>72</v>
      </c>
      <c r="C758" s="77" t="s">
        <v>70</v>
      </c>
      <c r="D758" s="77" t="s">
        <v>45</v>
      </c>
      <c r="E758" s="77">
        <v>4.5999999999999999E-2</v>
      </c>
      <c r="F758" s="77"/>
      <c r="G758" s="78"/>
      <c r="H758" s="78">
        <f>H743*E758</f>
        <v>1.3680399999999999</v>
      </c>
      <c r="I758" s="78"/>
      <c r="J758" s="79">
        <f t="shared" si="121"/>
        <v>1.3680399999999999</v>
      </c>
      <c r="K758" s="80">
        <v>7875</v>
      </c>
      <c r="L758" s="80">
        <f t="shared" si="119"/>
        <v>10773.314999999999</v>
      </c>
      <c r="M758" s="77" t="s">
        <v>73</v>
      </c>
      <c r="N758" s="77" t="s">
        <v>321</v>
      </c>
    </row>
    <row r="759" spans="1:14" s="54" customFormat="1" ht="30.75" customHeight="1" x14ac:dyDescent="0.25">
      <c r="A759" s="92"/>
      <c r="B759" s="91" t="s">
        <v>74</v>
      </c>
      <c r="C759" s="77" t="s">
        <v>70</v>
      </c>
      <c r="D759" s="77" t="s">
        <v>45</v>
      </c>
      <c r="E759" s="77">
        <v>1.01</v>
      </c>
      <c r="F759" s="77"/>
      <c r="G759" s="78"/>
      <c r="H759" s="78">
        <f>H747*E759</f>
        <v>0.40632299999999999</v>
      </c>
      <c r="I759" s="78"/>
      <c r="J759" s="79">
        <f t="shared" si="121"/>
        <v>0.40632299999999999</v>
      </c>
      <c r="K759" s="80">
        <v>7875</v>
      </c>
      <c r="L759" s="80">
        <f t="shared" si="119"/>
        <v>3199.7936249999998</v>
      </c>
      <c r="M759" s="77" t="s">
        <v>71</v>
      </c>
      <c r="N759" s="77" t="s">
        <v>321</v>
      </c>
    </row>
    <row r="760" spans="1:14" s="54" customFormat="1" ht="30.75" customHeight="1" x14ac:dyDescent="0.25">
      <c r="A760" s="81"/>
      <c r="B760" s="89" t="s">
        <v>75</v>
      </c>
      <c r="C760" s="77" t="s">
        <v>70</v>
      </c>
      <c r="D760" s="77" t="s">
        <v>45</v>
      </c>
      <c r="E760" s="77">
        <v>6.0000000000000001E-3</v>
      </c>
      <c r="F760" s="77"/>
      <c r="G760" s="78"/>
      <c r="H760" s="78">
        <f>H744*E760</f>
        <v>0.26400000000000001</v>
      </c>
      <c r="I760" s="78"/>
      <c r="J760" s="79">
        <f t="shared" si="121"/>
        <v>0.26400000000000001</v>
      </c>
      <c r="K760" s="80">
        <v>7875</v>
      </c>
      <c r="L760" s="80">
        <f t="shared" si="119"/>
        <v>2079</v>
      </c>
      <c r="M760" s="77" t="s">
        <v>76</v>
      </c>
      <c r="N760" s="77" t="s">
        <v>321</v>
      </c>
    </row>
    <row r="761" spans="1:14" s="54" customFormat="1" ht="30.75" customHeight="1" x14ac:dyDescent="0.25">
      <c r="A761" s="81"/>
      <c r="B761" s="89" t="s">
        <v>77</v>
      </c>
      <c r="C761" s="77" t="s">
        <v>70</v>
      </c>
      <c r="D761" s="77" t="s">
        <v>45</v>
      </c>
      <c r="E761" s="77">
        <v>1.01</v>
      </c>
      <c r="F761" s="77"/>
      <c r="G761" s="93"/>
      <c r="H761" s="93">
        <v>2.1000000000000001E-2</v>
      </c>
      <c r="I761" s="93"/>
      <c r="J761" s="79">
        <f t="shared" si="121"/>
        <v>2.1000000000000001E-2</v>
      </c>
      <c r="K761" s="80">
        <v>7875</v>
      </c>
      <c r="L761" s="80">
        <f t="shared" si="119"/>
        <v>165.375</v>
      </c>
      <c r="M761" s="94"/>
      <c r="N761" s="77" t="s">
        <v>321</v>
      </c>
    </row>
    <row r="762" spans="1:14" s="54" customFormat="1" ht="25.5" customHeight="1" x14ac:dyDescent="0.25">
      <c r="A762" s="81"/>
      <c r="B762" s="89" t="s">
        <v>78</v>
      </c>
      <c r="C762" s="77" t="s">
        <v>79</v>
      </c>
      <c r="D762" s="77" t="s">
        <v>47</v>
      </c>
      <c r="E762" s="77"/>
      <c r="F762" s="77"/>
      <c r="G762" s="78"/>
      <c r="H762" s="78">
        <v>138.57</v>
      </c>
      <c r="I762" s="78"/>
      <c r="J762" s="79">
        <f t="shared" si="121"/>
        <v>138.57</v>
      </c>
      <c r="K762" s="80">
        <v>88.34</v>
      </c>
      <c r="L762" s="80">
        <f t="shared" si="119"/>
        <v>12241.273799999999</v>
      </c>
      <c r="M762" s="94"/>
      <c r="N762" s="77" t="s">
        <v>321</v>
      </c>
    </row>
    <row r="763" spans="1:14" s="54" customFormat="1" ht="25.5" customHeight="1" x14ac:dyDescent="0.25">
      <c r="A763" s="81"/>
      <c r="B763" s="89" t="s">
        <v>277</v>
      </c>
      <c r="C763" s="77" t="s">
        <v>114</v>
      </c>
      <c r="D763" s="77" t="s">
        <v>60</v>
      </c>
      <c r="E763" s="77"/>
      <c r="F763" s="77"/>
      <c r="G763" s="78"/>
      <c r="H763" s="78">
        <v>8</v>
      </c>
      <c r="I763" s="78"/>
      <c r="J763" s="79">
        <f t="shared" si="121"/>
        <v>8</v>
      </c>
      <c r="K763" s="80">
        <v>398.6</v>
      </c>
      <c r="L763" s="80">
        <f t="shared" si="119"/>
        <v>3188.8</v>
      </c>
      <c r="M763" s="94"/>
      <c r="N763" s="77" t="s">
        <v>321</v>
      </c>
    </row>
    <row r="764" spans="1:14" s="54" customFormat="1" ht="25.5" customHeight="1" x14ac:dyDescent="0.25">
      <c r="A764" s="81"/>
      <c r="B764" s="89" t="s">
        <v>278</v>
      </c>
      <c r="C764" s="77" t="s">
        <v>116</v>
      </c>
      <c r="D764" s="77" t="s">
        <v>60</v>
      </c>
      <c r="E764" s="77"/>
      <c r="F764" s="77"/>
      <c r="G764" s="78"/>
      <c r="H764" s="78">
        <v>9</v>
      </c>
      <c r="I764" s="78"/>
      <c r="J764" s="79">
        <f t="shared" si="121"/>
        <v>9</v>
      </c>
      <c r="K764" s="80">
        <v>465.03</v>
      </c>
      <c r="L764" s="80">
        <f t="shared" si="119"/>
        <v>4185.2699999999995</v>
      </c>
      <c r="M764" s="94"/>
      <c r="N764" s="77" t="s">
        <v>321</v>
      </c>
    </row>
    <row r="765" spans="1:14" s="54" customFormat="1" ht="25.5" customHeight="1" x14ac:dyDescent="0.25">
      <c r="A765" s="81"/>
      <c r="B765" s="89" t="s">
        <v>283</v>
      </c>
      <c r="C765" s="77" t="s">
        <v>284</v>
      </c>
      <c r="D765" s="77" t="s">
        <v>60</v>
      </c>
      <c r="E765" s="77"/>
      <c r="F765" s="77"/>
      <c r="G765" s="78"/>
      <c r="H765" s="78">
        <v>1</v>
      </c>
      <c r="I765" s="78"/>
      <c r="J765" s="79">
        <f t="shared" si="121"/>
        <v>1</v>
      </c>
      <c r="K765" s="80">
        <v>620.04999999999995</v>
      </c>
      <c r="L765" s="80">
        <f t="shared" si="119"/>
        <v>620.04999999999995</v>
      </c>
      <c r="M765" s="94"/>
      <c r="N765" s="77" t="s">
        <v>321</v>
      </c>
    </row>
    <row r="766" spans="1:14" s="54" customFormat="1" ht="25.5" customHeight="1" x14ac:dyDescent="0.25">
      <c r="A766" s="81"/>
      <c r="B766" s="89" t="s">
        <v>287</v>
      </c>
      <c r="C766" s="77" t="s">
        <v>288</v>
      </c>
      <c r="D766" s="77" t="s">
        <v>60</v>
      </c>
      <c r="E766" s="77"/>
      <c r="F766" s="77"/>
      <c r="G766" s="78"/>
      <c r="H766" s="78">
        <v>1</v>
      </c>
      <c r="I766" s="78"/>
      <c r="J766" s="79">
        <f t="shared" si="121"/>
        <v>1</v>
      </c>
      <c r="K766" s="80">
        <v>797.2</v>
      </c>
      <c r="L766" s="80">
        <f t="shared" si="119"/>
        <v>797.2</v>
      </c>
      <c r="M766" s="94"/>
      <c r="N766" s="77" t="s">
        <v>321</v>
      </c>
    </row>
    <row r="767" spans="1:14" s="54" customFormat="1" ht="25.5" customHeight="1" x14ac:dyDescent="0.25">
      <c r="A767" s="81"/>
      <c r="B767" s="89" t="s">
        <v>297</v>
      </c>
      <c r="C767" s="77" t="s">
        <v>118</v>
      </c>
      <c r="D767" s="77" t="s">
        <v>60</v>
      </c>
      <c r="E767" s="77"/>
      <c r="F767" s="77"/>
      <c r="G767" s="78"/>
      <c r="H767" s="78">
        <v>1</v>
      </c>
      <c r="I767" s="78"/>
      <c r="J767" s="79">
        <f t="shared" si="121"/>
        <v>1</v>
      </c>
      <c r="K767" s="80">
        <v>841.49</v>
      </c>
      <c r="L767" s="80">
        <f t="shared" si="119"/>
        <v>841.49</v>
      </c>
      <c r="M767" s="94"/>
      <c r="N767" s="77" t="s">
        <v>321</v>
      </c>
    </row>
    <row r="768" spans="1:14" s="54" customFormat="1" ht="25.5" customHeight="1" x14ac:dyDescent="0.25">
      <c r="A768" s="81"/>
      <c r="B768" s="89" t="s">
        <v>298</v>
      </c>
      <c r="C768" s="77" t="s">
        <v>120</v>
      </c>
      <c r="D768" s="77" t="s">
        <v>60</v>
      </c>
      <c r="E768" s="77"/>
      <c r="F768" s="77"/>
      <c r="G768" s="78"/>
      <c r="H768" s="78">
        <v>5</v>
      </c>
      <c r="I768" s="78"/>
      <c r="J768" s="79">
        <f t="shared" si="121"/>
        <v>5</v>
      </c>
      <c r="K768" s="80">
        <v>981.74</v>
      </c>
      <c r="L768" s="80">
        <f t="shared" si="119"/>
        <v>4908.7</v>
      </c>
      <c r="M768" s="94"/>
      <c r="N768" s="77" t="s">
        <v>321</v>
      </c>
    </row>
    <row r="769" spans="1:15" s="54" customFormat="1" ht="25.5" customHeight="1" x14ac:dyDescent="0.25">
      <c r="A769" s="81"/>
      <c r="B769" s="89" t="s">
        <v>301</v>
      </c>
      <c r="C769" s="77" t="s">
        <v>122</v>
      </c>
      <c r="D769" s="77" t="s">
        <v>60</v>
      </c>
      <c r="E769" s="77"/>
      <c r="F769" s="77"/>
      <c r="G769" s="78"/>
      <c r="H769" s="78">
        <v>1</v>
      </c>
      <c r="I769" s="78"/>
      <c r="J769" s="79">
        <f t="shared" si="121"/>
        <v>1</v>
      </c>
      <c r="K769" s="80">
        <v>1291.76</v>
      </c>
      <c r="L769" s="80">
        <f t="shared" si="119"/>
        <v>1291.76</v>
      </c>
      <c r="M769" s="94"/>
      <c r="N769" s="77" t="s">
        <v>321</v>
      </c>
    </row>
    <row r="770" spans="1:15" s="54" customFormat="1" ht="25.5" customHeight="1" x14ac:dyDescent="0.25">
      <c r="A770" s="81"/>
      <c r="B770" s="89" t="s">
        <v>306</v>
      </c>
      <c r="C770" s="77" t="s">
        <v>307</v>
      </c>
      <c r="D770" s="77" t="s">
        <v>60</v>
      </c>
      <c r="E770" s="77"/>
      <c r="F770" s="77"/>
      <c r="G770" s="78"/>
      <c r="H770" s="78">
        <v>1</v>
      </c>
      <c r="I770" s="78"/>
      <c r="J770" s="79">
        <f t="shared" si="121"/>
        <v>1</v>
      </c>
      <c r="K770" s="80">
        <v>1660.84</v>
      </c>
      <c r="L770" s="80">
        <f t="shared" si="119"/>
        <v>1660.84</v>
      </c>
      <c r="M770" s="94"/>
      <c r="N770" s="77" t="s">
        <v>321</v>
      </c>
    </row>
    <row r="771" spans="1:15" s="54" customFormat="1" ht="25.5" customHeight="1" x14ac:dyDescent="0.25">
      <c r="A771" s="81"/>
      <c r="B771" s="89" t="s">
        <v>303</v>
      </c>
      <c r="C771" s="77" t="s">
        <v>126</v>
      </c>
      <c r="D771" s="77" t="s">
        <v>60</v>
      </c>
      <c r="E771" s="77"/>
      <c r="F771" s="77"/>
      <c r="G771" s="78"/>
      <c r="H771" s="78">
        <v>10</v>
      </c>
      <c r="I771" s="78"/>
      <c r="J771" s="79">
        <f t="shared" si="121"/>
        <v>10</v>
      </c>
      <c r="K771" s="80">
        <v>2029.91</v>
      </c>
      <c r="L771" s="80">
        <f t="shared" si="119"/>
        <v>20299.100000000002</v>
      </c>
      <c r="M771" s="94"/>
      <c r="N771" s="77" t="s">
        <v>321</v>
      </c>
    </row>
    <row r="772" spans="1:15" s="54" customFormat="1" ht="25.5" customHeight="1" x14ac:dyDescent="0.25">
      <c r="A772" s="81"/>
      <c r="B772" s="89" t="s">
        <v>304</v>
      </c>
      <c r="C772" s="77" t="s">
        <v>128</v>
      </c>
      <c r="D772" s="77" t="s">
        <v>60</v>
      </c>
      <c r="E772" s="77"/>
      <c r="F772" s="77"/>
      <c r="G772" s="78"/>
      <c r="H772" s="78">
        <v>2</v>
      </c>
      <c r="I772" s="78"/>
      <c r="J772" s="79">
        <f t="shared" si="121"/>
        <v>2</v>
      </c>
      <c r="K772" s="80">
        <v>2398.9899999999998</v>
      </c>
      <c r="L772" s="80">
        <f t="shared" si="119"/>
        <v>4797.9799999999996</v>
      </c>
      <c r="M772" s="94"/>
      <c r="N772" s="77" t="s">
        <v>321</v>
      </c>
    </row>
    <row r="773" spans="1:15" s="54" customFormat="1" ht="25.5" customHeight="1" x14ac:dyDescent="0.25">
      <c r="A773" s="81"/>
      <c r="B773" s="89" t="s">
        <v>305</v>
      </c>
      <c r="C773" s="77" t="s">
        <v>130</v>
      </c>
      <c r="D773" s="77" t="s">
        <v>60</v>
      </c>
      <c r="E773" s="77"/>
      <c r="F773" s="77"/>
      <c r="G773" s="78"/>
      <c r="H773" s="78">
        <v>5</v>
      </c>
      <c r="I773" s="78"/>
      <c r="J773" s="79">
        <f t="shared" si="121"/>
        <v>5</v>
      </c>
      <c r="K773" s="80">
        <v>2583.5300000000002</v>
      </c>
      <c r="L773" s="80">
        <f t="shared" si="119"/>
        <v>12917.650000000001</v>
      </c>
      <c r="M773" s="94"/>
      <c r="N773" s="77" t="s">
        <v>321</v>
      </c>
    </row>
    <row r="774" spans="1:15" s="54" customFormat="1" ht="25.5" customHeight="1" x14ac:dyDescent="0.25">
      <c r="A774" s="81"/>
      <c r="B774" s="89" t="s">
        <v>92</v>
      </c>
      <c r="C774" s="77" t="s">
        <v>93</v>
      </c>
      <c r="D774" s="77" t="s">
        <v>54</v>
      </c>
      <c r="E774" s="77">
        <v>1.04</v>
      </c>
      <c r="F774" s="77"/>
      <c r="G774" s="78"/>
      <c r="H774" s="78">
        <f>120.83*E774</f>
        <v>125.6632</v>
      </c>
      <c r="I774" s="78"/>
      <c r="J774" s="79">
        <f t="shared" si="121"/>
        <v>125.6632</v>
      </c>
      <c r="K774" s="80">
        <v>66.349999999999994</v>
      </c>
      <c r="L774" s="80">
        <f t="shared" si="119"/>
        <v>8337.7533199999998</v>
      </c>
      <c r="M774" s="94"/>
      <c r="N774" s="77" t="s">
        <v>321</v>
      </c>
    </row>
    <row r="775" spans="1:15" s="54" customFormat="1" ht="25.5" customHeight="1" x14ac:dyDescent="0.25">
      <c r="A775" s="81"/>
      <c r="B775" s="89" t="s">
        <v>94</v>
      </c>
      <c r="C775" s="77" t="s">
        <v>95</v>
      </c>
      <c r="D775" s="77" t="s">
        <v>54</v>
      </c>
      <c r="E775" s="77">
        <v>1.04</v>
      </c>
      <c r="F775" s="77"/>
      <c r="G775" s="78"/>
      <c r="H775" s="78">
        <f>H746*E775</f>
        <v>16.827200000000001</v>
      </c>
      <c r="I775" s="78"/>
      <c r="J775" s="79">
        <f t="shared" si="121"/>
        <v>16.827200000000001</v>
      </c>
      <c r="K775" s="80">
        <v>64</v>
      </c>
      <c r="L775" s="80">
        <f t="shared" si="119"/>
        <v>1076.9408000000001</v>
      </c>
      <c r="M775" s="94"/>
      <c r="N775" s="77" t="s">
        <v>321</v>
      </c>
    </row>
    <row r="776" spans="1:15" s="54" customFormat="1" ht="25.5" customHeight="1" x14ac:dyDescent="0.25">
      <c r="A776" s="81"/>
      <c r="B776" s="89" t="s">
        <v>131</v>
      </c>
      <c r="C776" s="77" t="s">
        <v>39</v>
      </c>
      <c r="D776" s="77" t="s">
        <v>54</v>
      </c>
      <c r="E776" s="77">
        <v>1.04</v>
      </c>
      <c r="F776" s="77"/>
      <c r="G776" s="78"/>
      <c r="H776" s="78">
        <f>2.22*E776</f>
        <v>2.3088000000000002</v>
      </c>
      <c r="I776" s="78"/>
      <c r="J776" s="79">
        <f t="shared" si="121"/>
        <v>2.3088000000000002</v>
      </c>
      <c r="K776" s="80">
        <v>64.209999999999994</v>
      </c>
      <c r="L776" s="80">
        <f t="shared" si="119"/>
        <v>148.24804800000001</v>
      </c>
      <c r="M776" s="94"/>
      <c r="N776" s="77" t="s">
        <v>321</v>
      </c>
      <c r="O776" s="2"/>
    </row>
    <row r="777" spans="1:15" s="54" customFormat="1" ht="25.5" customHeight="1" x14ac:dyDescent="0.25">
      <c r="A777" s="81"/>
      <c r="B777" s="89" t="s">
        <v>96</v>
      </c>
      <c r="C777" s="77" t="s">
        <v>39</v>
      </c>
      <c r="D777" s="77" t="s">
        <v>54</v>
      </c>
      <c r="E777" s="77">
        <v>1.04</v>
      </c>
      <c r="F777" s="77"/>
      <c r="G777" s="78"/>
      <c r="H777" s="78">
        <f>E777*45.64</f>
        <v>47.465600000000002</v>
      </c>
      <c r="I777" s="78"/>
      <c r="J777" s="79">
        <f t="shared" si="121"/>
        <v>47.465600000000002</v>
      </c>
      <c r="K777" s="80">
        <v>72.78</v>
      </c>
      <c r="L777" s="80">
        <f t="shared" si="119"/>
        <v>3454.5463680000003</v>
      </c>
      <c r="M777" s="94"/>
      <c r="N777" s="77" t="s">
        <v>321</v>
      </c>
      <c r="O777" s="2"/>
    </row>
    <row r="778" spans="1:15" s="54" customFormat="1" ht="25.5" customHeight="1" x14ac:dyDescent="0.25">
      <c r="A778" s="81"/>
      <c r="B778" s="89" t="s">
        <v>97</v>
      </c>
      <c r="C778" s="77" t="s">
        <v>39</v>
      </c>
      <c r="D778" s="77" t="s">
        <v>54</v>
      </c>
      <c r="E778" s="77">
        <v>1.04</v>
      </c>
      <c r="F778" s="77"/>
      <c r="G778" s="78"/>
      <c r="H778" s="78">
        <f>E778*6.04</f>
        <v>6.2816000000000001</v>
      </c>
      <c r="I778" s="78"/>
      <c r="J778" s="79">
        <f t="shared" si="121"/>
        <v>6.2816000000000001</v>
      </c>
      <c r="K778" s="80">
        <v>74.92</v>
      </c>
      <c r="L778" s="80">
        <f t="shared" si="119"/>
        <v>470.61747200000002</v>
      </c>
      <c r="M778" s="94"/>
      <c r="N778" s="77" t="s">
        <v>321</v>
      </c>
    </row>
    <row r="779" spans="1:15" s="54" customFormat="1" ht="25.5" customHeight="1" x14ac:dyDescent="0.25">
      <c r="A779" s="81"/>
      <c r="B779" s="89" t="s">
        <v>132</v>
      </c>
      <c r="C779" s="77" t="s">
        <v>39</v>
      </c>
      <c r="D779" s="77" t="s">
        <v>54</v>
      </c>
      <c r="E779" s="77">
        <v>1.04</v>
      </c>
      <c r="F779" s="77"/>
      <c r="G779" s="78"/>
      <c r="H779" s="78">
        <f>0.75*E779</f>
        <v>0.78</v>
      </c>
      <c r="I779" s="78"/>
      <c r="J779" s="79">
        <f t="shared" si="121"/>
        <v>0.78</v>
      </c>
      <c r="K779" s="80">
        <v>75.97</v>
      </c>
      <c r="L779" s="80">
        <f t="shared" si="119"/>
        <v>59.256599999999999</v>
      </c>
      <c r="M779" s="94"/>
      <c r="N779" s="77" t="s">
        <v>321</v>
      </c>
    </row>
    <row r="780" spans="1:15" s="101" customFormat="1" ht="32.25" customHeight="1" x14ac:dyDescent="0.25">
      <c r="A780" s="95"/>
      <c r="B780" s="96" t="s">
        <v>133</v>
      </c>
      <c r="C780" s="97" t="s">
        <v>39</v>
      </c>
      <c r="D780" s="97" t="s">
        <v>99</v>
      </c>
      <c r="E780" s="97"/>
      <c r="F780" s="97"/>
      <c r="G780" s="98"/>
      <c r="H780" s="98"/>
      <c r="I780" s="98"/>
      <c r="J780" s="99">
        <f>L780*100/L736</f>
        <v>3.2781993154928446</v>
      </c>
      <c r="K780" s="79"/>
      <c r="L780" s="79">
        <v>25255.041000000001</v>
      </c>
      <c r="M780" s="100"/>
      <c r="N780" s="97" t="s">
        <v>321</v>
      </c>
    </row>
    <row r="781" spans="1:15" s="54" customFormat="1" x14ac:dyDescent="0.25">
      <c r="A781" s="60" t="s">
        <v>160</v>
      </c>
      <c r="B781" s="61" t="s">
        <v>161</v>
      </c>
      <c r="C781" s="62"/>
      <c r="D781" s="63"/>
      <c r="E781" s="62"/>
      <c r="F781" s="62"/>
      <c r="G781" s="64"/>
      <c r="H781" s="64"/>
      <c r="I781" s="64"/>
      <c r="J781" s="65"/>
      <c r="K781" s="65"/>
      <c r="L781" s="65">
        <f>L782+L794</f>
        <v>1130166.628643</v>
      </c>
      <c r="M781" s="86"/>
      <c r="N781" s="86"/>
    </row>
    <row r="782" spans="1:15" s="54" customFormat="1" x14ac:dyDescent="0.25">
      <c r="A782" s="66"/>
      <c r="B782" s="67" t="s">
        <v>34</v>
      </c>
      <c r="C782" s="68"/>
      <c r="D782" s="68"/>
      <c r="E782" s="68"/>
      <c r="F782" s="68"/>
      <c r="G782" s="69"/>
      <c r="H782" s="69"/>
      <c r="I782" s="69"/>
      <c r="J782" s="70"/>
      <c r="K782" s="70"/>
      <c r="L782" s="70">
        <f>SUM(L783:L793)</f>
        <v>864588.79</v>
      </c>
      <c r="M782" s="72"/>
      <c r="N782" s="72"/>
    </row>
    <row r="783" spans="1:15" s="54" customFormat="1" ht="21.75" customHeight="1" x14ac:dyDescent="0.25">
      <c r="A783" s="66"/>
      <c r="B783" s="71" t="s">
        <v>44</v>
      </c>
      <c r="C783" s="72"/>
      <c r="D783" s="72" t="s">
        <v>45</v>
      </c>
      <c r="E783" s="72"/>
      <c r="F783" s="72"/>
      <c r="G783" s="72"/>
      <c r="H783" s="73">
        <v>28.49</v>
      </c>
      <c r="I783" s="73"/>
      <c r="J783" s="70">
        <f>SUM(G783:I783)</f>
        <v>28.49</v>
      </c>
      <c r="K783" s="74">
        <v>4939</v>
      </c>
      <c r="L783" s="74">
        <f>K783*J783</f>
        <v>140712.10999999999</v>
      </c>
      <c r="M783" s="72"/>
      <c r="N783" s="72"/>
    </row>
    <row r="784" spans="1:15" s="54" customFormat="1" ht="21.75" customHeight="1" x14ac:dyDescent="0.25">
      <c r="A784" s="66"/>
      <c r="B784" s="71" t="s">
        <v>102</v>
      </c>
      <c r="C784" s="72"/>
      <c r="D784" s="72" t="s">
        <v>45</v>
      </c>
      <c r="E784" s="72"/>
      <c r="F784" s="72"/>
      <c r="G784" s="72"/>
      <c r="H784" s="73">
        <v>1.51</v>
      </c>
      <c r="I784" s="73"/>
      <c r="J784" s="70">
        <f t="shared" ref="J784:J792" si="122">SUM(G784:I784)</f>
        <v>1.51</v>
      </c>
      <c r="K784" s="74">
        <v>5845</v>
      </c>
      <c r="L784" s="74">
        <f t="shared" ref="L784" si="123">K784*J784</f>
        <v>8825.9500000000007</v>
      </c>
      <c r="M784" s="72"/>
      <c r="N784" s="72"/>
    </row>
    <row r="785" spans="1:14" s="54" customFormat="1" ht="21.75" customHeight="1" x14ac:dyDescent="0.25">
      <c r="A785" s="66"/>
      <c r="B785" s="71" t="s">
        <v>46</v>
      </c>
      <c r="C785" s="72"/>
      <c r="D785" s="72" t="s">
        <v>47</v>
      </c>
      <c r="E785" s="72"/>
      <c r="F785" s="72"/>
      <c r="G785" s="72"/>
      <c r="H785" s="73">
        <v>134.94999999999999</v>
      </c>
      <c r="I785" s="73"/>
      <c r="J785" s="70">
        <f t="shared" si="122"/>
        <v>134.94999999999999</v>
      </c>
      <c r="K785" s="74">
        <v>1461</v>
      </c>
      <c r="L785" s="74">
        <f>K785*J785</f>
        <v>197161.94999999998</v>
      </c>
      <c r="M785" s="72"/>
      <c r="N785" s="72"/>
    </row>
    <row r="786" spans="1:14" s="54" customFormat="1" ht="21.75" customHeight="1" x14ac:dyDescent="0.25">
      <c r="A786" s="66"/>
      <c r="B786" s="71" t="s">
        <v>48</v>
      </c>
      <c r="C786" s="72"/>
      <c r="D786" s="72" t="s">
        <v>47</v>
      </c>
      <c r="E786" s="72"/>
      <c r="F786" s="72"/>
      <c r="G786" s="72"/>
      <c r="H786" s="73">
        <v>49</v>
      </c>
      <c r="I786" s="73"/>
      <c r="J786" s="70">
        <f t="shared" si="122"/>
        <v>49</v>
      </c>
      <c r="K786" s="74">
        <v>1461</v>
      </c>
      <c r="L786" s="74">
        <f>K786*J786</f>
        <v>71589</v>
      </c>
      <c r="M786" s="72"/>
      <c r="N786" s="72"/>
    </row>
    <row r="787" spans="1:14" s="54" customFormat="1" ht="21.75" customHeight="1" x14ac:dyDescent="0.25">
      <c r="A787" s="66"/>
      <c r="B787" s="71" t="s">
        <v>103</v>
      </c>
      <c r="C787" s="72"/>
      <c r="D787" s="72" t="s">
        <v>47</v>
      </c>
      <c r="E787" s="72"/>
      <c r="F787" s="72"/>
      <c r="G787" s="72"/>
      <c r="H787" s="73">
        <v>114.56</v>
      </c>
      <c r="I787" s="73"/>
      <c r="J787" s="70">
        <f t="shared" si="122"/>
        <v>114.56</v>
      </c>
      <c r="K787" s="74">
        <v>1461</v>
      </c>
      <c r="L787" s="74">
        <f>K787*J787</f>
        <v>167372.16</v>
      </c>
      <c r="M787" s="72"/>
      <c r="N787" s="72"/>
    </row>
    <row r="788" spans="1:14" s="54" customFormat="1" ht="21.75" customHeight="1" x14ac:dyDescent="0.25">
      <c r="A788" s="66"/>
      <c r="B788" s="71" t="s">
        <v>104</v>
      </c>
      <c r="C788" s="72"/>
      <c r="D788" s="72" t="s">
        <v>47</v>
      </c>
      <c r="E788" s="72"/>
      <c r="F788" s="72"/>
      <c r="G788" s="72"/>
      <c r="H788" s="73">
        <v>125.91</v>
      </c>
      <c r="I788" s="73"/>
      <c r="J788" s="70">
        <f t="shared" si="122"/>
        <v>125.91</v>
      </c>
      <c r="K788" s="74">
        <v>1461</v>
      </c>
      <c r="L788" s="74">
        <f>K788*J788</f>
        <v>183954.51</v>
      </c>
      <c r="M788" s="72"/>
      <c r="N788" s="72"/>
    </row>
    <row r="789" spans="1:14" s="54" customFormat="1" ht="21.75" customHeight="1" x14ac:dyDescent="0.25">
      <c r="A789" s="66"/>
      <c r="B789" s="71" t="s">
        <v>49</v>
      </c>
      <c r="C789" s="72"/>
      <c r="D789" s="72" t="s">
        <v>47</v>
      </c>
      <c r="E789" s="72"/>
      <c r="F789" s="72"/>
      <c r="G789" s="72"/>
      <c r="H789" s="73">
        <v>32.65</v>
      </c>
      <c r="I789" s="73"/>
      <c r="J789" s="70">
        <f t="shared" si="122"/>
        <v>32.65</v>
      </c>
      <c r="K789" s="74">
        <v>1610</v>
      </c>
      <c r="L789" s="74">
        <f t="shared" ref="L789:L792" si="124">K789*J789</f>
        <v>52566.5</v>
      </c>
      <c r="M789" s="72"/>
      <c r="N789" s="72"/>
    </row>
    <row r="790" spans="1:14" s="54" customFormat="1" ht="21.75" customHeight="1" x14ac:dyDescent="0.25">
      <c r="A790" s="66"/>
      <c r="B790" s="71" t="s">
        <v>50</v>
      </c>
      <c r="C790" s="72"/>
      <c r="D790" s="72" t="s">
        <v>51</v>
      </c>
      <c r="E790" s="72"/>
      <c r="F790" s="72"/>
      <c r="G790" s="73"/>
      <c r="H790" s="73">
        <v>44</v>
      </c>
      <c r="I790" s="73"/>
      <c r="J790" s="70">
        <f t="shared" si="122"/>
        <v>44</v>
      </c>
      <c r="K790" s="74">
        <v>803</v>
      </c>
      <c r="L790" s="74">
        <f t="shared" si="124"/>
        <v>35332</v>
      </c>
      <c r="M790" s="72"/>
      <c r="N790" s="72"/>
    </row>
    <row r="791" spans="1:14" s="54" customFormat="1" ht="24" customHeight="1" x14ac:dyDescent="0.25">
      <c r="A791" s="66"/>
      <c r="B791" s="71" t="s">
        <v>52</v>
      </c>
      <c r="C791" s="72" t="s">
        <v>105</v>
      </c>
      <c r="D791" s="72" t="s">
        <v>54</v>
      </c>
      <c r="E791" s="72"/>
      <c r="F791" s="72"/>
      <c r="G791" s="73"/>
      <c r="H791" s="129">
        <v>54.66</v>
      </c>
      <c r="I791" s="73"/>
      <c r="J791" s="130">
        <f t="shared" si="122"/>
        <v>54.66</v>
      </c>
      <c r="K791" s="74">
        <v>94.5</v>
      </c>
      <c r="L791" s="74">
        <f t="shared" si="124"/>
        <v>5165.37</v>
      </c>
      <c r="M791" s="72"/>
      <c r="N791" s="72"/>
    </row>
    <row r="792" spans="1:14" s="54" customFormat="1" ht="31.5" x14ac:dyDescent="0.25">
      <c r="A792" s="66"/>
      <c r="B792" s="71" t="s">
        <v>55</v>
      </c>
      <c r="C792" s="72"/>
      <c r="D792" s="72" t="s">
        <v>54</v>
      </c>
      <c r="E792" s="72"/>
      <c r="F792" s="72"/>
      <c r="G792" s="73"/>
      <c r="H792" s="73">
        <v>16.18</v>
      </c>
      <c r="I792" s="73"/>
      <c r="J792" s="70">
        <f t="shared" si="122"/>
        <v>16.18</v>
      </c>
      <c r="K792" s="74">
        <v>118</v>
      </c>
      <c r="L792" s="74">
        <f t="shared" si="124"/>
        <v>1909.24</v>
      </c>
      <c r="M792" s="72"/>
      <c r="N792" s="72"/>
    </row>
    <row r="793" spans="1:14" s="54" customFormat="1" x14ac:dyDescent="0.25">
      <c r="A793" s="66"/>
      <c r="B793" s="87" t="s">
        <v>56</v>
      </c>
      <c r="C793" s="88"/>
      <c r="D793" s="88" t="s">
        <v>45</v>
      </c>
      <c r="E793" s="88"/>
      <c r="F793" s="88"/>
      <c r="G793" s="73"/>
      <c r="H793" s="73">
        <f>223.5*0.06*0.03</f>
        <v>0.40229999999999999</v>
      </c>
      <c r="I793" s="73"/>
      <c r="J793" s="70">
        <f>SUM(G793:I793)</f>
        <v>0.40229999999999999</v>
      </c>
      <c r="K793" s="74"/>
      <c r="L793" s="74"/>
      <c r="M793" s="88" t="s">
        <v>57</v>
      </c>
      <c r="N793" s="72"/>
    </row>
    <row r="794" spans="1:14" s="54" customFormat="1" x14ac:dyDescent="0.25">
      <c r="A794" s="75"/>
      <c r="B794" s="76" t="s">
        <v>38</v>
      </c>
      <c r="C794" s="77"/>
      <c r="D794" s="77"/>
      <c r="E794" s="77"/>
      <c r="F794" s="77"/>
      <c r="G794" s="78"/>
      <c r="H794" s="78"/>
      <c r="I794" s="78"/>
      <c r="J794" s="79"/>
      <c r="K794" s="80"/>
      <c r="L794" s="79">
        <f>SUM(L795:L826)</f>
        <v>265577.838643</v>
      </c>
      <c r="M794" s="77"/>
      <c r="N794" s="77"/>
    </row>
    <row r="795" spans="1:14" s="54" customFormat="1" ht="31.5" x14ac:dyDescent="0.25">
      <c r="A795" s="81"/>
      <c r="B795" s="82" t="s">
        <v>58</v>
      </c>
      <c r="C795" s="77" t="s">
        <v>59</v>
      </c>
      <c r="D795" s="77" t="s">
        <v>60</v>
      </c>
      <c r="E795" s="78">
        <v>12.4</v>
      </c>
      <c r="F795" s="77">
        <v>0.25</v>
      </c>
      <c r="G795" s="83"/>
      <c r="H795" s="83">
        <f>H783/F795*E795</f>
        <v>1413.104</v>
      </c>
      <c r="I795" s="83"/>
      <c r="J795" s="84">
        <f>SUM(G795:I795)</f>
        <v>1413.104</v>
      </c>
      <c r="K795" s="80">
        <v>0</v>
      </c>
      <c r="L795" s="80">
        <f>J795*K795</f>
        <v>0</v>
      </c>
      <c r="M795" s="77" t="s">
        <v>61</v>
      </c>
      <c r="N795" s="77" t="s">
        <v>320</v>
      </c>
    </row>
    <row r="796" spans="1:14" s="54" customFormat="1" ht="31.5" x14ac:dyDescent="0.25">
      <c r="A796" s="81"/>
      <c r="B796" s="82" t="s">
        <v>62</v>
      </c>
      <c r="C796" s="77" t="s">
        <v>63</v>
      </c>
      <c r="D796" s="77" t="s">
        <v>60</v>
      </c>
      <c r="E796" s="78">
        <v>12.4</v>
      </c>
      <c r="F796" s="77"/>
      <c r="G796" s="83"/>
      <c r="H796" s="83">
        <f>H785*E796</f>
        <v>1673.3799999999999</v>
      </c>
      <c r="I796" s="83"/>
      <c r="J796" s="84">
        <f t="shared" ref="J796:J800" si="125">SUM(G796:I796)</f>
        <v>1673.3799999999999</v>
      </c>
      <c r="K796" s="80">
        <v>0</v>
      </c>
      <c r="L796" s="80">
        <f>J796*K796</f>
        <v>0</v>
      </c>
      <c r="M796" s="77" t="s">
        <v>61</v>
      </c>
      <c r="N796" s="77" t="s">
        <v>320</v>
      </c>
    </row>
    <row r="797" spans="1:14" s="54" customFormat="1" ht="31.5" x14ac:dyDescent="0.25">
      <c r="A797" s="81"/>
      <c r="B797" s="82" t="s">
        <v>64</v>
      </c>
      <c r="C797" s="77" t="s">
        <v>65</v>
      </c>
      <c r="D797" s="77" t="s">
        <v>60</v>
      </c>
      <c r="E797" s="78">
        <v>12.4</v>
      </c>
      <c r="F797" s="77"/>
      <c r="G797" s="83"/>
      <c r="H797" s="83">
        <f>H786*E797</f>
        <v>607.6</v>
      </c>
      <c r="I797" s="83"/>
      <c r="J797" s="84">
        <f t="shared" si="125"/>
        <v>607.6</v>
      </c>
      <c r="K797" s="80">
        <v>0</v>
      </c>
      <c r="L797" s="80">
        <f>J797*K797</f>
        <v>0</v>
      </c>
      <c r="M797" s="77" t="s">
        <v>61</v>
      </c>
      <c r="N797" s="77" t="s">
        <v>320</v>
      </c>
    </row>
    <row r="798" spans="1:14" s="54" customFormat="1" ht="31.5" x14ac:dyDescent="0.25">
      <c r="A798" s="81"/>
      <c r="B798" s="82" t="s">
        <v>106</v>
      </c>
      <c r="C798" s="77" t="s">
        <v>107</v>
      </c>
      <c r="D798" s="77" t="s">
        <v>60</v>
      </c>
      <c r="E798" s="78">
        <v>12.4</v>
      </c>
      <c r="F798" s="77"/>
      <c r="G798" s="83"/>
      <c r="H798" s="83">
        <f>H787*E798</f>
        <v>1420.5440000000001</v>
      </c>
      <c r="I798" s="83"/>
      <c r="J798" s="84">
        <f t="shared" si="125"/>
        <v>1420.5440000000001</v>
      </c>
      <c r="K798" s="80">
        <v>0</v>
      </c>
      <c r="L798" s="80">
        <f>J798*K798</f>
        <v>0</v>
      </c>
      <c r="M798" s="77" t="s">
        <v>61</v>
      </c>
      <c r="N798" s="77" t="s">
        <v>320</v>
      </c>
    </row>
    <row r="799" spans="1:14" s="54" customFormat="1" ht="31.5" x14ac:dyDescent="0.25">
      <c r="A799" s="81"/>
      <c r="B799" s="82" t="s">
        <v>108</v>
      </c>
      <c r="C799" s="77" t="s">
        <v>109</v>
      </c>
      <c r="D799" s="77" t="s">
        <v>60</v>
      </c>
      <c r="E799" s="78">
        <v>12.4</v>
      </c>
      <c r="F799" s="77"/>
      <c r="G799" s="83"/>
      <c r="H799" s="83">
        <f>H788*E799</f>
        <v>1561.2840000000001</v>
      </c>
      <c r="I799" s="83"/>
      <c r="J799" s="84">
        <f t="shared" si="125"/>
        <v>1561.2840000000001</v>
      </c>
      <c r="K799" s="80">
        <v>0</v>
      </c>
      <c r="L799" s="80">
        <f>J799*K799</f>
        <v>0</v>
      </c>
      <c r="M799" s="77" t="s">
        <v>61</v>
      </c>
      <c r="N799" s="77" t="s">
        <v>320</v>
      </c>
    </row>
    <row r="800" spans="1:14" s="54" customFormat="1" ht="35.25" customHeight="1" x14ac:dyDescent="0.25">
      <c r="A800" s="81"/>
      <c r="B800" s="89" t="s">
        <v>66</v>
      </c>
      <c r="C800" s="77" t="s">
        <v>67</v>
      </c>
      <c r="D800" s="77" t="s">
        <v>60</v>
      </c>
      <c r="E800" s="90">
        <v>42</v>
      </c>
      <c r="F800" s="90"/>
      <c r="G800" s="83"/>
      <c r="H800" s="83">
        <f>H789*E800</f>
        <v>1371.3</v>
      </c>
      <c r="I800" s="83"/>
      <c r="J800" s="84">
        <f t="shared" si="125"/>
        <v>1371.3</v>
      </c>
      <c r="K800" s="80">
        <v>0</v>
      </c>
      <c r="L800" s="80">
        <f t="shared" ref="L800:L825" si="126">J800*K800</f>
        <v>0</v>
      </c>
      <c r="M800" s="77" t="s">
        <v>68</v>
      </c>
      <c r="N800" s="77" t="s">
        <v>320</v>
      </c>
    </row>
    <row r="801" spans="1:14" s="54" customFormat="1" ht="35.25" customHeight="1" x14ac:dyDescent="0.25">
      <c r="A801" s="81"/>
      <c r="B801" s="89" t="s">
        <v>110</v>
      </c>
      <c r="C801" s="77" t="s">
        <v>111</v>
      </c>
      <c r="D801" s="77" t="s">
        <v>60</v>
      </c>
      <c r="E801" s="90">
        <v>42</v>
      </c>
      <c r="F801" s="90"/>
      <c r="G801" s="83"/>
      <c r="H801" s="83">
        <f>H784/0.25*E801</f>
        <v>253.68</v>
      </c>
      <c r="I801" s="83"/>
      <c r="J801" s="84">
        <f t="shared" ref="J801" si="127">SUM(G801:I801)</f>
        <v>253.68</v>
      </c>
      <c r="K801" s="80">
        <v>0</v>
      </c>
      <c r="L801" s="80">
        <f t="shared" si="126"/>
        <v>0</v>
      </c>
      <c r="M801" s="77" t="s">
        <v>68</v>
      </c>
      <c r="N801" s="77" t="s">
        <v>320</v>
      </c>
    </row>
    <row r="802" spans="1:14" s="54" customFormat="1" ht="28.5" customHeight="1" x14ac:dyDescent="0.25">
      <c r="A802" s="81"/>
      <c r="B802" s="91" t="s">
        <v>69</v>
      </c>
      <c r="C802" s="77" t="s">
        <v>70</v>
      </c>
      <c r="D802" s="77" t="s">
        <v>45</v>
      </c>
      <c r="E802" s="77">
        <v>0.19500000000000001</v>
      </c>
      <c r="F802" s="90"/>
      <c r="G802" s="78"/>
      <c r="H802" s="78">
        <f>(H783+H785*0.19+H786*0.19+H787*0.09+H788*0.09)*E802</f>
        <v>16.591146000000002</v>
      </c>
      <c r="I802" s="78"/>
      <c r="J802" s="79">
        <f>SUM(G802:I802)</f>
        <v>16.591146000000002</v>
      </c>
      <c r="K802" s="80">
        <v>7875</v>
      </c>
      <c r="L802" s="80">
        <f t="shared" si="126"/>
        <v>130655.27475000001</v>
      </c>
      <c r="M802" s="77" t="s">
        <v>71</v>
      </c>
      <c r="N802" s="77" t="s">
        <v>321</v>
      </c>
    </row>
    <row r="803" spans="1:14" s="54" customFormat="1" ht="28.5" customHeight="1" x14ac:dyDescent="0.25">
      <c r="A803" s="92"/>
      <c r="B803" s="91" t="s">
        <v>112</v>
      </c>
      <c r="C803" s="77" t="s">
        <v>70</v>
      </c>
      <c r="D803" s="77" t="s">
        <v>45</v>
      </c>
      <c r="E803" s="77">
        <v>0.24</v>
      </c>
      <c r="F803" s="77"/>
      <c r="G803" s="78"/>
      <c r="H803" s="78">
        <f>H784*E803</f>
        <v>0.3624</v>
      </c>
      <c r="I803" s="78"/>
      <c r="J803" s="79">
        <f t="shared" ref="J803:J825" si="128">SUM(G803:I803)</f>
        <v>0.3624</v>
      </c>
      <c r="K803" s="80">
        <v>7875</v>
      </c>
      <c r="L803" s="80">
        <f t="shared" si="126"/>
        <v>2853.9</v>
      </c>
      <c r="M803" s="77" t="s">
        <v>71</v>
      </c>
      <c r="N803" s="77" t="s">
        <v>321</v>
      </c>
    </row>
    <row r="804" spans="1:14" s="54" customFormat="1" ht="38.25" customHeight="1" x14ac:dyDescent="0.25">
      <c r="A804" s="92"/>
      <c r="B804" s="91" t="s">
        <v>72</v>
      </c>
      <c r="C804" s="77" t="s">
        <v>70</v>
      </c>
      <c r="D804" s="77" t="s">
        <v>45</v>
      </c>
      <c r="E804" s="77">
        <v>4.5999999999999999E-2</v>
      </c>
      <c r="F804" s="77"/>
      <c r="G804" s="78"/>
      <c r="H804" s="78">
        <f>H789*E804</f>
        <v>1.5019</v>
      </c>
      <c r="I804" s="78"/>
      <c r="J804" s="79">
        <f t="shared" si="128"/>
        <v>1.5019</v>
      </c>
      <c r="K804" s="80">
        <v>7875</v>
      </c>
      <c r="L804" s="80">
        <f t="shared" si="126"/>
        <v>11827.4625</v>
      </c>
      <c r="M804" s="77" t="s">
        <v>73</v>
      </c>
      <c r="N804" s="77" t="s">
        <v>321</v>
      </c>
    </row>
    <row r="805" spans="1:14" s="54" customFormat="1" ht="28.5" customHeight="1" x14ac:dyDescent="0.25">
      <c r="A805" s="92"/>
      <c r="B805" s="91" t="s">
        <v>74</v>
      </c>
      <c r="C805" s="77" t="s">
        <v>70</v>
      </c>
      <c r="D805" s="77" t="s">
        <v>45</v>
      </c>
      <c r="E805" s="77">
        <v>1.01</v>
      </c>
      <c r="F805" s="77"/>
      <c r="G805" s="78"/>
      <c r="H805" s="78">
        <f>H793*E805</f>
        <v>0.40632299999999999</v>
      </c>
      <c r="I805" s="78"/>
      <c r="J805" s="79">
        <f t="shared" si="128"/>
        <v>0.40632299999999999</v>
      </c>
      <c r="K805" s="80">
        <v>7875</v>
      </c>
      <c r="L805" s="80">
        <f t="shared" si="126"/>
        <v>3199.7936249999998</v>
      </c>
      <c r="M805" s="77" t="s">
        <v>71</v>
      </c>
      <c r="N805" s="77" t="s">
        <v>321</v>
      </c>
    </row>
    <row r="806" spans="1:14" s="54" customFormat="1" ht="36" customHeight="1" x14ac:dyDescent="0.25">
      <c r="A806" s="81"/>
      <c r="B806" s="89" t="s">
        <v>75</v>
      </c>
      <c r="C806" s="77" t="s">
        <v>70</v>
      </c>
      <c r="D806" s="77" t="s">
        <v>45</v>
      </c>
      <c r="E806" s="77">
        <v>6.0000000000000001E-3</v>
      </c>
      <c r="F806" s="77"/>
      <c r="G806" s="78"/>
      <c r="H806" s="78">
        <f>H790*E806</f>
        <v>0.26400000000000001</v>
      </c>
      <c r="I806" s="78"/>
      <c r="J806" s="79">
        <f t="shared" si="128"/>
        <v>0.26400000000000001</v>
      </c>
      <c r="K806" s="80">
        <v>7875</v>
      </c>
      <c r="L806" s="80">
        <f t="shared" si="126"/>
        <v>2079</v>
      </c>
      <c r="M806" s="77" t="s">
        <v>76</v>
      </c>
      <c r="N806" s="77" t="s">
        <v>321</v>
      </c>
    </row>
    <row r="807" spans="1:14" s="54" customFormat="1" ht="28.5" customHeight="1" x14ac:dyDescent="0.25">
      <c r="A807" s="81"/>
      <c r="B807" s="89" t="s">
        <v>77</v>
      </c>
      <c r="C807" s="77" t="s">
        <v>70</v>
      </c>
      <c r="D807" s="77" t="s">
        <v>45</v>
      </c>
      <c r="E807" s="77">
        <v>1.01</v>
      </c>
      <c r="F807" s="77"/>
      <c r="G807" s="93"/>
      <c r="H807" s="93">
        <v>2.1000000000000001E-2</v>
      </c>
      <c r="I807" s="93"/>
      <c r="J807" s="79">
        <f t="shared" si="128"/>
        <v>2.1000000000000001E-2</v>
      </c>
      <c r="K807" s="80">
        <v>7875</v>
      </c>
      <c r="L807" s="80">
        <f t="shared" si="126"/>
        <v>165.375</v>
      </c>
      <c r="M807" s="94"/>
      <c r="N807" s="77" t="s">
        <v>321</v>
      </c>
    </row>
    <row r="808" spans="1:14" s="54" customFormat="1" ht="24.75" customHeight="1" x14ac:dyDescent="0.25">
      <c r="A808" s="81"/>
      <c r="B808" s="89" t="s">
        <v>78</v>
      </c>
      <c r="C808" s="77" t="s">
        <v>79</v>
      </c>
      <c r="D808" s="77" t="s">
        <v>47</v>
      </c>
      <c r="E808" s="77"/>
      <c r="F808" s="77"/>
      <c r="G808" s="78"/>
      <c r="H808" s="78">
        <v>174.35</v>
      </c>
      <c r="I808" s="78"/>
      <c r="J808" s="79">
        <f t="shared" si="128"/>
        <v>174.35</v>
      </c>
      <c r="K808" s="80">
        <v>88.34</v>
      </c>
      <c r="L808" s="80">
        <f t="shared" si="126"/>
        <v>15402.079</v>
      </c>
      <c r="M808" s="94"/>
      <c r="N808" s="77" t="s">
        <v>321</v>
      </c>
    </row>
    <row r="809" spans="1:14" s="54" customFormat="1" ht="24.75" customHeight="1" x14ac:dyDescent="0.25">
      <c r="A809" s="81"/>
      <c r="B809" s="89" t="s">
        <v>277</v>
      </c>
      <c r="C809" s="77" t="s">
        <v>114</v>
      </c>
      <c r="D809" s="77" t="s">
        <v>60</v>
      </c>
      <c r="E809" s="77"/>
      <c r="F809" s="77"/>
      <c r="G809" s="78"/>
      <c r="H809" s="78">
        <v>8</v>
      </c>
      <c r="I809" s="78"/>
      <c r="J809" s="79">
        <f t="shared" si="128"/>
        <v>8</v>
      </c>
      <c r="K809" s="80">
        <v>398.6</v>
      </c>
      <c r="L809" s="80">
        <f t="shared" si="126"/>
        <v>3188.8</v>
      </c>
      <c r="M809" s="94"/>
      <c r="N809" s="77" t="s">
        <v>321</v>
      </c>
    </row>
    <row r="810" spans="1:14" s="54" customFormat="1" ht="24.75" customHeight="1" x14ac:dyDescent="0.25">
      <c r="A810" s="81"/>
      <c r="B810" s="89" t="s">
        <v>278</v>
      </c>
      <c r="C810" s="77" t="s">
        <v>116</v>
      </c>
      <c r="D810" s="77" t="s">
        <v>60</v>
      </c>
      <c r="E810" s="77"/>
      <c r="F810" s="77"/>
      <c r="G810" s="78"/>
      <c r="H810" s="78">
        <v>9</v>
      </c>
      <c r="I810" s="78"/>
      <c r="J810" s="79">
        <f t="shared" si="128"/>
        <v>9</v>
      </c>
      <c r="K810" s="80">
        <v>465.03</v>
      </c>
      <c r="L810" s="80">
        <f t="shared" si="126"/>
        <v>4185.2699999999995</v>
      </c>
      <c r="M810" s="94"/>
      <c r="N810" s="77" t="s">
        <v>321</v>
      </c>
    </row>
    <row r="811" spans="1:14" s="54" customFormat="1" ht="24.75" customHeight="1" x14ac:dyDescent="0.25">
      <c r="A811" s="81"/>
      <c r="B811" s="89" t="s">
        <v>283</v>
      </c>
      <c r="C811" s="77" t="s">
        <v>284</v>
      </c>
      <c r="D811" s="77" t="s">
        <v>60</v>
      </c>
      <c r="E811" s="77"/>
      <c r="F811" s="77"/>
      <c r="G811" s="78"/>
      <c r="H811" s="78">
        <v>1</v>
      </c>
      <c r="I811" s="78"/>
      <c r="J811" s="79">
        <f t="shared" si="128"/>
        <v>1</v>
      </c>
      <c r="K811" s="80">
        <v>620.04999999999995</v>
      </c>
      <c r="L811" s="80">
        <f t="shared" si="126"/>
        <v>620.04999999999995</v>
      </c>
      <c r="M811" s="94"/>
      <c r="N811" s="77" t="s">
        <v>321</v>
      </c>
    </row>
    <row r="812" spans="1:14" s="54" customFormat="1" ht="24.75" customHeight="1" x14ac:dyDescent="0.25">
      <c r="A812" s="81"/>
      <c r="B812" s="89" t="s">
        <v>287</v>
      </c>
      <c r="C812" s="77" t="s">
        <v>288</v>
      </c>
      <c r="D812" s="77" t="s">
        <v>60</v>
      </c>
      <c r="E812" s="77"/>
      <c r="F812" s="77"/>
      <c r="G812" s="78"/>
      <c r="H812" s="78">
        <v>1</v>
      </c>
      <c r="I812" s="78"/>
      <c r="J812" s="79">
        <f t="shared" si="128"/>
        <v>1</v>
      </c>
      <c r="K812" s="80">
        <v>797.2</v>
      </c>
      <c r="L812" s="80">
        <f t="shared" si="126"/>
        <v>797.2</v>
      </c>
      <c r="M812" s="94"/>
      <c r="N812" s="77" t="s">
        <v>321</v>
      </c>
    </row>
    <row r="813" spans="1:14" s="54" customFormat="1" ht="24.75" customHeight="1" x14ac:dyDescent="0.25">
      <c r="A813" s="81"/>
      <c r="B813" s="89" t="s">
        <v>297</v>
      </c>
      <c r="C813" s="77" t="s">
        <v>118</v>
      </c>
      <c r="D813" s="77" t="s">
        <v>60</v>
      </c>
      <c r="E813" s="77"/>
      <c r="F813" s="77"/>
      <c r="G813" s="78"/>
      <c r="H813" s="78">
        <v>1</v>
      </c>
      <c r="I813" s="78"/>
      <c r="J813" s="79">
        <f t="shared" si="128"/>
        <v>1</v>
      </c>
      <c r="K813" s="80">
        <v>841.49</v>
      </c>
      <c r="L813" s="80">
        <f t="shared" si="126"/>
        <v>841.49</v>
      </c>
      <c r="M813" s="94"/>
      <c r="N813" s="77" t="s">
        <v>321</v>
      </c>
    </row>
    <row r="814" spans="1:14" s="54" customFormat="1" ht="24.75" customHeight="1" x14ac:dyDescent="0.25">
      <c r="A814" s="81"/>
      <c r="B814" s="89" t="s">
        <v>298</v>
      </c>
      <c r="C814" s="77" t="s">
        <v>120</v>
      </c>
      <c r="D814" s="77" t="s">
        <v>60</v>
      </c>
      <c r="E814" s="77"/>
      <c r="F814" s="77"/>
      <c r="G814" s="78"/>
      <c r="H814" s="78">
        <v>5</v>
      </c>
      <c r="I814" s="78"/>
      <c r="J814" s="79">
        <f t="shared" si="128"/>
        <v>5</v>
      </c>
      <c r="K814" s="80">
        <v>981.74</v>
      </c>
      <c r="L814" s="80">
        <f t="shared" si="126"/>
        <v>4908.7</v>
      </c>
      <c r="M814" s="94"/>
      <c r="N814" s="77" t="s">
        <v>321</v>
      </c>
    </row>
    <row r="815" spans="1:14" s="54" customFormat="1" ht="24.75" customHeight="1" x14ac:dyDescent="0.25">
      <c r="A815" s="81"/>
      <c r="B815" s="89" t="s">
        <v>301</v>
      </c>
      <c r="C815" s="77" t="s">
        <v>122</v>
      </c>
      <c r="D815" s="77" t="s">
        <v>60</v>
      </c>
      <c r="E815" s="77"/>
      <c r="F815" s="77"/>
      <c r="G815" s="78"/>
      <c r="H815" s="78">
        <v>1</v>
      </c>
      <c r="I815" s="78"/>
      <c r="J815" s="79">
        <f t="shared" si="128"/>
        <v>1</v>
      </c>
      <c r="K815" s="80">
        <v>1291.76</v>
      </c>
      <c r="L815" s="80">
        <f t="shared" si="126"/>
        <v>1291.76</v>
      </c>
      <c r="M815" s="94"/>
      <c r="N815" s="77" t="s">
        <v>321</v>
      </c>
    </row>
    <row r="816" spans="1:14" s="54" customFormat="1" ht="24.75" customHeight="1" x14ac:dyDescent="0.25">
      <c r="A816" s="81"/>
      <c r="B816" s="89" t="s">
        <v>306</v>
      </c>
      <c r="C816" s="77" t="s">
        <v>307</v>
      </c>
      <c r="D816" s="77" t="s">
        <v>60</v>
      </c>
      <c r="E816" s="77"/>
      <c r="F816" s="77"/>
      <c r="G816" s="78"/>
      <c r="H816" s="78">
        <v>1</v>
      </c>
      <c r="I816" s="78"/>
      <c r="J816" s="79">
        <f t="shared" si="128"/>
        <v>1</v>
      </c>
      <c r="K816" s="80">
        <v>1660.84</v>
      </c>
      <c r="L816" s="80">
        <f t="shared" si="126"/>
        <v>1660.84</v>
      </c>
      <c r="M816" s="94"/>
      <c r="N816" s="77" t="s">
        <v>321</v>
      </c>
    </row>
    <row r="817" spans="1:15" s="54" customFormat="1" ht="24.75" customHeight="1" x14ac:dyDescent="0.25">
      <c r="A817" s="81"/>
      <c r="B817" s="89" t="s">
        <v>303</v>
      </c>
      <c r="C817" s="77" t="s">
        <v>126</v>
      </c>
      <c r="D817" s="77" t="s">
        <v>60</v>
      </c>
      <c r="E817" s="77"/>
      <c r="F817" s="77"/>
      <c r="G817" s="78"/>
      <c r="H817" s="78">
        <v>10</v>
      </c>
      <c r="I817" s="78"/>
      <c r="J817" s="79">
        <f t="shared" si="128"/>
        <v>10</v>
      </c>
      <c r="K817" s="80">
        <v>2029.91</v>
      </c>
      <c r="L817" s="80">
        <f t="shared" si="126"/>
        <v>20299.100000000002</v>
      </c>
      <c r="M817" s="94"/>
      <c r="N817" s="77" t="s">
        <v>321</v>
      </c>
    </row>
    <row r="818" spans="1:15" s="54" customFormat="1" ht="24.75" customHeight="1" x14ac:dyDescent="0.25">
      <c r="A818" s="81"/>
      <c r="B818" s="89" t="s">
        <v>304</v>
      </c>
      <c r="C818" s="77" t="s">
        <v>128</v>
      </c>
      <c r="D818" s="77" t="s">
        <v>60</v>
      </c>
      <c r="E818" s="77"/>
      <c r="F818" s="77"/>
      <c r="G818" s="78"/>
      <c r="H818" s="78">
        <v>2</v>
      </c>
      <c r="I818" s="78"/>
      <c r="J818" s="79">
        <f t="shared" si="128"/>
        <v>2</v>
      </c>
      <c r="K818" s="80">
        <v>2398.9899999999998</v>
      </c>
      <c r="L818" s="80">
        <f t="shared" si="126"/>
        <v>4797.9799999999996</v>
      </c>
      <c r="M818" s="94"/>
      <c r="N818" s="77" t="s">
        <v>321</v>
      </c>
    </row>
    <row r="819" spans="1:15" s="54" customFormat="1" ht="24.75" customHeight="1" x14ac:dyDescent="0.25">
      <c r="A819" s="81"/>
      <c r="B819" s="89" t="s">
        <v>305</v>
      </c>
      <c r="C819" s="77" t="s">
        <v>130</v>
      </c>
      <c r="D819" s="77" t="s">
        <v>60</v>
      </c>
      <c r="E819" s="77"/>
      <c r="F819" s="77"/>
      <c r="G819" s="78"/>
      <c r="H819" s="78">
        <v>5</v>
      </c>
      <c r="I819" s="78"/>
      <c r="J819" s="79">
        <f t="shared" si="128"/>
        <v>5</v>
      </c>
      <c r="K819" s="80">
        <v>2583.5300000000002</v>
      </c>
      <c r="L819" s="80">
        <f t="shared" si="126"/>
        <v>12917.650000000001</v>
      </c>
      <c r="M819" s="94"/>
      <c r="N819" s="77" t="s">
        <v>321</v>
      </c>
    </row>
    <row r="820" spans="1:15" s="54" customFormat="1" ht="24.75" customHeight="1" x14ac:dyDescent="0.25">
      <c r="A820" s="81"/>
      <c r="B820" s="89" t="s">
        <v>92</v>
      </c>
      <c r="C820" s="77" t="s">
        <v>93</v>
      </c>
      <c r="D820" s="77" t="s">
        <v>54</v>
      </c>
      <c r="E820" s="77">
        <v>1.04</v>
      </c>
      <c r="F820" s="77"/>
      <c r="G820" s="78"/>
      <c r="H820" s="78">
        <f>143.37*E820</f>
        <v>149.10480000000001</v>
      </c>
      <c r="I820" s="78"/>
      <c r="J820" s="79">
        <f t="shared" si="128"/>
        <v>149.10480000000001</v>
      </c>
      <c r="K820" s="80">
        <v>66.349999999999994</v>
      </c>
      <c r="L820" s="80">
        <f t="shared" si="126"/>
        <v>9893.1034799999998</v>
      </c>
      <c r="M820" s="94"/>
      <c r="N820" s="77" t="s">
        <v>321</v>
      </c>
    </row>
    <row r="821" spans="1:15" s="54" customFormat="1" ht="24.75" customHeight="1" x14ac:dyDescent="0.25">
      <c r="A821" s="81"/>
      <c r="B821" s="89" t="s">
        <v>94</v>
      </c>
      <c r="C821" s="77" t="s">
        <v>95</v>
      </c>
      <c r="D821" s="77" t="s">
        <v>54</v>
      </c>
      <c r="E821" s="77">
        <v>1.04</v>
      </c>
      <c r="F821" s="77"/>
      <c r="G821" s="78"/>
      <c r="H821" s="78">
        <f>H792*E821</f>
        <v>16.827200000000001</v>
      </c>
      <c r="I821" s="78"/>
      <c r="J821" s="79">
        <f t="shared" si="128"/>
        <v>16.827200000000001</v>
      </c>
      <c r="K821" s="80">
        <v>64</v>
      </c>
      <c r="L821" s="80">
        <f t="shared" si="126"/>
        <v>1076.9408000000001</v>
      </c>
      <c r="M821" s="94"/>
      <c r="N821" s="77" t="s">
        <v>321</v>
      </c>
    </row>
    <row r="822" spans="1:15" s="54" customFormat="1" ht="24.75" customHeight="1" x14ac:dyDescent="0.25">
      <c r="A822" s="81"/>
      <c r="B822" s="89" t="s">
        <v>131</v>
      </c>
      <c r="C822" s="77" t="s">
        <v>39</v>
      </c>
      <c r="D822" s="77" t="s">
        <v>54</v>
      </c>
      <c r="E822" s="77">
        <v>1.04</v>
      </c>
      <c r="F822" s="77"/>
      <c r="G822" s="78"/>
      <c r="H822" s="78">
        <f>2.22*E822</f>
        <v>2.3088000000000002</v>
      </c>
      <c r="I822" s="78"/>
      <c r="J822" s="79">
        <f t="shared" ref="J822" si="129">SUM(G822:I822)</f>
        <v>2.3088000000000002</v>
      </c>
      <c r="K822" s="80">
        <v>64.209999999999994</v>
      </c>
      <c r="L822" s="80">
        <f t="shared" si="126"/>
        <v>148.24804800000001</v>
      </c>
      <c r="M822" s="94"/>
      <c r="N822" s="77" t="s">
        <v>321</v>
      </c>
      <c r="O822" s="2"/>
    </row>
    <row r="823" spans="1:15" s="54" customFormat="1" ht="24.75" customHeight="1" x14ac:dyDescent="0.25">
      <c r="A823" s="81"/>
      <c r="B823" s="89" t="s">
        <v>96</v>
      </c>
      <c r="C823" s="77" t="s">
        <v>39</v>
      </c>
      <c r="D823" s="77" t="s">
        <v>54</v>
      </c>
      <c r="E823" s="77">
        <v>1.04</v>
      </c>
      <c r="F823" s="77"/>
      <c r="G823" s="78"/>
      <c r="H823" s="78">
        <f>E823*45.64</f>
        <v>47.465600000000002</v>
      </c>
      <c r="I823" s="78"/>
      <c r="J823" s="79">
        <f t="shared" si="128"/>
        <v>47.465600000000002</v>
      </c>
      <c r="K823" s="80">
        <v>72.78</v>
      </c>
      <c r="L823" s="80">
        <f t="shared" si="126"/>
        <v>3454.5463680000003</v>
      </c>
      <c r="M823" s="94"/>
      <c r="N823" s="77" t="s">
        <v>321</v>
      </c>
      <c r="O823" s="2"/>
    </row>
    <row r="824" spans="1:15" s="54" customFormat="1" ht="24.75" customHeight="1" x14ac:dyDescent="0.25">
      <c r="A824" s="81"/>
      <c r="B824" s="89" t="s">
        <v>97</v>
      </c>
      <c r="C824" s="77" t="s">
        <v>39</v>
      </c>
      <c r="D824" s="77" t="s">
        <v>54</v>
      </c>
      <c r="E824" s="77">
        <v>1.04</v>
      </c>
      <c r="F824" s="77"/>
      <c r="G824" s="78"/>
      <c r="H824" s="78">
        <f>E824*6.04</f>
        <v>6.2816000000000001</v>
      </c>
      <c r="I824" s="78"/>
      <c r="J824" s="79">
        <f t="shared" si="128"/>
        <v>6.2816000000000001</v>
      </c>
      <c r="K824" s="80">
        <v>74.92</v>
      </c>
      <c r="L824" s="80">
        <f t="shared" si="126"/>
        <v>470.61747200000002</v>
      </c>
      <c r="M824" s="94"/>
      <c r="N824" s="77" t="s">
        <v>321</v>
      </c>
    </row>
    <row r="825" spans="1:15" s="54" customFormat="1" ht="24.75" customHeight="1" x14ac:dyDescent="0.25">
      <c r="A825" s="81"/>
      <c r="B825" s="89" t="s">
        <v>132</v>
      </c>
      <c r="C825" s="77" t="s">
        <v>39</v>
      </c>
      <c r="D825" s="77" t="s">
        <v>54</v>
      </c>
      <c r="E825" s="77">
        <v>1.04</v>
      </c>
      <c r="F825" s="77"/>
      <c r="G825" s="78"/>
      <c r="H825" s="78">
        <f>0.75*E825</f>
        <v>0.78</v>
      </c>
      <c r="I825" s="78"/>
      <c r="J825" s="79">
        <f t="shared" si="128"/>
        <v>0.78</v>
      </c>
      <c r="K825" s="80">
        <v>75.97</v>
      </c>
      <c r="L825" s="80">
        <f t="shared" si="126"/>
        <v>59.256599999999999</v>
      </c>
      <c r="M825" s="94"/>
      <c r="N825" s="77" t="s">
        <v>321</v>
      </c>
    </row>
    <row r="826" spans="1:15" s="101" customFormat="1" ht="33" customHeight="1" x14ac:dyDescent="0.25">
      <c r="A826" s="95"/>
      <c r="B826" s="96" t="s">
        <v>133</v>
      </c>
      <c r="C826" s="97" t="s">
        <v>39</v>
      </c>
      <c r="D826" s="97" t="s">
        <v>99</v>
      </c>
      <c r="E826" s="97"/>
      <c r="F826" s="97"/>
      <c r="G826" s="98"/>
      <c r="H826" s="98"/>
      <c r="I826" s="98"/>
      <c r="J826" s="99">
        <f>L826*100/L782</f>
        <v>3.3291434417048125</v>
      </c>
      <c r="K826" s="79"/>
      <c r="L826" s="79">
        <v>28783.400999999998</v>
      </c>
      <c r="M826" s="100"/>
      <c r="N826" s="97" t="s">
        <v>321</v>
      </c>
    </row>
    <row r="827" spans="1:15" s="54" customFormat="1" x14ac:dyDescent="0.25">
      <c r="A827" s="60" t="s">
        <v>162</v>
      </c>
      <c r="B827" s="61" t="s">
        <v>179</v>
      </c>
      <c r="C827" s="62"/>
      <c r="D827" s="63"/>
      <c r="E827" s="62"/>
      <c r="F827" s="62"/>
      <c r="G827" s="64"/>
      <c r="H827" s="64"/>
      <c r="I827" s="64"/>
      <c r="J827" s="65"/>
      <c r="K827" s="65"/>
      <c r="L827" s="65">
        <f>L828+L836</f>
        <v>2363408.3140881998</v>
      </c>
      <c r="M827" s="86"/>
      <c r="N827" s="86"/>
    </row>
    <row r="828" spans="1:15" s="54" customFormat="1" x14ac:dyDescent="0.25">
      <c r="A828" s="66"/>
      <c r="B828" s="67" t="s">
        <v>34</v>
      </c>
      <c r="C828" s="68"/>
      <c r="D828" s="68"/>
      <c r="E828" s="68"/>
      <c r="F828" s="68"/>
      <c r="G828" s="69"/>
      <c r="H828" s="69"/>
      <c r="I828" s="69"/>
      <c r="J828" s="70"/>
      <c r="K828" s="70"/>
      <c r="L828" s="70">
        <f>SUM(L829:L834)</f>
        <v>1842390.3849999998</v>
      </c>
      <c r="M828" s="72"/>
      <c r="N828" s="72"/>
    </row>
    <row r="829" spans="1:15" s="54" customFormat="1" ht="21" customHeight="1" x14ac:dyDescent="0.25">
      <c r="A829" s="66"/>
      <c r="B829" s="71" t="s">
        <v>180</v>
      </c>
      <c r="C829" s="72"/>
      <c r="D829" s="72" t="s">
        <v>45</v>
      </c>
      <c r="E829" s="72"/>
      <c r="F829" s="72"/>
      <c r="G829" s="72">
        <v>44.15</v>
      </c>
      <c r="H829" s="73">
        <v>46.93</v>
      </c>
      <c r="I829" s="73">
        <v>49.55</v>
      </c>
      <c r="J829" s="70">
        <f>SUM(G829:I829)</f>
        <v>140.63</v>
      </c>
      <c r="K829" s="74">
        <v>5845</v>
      </c>
      <c r="L829" s="74">
        <f>K829*J829</f>
        <v>821982.35</v>
      </c>
      <c r="M829" s="72"/>
      <c r="N829" s="72"/>
    </row>
    <row r="830" spans="1:15" s="54" customFormat="1" ht="21" customHeight="1" x14ac:dyDescent="0.25">
      <c r="A830" s="66"/>
      <c r="B830" s="71" t="s">
        <v>181</v>
      </c>
      <c r="C830" s="72"/>
      <c r="D830" s="72" t="s">
        <v>45</v>
      </c>
      <c r="E830" s="72"/>
      <c r="F830" s="72"/>
      <c r="G830" s="72">
        <v>32.49</v>
      </c>
      <c r="H830" s="73">
        <v>25.01</v>
      </c>
      <c r="I830" s="73">
        <v>26.32</v>
      </c>
      <c r="J830" s="70">
        <f t="shared" ref="J830:J834" si="130">SUM(G830:I830)</f>
        <v>83.82</v>
      </c>
      <c r="K830" s="74">
        <v>11797</v>
      </c>
      <c r="L830" s="74">
        <f t="shared" ref="L830:L834" si="131">K830*J830</f>
        <v>988824.53999999992</v>
      </c>
      <c r="M830" s="72"/>
      <c r="N830" s="72"/>
    </row>
    <row r="831" spans="1:15" s="54" customFormat="1" ht="21" customHeight="1" x14ac:dyDescent="0.25">
      <c r="A831" s="66"/>
      <c r="B831" s="71" t="s">
        <v>50</v>
      </c>
      <c r="C831" s="72"/>
      <c r="D831" s="72" t="s">
        <v>51</v>
      </c>
      <c r="E831" s="72"/>
      <c r="F831" s="72"/>
      <c r="G831" s="73">
        <v>2</v>
      </c>
      <c r="H831" s="73">
        <v>1</v>
      </c>
      <c r="I831" s="73">
        <v>4</v>
      </c>
      <c r="J831" s="70">
        <f t="shared" si="130"/>
        <v>7</v>
      </c>
      <c r="K831" s="74">
        <v>803</v>
      </c>
      <c r="L831" s="74">
        <f t="shared" si="131"/>
        <v>5621</v>
      </c>
      <c r="M831" s="72"/>
      <c r="N831" s="72"/>
    </row>
    <row r="832" spans="1:15" s="54" customFormat="1" ht="21" customHeight="1" x14ac:dyDescent="0.25">
      <c r="A832" s="66"/>
      <c r="B832" s="71" t="s">
        <v>52</v>
      </c>
      <c r="C832" s="72" t="s">
        <v>53</v>
      </c>
      <c r="D832" s="72" t="s">
        <v>54</v>
      </c>
      <c r="E832" s="72"/>
      <c r="F832" s="72"/>
      <c r="G832" s="73">
        <v>33.08</v>
      </c>
      <c r="H832" s="73">
        <f>33.08+3.62</f>
        <v>36.699999999999996</v>
      </c>
      <c r="I832" s="73">
        <f>61.52+6.49</f>
        <v>68.010000000000005</v>
      </c>
      <c r="J832" s="70">
        <f t="shared" si="130"/>
        <v>137.79000000000002</v>
      </c>
      <c r="K832" s="74">
        <v>94.5</v>
      </c>
      <c r="L832" s="74">
        <f t="shared" si="131"/>
        <v>13021.155000000002</v>
      </c>
      <c r="M832" s="72"/>
      <c r="N832" s="72"/>
    </row>
    <row r="833" spans="1:14" s="54" customFormat="1" ht="31.5" x14ac:dyDescent="0.25">
      <c r="A833" s="66"/>
      <c r="B833" s="71" t="s">
        <v>55</v>
      </c>
      <c r="C833" s="72"/>
      <c r="D833" s="72" t="s">
        <v>54</v>
      </c>
      <c r="E833" s="72"/>
      <c r="F833" s="72"/>
      <c r="G833" s="73">
        <v>33.65</v>
      </c>
      <c r="H833" s="73">
        <v>28.98</v>
      </c>
      <c r="I833" s="73">
        <v>9.06</v>
      </c>
      <c r="J833" s="70">
        <f t="shared" si="130"/>
        <v>71.69</v>
      </c>
      <c r="K833" s="74">
        <v>118</v>
      </c>
      <c r="L833" s="74">
        <f t="shared" si="131"/>
        <v>8459.42</v>
      </c>
      <c r="M833" s="72"/>
      <c r="N833" s="72"/>
    </row>
    <row r="834" spans="1:14" s="54" customFormat="1" ht="21.75" customHeight="1" x14ac:dyDescent="0.25">
      <c r="A834" s="66"/>
      <c r="B834" s="71" t="s">
        <v>256</v>
      </c>
      <c r="C834" s="72"/>
      <c r="D834" s="72" t="s">
        <v>47</v>
      </c>
      <c r="E834" s="72"/>
      <c r="F834" s="72"/>
      <c r="G834" s="73">
        <v>15.04</v>
      </c>
      <c r="H834" s="73"/>
      <c r="I834" s="73"/>
      <c r="J834" s="70">
        <f t="shared" si="130"/>
        <v>15.04</v>
      </c>
      <c r="K834" s="74">
        <v>298</v>
      </c>
      <c r="L834" s="74">
        <f t="shared" si="131"/>
        <v>4481.92</v>
      </c>
      <c r="M834" s="72"/>
      <c r="N834" s="72"/>
    </row>
    <row r="835" spans="1:14" s="54" customFormat="1" ht="21.75" customHeight="1" x14ac:dyDescent="0.25">
      <c r="A835" s="66"/>
      <c r="B835" s="87" t="s">
        <v>56</v>
      </c>
      <c r="C835" s="88"/>
      <c r="D835" s="88" t="s">
        <v>45</v>
      </c>
      <c r="E835" s="88"/>
      <c r="F835" s="88"/>
      <c r="G835" s="73">
        <f>7.39*0.06*0.03</f>
        <v>1.3301999999999998E-2</v>
      </c>
      <c r="H835" s="73">
        <f>11.85*0.06*0.03</f>
        <v>2.1329999999999998E-2</v>
      </c>
      <c r="I835" s="73">
        <f>2.9*0.06*0.03</f>
        <v>5.2199999999999998E-3</v>
      </c>
      <c r="J835" s="70">
        <f>SUM(G835:I835)</f>
        <v>3.9851999999999999E-2</v>
      </c>
      <c r="K835" s="74"/>
      <c r="L835" s="74"/>
      <c r="M835" s="88" t="s">
        <v>57</v>
      </c>
      <c r="N835" s="72"/>
    </row>
    <row r="836" spans="1:14" s="54" customFormat="1" x14ac:dyDescent="0.25">
      <c r="A836" s="75"/>
      <c r="B836" s="76" t="s">
        <v>38</v>
      </c>
      <c r="C836" s="77"/>
      <c r="D836" s="77"/>
      <c r="E836" s="77"/>
      <c r="F836" s="77"/>
      <c r="G836" s="78"/>
      <c r="H836" s="78"/>
      <c r="I836" s="78"/>
      <c r="J836" s="79"/>
      <c r="K836" s="80"/>
      <c r="L836" s="79">
        <f>SUM(L837:L854)</f>
        <v>521017.92908819986</v>
      </c>
      <c r="M836" s="77"/>
      <c r="N836" s="77"/>
    </row>
    <row r="837" spans="1:14" s="54" customFormat="1" ht="40.5" customHeight="1" x14ac:dyDescent="0.25">
      <c r="A837" s="81"/>
      <c r="B837" s="89" t="s">
        <v>110</v>
      </c>
      <c r="C837" s="77" t="s">
        <v>111</v>
      </c>
      <c r="D837" s="77" t="s">
        <v>60</v>
      </c>
      <c r="E837" s="90">
        <v>42</v>
      </c>
      <c r="F837" s="90"/>
      <c r="G837" s="83">
        <f>G829/0.25*E837+G830/0.12*E837</f>
        <v>18788.7</v>
      </c>
      <c r="H837" s="83">
        <f>H829/0.25*E837+H830/0.12*E837</f>
        <v>16637.739999999998</v>
      </c>
      <c r="I837" s="83">
        <f>I829/0.25*E837+I830/0.12*E837</f>
        <v>17536.400000000001</v>
      </c>
      <c r="J837" s="84">
        <f t="shared" ref="J837" si="132">SUM(G837:I837)</f>
        <v>52962.840000000004</v>
      </c>
      <c r="K837" s="80">
        <v>0</v>
      </c>
      <c r="L837" s="80">
        <f t="shared" ref="L837:L853" si="133">J837*K837</f>
        <v>0</v>
      </c>
      <c r="M837" s="77" t="s">
        <v>68</v>
      </c>
      <c r="N837" s="77" t="s">
        <v>320</v>
      </c>
    </row>
    <row r="838" spans="1:14" s="54" customFormat="1" ht="34.5" customHeight="1" x14ac:dyDescent="0.25">
      <c r="A838" s="92"/>
      <c r="B838" s="91" t="s">
        <v>112</v>
      </c>
      <c r="C838" s="77" t="s">
        <v>70</v>
      </c>
      <c r="D838" s="77" t="s">
        <v>45</v>
      </c>
      <c r="E838" s="77">
        <v>0.24</v>
      </c>
      <c r="F838" s="77"/>
      <c r="G838" s="78">
        <f>G829*E838+G830*E838</f>
        <v>18.393599999999999</v>
      </c>
      <c r="H838" s="78">
        <f>H829*E838+H830*E838</f>
        <v>17.265599999999999</v>
      </c>
      <c r="I838" s="78">
        <f>I829*E838+I830*E838</f>
        <v>18.2088</v>
      </c>
      <c r="J838" s="79">
        <f t="shared" ref="J838:J841" si="134">SUM(G838:I838)</f>
        <v>53.867999999999995</v>
      </c>
      <c r="K838" s="80">
        <v>7875</v>
      </c>
      <c r="L838" s="80">
        <f t="shared" si="133"/>
        <v>424210.49999999994</v>
      </c>
      <c r="M838" s="77" t="s">
        <v>73</v>
      </c>
      <c r="N838" s="77" t="s">
        <v>321</v>
      </c>
    </row>
    <row r="839" spans="1:14" s="54" customFormat="1" ht="28.5" customHeight="1" x14ac:dyDescent="0.25">
      <c r="A839" s="92"/>
      <c r="B839" s="91" t="s">
        <v>74</v>
      </c>
      <c r="C839" s="77" t="s">
        <v>70</v>
      </c>
      <c r="D839" s="77" t="s">
        <v>45</v>
      </c>
      <c r="E839" s="77">
        <v>1.01</v>
      </c>
      <c r="F839" s="77"/>
      <c r="G839" s="78">
        <f>G835*E839</f>
        <v>1.3435019999999997E-2</v>
      </c>
      <c r="H839" s="78">
        <f>H835*E839</f>
        <v>2.1543299999999998E-2</v>
      </c>
      <c r="I839" s="78">
        <f>I835*E839</f>
        <v>5.2721999999999995E-3</v>
      </c>
      <c r="J839" s="79">
        <f t="shared" si="134"/>
        <v>4.0250519999999991E-2</v>
      </c>
      <c r="K839" s="80">
        <v>7875</v>
      </c>
      <c r="L839" s="80">
        <f t="shared" si="133"/>
        <v>316.97284499999995</v>
      </c>
      <c r="M839" s="77" t="s">
        <v>71</v>
      </c>
      <c r="N839" s="77" t="s">
        <v>321</v>
      </c>
    </row>
    <row r="840" spans="1:14" s="54" customFormat="1" ht="32.25" customHeight="1" x14ac:dyDescent="0.25">
      <c r="A840" s="81"/>
      <c r="B840" s="89" t="s">
        <v>75</v>
      </c>
      <c r="C840" s="77" t="s">
        <v>70</v>
      </c>
      <c r="D840" s="77" t="s">
        <v>45</v>
      </c>
      <c r="E840" s="77">
        <v>6.0000000000000001E-3</v>
      </c>
      <c r="F840" s="77"/>
      <c r="G840" s="78">
        <f>G831*E840</f>
        <v>1.2E-2</v>
      </c>
      <c r="H840" s="93">
        <v>0.01</v>
      </c>
      <c r="I840" s="78">
        <f>I831*E840</f>
        <v>2.4E-2</v>
      </c>
      <c r="J840" s="79">
        <f t="shared" si="134"/>
        <v>4.5999999999999999E-2</v>
      </c>
      <c r="K840" s="80">
        <v>7875</v>
      </c>
      <c r="L840" s="80">
        <f t="shared" si="133"/>
        <v>362.25</v>
      </c>
      <c r="M840" s="77" t="s">
        <v>76</v>
      </c>
      <c r="N840" s="77" t="s">
        <v>321</v>
      </c>
    </row>
    <row r="841" spans="1:14" s="54" customFormat="1" ht="28.5" customHeight="1" x14ac:dyDescent="0.25">
      <c r="A841" s="81"/>
      <c r="B841" s="89" t="s">
        <v>77</v>
      </c>
      <c r="C841" s="77" t="s">
        <v>70</v>
      </c>
      <c r="D841" s="77" t="s">
        <v>45</v>
      </c>
      <c r="E841" s="77">
        <v>1.01</v>
      </c>
      <c r="F841" s="77"/>
      <c r="G841" s="93">
        <v>6.3E-2</v>
      </c>
      <c r="H841" s="93">
        <v>4.4999999999999998E-2</v>
      </c>
      <c r="I841" s="93">
        <v>1.7999999999999999E-2</v>
      </c>
      <c r="J841" s="79">
        <f t="shared" si="134"/>
        <v>0.126</v>
      </c>
      <c r="K841" s="80">
        <v>7875</v>
      </c>
      <c r="L841" s="80">
        <f t="shared" si="133"/>
        <v>992.25</v>
      </c>
      <c r="M841" s="94"/>
      <c r="N841" s="77" t="s">
        <v>321</v>
      </c>
    </row>
    <row r="842" spans="1:14" s="54" customFormat="1" ht="23.25" customHeight="1" x14ac:dyDescent="0.25">
      <c r="A842" s="81"/>
      <c r="B842" s="89" t="s">
        <v>78</v>
      </c>
      <c r="C842" s="77" t="s">
        <v>79</v>
      </c>
      <c r="D842" s="77" t="s">
        <v>47</v>
      </c>
      <c r="E842" s="77"/>
      <c r="F842" s="77"/>
      <c r="G842" s="78">
        <v>180.36</v>
      </c>
      <c r="H842" s="78">
        <v>172.23</v>
      </c>
      <c r="I842" s="78">
        <v>192.69</v>
      </c>
      <c r="J842" s="79">
        <f t="shared" ref="J842:J848" si="135">SUM(G842:I842)</f>
        <v>545.28</v>
      </c>
      <c r="K842" s="80">
        <v>88.34</v>
      </c>
      <c r="L842" s="80">
        <f t="shared" si="133"/>
        <v>48170.035199999998</v>
      </c>
      <c r="M842" s="94"/>
      <c r="N842" s="77" t="s">
        <v>321</v>
      </c>
    </row>
    <row r="843" spans="1:14" s="54" customFormat="1" ht="23.25" customHeight="1" x14ac:dyDescent="0.25">
      <c r="A843" s="81"/>
      <c r="B843" s="89" t="s">
        <v>283</v>
      </c>
      <c r="C843" s="77" t="s">
        <v>284</v>
      </c>
      <c r="D843" s="77" t="s">
        <v>60</v>
      </c>
      <c r="E843" s="77"/>
      <c r="F843" s="77"/>
      <c r="G843" s="78"/>
      <c r="H843" s="78">
        <v>1</v>
      </c>
      <c r="I843" s="78"/>
      <c r="J843" s="79">
        <f t="shared" si="135"/>
        <v>1</v>
      </c>
      <c r="K843" s="80">
        <v>620.04999999999995</v>
      </c>
      <c r="L843" s="80">
        <f t="shared" si="133"/>
        <v>620.04999999999995</v>
      </c>
      <c r="M843" s="94"/>
      <c r="N843" s="77" t="s">
        <v>321</v>
      </c>
    </row>
    <row r="844" spans="1:14" s="54" customFormat="1" ht="23.25" customHeight="1" x14ac:dyDescent="0.25">
      <c r="A844" s="81"/>
      <c r="B844" s="89" t="s">
        <v>285</v>
      </c>
      <c r="C844" s="77" t="s">
        <v>286</v>
      </c>
      <c r="D844" s="77" t="s">
        <v>60</v>
      </c>
      <c r="E844" s="77"/>
      <c r="F844" s="77"/>
      <c r="G844" s="78">
        <v>1</v>
      </c>
      <c r="H844" s="78"/>
      <c r="I844" s="78">
        <v>1</v>
      </c>
      <c r="J844" s="79">
        <f t="shared" si="135"/>
        <v>2</v>
      </c>
      <c r="K844" s="80">
        <v>708.62</v>
      </c>
      <c r="L844" s="80">
        <f t="shared" si="133"/>
        <v>1417.24</v>
      </c>
      <c r="M844" s="94"/>
      <c r="N844" s="77" t="s">
        <v>321</v>
      </c>
    </row>
    <row r="845" spans="1:14" s="54" customFormat="1" ht="23.25" customHeight="1" x14ac:dyDescent="0.25">
      <c r="A845" s="81"/>
      <c r="B845" s="89" t="s">
        <v>299</v>
      </c>
      <c r="C845" s="77" t="s">
        <v>300</v>
      </c>
      <c r="D845" s="77" t="s">
        <v>60</v>
      </c>
      <c r="E845" s="77"/>
      <c r="F845" s="77"/>
      <c r="G845" s="78"/>
      <c r="H845" s="78"/>
      <c r="I845" s="78">
        <v>1</v>
      </c>
      <c r="J845" s="79">
        <f t="shared" si="135"/>
        <v>1</v>
      </c>
      <c r="K845" s="80">
        <v>1107.23</v>
      </c>
      <c r="L845" s="80">
        <f t="shared" si="133"/>
        <v>1107.23</v>
      </c>
      <c r="M845" s="94"/>
      <c r="N845" s="77" t="s">
        <v>321</v>
      </c>
    </row>
    <row r="846" spans="1:14" s="54" customFormat="1" ht="23.25" customHeight="1" x14ac:dyDescent="0.25">
      <c r="A846" s="81"/>
      <c r="B846" s="89" t="s">
        <v>306</v>
      </c>
      <c r="C846" s="77" t="s">
        <v>307</v>
      </c>
      <c r="D846" s="77" t="s">
        <v>60</v>
      </c>
      <c r="E846" s="77"/>
      <c r="F846" s="77"/>
      <c r="G846" s="78">
        <v>1</v>
      </c>
      <c r="H846" s="78"/>
      <c r="I846" s="78"/>
      <c r="J846" s="79">
        <f t="shared" si="135"/>
        <v>1</v>
      </c>
      <c r="K846" s="80">
        <v>1660.84</v>
      </c>
      <c r="L846" s="80">
        <f t="shared" si="133"/>
        <v>1660.84</v>
      </c>
      <c r="M846" s="94"/>
      <c r="N846" s="77" t="s">
        <v>321</v>
      </c>
    </row>
    <row r="847" spans="1:14" s="54" customFormat="1" ht="23.25" customHeight="1" x14ac:dyDescent="0.25">
      <c r="A847" s="81"/>
      <c r="B847" s="89" t="s">
        <v>302</v>
      </c>
      <c r="C847" s="77" t="s">
        <v>124</v>
      </c>
      <c r="D847" s="77" t="s">
        <v>60</v>
      </c>
      <c r="E847" s="77"/>
      <c r="F847" s="77"/>
      <c r="G847" s="78"/>
      <c r="H847" s="78"/>
      <c r="I847" s="78">
        <v>1</v>
      </c>
      <c r="J847" s="79">
        <f t="shared" si="135"/>
        <v>1</v>
      </c>
      <c r="K847" s="80">
        <v>1845.38</v>
      </c>
      <c r="L847" s="80">
        <f t="shared" si="133"/>
        <v>1845.38</v>
      </c>
      <c r="M847" s="94"/>
      <c r="N847" s="77" t="s">
        <v>321</v>
      </c>
    </row>
    <row r="848" spans="1:14" s="54" customFormat="1" ht="23.25" customHeight="1" x14ac:dyDescent="0.25">
      <c r="A848" s="81"/>
      <c r="B848" s="89" t="s">
        <v>303</v>
      </c>
      <c r="C848" s="77" t="s">
        <v>126</v>
      </c>
      <c r="D848" s="77" t="s">
        <v>60</v>
      </c>
      <c r="E848" s="77"/>
      <c r="F848" s="77"/>
      <c r="G848" s="78"/>
      <c r="H848" s="78"/>
      <c r="I848" s="78">
        <v>1</v>
      </c>
      <c r="J848" s="79">
        <f t="shared" si="135"/>
        <v>1</v>
      </c>
      <c r="K848" s="80">
        <v>2029.91</v>
      </c>
      <c r="L848" s="80">
        <f t="shared" si="133"/>
        <v>2029.91</v>
      </c>
      <c r="M848" s="94"/>
      <c r="N848" s="77" t="s">
        <v>321</v>
      </c>
    </row>
    <row r="849" spans="1:15" s="54" customFormat="1" ht="23.25" customHeight="1" x14ac:dyDescent="0.25">
      <c r="A849" s="81"/>
      <c r="B849" s="89" t="s">
        <v>92</v>
      </c>
      <c r="C849" s="77" t="s">
        <v>93</v>
      </c>
      <c r="D849" s="77" t="s">
        <v>54</v>
      </c>
      <c r="E849" s="77">
        <v>1.04</v>
      </c>
      <c r="F849" s="77"/>
      <c r="G849" s="78">
        <f>9.91*E849</f>
        <v>10.3064</v>
      </c>
      <c r="H849" s="78">
        <f>14.99*E849</f>
        <v>15.589600000000001</v>
      </c>
      <c r="I849" s="78">
        <f>16.4*E849</f>
        <v>17.055999999999997</v>
      </c>
      <c r="J849" s="79">
        <f t="shared" ref="J849:J852" si="136">SUM(G849:I849)</f>
        <v>42.951999999999998</v>
      </c>
      <c r="K849" s="80">
        <v>66.349999999999994</v>
      </c>
      <c r="L849" s="80">
        <f t="shared" si="133"/>
        <v>2849.8651999999997</v>
      </c>
      <c r="M849" s="94"/>
      <c r="N849" s="77" t="s">
        <v>321</v>
      </c>
    </row>
    <row r="850" spans="1:15" s="54" customFormat="1" ht="23.25" customHeight="1" x14ac:dyDescent="0.25">
      <c r="A850" s="81"/>
      <c r="B850" s="89" t="s">
        <v>94</v>
      </c>
      <c r="C850" s="77" t="s">
        <v>95</v>
      </c>
      <c r="D850" s="77" t="s">
        <v>54</v>
      </c>
      <c r="E850" s="77">
        <v>1.04</v>
      </c>
      <c r="F850" s="77"/>
      <c r="G850" s="78">
        <f>G833*E850</f>
        <v>34.996000000000002</v>
      </c>
      <c r="H850" s="78">
        <f>H833*E850</f>
        <v>30.139200000000002</v>
      </c>
      <c r="I850" s="78">
        <f>I833*E850</f>
        <v>9.4224000000000014</v>
      </c>
      <c r="J850" s="79">
        <f t="shared" si="136"/>
        <v>74.557599999999994</v>
      </c>
      <c r="K850" s="80">
        <v>64</v>
      </c>
      <c r="L850" s="80">
        <f t="shared" si="133"/>
        <v>4771.6863999999996</v>
      </c>
      <c r="M850" s="94"/>
      <c r="N850" s="77" t="s">
        <v>321</v>
      </c>
    </row>
    <row r="851" spans="1:15" s="54" customFormat="1" ht="23.25" customHeight="1" x14ac:dyDescent="0.25">
      <c r="A851" s="81"/>
      <c r="B851" s="89" t="s">
        <v>96</v>
      </c>
      <c r="C851" s="77" t="s">
        <v>39</v>
      </c>
      <c r="D851" s="77" t="s">
        <v>54</v>
      </c>
      <c r="E851" s="77">
        <v>1.04</v>
      </c>
      <c r="F851" s="77"/>
      <c r="G851" s="78">
        <f>E851*33.08</f>
        <v>34.403199999999998</v>
      </c>
      <c r="H851" s="78">
        <f>E851*33.08</f>
        <v>34.403199999999998</v>
      </c>
      <c r="I851" s="78">
        <f>E851*61.52</f>
        <v>63.980800000000002</v>
      </c>
      <c r="J851" s="79">
        <f t="shared" si="136"/>
        <v>132.78719999999998</v>
      </c>
      <c r="K851" s="80">
        <v>72.78</v>
      </c>
      <c r="L851" s="80">
        <f t="shared" si="133"/>
        <v>9664.2524159999994</v>
      </c>
      <c r="M851" s="94"/>
      <c r="N851" s="77" t="s">
        <v>321</v>
      </c>
      <c r="O851" s="2"/>
    </row>
    <row r="852" spans="1:15" s="54" customFormat="1" ht="23.25" customHeight="1" x14ac:dyDescent="0.25">
      <c r="A852" s="81"/>
      <c r="B852" s="89" t="s">
        <v>97</v>
      </c>
      <c r="C852" s="77" t="s">
        <v>39</v>
      </c>
      <c r="D852" s="77" t="s">
        <v>54</v>
      </c>
      <c r="E852" s="77">
        <v>1.04</v>
      </c>
      <c r="F852" s="77"/>
      <c r="G852" s="78"/>
      <c r="H852" s="78">
        <f>E852*3.62</f>
        <v>3.7648000000000001</v>
      </c>
      <c r="I852" s="78">
        <f>E852*6.49</f>
        <v>6.7496</v>
      </c>
      <c r="J852" s="79">
        <f t="shared" si="136"/>
        <v>10.5144</v>
      </c>
      <c r="K852" s="80">
        <v>74.92</v>
      </c>
      <c r="L852" s="80">
        <f t="shared" si="133"/>
        <v>787.73884800000008</v>
      </c>
      <c r="M852" s="94"/>
      <c r="N852" s="77" t="s">
        <v>321</v>
      </c>
    </row>
    <row r="853" spans="1:15" s="54" customFormat="1" ht="23.25" customHeight="1" x14ac:dyDescent="0.25">
      <c r="A853" s="81"/>
      <c r="B853" s="89" t="s">
        <v>275</v>
      </c>
      <c r="C853" s="77" t="s">
        <v>276</v>
      </c>
      <c r="D853" s="77" t="s">
        <v>45</v>
      </c>
      <c r="E853" s="77">
        <v>1.04</v>
      </c>
      <c r="F853" s="77"/>
      <c r="G853" s="78">
        <f>G834*0.15*E853</f>
        <v>2.3462399999999999</v>
      </c>
      <c r="H853" s="78">
        <v>0</v>
      </c>
      <c r="I853" s="78">
        <v>0</v>
      </c>
      <c r="J853" s="79">
        <f t="shared" ref="J853" si="137">SUM(G853:I853)</f>
        <v>2.3462399999999999</v>
      </c>
      <c r="K853" s="80">
        <v>6405.83</v>
      </c>
      <c r="L853" s="80">
        <f t="shared" si="133"/>
        <v>15029.614579199999</v>
      </c>
      <c r="M853" s="94"/>
      <c r="N853" s="77" t="s">
        <v>321</v>
      </c>
    </row>
    <row r="854" spans="1:15" s="101" customFormat="1" ht="23.25" customHeight="1" x14ac:dyDescent="0.25">
      <c r="A854" s="95"/>
      <c r="B854" s="96" t="s">
        <v>98</v>
      </c>
      <c r="C854" s="97" t="s">
        <v>39</v>
      </c>
      <c r="D854" s="97" t="s">
        <v>99</v>
      </c>
      <c r="E854" s="97"/>
      <c r="F854" s="97"/>
      <c r="G854" s="98"/>
      <c r="H854" s="98"/>
      <c r="I854" s="98"/>
      <c r="J854" s="99">
        <f>L854*100/L828</f>
        <v>0.28127120300836789</v>
      </c>
      <c r="K854" s="79"/>
      <c r="L854" s="79">
        <v>5182.1136000000006</v>
      </c>
      <c r="M854" s="100"/>
      <c r="N854" s="97" t="s">
        <v>321</v>
      </c>
    </row>
    <row r="855" spans="1:15" ht="21.75" customHeight="1" x14ac:dyDescent="0.25">
      <c r="A855" s="102"/>
      <c r="B855" s="317" t="s">
        <v>182</v>
      </c>
      <c r="C855" s="318"/>
      <c r="D855" s="318"/>
      <c r="E855" s="318"/>
      <c r="F855" s="318"/>
      <c r="G855" s="318"/>
      <c r="H855" s="318"/>
      <c r="I855" s="318"/>
      <c r="J855" s="318"/>
      <c r="K855" s="319"/>
      <c r="L855" s="103">
        <f>L827+L781+L735+L685+L634+L584+L532+L480+L429+L378+L327+L276+L225+L175+L125+L75+L25+L20</f>
        <v>63002149.553565897</v>
      </c>
      <c r="M855" s="103"/>
      <c r="N855" s="104"/>
    </row>
    <row r="856" spans="1:15" ht="21.75" customHeight="1" x14ac:dyDescent="0.25">
      <c r="A856" s="105"/>
      <c r="B856" s="320" t="s">
        <v>183</v>
      </c>
      <c r="C856" s="321"/>
      <c r="D856" s="321"/>
      <c r="E856" s="321"/>
      <c r="F856" s="321"/>
      <c r="G856" s="321"/>
      <c r="H856" s="321"/>
      <c r="I856" s="321"/>
      <c r="J856" s="321"/>
      <c r="K856" s="322"/>
      <c r="L856" s="106">
        <f>L828+L782+L736+L686+L635+L585+L533+L481+L430+L379+L328+L277+L226+L176+L126+L76+L26+L21</f>
        <v>48874670.04999999</v>
      </c>
      <c r="M856" s="106"/>
      <c r="N856" s="107"/>
    </row>
    <row r="857" spans="1:15" ht="21.75" customHeight="1" x14ac:dyDescent="0.25">
      <c r="A857" s="105"/>
      <c r="B857" s="320" t="s">
        <v>184</v>
      </c>
      <c r="C857" s="321"/>
      <c r="D857" s="321"/>
      <c r="E857" s="321"/>
      <c r="F857" s="321"/>
      <c r="G857" s="321"/>
      <c r="H857" s="321"/>
      <c r="I857" s="321"/>
      <c r="J857" s="321"/>
      <c r="K857" s="322"/>
      <c r="L857" s="106">
        <f>L836+L794+L748+L699+L648+L598+L546+L494+L443+L392+L341+L290+L239+L189+L139+L89+L38</f>
        <v>14127479.503565898</v>
      </c>
      <c r="M857" s="106"/>
      <c r="N857" s="107"/>
    </row>
    <row r="858" spans="1:15" ht="21.75" customHeight="1" x14ac:dyDescent="0.25">
      <c r="A858" s="105"/>
      <c r="B858" s="320" t="s">
        <v>185</v>
      </c>
      <c r="C858" s="321"/>
      <c r="D858" s="321"/>
      <c r="E858" s="321"/>
      <c r="F858" s="321"/>
      <c r="G858" s="321"/>
      <c r="H858" s="321"/>
      <c r="I858" s="321"/>
      <c r="J858" s="321"/>
      <c r="K858" s="322"/>
      <c r="L858" s="106" t="s">
        <v>186</v>
      </c>
      <c r="M858" s="106"/>
      <c r="N858" s="107"/>
    </row>
    <row r="859" spans="1:15" x14ac:dyDescent="0.25">
      <c r="M859" s="111"/>
      <c r="N859" s="17"/>
    </row>
    <row r="860" spans="1:15" ht="15.75" customHeight="1" x14ac:dyDescent="0.25">
      <c r="A860" s="112"/>
      <c r="B860" s="113" t="s">
        <v>187</v>
      </c>
      <c r="C860" s="101"/>
      <c r="D860" s="101"/>
      <c r="E860" s="101"/>
      <c r="F860" s="101"/>
      <c r="G860" s="114"/>
      <c r="H860" s="114"/>
      <c r="I860" s="114"/>
      <c r="J860" s="101"/>
      <c r="K860" s="101"/>
      <c r="L860" s="114"/>
      <c r="M860" s="101"/>
      <c r="N860" s="54"/>
    </row>
    <row r="861" spans="1:15" ht="15.75" customHeight="1" x14ac:dyDescent="0.25">
      <c r="A861" s="112"/>
      <c r="B861" s="113" t="s">
        <v>188</v>
      </c>
      <c r="C861" s="101"/>
      <c r="D861" s="101"/>
      <c r="E861" s="101"/>
      <c r="F861" s="101"/>
      <c r="G861" s="115"/>
      <c r="H861" s="115"/>
      <c r="I861" s="115"/>
      <c r="J861" s="101"/>
      <c r="K861" s="101"/>
      <c r="L861" s="101"/>
      <c r="M861" s="101"/>
      <c r="N861" s="54"/>
    </row>
    <row r="862" spans="1:15" x14ac:dyDescent="0.25">
      <c r="A862" s="112" t="s">
        <v>189</v>
      </c>
      <c r="B862" s="116" t="s">
        <v>190</v>
      </c>
      <c r="D862" s="47"/>
      <c r="J862" s="101"/>
      <c r="K862" s="47"/>
      <c r="M862" s="110"/>
      <c r="N862" s="110"/>
    </row>
    <row r="863" spans="1:15" x14ac:dyDescent="0.25">
      <c r="A863" s="112" t="s">
        <v>191</v>
      </c>
      <c r="B863" s="116" t="s">
        <v>192</v>
      </c>
      <c r="D863" s="47"/>
      <c r="J863" s="101"/>
      <c r="K863" s="47"/>
      <c r="M863" s="110"/>
      <c r="N863" s="110"/>
    </row>
    <row r="864" spans="1:15" x14ac:dyDescent="0.25">
      <c r="A864" s="112" t="s">
        <v>193</v>
      </c>
      <c r="B864" s="116" t="s">
        <v>194</v>
      </c>
      <c r="D864" s="47"/>
      <c r="J864" s="101"/>
      <c r="K864" s="47"/>
      <c r="M864" s="110"/>
      <c r="N864" s="110"/>
    </row>
    <row r="865" spans="1:14" x14ac:dyDescent="0.25">
      <c r="A865" s="112" t="s">
        <v>195</v>
      </c>
      <c r="B865" s="116" t="s">
        <v>196</v>
      </c>
      <c r="D865" s="47"/>
      <c r="J865" s="101"/>
      <c r="K865" s="47"/>
      <c r="M865" s="110"/>
      <c r="N865" s="110"/>
    </row>
    <row r="866" spans="1:14" x14ac:dyDescent="0.25">
      <c r="A866" s="112" t="s">
        <v>197</v>
      </c>
      <c r="B866" s="116" t="s">
        <v>198</v>
      </c>
      <c r="D866" s="47"/>
      <c r="J866" s="101"/>
      <c r="K866" s="47"/>
      <c r="M866" s="110"/>
      <c r="N866" s="110"/>
    </row>
    <row r="867" spans="1:14" x14ac:dyDescent="0.25">
      <c r="A867" s="112" t="s">
        <v>191</v>
      </c>
      <c r="B867" s="116" t="s">
        <v>192</v>
      </c>
      <c r="D867" s="47"/>
      <c r="J867" s="101"/>
      <c r="K867" s="47"/>
      <c r="M867" s="110"/>
      <c r="N867" s="110"/>
    </row>
    <row r="868" spans="1:14" x14ac:dyDescent="0.25">
      <c r="A868" s="112" t="s">
        <v>193</v>
      </c>
      <c r="B868" s="116" t="s">
        <v>199</v>
      </c>
      <c r="D868" s="47"/>
      <c r="J868" s="101"/>
      <c r="K868" s="47"/>
      <c r="M868" s="110"/>
      <c r="N868" s="110"/>
    </row>
    <row r="869" spans="1:14" x14ac:dyDescent="0.25">
      <c r="A869" s="112" t="s">
        <v>195</v>
      </c>
      <c r="B869" s="116" t="s">
        <v>194</v>
      </c>
      <c r="D869" s="47"/>
      <c r="J869" s="101"/>
      <c r="K869" s="47"/>
      <c r="M869" s="110"/>
      <c r="N869" s="110"/>
    </row>
    <row r="870" spans="1:14" x14ac:dyDescent="0.25">
      <c r="A870" s="112" t="s">
        <v>200</v>
      </c>
      <c r="B870" s="116" t="s">
        <v>201</v>
      </c>
      <c r="D870" s="47"/>
      <c r="J870" s="101"/>
      <c r="K870" s="47"/>
      <c r="M870" s="110"/>
      <c r="N870" s="110"/>
    </row>
    <row r="871" spans="1:14" x14ac:dyDescent="0.25">
      <c r="A871" s="112" t="s">
        <v>202</v>
      </c>
      <c r="B871" s="116" t="s">
        <v>203</v>
      </c>
      <c r="D871" s="47"/>
      <c r="J871" s="101"/>
      <c r="K871" s="47"/>
      <c r="M871" s="110"/>
      <c r="N871" s="110"/>
    </row>
    <row r="872" spans="1:14" x14ac:dyDescent="0.25">
      <c r="A872" s="112"/>
      <c r="B872" s="117" t="s">
        <v>204</v>
      </c>
      <c r="J872" s="101"/>
      <c r="K872" s="47"/>
      <c r="M872" s="110"/>
      <c r="N872" s="110"/>
    </row>
    <row r="873" spans="1:14" x14ac:dyDescent="0.25">
      <c r="A873" s="112" t="s">
        <v>205</v>
      </c>
      <c r="B873" s="116" t="s">
        <v>190</v>
      </c>
      <c r="J873" s="101"/>
      <c r="K873" s="47"/>
      <c r="M873" s="110"/>
      <c r="N873" s="110"/>
    </row>
    <row r="874" spans="1:14" x14ac:dyDescent="0.25">
      <c r="A874" s="112" t="s">
        <v>191</v>
      </c>
      <c r="B874" s="116" t="s">
        <v>192</v>
      </c>
      <c r="J874" s="101"/>
      <c r="K874" s="47"/>
      <c r="M874" s="110"/>
      <c r="N874" s="110"/>
    </row>
    <row r="875" spans="1:14" x14ac:dyDescent="0.25">
      <c r="A875" s="112" t="s">
        <v>193</v>
      </c>
      <c r="B875" s="116" t="s">
        <v>194</v>
      </c>
      <c r="J875" s="101"/>
      <c r="K875" s="47"/>
      <c r="M875" s="110"/>
      <c r="N875" s="110"/>
    </row>
    <row r="876" spans="1:14" x14ac:dyDescent="0.25">
      <c r="A876" s="112" t="s">
        <v>195</v>
      </c>
      <c r="B876" s="116" t="s">
        <v>201</v>
      </c>
      <c r="J876" s="101"/>
      <c r="K876" s="47"/>
      <c r="M876" s="110"/>
      <c r="N876" s="110"/>
    </row>
    <row r="877" spans="1:14" x14ac:dyDescent="0.25">
      <c r="A877" s="112" t="s">
        <v>206</v>
      </c>
      <c r="B877" s="116" t="s">
        <v>198</v>
      </c>
      <c r="J877" s="101"/>
      <c r="K877" s="47"/>
      <c r="M877" s="110"/>
      <c r="N877" s="110"/>
    </row>
    <row r="878" spans="1:14" x14ac:dyDescent="0.25">
      <c r="A878" s="112" t="s">
        <v>191</v>
      </c>
      <c r="B878" s="116" t="s">
        <v>199</v>
      </c>
      <c r="J878" s="101"/>
      <c r="K878" s="47"/>
      <c r="M878" s="110"/>
      <c r="N878" s="110"/>
    </row>
    <row r="879" spans="1:14" x14ac:dyDescent="0.25">
      <c r="A879" s="112" t="s">
        <v>193</v>
      </c>
      <c r="B879" s="116" t="s">
        <v>201</v>
      </c>
      <c r="J879" s="101"/>
      <c r="K879" s="47"/>
      <c r="M879" s="110"/>
      <c r="N879" s="110"/>
    </row>
    <row r="880" spans="1:14" x14ac:dyDescent="0.25">
      <c r="A880" s="112"/>
      <c r="B880" s="117" t="s">
        <v>207</v>
      </c>
      <c r="J880" s="101"/>
      <c r="K880" s="47"/>
      <c r="M880" s="110"/>
      <c r="N880" s="110"/>
    </row>
    <row r="881" spans="1:14" x14ac:dyDescent="0.25">
      <c r="A881" s="112" t="s">
        <v>208</v>
      </c>
      <c r="B881" s="116" t="s">
        <v>190</v>
      </c>
      <c r="J881" s="101"/>
      <c r="K881" s="47"/>
      <c r="M881" s="110"/>
      <c r="N881" s="110"/>
    </row>
    <row r="882" spans="1:14" x14ac:dyDescent="0.25">
      <c r="A882" s="112" t="s">
        <v>191</v>
      </c>
      <c r="B882" s="116" t="s">
        <v>192</v>
      </c>
      <c r="J882" s="101"/>
      <c r="K882" s="47"/>
      <c r="M882" s="110"/>
      <c r="N882" s="110"/>
    </row>
    <row r="883" spans="1:14" x14ac:dyDescent="0.25">
      <c r="A883" s="112" t="s">
        <v>193</v>
      </c>
      <c r="B883" s="116" t="s">
        <v>199</v>
      </c>
      <c r="J883" s="101"/>
      <c r="K883" s="47"/>
      <c r="M883" s="110"/>
      <c r="N883" s="110"/>
    </row>
    <row r="884" spans="1:14" x14ac:dyDescent="0.25">
      <c r="A884" s="112" t="s">
        <v>195</v>
      </c>
      <c r="B884" s="116" t="s">
        <v>201</v>
      </c>
      <c r="J884" s="101"/>
      <c r="K884" s="47"/>
      <c r="M884" s="110"/>
      <c r="N884" s="110"/>
    </row>
    <row r="885" spans="1:14" x14ac:dyDescent="0.25">
      <c r="A885" s="112" t="s">
        <v>209</v>
      </c>
      <c r="B885" s="116" t="s">
        <v>198</v>
      </c>
      <c r="J885" s="101"/>
      <c r="K885" s="47"/>
      <c r="M885" s="110"/>
      <c r="N885" s="110"/>
    </row>
    <row r="886" spans="1:14" x14ac:dyDescent="0.25">
      <c r="A886" s="112" t="s">
        <v>191</v>
      </c>
      <c r="B886" s="116" t="s">
        <v>199</v>
      </c>
      <c r="J886" s="101"/>
      <c r="K886" s="47"/>
      <c r="M886" s="110"/>
      <c r="N886" s="110"/>
    </row>
    <row r="887" spans="1:14" x14ac:dyDescent="0.25">
      <c r="A887" s="112" t="s">
        <v>193</v>
      </c>
      <c r="B887" s="116" t="s">
        <v>201</v>
      </c>
      <c r="J887" s="101"/>
      <c r="K887" s="47"/>
      <c r="M887" s="110"/>
      <c r="N887" s="110"/>
    </row>
    <row r="888" spans="1:14" x14ac:dyDescent="0.25">
      <c r="A888" s="112"/>
      <c r="B888" s="117" t="s">
        <v>210</v>
      </c>
      <c r="J888" s="101"/>
      <c r="K888" s="47"/>
      <c r="M888" s="110"/>
      <c r="N888" s="110"/>
    </row>
    <row r="889" spans="1:14" x14ac:dyDescent="0.25">
      <c r="A889" s="112" t="s">
        <v>211</v>
      </c>
      <c r="B889" s="116" t="s">
        <v>212</v>
      </c>
      <c r="J889" s="101"/>
      <c r="K889" s="47"/>
      <c r="M889" s="110"/>
      <c r="N889" s="110"/>
    </row>
    <row r="890" spans="1:14" x14ac:dyDescent="0.25">
      <c r="A890" s="112" t="s">
        <v>191</v>
      </c>
      <c r="B890" s="116" t="s">
        <v>192</v>
      </c>
      <c r="J890" s="101"/>
      <c r="K890" s="47"/>
      <c r="M890" s="110"/>
      <c r="N890" s="110"/>
    </row>
    <row r="891" spans="1:14" x14ac:dyDescent="0.25">
      <c r="A891" s="112" t="s">
        <v>193</v>
      </c>
      <c r="B891" s="116" t="s">
        <v>213</v>
      </c>
      <c r="J891" s="101"/>
      <c r="K891" s="47"/>
      <c r="M891" s="110"/>
      <c r="N891" s="110"/>
    </row>
    <row r="892" spans="1:14" x14ac:dyDescent="0.25">
      <c r="A892" s="112" t="s">
        <v>214</v>
      </c>
      <c r="B892" s="116" t="s">
        <v>215</v>
      </c>
      <c r="J892" s="101"/>
      <c r="K892" s="47"/>
      <c r="M892" s="110"/>
      <c r="N892" s="110"/>
    </row>
    <row r="893" spans="1:14" x14ac:dyDescent="0.25">
      <c r="A893" s="112" t="s">
        <v>191</v>
      </c>
      <c r="B893" s="116" t="s">
        <v>199</v>
      </c>
      <c r="J893" s="101"/>
      <c r="K893" s="47"/>
      <c r="M893" s="110"/>
      <c r="N893" s="110"/>
    </row>
    <row r="894" spans="1:14" x14ac:dyDescent="0.25">
      <c r="A894" s="112" t="s">
        <v>193</v>
      </c>
      <c r="B894" s="116" t="s">
        <v>201</v>
      </c>
      <c r="J894" s="101"/>
      <c r="K894" s="47"/>
      <c r="M894" s="110"/>
      <c r="N894" s="110"/>
    </row>
    <row r="895" spans="1:14" x14ac:dyDescent="0.25">
      <c r="A895" s="112"/>
      <c r="B895" s="117" t="s">
        <v>216</v>
      </c>
      <c r="J895" s="101"/>
      <c r="K895" s="47"/>
      <c r="M895" s="110"/>
      <c r="N895" s="110"/>
    </row>
    <row r="896" spans="1:14" x14ac:dyDescent="0.25">
      <c r="A896" s="112" t="s">
        <v>217</v>
      </c>
      <c r="B896" s="116" t="s">
        <v>212</v>
      </c>
      <c r="J896" s="101"/>
      <c r="K896" s="47"/>
      <c r="M896" s="110"/>
      <c r="N896" s="110"/>
    </row>
    <row r="897" spans="1:14" x14ac:dyDescent="0.25">
      <c r="A897" s="112" t="s">
        <v>191</v>
      </c>
      <c r="B897" s="116" t="s">
        <v>192</v>
      </c>
      <c r="J897" s="101"/>
      <c r="K897" s="47"/>
      <c r="M897" s="110"/>
      <c r="N897" s="110"/>
    </row>
    <row r="898" spans="1:14" x14ac:dyDescent="0.25">
      <c r="A898" s="112" t="s">
        <v>193</v>
      </c>
      <c r="B898" s="116" t="s">
        <v>213</v>
      </c>
      <c r="J898" s="101"/>
      <c r="K898" s="47"/>
      <c r="M898" s="110"/>
      <c r="N898" s="110"/>
    </row>
    <row r="899" spans="1:14" x14ac:dyDescent="0.25">
      <c r="A899" s="112" t="s">
        <v>195</v>
      </c>
      <c r="B899" s="116" t="s">
        <v>199</v>
      </c>
      <c r="J899" s="101"/>
      <c r="K899" s="47"/>
      <c r="M899" s="110"/>
      <c r="N899" s="110"/>
    </row>
    <row r="900" spans="1:14" x14ac:dyDescent="0.25">
      <c r="A900" s="112" t="s">
        <v>218</v>
      </c>
      <c r="B900" s="116" t="s">
        <v>198</v>
      </c>
      <c r="J900" s="101"/>
      <c r="K900" s="47"/>
      <c r="M900" s="110"/>
      <c r="N900" s="110"/>
    </row>
    <row r="901" spans="1:14" x14ac:dyDescent="0.25">
      <c r="A901" s="112" t="s">
        <v>191</v>
      </c>
      <c r="B901" s="116" t="s">
        <v>192</v>
      </c>
      <c r="J901" s="101"/>
      <c r="K901" s="47"/>
      <c r="M901" s="110"/>
      <c r="N901" s="110"/>
    </row>
    <row r="902" spans="1:14" x14ac:dyDescent="0.25">
      <c r="A902" s="112" t="s">
        <v>193</v>
      </c>
      <c r="B902" s="116" t="s">
        <v>213</v>
      </c>
      <c r="J902" s="101"/>
      <c r="K902" s="47"/>
      <c r="M902" s="110"/>
      <c r="N902" s="110"/>
    </row>
    <row r="903" spans="1:14" x14ac:dyDescent="0.25">
      <c r="A903" s="112" t="s">
        <v>195</v>
      </c>
      <c r="B903" s="116" t="s">
        <v>199</v>
      </c>
      <c r="J903" s="101"/>
      <c r="K903" s="47"/>
      <c r="M903" s="110"/>
      <c r="N903" s="110"/>
    </row>
    <row r="904" spans="1:14" x14ac:dyDescent="0.25">
      <c r="A904" s="112" t="s">
        <v>195</v>
      </c>
      <c r="B904" s="116" t="s">
        <v>219</v>
      </c>
      <c r="J904" s="101"/>
      <c r="K904" s="47"/>
      <c r="M904" s="110"/>
      <c r="N904" s="110"/>
    </row>
    <row r="905" spans="1:14" x14ac:dyDescent="0.25">
      <c r="A905" s="112"/>
      <c r="B905" s="117" t="s">
        <v>220</v>
      </c>
      <c r="J905" s="101"/>
      <c r="K905" s="47"/>
      <c r="M905" s="110"/>
      <c r="N905" s="110"/>
    </row>
    <row r="906" spans="1:14" ht="23.25" customHeight="1" x14ac:dyDescent="0.25">
      <c r="A906" s="112"/>
      <c r="B906" s="117" t="s">
        <v>221</v>
      </c>
      <c r="J906" s="101"/>
      <c r="K906" s="47"/>
      <c r="M906" s="110"/>
      <c r="N906" s="110"/>
    </row>
    <row r="907" spans="1:14" x14ac:dyDescent="0.25">
      <c r="B907" s="118"/>
    </row>
    <row r="908" spans="1:14" ht="23.25" customHeight="1" x14ac:dyDescent="0.25">
      <c r="A908" s="119" t="s">
        <v>222</v>
      </c>
      <c r="B908" s="128"/>
      <c r="C908" s="12"/>
      <c r="D908" s="12"/>
      <c r="E908" s="12"/>
      <c r="F908" s="12"/>
      <c r="G908" s="15"/>
      <c r="H908" s="15"/>
      <c r="I908" s="15"/>
      <c r="J908" s="120"/>
      <c r="K908" s="17"/>
      <c r="L908" s="17"/>
      <c r="M908" s="17"/>
    </row>
    <row r="909" spans="1:14" ht="25.5" customHeight="1" x14ac:dyDescent="0.25">
      <c r="A909" s="121">
        <v>1</v>
      </c>
      <c r="B909" s="314" t="s">
        <v>223</v>
      </c>
      <c r="C909" s="314"/>
      <c r="D909" s="314"/>
      <c r="E909" s="314"/>
      <c r="F909" s="314"/>
      <c r="G909" s="314"/>
      <c r="H909" s="314"/>
      <c r="I909" s="314"/>
      <c r="J909" s="314"/>
      <c r="K909" s="314"/>
      <c r="L909" s="314"/>
      <c r="M909" s="314"/>
      <c r="N909" s="314"/>
    </row>
    <row r="910" spans="1:14" ht="34.5" customHeight="1" x14ac:dyDescent="0.25">
      <c r="A910" s="123" t="s">
        <v>189</v>
      </c>
      <c r="B910" s="314" t="s">
        <v>322</v>
      </c>
      <c r="C910" s="314"/>
      <c r="D910" s="314"/>
      <c r="E910" s="314"/>
      <c r="F910" s="314"/>
      <c r="G910" s="314"/>
      <c r="H910" s="314"/>
      <c r="I910" s="314"/>
      <c r="J910" s="314"/>
      <c r="K910" s="314"/>
      <c r="L910" s="314"/>
      <c r="M910" s="314"/>
      <c r="N910" s="314"/>
    </row>
    <row r="911" spans="1:14" ht="29.25" customHeight="1" x14ac:dyDescent="0.25">
      <c r="A911" s="123" t="s">
        <v>197</v>
      </c>
      <c r="B911" s="314" t="s">
        <v>224</v>
      </c>
      <c r="C911" s="314"/>
      <c r="D911" s="314"/>
      <c r="E911" s="314"/>
      <c r="F911" s="314"/>
      <c r="G911" s="314"/>
      <c r="H911" s="314"/>
      <c r="I911" s="314"/>
      <c r="J911" s="314"/>
      <c r="K911" s="314"/>
      <c r="L911" s="314"/>
      <c r="M911" s="314"/>
      <c r="N911" s="314"/>
    </row>
    <row r="912" spans="1:14" ht="25.5" customHeight="1" x14ac:dyDescent="0.25">
      <c r="A912" s="123" t="s">
        <v>202</v>
      </c>
      <c r="B912" s="314" t="s">
        <v>225</v>
      </c>
      <c r="C912" s="314"/>
      <c r="D912" s="314"/>
      <c r="E912" s="314"/>
      <c r="F912" s="314"/>
      <c r="G912" s="314"/>
      <c r="H912" s="314"/>
      <c r="I912" s="314"/>
      <c r="J912" s="314"/>
      <c r="K912" s="314"/>
      <c r="L912" s="314"/>
      <c r="M912" s="314"/>
      <c r="N912" s="314"/>
    </row>
    <row r="913" spans="1:14" ht="25.5" customHeight="1" x14ac:dyDescent="0.25">
      <c r="A913" s="123" t="s">
        <v>226</v>
      </c>
      <c r="B913" s="314" t="s">
        <v>227</v>
      </c>
      <c r="C913" s="314"/>
      <c r="D913" s="314"/>
      <c r="E913" s="314"/>
      <c r="F913" s="314"/>
      <c r="G913" s="314"/>
      <c r="H913" s="314"/>
      <c r="I913" s="314"/>
      <c r="J913" s="314"/>
      <c r="K913" s="314"/>
      <c r="L913" s="314"/>
      <c r="M913" s="314"/>
      <c r="N913" s="314"/>
    </row>
    <row r="914" spans="1:14" ht="24" customHeight="1" x14ac:dyDescent="0.25">
      <c r="A914" s="123" t="s">
        <v>228</v>
      </c>
      <c r="B914" s="323" t="s">
        <v>229</v>
      </c>
      <c r="C914" s="323"/>
      <c r="D914" s="323"/>
      <c r="E914" s="323"/>
      <c r="F914" s="323"/>
      <c r="G914" s="323"/>
      <c r="H914" s="323"/>
      <c r="I914" s="323"/>
      <c r="J914" s="323"/>
      <c r="K914" s="323"/>
      <c r="L914" s="323"/>
      <c r="M914" s="323"/>
      <c r="N914" s="323"/>
    </row>
    <row r="915" spans="1:14" ht="17.25" customHeight="1" x14ac:dyDescent="0.25">
      <c r="A915" s="123" t="s">
        <v>39</v>
      </c>
      <c r="B915" s="314" t="s">
        <v>230</v>
      </c>
      <c r="C915" s="314"/>
      <c r="D915" s="314"/>
      <c r="E915" s="314"/>
      <c r="F915" s="314"/>
      <c r="G915" s="314"/>
      <c r="H915" s="314"/>
      <c r="I915" s="314"/>
      <c r="J915" s="314"/>
      <c r="K915" s="314"/>
      <c r="L915" s="314"/>
      <c r="M915" s="314"/>
      <c r="N915" s="314"/>
    </row>
    <row r="916" spans="1:14" ht="17.25" customHeight="1" x14ac:dyDescent="0.25">
      <c r="A916" s="123" t="s">
        <v>39</v>
      </c>
      <c r="B916" s="314" t="s">
        <v>231</v>
      </c>
      <c r="C916" s="314"/>
      <c r="D916" s="314"/>
      <c r="E916" s="314"/>
      <c r="F916" s="314"/>
      <c r="G916" s="314"/>
      <c r="H916" s="314"/>
      <c r="I916" s="314"/>
      <c r="J916" s="314"/>
      <c r="K916" s="314"/>
      <c r="L916" s="314"/>
      <c r="M916" s="314"/>
      <c r="N916" s="314"/>
    </row>
    <row r="917" spans="1:14" ht="17.25" customHeight="1" x14ac:dyDescent="0.25">
      <c r="A917" s="123" t="s">
        <v>39</v>
      </c>
      <c r="B917" s="314" t="s">
        <v>232</v>
      </c>
      <c r="C917" s="314"/>
      <c r="D917" s="314"/>
      <c r="E917" s="314"/>
      <c r="F917" s="314"/>
      <c r="G917" s="314"/>
      <c r="H917" s="314"/>
      <c r="I917" s="314"/>
      <c r="J917" s="314"/>
      <c r="K917" s="314"/>
      <c r="L917" s="314"/>
      <c r="M917" s="314"/>
      <c r="N917" s="314"/>
    </row>
    <row r="918" spans="1:14" ht="17.25" customHeight="1" x14ac:dyDescent="0.25">
      <c r="A918" s="123" t="s">
        <v>39</v>
      </c>
      <c r="B918" s="314" t="s">
        <v>233</v>
      </c>
      <c r="C918" s="314"/>
      <c r="D918" s="314"/>
      <c r="E918" s="314"/>
      <c r="F918" s="314"/>
      <c r="G918" s="314"/>
      <c r="H918" s="314"/>
      <c r="I918" s="314"/>
      <c r="J918" s="314"/>
      <c r="K918" s="314"/>
      <c r="L918" s="314"/>
      <c r="M918" s="314"/>
      <c r="N918" s="314"/>
    </row>
    <row r="919" spans="1:14" ht="17.25" customHeight="1" x14ac:dyDescent="0.25">
      <c r="A919" s="123"/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25"/>
    </row>
    <row r="920" spans="1:14" ht="20.25" customHeight="1" x14ac:dyDescent="0.25">
      <c r="A920" s="121" t="s">
        <v>234</v>
      </c>
      <c r="B920" s="324" t="s">
        <v>235</v>
      </c>
      <c r="C920" s="324"/>
      <c r="D920" s="324"/>
      <c r="E920" s="324"/>
      <c r="F920" s="324"/>
      <c r="G920" s="324"/>
      <c r="H920" s="324"/>
      <c r="I920" s="324"/>
      <c r="J920" s="324"/>
      <c r="K920" s="324"/>
      <c r="L920" s="324"/>
      <c r="M920" s="324"/>
      <c r="N920" s="324"/>
    </row>
    <row r="921" spans="1:14" ht="20.25" customHeight="1" x14ac:dyDescent="0.25">
      <c r="A921" s="123" t="s">
        <v>236</v>
      </c>
      <c r="B921" s="314" t="s">
        <v>237</v>
      </c>
      <c r="C921" s="314"/>
      <c r="D921" s="314"/>
      <c r="E921" s="314"/>
      <c r="F921" s="314"/>
      <c r="G921" s="314"/>
      <c r="H921" s="314"/>
      <c r="I921" s="314"/>
      <c r="J921" s="314"/>
      <c r="K921" s="314"/>
      <c r="L921" s="314"/>
      <c r="M921" s="314"/>
      <c r="N921" s="314"/>
    </row>
    <row r="922" spans="1:14" ht="20.25" customHeight="1" x14ac:dyDescent="0.25">
      <c r="A922" s="123" t="s">
        <v>238</v>
      </c>
      <c r="B922" s="314" t="s">
        <v>239</v>
      </c>
      <c r="C922" s="314"/>
      <c r="D922" s="314"/>
      <c r="E922" s="314"/>
      <c r="F922" s="314"/>
      <c r="G922" s="314"/>
      <c r="H922" s="314"/>
      <c r="I922" s="314"/>
      <c r="J922" s="314"/>
      <c r="K922" s="314"/>
      <c r="L922" s="314"/>
      <c r="M922" s="314"/>
      <c r="N922" s="314"/>
    </row>
    <row r="923" spans="1:14" ht="20.25" customHeight="1" x14ac:dyDescent="0.25">
      <c r="A923" s="123" t="s">
        <v>240</v>
      </c>
      <c r="B923" s="314" t="s">
        <v>241</v>
      </c>
      <c r="C923" s="314"/>
      <c r="D923" s="314"/>
      <c r="E923" s="314"/>
      <c r="F923" s="314"/>
      <c r="G923" s="314"/>
      <c r="H923" s="314"/>
      <c r="I923" s="314"/>
      <c r="J923" s="314"/>
      <c r="K923" s="314"/>
      <c r="L923" s="314"/>
      <c r="M923" s="314"/>
      <c r="N923" s="314"/>
    </row>
    <row r="924" spans="1:14" ht="20.25" customHeight="1" x14ac:dyDescent="0.25">
      <c r="A924" s="123" t="s">
        <v>242</v>
      </c>
      <c r="B924" s="122" t="s">
        <v>243</v>
      </c>
      <c r="C924" s="122"/>
      <c r="D924" s="122"/>
      <c r="E924" s="122"/>
      <c r="F924" s="122"/>
      <c r="G924" s="122"/>
      <c r="H924" s="122"/>
      <c r="I924" s="122"/>
      <c r="J924" s="122"/>
      <c r="K924" s="122"/>
      <c r="L924" s="122"/>
      <c r="M924" s="122"/>
      <c r="N924" s="122"/>
    </row>
    <row r="925" spans="1:14" ht="18.75" customHeight="1" x14ac:dyDescent="0.25">
      <c r="A925" s="123"/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25"/>
    </row>
    <row r="926" spans="1:14" ht="32.25" customHeight="1" x14ac:dyDescent="0.25">
      <c r="A926" s="121" t="s">
        <v>244</v>
      </c>
      <c r="B926" s="314" t="s">
        <v>308</v>
      </c>
      <c r="C926" s="314"/>
      <c r="D926" s="314"/>
      <c r="E926" s="314"/>
      <c r="F926" s="314"/>
      <c r="G926" s="314"/>
      <c r="H926" s="314"/>
      <c r="I926" s="314"/>
      <c r="J926" s="314"/>
      <c r="K926" s="314"/>
      <c r="L926" s="314"/>
      <c r="M926" s="314"/>
      <c r="N926" s="314"/>
    </row>
    <row r="927" spans="1:14" ht="19.5" customHeight="1" x14ac:dyDescent="0.25">
      <c r="A927" s="121" t="s">
        <v>246</v>
      </c>
      <c r="B927" s="314" t="s">
        <v>247</v>
      </c>
      <c r="C927" s="314"/>
      <c r="D927" s="314"/>
      <c r="E927" s="314"/>
      <c r="F927" s="314"/>
      <c r="G927" s="314"/>
      <c r="H927" s="314"/>
      <c r="I927" s="314"/>
      <c r="J927" s="314"/>
      <c r="K927" s="314"/>
      <c r="L927" s="314"/>
      <c r="M927" s="314"/>
      <c r="N927" s="314"/>
    </row>
    <row r="928" spans="1:14" ht="19.5" customHeight="1" x14ac:dyDescent="0.25">
      <c r="A928" s="121" t="s">
        <v>248</v>
      </c>
      <c r="B928" s="314" t="s">
        <v>249</v>
      </c>
      <c r="C928" s="314"/>
      <c r="D928" s="314"/>
      <c r="E928" s="314"/>
      <c r="F928" s="314"/>
      <c r="G928" s="314"/>
      <c r="H928" s="314"/>
      <c r="I928" s="314"/>
      <c r="J928" s="314"/>
      <c r="K928" s="314"/>
      <c r="L928" s="314"/>
      <c r="M928" s="314"/>
      <c r="N928" s="314"/>
    </row>
    <row r="929" spans="2:2" x14ac:dyDescent="0.25">
      <c r="B929" s="127"/>
    </row>
  </sheetData>
  <sheetProtection selectLockedCells="1"/>
  <autoFilter ref="B1:B929" xr:uid="{5FE9D331-7ADC-4723-BB92-0EFF44EA5C96}"/>
  <mergeCells count="23">
    <mergeCell ref="B858:K858"/>
    <mergeCell ref="A12:N12"/>
    <mergeCell ref="A13:N13"/>
    <mergeCell ref="B855:K855"/>
    <mergeCell ref="B856:K856"/>
    <mergeCell ref="B857:K857"/>
    <mergeCell ref="B921:N921"/>
    <mergeCell ref="B909:N909"/>
    <mergeCell ref="B910:N910"/>
    <mergeCell ref="B911:N911"/>
    <mergeCell ref="B912:N912"/>
    <mergeCell ref="B913:N913"/>
    <mergeCell ref="B914:N914"/>
    <mergeCell ref="B915:N915"/>
    <mergeCell ref="B916:N916"/>
    <mergeCell ref="B917:N917"/>
    <mergeCell ref="B918:N918"/>
    <mergeCell ref="B920:N920"/>
    <mergeCell ref="B922:N922"/>
    <mergeCell ref="B923:N923"/>
    <mergeCell ref="B926:N926"/>
    <mergeCell ref="B927:N927"/>
    <mergeCell ref="B928:N928"/>
  </mergeCells>
  <conditionalFormatting sqref="B23">
    <cfRule type="duplicateValues" dxfId="157" priority="239"/>
  </conditionalFormatting>
  <conditionalFormatting sqref="B39">
    <cfRule type="duplicateValues" dxfId="156" priority="240"/>
  </conditionalFormatting>
  <conditionalFormatting sqref="B40">
    <cfRule type="duplicateValues" dxfId="155" priority="241"/>
  </conditionalFormatting>
  <conditionalFormatting sqref="B41">
    <cfRule type="duplicateValues" dxfId="154" priority="242"/>
  </conditionalFormatting>
  <conditionalFormatting sqref="B90">
    <cfRule type="duplicateValues" dxfId="153" priority="243"/>
  </conditionalFormatting>
  <conditionalFormatting sqref="B91">
    <cfRule type="duplicateValues" dxfId="152" priority="244"/>
  </conditionalFormatting>
  <conditionalFormatting sqref="B92">
    <cfRule type="duplicateValues" dxfId="151" priority="245"/>
  </conditionalFormatting>
  <conditionalFormatting sqref="B93">
    <cfRule type="duplicateValues" dxfId="150" priority="246"/>
  </conditionalFormatting>
  <conditionalFormatting sqref="B94">
    <cfRule type="duplicateValues" dxfId="149" priority="247"/>
  </conditionalFormatting>
  <conditionalFormatting sqref="B140">
    <cfRule type="duplicateValues" dxfId="148" priority="248"/>
  </conditionalFormatting>
  <conditionalFormatting sqref="B141">
    <cfRule type="duplicateValues" dxfId="147" priority="249"/>
  </conditionalFormatting>
  <conditionalFormatting sqref="B142">
    <cfRule type="duplicateValues" dxfId="146" priority="250"/>
  </conditionalFormatting>
  <conditionalFormatting sqref="B143">
    <cfRule type="duplicateValues" dxfId="145" priority="251"/>
  </conditionalFormatting>
  <conditionalFormatting sqref="B144">
    <cfRule type="duplicateValues" dxfId="144" priority="252"/>
  </conditionalFormatting>
  <conditionalFormatting sqref="B190">
    <cfRule type="duplicateValues" dxfId="143" priority="253"/>
  </conditionalFormatting>
  <conditionalFormatting sqref="B191">
    <cfRule type="duplicateValues" dxfId="142" priority="254"/>
  </conditionalFormatting>
  <conditionalFormatting sqref="B192">
    <cfRule type="duplicateValues" dxfId="141" priority="255"/>
  </conditionalFormatting>
  <conditionalFormatting sqref="B193">
    <cfRule type="duplicateValues" dxfId="140" priority="256"/>
  </conditionalFormatting>
  <conditionalFormatting sqref="B194">
    <cfRule type="duplicateValues" dxfId="139" priority="257"/>
  </conditionalFormatting>
  <conditionalFormatting sqref="B240">
    <cfRule type="duplicateValues" dxfId="138" priority="258"/>
  </conditionalFormatting>
  <conditionalFormatting sqref="B241">
    <cfRule type="duplicateValues" dxfId="137" priority="259"/>
  </conditionalFormatting>
  <conditionalFormatting sqref="B242">
    <cfRule type="duplicateValues" dxfId="136" priority="260"/>
  </conditionalFormatting>
  <conditionalFormatting sqref="B243">
    <cfRule type="duplicateValues" dxfId="135" priority="261"/>
  </conditionalFormatting>
  <conditionalFormatting sqref="B244">
    <cfRule type="duplicateValues" dxfId="134" priority="262"/>
  </conditionalFormatting>
  <conditionalFormatting sqref="B291">
    <cfRule type="duplicateValues" dxfId="133" priority="263"/>
  </conditionalFormatting>
  <conditionalFormatting sqref="B292">
    <cfRule type="duplicateValues" dxfId="132" priority="264"/>
  </conditionalFormatting>
  <conditionalFormatting sqref="B293">
    <cfRule type="duplicateValues" dxfId="131" priority="265"/>
  </conditionalFormatting>
  <conditionalFormatting sqref="B294">
    <cfRule type="duplicateValues" dxfId="130" priority="266"/>
  </conditionalFormatting>
  <conditionalFormatting sqref="B295">
    <cfRule type="duplicateValues" dxfId="129" priority="267"/>
  </conditionalFormatting>
  <conditionalFormatting sqref="B342">
    <cfRule type="duplicateValues" dxfId="128" priority="268"/>
  </conditionalFormatting>
  <conditionalFormatting sqref="B343">
    <cfRule type="duplicateValues" dxfId="127" priority="269"/>
  </conditionalFormatting>
  <conditionalFormatting sqref="B344">
    <cfRule type="duplicateValues" dxfId="126" priority="270"/>
  </conditionalFormatting>
  <conditionalFormatting sqref="B345">
    <cfRule type="duplicateValues" dxfId="125" priority="271"/>
  </conditionalFormatting>
  <conditionalFormatting sqref="B346">
    <cfRule type="duplicateValues" dxfId="124" priority="272"/>
  </conditionalFormatting>
  <conditionalFormatting sqref="B393">
    <cfRule type="duplicateValues" dxfId="123" priority="273"/>
  </conditionalFormatting>
  <conditionalFormatting sqref="B394">
    <cfRule type="duplicateValues" dxfId="122" priority="274"/>
  </conditionalFormatting>
  <conditionalFormatting sqref="B395">
    <cfRule type="duplicateValues" dxfId="121" priority="275"/>
  </conditionalFormatting>
  <conditionalFormatting sqref="B396">
    <cfRule type="duplicateValues" dxfId="120" priority="276"/>
  </conditionalFormatting>
  <conditionalFormatting sqref="B397">
    <cfRule type="duplicateValues" dxfId="119" priority="277"/>
  </conditionalFormatting>
  <conditionalFormatting sqref="B444">
    <cfRule type="duplicateValues" dxfId="118" priority="278"/>
  </conditionalFormatting>
  <conditionalFormatting sqref="B445">
    <cfRule type="duplicateValues" dxfId="117" priority="279"/>
  </conditionalFormatting>
  <conditionalFormatting sqref="B446">
    <cfRule type="duplicateValues" dxfId="116" priority="280"/>
  </conditionalFormatting>
  <conditionalFormatting sqref="B447">
    <cfRule type="duplicateValues" dxfId="115" priority="281"/>
  </conditionalFormatting>
  <conditionalFormatting sqref="B448">
    <cfRule type="duplicateValues" dxfId="114" priority="282"/>
  </conditionalFormatting>
  <conditionalFormatting sqref="B495">
    <cfRule type="duplicateValues" dxfId="113" priority="283"/>
  </conditionalFormatting>
  <conditionalFormatting sqref="B496">
    <cfRule type="duplicateValues" dxfId="112" priority="284"/>
  </conditionalFormatting>
  <conditionalFormatting sqref="B497">
    <cfRule type="duplicateValues" dxfId="111" priority="285"/>
  </conditionalFormatting>
  <conditionalFormatting sqref="B498">
    <cfRule type="duplicateValues" dxfId="110" priority="286"/>
  </conditionalFormatting>
  <conditionalFormatting sqref="B499">
    <cfRule type="duplicateValues" dxfId="109" priority="287"/>
  </conditionalFormatting>
  <conditionalFormatting sqref="B547">
    <cfRule type="duplicateValues" dxfId="108" priority="288"/>
  </conditionalFormatting>
  <conditionalFormatting sqref="B548">
    <cfRule type="duplicateValues" dxfId="107" priority="289"/>
  </conditionalFormatting>
  <conditionalFormatting sqref="B549">
    <cfRule type="duplicateValues" dxfId="106" priority="290"/>
  </conditionalFormatting>
  <conditionalFormatting sqref="B550">
    <cfRule type="duplicateValues" dxfId="105" priority="291"/>
  </conditionalFormatting>
  <conditionalFormatting sqref="B551">
    <cfRule type="duplicateValues" dxfId="104" priority="292"/>
  </conditionalFormatting>
  <conditionalFormatting sqref="B599">
    <cfRule type="duplicateValues" dxfId="103" priority="293"/>
  </conditionalFormatting>
  <conditionalFormatting sqref="B600">
    <cfRule type="duplicateValues" dxfId="102" priority="294"/>
  </conditionalFormatting>
  <conditionalFormatting sqref="B601">
    <cfRule type="duplicateValues" dxfId="101" priority="295"/>
  </conditionalFormatting>
  <conditionalFormatting sqref="B602">
    <cfRule type="duplicateValues" dxfId="100" priority="296"/>
  </conditionalFormatting>
  <conditionalFormatting sqref="B603">
    <cfRule type="duplicateValues" dxfId="99" priority="297"/>
  </conditionalFormatting>
  <conditionalFormatting sqref="B649">
    <cfRule type="duplicateValues" dxfId="98" priority="298"/>
  </conditionalFormatting>
  <conditionalFormatting sqref="B650">
    <cfRule type="duplicateValues" dxfId="97" priority="299"/>
  </conditionalFormatting>
  <conditionalFormatting sqref="B651">
    <cfRule type="duplicateValues" dxfId="96" priority="300"/>
  </conditionalFormatting>
  <conditionalFormatting sqref="B652">
    <cfRule type="duplicateValues" dxfId="95" priority="301"/>
  </conditionalFormatting>
  <conditionalFormatting sqref="B653">
    <cfRule type="duplicateValues" dxfId="94" priority="302"/>
  </conditionalFormatting>
  <conditionalFormatting sqref="B700">
    <cfRule type="duplicateValues" dxfId="93" priority="303"/>
  </conditionalFormatting>
  <conditionalFormatting sqref="B701">
    <cfRule type="duplicateValues" dxfId="92" priority="304"/>
  </conditionalFormatting>
  <conditionalFormatting sqref="B702">
    <cfRule type="duplicateValues" dxfId="91" priority="305"/>
  </conditionalFormatting>
  <conditionalFormatting sqref="B703">
    <cfRule type="duplicateValues" dxfId="90" priority="306"/>
  </conditionalFormatting>
  <conditionalFormatting sqref="B704">
    <cfRule type="duplicateValues" dxfId="89" priority="307"/>
  </conditionalFormatting>
  <conditionalFormatting sqref="B749">
    <cfRule type="duplicateValues" dxfId="88" priority="308"/>
  </conditionalFormatting>
  <conditionalFormatting sqref="B750">
    <cfRule type="duplicateValues" dxfId="87" priority="309"/>
  </conditionalFormatting>
  <conditionalFormatting sqref="B751">
    <cfRule type="duplicateValues" dxfId="86" priority="310"/>
  </conditionalFormatting>
  <conditionalFormatting sqref="B752">
    <cfRule type="duplicateValues" dxfId="85" priority="311"/>
  </conditionalFormatting>
  <conditionalFormatting sqref="B753">
    <cfRule type="duplicateValues" dxfId="84" priority="312"/>
  </conditionalFormatting>
  <conditionalFormatting sqref="B795">
    <cfRule type="duplicateValues" dxfId="83" priority="313"/>
  </conditionalFormatting>
  <conditionalFormatting sqref="B796">
    <cfRule type="duplicateValues" dxfId="82" priority="314"/>
  </conditionalFormatting>
  <conditionalFormatting sqref="B797">
    <cfRule type="duplicateValues" dxfId="81" priority="315"/>
  </conditionalFormatting>
  <conditionalFormatting sqref="B798">
    <cfRule type="duplicateValues" dxfId="80" priority="316"/>
  </conditionalFormatting>
  <conditionalFormatting sqref="B799">
    <cfRule type="duplicateValues" dxfId="79" priority="317"/>
  </conditionalFormatting>
  <pageMargins left="0.25" right="0.25" top="0.75" bottom="0.75" header="0.3" footer="0.3"/>
  <pageSetup scale="4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67274-9F2F-4EF4-805B-CD553089EE9D}">
  <dimension ref="A1:M898"/>
  <sheetViews>
    <sheetView tabSelected="1" view="pageBreakPreview" zoomScaleNormal="70" zoomScaleSheetLayoutView="100" workbookViewId="0">
      <pane ySplit="7" topLeftCell="A104" activePane="bottomLeft" state="frozen"/>
      <selection pane="bottomLeft" activeCell="M120" sqref="M120"/>
    </sheetView>
  </sheetViews>
  <sheetFormatPr defaultColWidth="9.140625" defaultRowHeight="12.75" x14ac:dyDescent="0.25"/>
  <cols>
    <col min="1" max="1" width="10.7109375" style="134" customWidth="1"/>
    <col min="2" max="2" width="50.7109375" style="135" customWidth="1"/>
    <col min="3" max="3" width="30.7109375" style="135" customWidth="1"/>
    <col min="4" max="6" width="7.7109375" style="135" customWidth="1"/>
    <col min="7" max="8" width="10.7109375" style="136" customWidth="1"/>
    <col min="9" max="9" width="15.7109375" style="205" customWidth="1"/>
    <col min="10" max="11" width="15.7109375" style="206" customWidth="1"/>
    <col min="12" max="12" width="20.7109375" style="148" customWidth="1"/>
    <col min="13" max="13" width="20.7109375" style="278" customWidth="1"/>
    <col min="14" max="16384" width="9.140625" style="138"/>
  </cols>
  <sheetData>
    <row r="1" spans="1:13" s="209" customFormat="1" ht="12.75" customHeight="1" x14ac:dyDescent="0.2">
      <c r="A1" s="208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65"/>
    </row>
    <row r="2" spans="1:13" s="209" customFormat="1" ht="12.75" customHeight="1" x14ac:dyDescent="0.2">
      <c r="A2" s="208"/>
      <c r="B2" s="307" t="s">
        <v>325</v>
      </c>
      <c r="C2" s="307"/>
      <c r="D2" s="307"/>
      <c r="E2" s="307"/>
      <c r="F2" s="307"/>
      <c r="G2" s="307"/>
      <c r="H2" s="307"/>
      <c r="I2" s="307"/>
      <c r="J2" s="307"/>
      <c r="K2" s="208"/>
      <c r="L2" s="208"/>
      <c r="M2" s="265"/>
    </row>
    <row r="3" spans="1:13" s="209" customFormat="1" ht="12.75" customHeight="1" x14ac:dyDescent="0.2">
      <c r="A3" s="208"/>
      <c r="B3" s="308" t="s">
        <v>327</v>
      </c>
      <c r="C3" s="308"/>
      <c r="D3" s="308"/>
      <c r="E3" s="308"/>
      <c r="F3" s="308"/>
      <c r="G3" s="308"/>
      <c r="H3" s="308"/>
      <c r="I3" s="308"/>
      <c r="J3" s="308"/>
      <c r="K3" s="208"/>
      <c r="L3" s="208"/>
      <c r="M3" s="265"/>
    </row>
    <row r="4" spans="1:13" s="209" customFormat="1" ht="12.75" customHeight="1" x14ac:dyDescent="0.2">
      <c r="A4" s="208"/>
      <c r="B4" s="308" t="s">
        <v>326</v>
      </c>
      <c r="C4" s="308"/>
      <c r="D4" s="308"/>
      <c r="E4" s="308"/>
      <c r="F4" s="308"/>
      <c r="G4" s="308"/>
      <c r="H4" s="308"/>
      <c r="I4" s="308"/>
      <c r="J4" s="308"/>
      <c r="K4" s="208"/>
      <c r="L4" s="208"/>
      <c r="M4" s="265"/>
    </row>
    <row r="5" spans="1:13" ht="12.75" customHeight="1" x14ac:dyDescent="0.25">
      <c r="I5" s="137"/>
      <c r="J5" s="135"/>
      <c r="K5" s="135"/>
      <c r="L5" s="135"/>
      <c r="M5" s="266"/>
    </row>
    <row r="6" spans="1:13" s="132" customFormat="1" ht="35.25" customHeight="1" x14ac:dyDescent="0.2">
      <c r="A6" s="139" t="s">
        <v>15</v>
      </c>
      <c r="B6" s="140" t="s">
        <v>16</v>
      </c>
      <c r="C6" s="140" t="s">
        <v>17</v>
      </c>
      <c r="D6" s="140" t="s">
        <v>18</v>
      </c>
      <c r="E6" s="140" t="s">
        <v>19</v>
      </c>
      <c r="F6" s="140" t="s">
        <v>20</v>
      </c>
      <c r="G6" s="141" t="s">
        <v>21</v>
      </c>
      <c r="H6" s="141" t="s">
        <v>253</v>
      </c>
      <c r="I6" s="140" t="s">
        <v>22</v>
      </c>
      <c r="J6" s="142" t="s">
        <v>23</v>
      </c>
      <c r="K6" s="142" t="s">
        <v>24</v>
      </c>
      <c r="L6" s="142" t="s">
        <v>25</v>
      </c>
      <c r="M6" s="267" t="s">
        <v>26</v>
      </c>
    </row>
    <row r="7" spans="1:13" s="148" customFormat="1" ht="12.75" customHeight="1" x14ac:dyDescent="0.25">
      <c r="A7" s="143" t="s">
        <v>27</v>
      </c>
      <c r="B7" s="144" t="s">
        <v>28</v>
      </c>
      <c r="C7" s="145"/>
      <c r="D7" s="145"/>
      <c r="E7" s="145"/>
      <c r="F7" s="145"/>
      <c r="G7" s="146"/>
      <c r="H7" s="146"/>
      <c r="I7" s="145"/>
      <c r="J7" s="147"/>
      <c r="K7" s="147"/>
      <c r="L7" s="145"/>
      <c r="M7" s="268"/>
    </row>
    <row r="8" spans="1:13" s="135" customFormat="1" ht="12.75" customHeight="1" x14ac:dyDescent="0.25">
      <c r="A8" s="149" t="s">
        <v>29</v>
      </c>
      <c r="B8" s="150" t="s">
        <v>30</v>
      </c>
      <c r="C8" s="151"/>
      <c r="D8" s="151"/>
      <c r="E8" s="151"/>
      <c r="F8" s="151"/>
      <c r="G8" s="152"/>
      <c r="H8" s="152"/>
      <c r="I8" s="153"/>
      <c r="J8" s="153"/>
      <c r="K8" s="153"/>
      <c r="L8" s="154"/>
      <c r="M8" s="269"/>
    </row>
    <row r="9" spans="1:13" s="135" customFormat="1" ht="36" customHeight="1" x14ac:dyDescent="0.25">
      <c r="A9" s="155" t="s">
        <v>40</v>
      </c>
      <c r="B9" s="156" t="s">
        <v>41</v>
      </c>
      <c r="C9" s="157"/>
      <c r="D9" s="157"/>
      <c r="E9" s="157"/>
      <c r="F9" s="157"/>
      <c r="G9" s="158"/>
      <c r="H9" s="158"/>
      <c r="I9" s="159"/>
      <c r="J9" s="159"/>
      <c r="K9" s="159"/>
      <c r="L9" s="185"/>
      <c r="M9" s="272"/>
    </row>
    <row r="10" spans="1:13" s="135" customFormat="1" x14ac:dyDescent="0.25">
      <c r="A10" s="160" t="s">
        <v>42</v>
      </c>
      <c r="B10" s="161" t="s">
        <v>43</v>
      </c>
      <c r="C10" s="162"/>
      <c r="D10" s="163"/>
      <c r="E10" s="162"/>
      <c r="F10" s="162"/>
      <c r="G10" s="164"/>
      <c r="H10" s="164"/>
      <c r="I10" s="165"/>
      <c r="J10" s="165"/>
      <c r="K10" s="165">
        <f ca="1">K11+K22</f>
        <v>0</v>
      </c>
      <c r="L10" s="186"/>
      <c r="M10" s="273"/>
    </row>
    <row r="11" spans="1:13" s="135" customFormat="1" ht="12.75" customHeight="1" x14ac:dyDescent="0.25">
      <c r="A11" s="166"/>
      <c r="B11" s="167" t="s">
        <v>34</v>
      </c>
      <c r="C11" s="168"/>
      <c r="D11" s="168"/>
      <c r="E11" s="168"/>
      <c r="F11" s="168"/>
      <c r="G11" s="169"/>
      <c r="H11" s="169"/>
      <c r="I11" s="170"/>
      <c r="J11" s="170"/>
      <c r="K11" s="170">
        <f>SUM(K12:K20)</f>
        <v>0</v>
      </c>
      <c r="L11" s="172"/>
      <c r="M11" s="270"/>
    </row>
    <row r="12" spans="1:13" s="135" customFormat="1" ht="25.5" customHeight="1" x14ac:dyDescent="0.25">
      <c r="A12" s="166"/>
      <c r="B12" s="171" t="s">
        <v>44</v>
      </c>
      <c r="C12" s="172"/>
      <c r="D12" s="172" t="s">
        <v>45</v>
      </c>
      <c r="E12" s="172"/>
      <c r="F12" s="172"/>
      <c r="G12" s="173">
        <v>37.53</v>
      </c>
      <c r="H12" s="173">
        <v>53.56</v>
      </c>
      <c r="I12" s="170">
        <f t="shared" ref="I12:I21" si="0">SUM(G12:H12)</f>
        <v>91.09</v>
      </c>
      <c r="J12" s="174">
        <f>VLOOKUP(B12,работы!$B$5:$F$19,4,0)</f>
        <v>0</v>
      </c>
      <c r="K12" s="174">
        <f t="shared" ref="K12:K20" si="1">I12*J12</f>
        <v>0</v>
      </c>
      <c r="L12" s="172"/>
      <c r="M12" s="270"/>
    </row>
    <row r="13" spans="1:13" s="135" customFormat="1" ht="21.75" customHeight="1" x14ac:dyDescent="0.25">
      <c r="A13" s="166"/>
      <c r="B13" s="171" t="s">
        <v>102</v>
      </c>
      <c r="C13" s="172"/>
      <c r="D13" s="172" t="s">
        <v>45</v>
      </c>
      <c r="E13" s="172"/>
      <c r="F13" s="172"/>
      <c r="G13" s="173">
        <v>0.23</v>
      </c>
      <c r="H13" s="173">
        <v>0.39</v>
      </c>
      <c r="I13" s="170">
        <f t="shared" si="0"/>
        <v>0.62</v>
      </c>
      <c r="J13" s="174">
        <f>VLOOKUP(B13,работы!$B$5:$F$19,4,0)</f>
        <v>0</v>
      </c>
      <c r="K13" s="174">
        <f t="shared" si="1"/>
        <v>0</v>
      </c>
      <c r="L13" s="172"/>
      <c r="M13" s="270"/>
    </row>
    <row r="14" spans="1:13" s="135" customFormat="1" ht="25.5" customHeight="1" x14ac:dyDescent="0.25">
      <c r="A14" s="166"/>
      <c r="B14" s="171" t="s">
        <v>46</v>
      </c>
      <c r="C14" s="172"/>
      <c r="D14" s="172" t="s">
        <v>47</v>
      </c>
      <c r="E14" s="172"/>
      <c r="F14" s="172"/>
      <c r="G14" s="173">
        <v>164.4</v>
      </c>
      <c r="H14" s="173">
        <v>341.36</v>
      </c>
      <c r="I14" s="170">
        <f t="shared" si="0"/>
        <v>505.76</v>
      </c>
      <c r="J14" s="174">
        <f>VLOOKUP(B14,работы!$B$5:$F$19,4,0)</f>
        <v>0</v>
      </c>
      <c r="K14" s="174">
        <f t="shared" si="1"/>
        <v>0</v>
      </c>
      <c r="L14" s="172"/>
      <c r="M14" s="270"/>
    </row>
    <row r="15" spans="1:13" s="135" customFormat="1" ht="25.5" customHeight="1" x14ac:dyDescent="0.25">
      <c r="A15" s="166"/>
      <c r="B15" s="171" t="s">
        <v>48</v>
      </c>
      <c r="C15" s="172"/>
      <c r="D15" s="172" t="s">
        <v>47</v>
      </c>
      <c r="E15" s="172"/>
      <c r="F15" s="172"/>
      <c r="G15" s="173">
        <v>68.19</v>
      </c>
      <c r="H15" s="173">
        <v>89.41</v>
      </c>
      <c r="I15" s="170">
        <f t="shared" si="0"/>
        <v>157.6</v>
      </c>
      <c r="J15" s="174">
        <f>VLOOKUP(B15,работы!$B$5:$F$19,4,0)</f>
        <v>0</v>
      </c>
      <c r="K15" s="174">
        <f t="shared" si="1"/>
        <v>0</v>
      </c>
      <c r="L15" s="172"/>
      <c r="M15" s="270"/>
    </row>
    <row r="16" spans="1:13" s="135" customFormat="1" ht="21.75" customHeight="1" x14ac:dyDescent="0.25">
      <c r="A16" s="166"/>
      <c r="B16" s="171" t="s">
        <v>49</v>
      </c>
      <c r="C16" s="172"/>
      <c r="D16" s="172" t="s">
        <v>47</v>
      </c>
      <c r="E16" s="172"/>
      <c r="F16" s="172"/>
      <c r="G16" s="173">
        <v>151.56</v>
      </c>
      <c r="H16" s="173">
        <v>264.14</v>
      </c>
      <c r="I16" s="170">
        <f t="shared" si="0"/>
        <v>415.7</v>
      </c>
      <c r="J16" s="174">
        <f>VLOOKUP(B16,работы!$B$5:$F$19,4,0)</f>
        <v>0</v>
      </c>
      <c r="K16" s="174">
        <f t="shared" si="1"/>
        <v>0</v>
      </c>
      <c r="L16" s="172"/>
      <c r="M16" s="270"/>
    </row>
    <row r="17" spans="1:13" s="135" customFormat="1" ht="21.75" customHeight="1" x14ac:dyDescent="0.25">
      <c r="A17" s="166"/>
      <c r="B17" s="171" t="s">
        <v>50</v>
      </c>
      <c r="C17" s="172"/>
      <c r="D17" s="172" t="s">
        <v>51</v>
      </c>
      <c r="E17" s="172"/>
      <c r="F17" s="172"/>
      <c r="G17" s="173">
        <v>51</v>
      </c>
      <c r="H17" s="173">
        <v>73</v>
      </c>
      <c r="I17" s="170">
        <f t="shared" si="0"/>
        <v>124</v>
      </c>
      <c r="J17" s="174">
        <f>VLOOKUP(B17,работы!$B$5:$F$19,4,0)</f>
        <v>0</v>
      </c>
      <c r="K17" s="174">
        <f t="shared" si="1"/>
        <v>0</v>
      </c>
      <c r="L17" s="172"/>
      <c r="M17" s="270"/>
    </row>
    <row r="18" spans="1:13" s="135" customFormat="1" ht="21.75" customHeight="1" x14ac:dyDescent="0.25">
      <c r="A18" s="166"/>
      <c r="B18" s="171" t="s">
        <v>52</v>
      </c>
      <c r="C18" s="172" t="s">
        <v>255</v>
      </c>
      <c r="D18" s="172" t="s">
        <v>54</v>
      </c>
      <c r="E18" s="172"/>
      <c r="F18" s="172"/>
      <c r="G18" s="173">
        <f>17.04+42+2.45</f>
        <v>61.49</v>
      </c>
      <c r="H18" s="173">
        <f>39.59+49.03+2.45</f>
        <v>91.070000000000007</v>
      </c>
      <c r="I18" s="170">
        <f t="shared" si="0"/>
        <v>152.56</v>
      </c>
      <c r="J18" s="174">
        <f>VLOOKUP(B18,работы!$B$5:$F$19,4,0)</f>
        <v>0</v>
      </c>
      <c r="K18" s="174">
        <f t="shared" si="1"/>
        <v>0</v>
      </c>
      <c r="L18" s="172"/>
      <c r="M18" s="270"/>
    </row>
    <row r="19" spans="1:13" s="135" customFormat="1" ht="25.5" customHeight="1" x14ac:dyDescent="0.25">
      <c r="A19" s="166"/>
      <c r="B19" s="171" t="s">
        <v>55</v>
      </c>
      <c r="C19" s="172"/>
      <c r="D19" s="172" t="s">
        <v>54</v>
      </c>
      <c r="E19" s="172"/>
      <c r="F19" s="172"/>
      <c r="G19" s="173">
        <v>0.83</v>
      </c>
      <c r="H19" s="173">
        <v>11.09</v>
      </c>
      <c r="I19" s="170">
        <f t="shared" si="0"/>
        <v>11.92</v>
      </c>
      <c r="J19" s="174">
        <f>VLOOKUP(B19,работы!$B$5:$F$19,4,0)</f>
        <v>0</v>
      </c>
      <c r="K19" s="174">
        <f t="shared" si="1"/>
        <v>0</v>
      </c>
      <c r="L19" s="172"/>
      <c r="M19" s="270"/>
    </row>
    <row r="20" spans="1:13" s="135" customFormat="1" ht="12.75" customHeight="1" x14ac:dyDescent="0.25">
      <c r="A20" s="166"/>
      <c r="B20" s="171" t="s">
        <v>256</v>
      </c>
      <c r="C20" s="172"/>
      <c r="D20" s="172" t="s">
        <v>47</v>
      </c>
      <c r="E20" s="172"/>
      <c r="F20" s="172"/>
      <c r="G20" s="173">
        <f>10.43*4.07</f>
        <v>42.450099999999999</v>
      </c>
      <c r="H20" s="173"/>
      <c r="I20" s="170">
        <f t="shared" si="0"/>
        <v>42.450099999999999</v>
      </c>
      <c r="J20" s="174">
        <f>VLOOKUP(B20,работы!$B$5:$F$19,4,0)</f>
        <v>0</v>
      </c>
      <c r="K20" s="174">
        <f t="shared" si="1"/>
        <v>0</v>
      </c>
      <c r="L20" s="172"/>
      <c r="M20" s="270"/>
    </row>
    <row r="21" spans="1:13" s="135" customFormat="1" ht="12.75" customHeight="1" x14ac:dyDescent="0.25">
      <c r="A21" s="166"/>
      <c r="B21" s="187" t="s">
        <v>56</v>
      </c>
      <c r="C21" s="188"/>
      <c r="D21" s="188" t="s">
        <v>45</v>
      </c>
      <c r="E21" s="188"/>
      <c r="F21" s="188"/>
      <c r="G21" s="173">
        <f>167.05*0.06*0.03</f>
        <v>0.30068999999999996</v>
      </c>
      <c r="H21" s="173">
        <f>259.07*0.06*0.03</f>
        <v>0.46632599999999991</v>
      </c>
      <c r="I21" s="170">
        <f t="shared" si="0"/>
        <v>0.76701599999999992</v>
      </c>
      <c r="J21" s="174"/>
      <c r="K21" s="174"/>
      <c r="L21" s="188" t="s">
        <v>57</v>
      </c>
      <c r="M21" s="270"/>
    </row>
    <row r="22" spans="1:13" s="135" customFormat="1" x14ac:dyDescent="0.25">
      <c r="A22" s="175"/>
      <c r="B22" s="176" t="s">
        <v>38</v>
      </c>
      <c r="C22" s="177"/>
      <c r="D22" s="177"/>
      <c r="E22" s="177"/>
      <c r="F22" s="177"/>
      <c r="G22" s="178"/>
      <c r="H22" s="178"/>
      <c r="I22" s="179"/>
      <c r="J22" s="180"/>
      <c r="K22" s="179">
        <f ca="1">SUM(K23:K56)</f>
        <v>0</v>
      </c>
      <c r="L22" s="177"/>
      <c r="M22" s="271"/>
    </row>
    <row r="23" spans="1:13" s="135" customFormat="1" ht="25.5" x14ac:dyDescent="0.25">
      <c r="A23" s="181"/>
      <c r="B23" s="182" t="s">
        <v>58</v>
      </c>
      <c r="C23" s="177" t="s">
        <v>59</v>
      </c>
      <c r="D23" s="177" t="s">
        <v>60</v>
      </c>
      <c r="E23" s="178">
        <v>12.4</v>
      </c>
      <c r="F23" s="177">
        <v>0.25</v>
      </c>
      <c r="G23" s="183">
        <f>G12/0.25*E23</f>
        <v>1861.4880000000001</v>
      </c>
      <c r="H23" s="183">
        <f>H12/0.25*E23</f>
        <v>2656.576</v>
      </c>
      <c r="I23" s="184">
        <f t="shared" ref="I23:I55" si="2">SUM(G23:H23)</f>
        <v>4518.0640000000003</v>
      </c>
      <c r="J23" s="180">
        <f>VLOOKUP(B23,материал!$B$5:$G$67,5,0)</f>
        <v>0</v>
      </c>
      <c r="K23" s="180">
        <f t="shared" ref="K23:K86" si="3">I23*J23</f>
        <v>0</v>
      </c>
      <c r="L23" s="177" t="s">
        <v>61</v>
      </c>
      <c r="M23" s="271" t="str">
        <f>VLOOKUP(B23,материал!$B$5:$H$67,7,0)</f>
        <v>Давальческий материал</v>
      </c>
    </row>
    <row r="24" spans="1:13" s="135" customFormat="1" ht="25.5" x14ac:dyDescent="0.25">
      <c r="A24" s="181"/>
      <c r="B24" s="182" t="s">
        <v>62</v>
      </c>
      <c r="C24" s="177" t="s">
        <v>63</v>
      </c>
      <c r="D24" s="177" t="s">
        <v>60</v>
      </c>
      <c r="E24" s="178">
        <v>12.4</v>
      </c>
      <c r="F24" s="177"/>
      <c r="G24" s="183">
        <f>G14*E24</f>
        <v>2038.5600000000002</v>
      </c>
      <c r="H24" s="183">
        <f>H14*E24</f>
        <v>4232.8640000000005</v>
      </c>
      <c r="I24" s="184">
        <f t="shared" si="2"/>
        <v>6271.4240000000009</v>
      </c>
      <c r="J24" s="180">
        <f>VLOOKUP(B24,материал!$B$5:$G$67,5,0)</f>
        <v>0</v>
      </c>
      <c r="K24" s="180">
        <f t="shared" si="3"/>
        <v>0</v>
      </c>
      <c r="L24" s="177" t="s">
        <v>61</v>
      </c>
      <c r="M24" s="271" t="str">
        <f>VLOOKUP(B24,материал!$B$5:$H$67,7,0)</f>
        <v>Давальческий материал</v>
      </c>
    </row>
    <row r="25" spans="1:13" s="135" customFormat="1" ht="25.5" x14ac:dyDescent="0.25">
      <c r="A25" s="181"/>
      <c r="B25" s="182" t="s">
        <v>64</v>
      </c>
      <c r="C25" s="177" t="s">
        <v>65</v>
      </c>
      <c r="D25" s="177" t="s">
        <v>60</v>
      </c>
      <c r="E25" s="178">
        <v>12.4</v>
      </c>
      <c r="F25" s="177"/>
      <c r="G25" s="183">
        <f>G15*E25</f>
        <v>845.55600000000004</v>
      </c>
      <c r="H25" s="183">
        <f>H15*E25</f>
        <v>1108.684</v>
      </c>
      <c r="I25" s="184">
        <f t="shared" si="2"/>
        <v>1954.24</v>
      </c>
      <c r="J25" s="180">
        <f>VLOOKUP(B25,материал!$B$5:$G$67,5,0)</f>
        <v>0</v>
      </c>
      <c r="K25" s="180">
        <f t="shared" si="3"/>
        <v>0</v>
      </c>
      <c r="L25" s="177" t="s">
        <v>61</v>
      </c>
      <c r="M25" s="271" t="str">
        <f>VLOOKUP(B25,материал!$B$5:$H$67,7,0)</f>
        <v>Давальческий материал</v>
      </c>
    </row>
    <row r="26" spans="1:13" s="135" customFormat="1" ht="38.25" x14ac:dyDescent="0.25">
      <c r="A26" s="181"/>
      <c r="B26" s="189" t="s">
        <v>66</v>
      </c>
      <c r="C26" s="177" t="s">
        <v>67</v>
      </c>
      <c r="D26" s="177" t="s">
        <v>60</v>
      </c>
      <c r="E26" s="190">
        <v>42</v>
      </c>
      <c r="F26" s="190"/>
      <c r="G26" s="183">
        <f>G16*E26</f>
        <v>6365.52</v>
      </c>
      <c r="H26" s="183">
        <f>H16*E26</f>
        <v>11093.88</v>
      </c>
      <c r="I26" s="184">
        <f t="shared" si="2"/>
        <v>17459.400000000001</v>
      </c>
      <c r="J26" s="180">
        <f>VLOOKUP(B26,материал!$B$5:$G$67,5,0)</f>
        <v>0</v>
      </c>
      <c r="K26" s="180">
        <f t="shared" si="3"/>
        <v>0</v>
      </c>
      <c r="L26" s="177" t="s">
        <v>68</v>
      </c>
      <c r="M26" s="271" t="str">
        <f>VLOOKUP(B26,материал!$B$5:$H$67,7,0)</f>
        <v>Давальческий материал</v>
      </c>
    </row>
    <row r="27" spans="1:13" s="135" customFormat="1" ht="12.75" customHeight="1" x14ac:dyDescent="0.25">
      <c r="A27" s="181"/>
      <c r="B27" s="191" t="s">
        <v>69</v>
      </c>
      <c r="C27" s="177" t="s">
        <v>70</v>
      </c>
      <c r="D27" s="177" t="s">
        <v>45</v>
      </c>
      <c r="E27" s="177">
        <v>0.19500000000000001</v>
      </c>
      <c r="F27" s="190"/>
      <c r="G27" s="178">
        <f>G12*E27+G14*E27*0.19+G15*E27*0.19</f>
        <v>15.935809500000001</v>
      </c>
      <c r="H27" s="178">
        <f>H12*E27+H14*E27*0.19+H15*E27*0.19</f>
        <v>26.404228500000002</v>
      </c>
      <c r="I27" s="179">
        <f t="shared" si="2"/>
        <v>42.340038000000007</v>
      </c>
      <c r="J27" s="180">
        <f>VLOOKUP(B27,материал!$B$5:$G$67,5,0)</f>
        <v>0</v>
      </c>
      <c r="K27" s="180">
        <f t="shared" si="3"/>
        <v>0</v>
      </c>
      <c r="L27" s="177" t="s">
        <v>71</v>
      </c>
      <c r="M27" s="271" t="str">
        <f>VLOOKUP(B27,материал!$B$5:$H$67,7,0)</f>
        <v>Закуп подярдчика</v>
      </c>
    </row>
    <row r="28" spans="1:13" s="135" customFormat="1" ht="12.75" customHeight="1" x14ac:dyDescent="0.25">
      <c r="A28" s="192"/>
      <c r="B28" s="191" t="s">
        <v>112</v>
      </c>
      <c r="C28" s="177" t="s">
        <v>70</v>
      </c>
      <c r="D28" s="177" t="s">
        <v>45</v>
      </c>
      <c r="E28" s="177">
        <v>0.24</v>
      </c>
      <c r="F28" s="177"/>
      <c r="G28" s="178">
        <f>G13*E28</f>
        <v>5.5199999999999999E-2</v>
      </c>
      <c r="H28" s="178">
        <f>H13*E28</f>
        <v>9.3600000000000003E-2</v>
      </c>
      <c r="I28" s="179">
        <f t="shared" si="2"/>
        <v>0.14879999999999999</v>
      </c>
      <c r="J28" s="180">
        <f>VLOOKUP(B28,материал!$B$5:$G$67,5,0)</f>
        <v>0</v>
      </c>
      <c r="K28" s="180">
        <f t="shared" si="3"/>
        <v>0</v>
      </c>
      <c r="L28" s="177" t="s">
        <v>71</v>
      </c>
      <c r="M28" s="271" t="str">
        <f>VLOOKUP(B28,материал!$B$5:$H$67,7,0)</f>
        <v>Закуп подярдчика</v>
      </c>
    </row>
    <row r="29" spans="1:13" s="135" customFormat="1" ht="53.25" customHeight="1" x14ac:dyDescent="0.25">
      <c r="A29" s="192"/>
      <c r="B29" s="191" t="s">
        <v>72</v>
      </c>
      <c r="C29" s="177" t="s">
        <v>70</v>
      </c>
      <c r="D29" s="177" t="s">
        <v>45</v>
      </c>
      <c r="E29" s="177">
        <v>4.5999999999999999E-2</v>
      </c>
      <c r="F29" s="177"/>
      <c r="G29" s="178">
        <f>G16*E29</f>
        <v>6.9717599999999997</v>
      </c>
      <c r="H29" s="178">
        <f>H16*E29</f>
        <v>12.15044</v>
      </c>
      <c r="I29" s="179">
        <f t="shared" si="2"/>
        <v>19.122199999999999</v>
      </c>
      <c r="J29" s="180">
        <f>VLOOKUP(B29,материал!$B$5:$G$67,5,0)</f>
        <v>0</v>
      </c>
      <c r="K29" s="180">
        <f t="shared" si="3"/>
        <v>0</v>
      </c>
      <c r="L29" s="177" t="s">
        <v>73</v>
      </c>
      <c r="M29" s="271" t="str">
        <f>VLOOKUP(B29,материал!$B$5:$H$67,7,0)</f>
        <v>Закуп подярдчика</v>
      </c>
    </row>
    <row r="30" spans="1:13" s="135" customFormat="1" ht="12.75" customHeight="1" x14ac:dyDescent="0.25">
      <c r="A30" s="192"/>
      <c r="B30" s="191" t="s">
        <v>74</v>
      </c>
      <c r="C30" s="177" t="s">
        <v>70</v>
      </c>
      <c r="D30" s="177" t="s">
        <v>45</v>
      </c>
      <c r="E30" s="177">
        <v>1.01</v>
      </c>
      <c r="F30" s="177"/>
      <c r="G30" s="178">
        <f>G21*E30</f>
        <v>0.30369689999999994</v>
      </c>
      <c r="H30" s="178">
        <f>H21*E30</f>
        <v>0.47098925999999991</v>
      </c>
      <c r="I30" s="179">
        <f t="shared" si="2"/>
        <v>0.7746861599999999</v>
      </c>
      <c r="J30" s="180">
        <f>VLOOKUP(B30,материал!$B$5:$G$67,5,0)</f>
        <v>0</v>
      </c>
      <c r="K30" s="180">
        <f t="shared" si="3"/>
        <v>0</v>
      </c>
      <c r="L30" s="177" t="s">
        <v>71</v>
      </c>
      <c r="M30" s="271" t="str">
        <f>VLOOKUP(B30,материал!$B$5:$H$67,7,0)</f>
        <v>Закуп подярдчика</v>
      </c>
    </row>
    <row r="31" spans="1:13" s="135" customFormat="1" ht="46.5" customHeight="1" x14ac:dyDescent="0.25">
      <c r="A31" s="181"/>
      <c r="B31" s="189" t="s">
        <v>75</v>
      </c>
      <c r="C31" s="177" t="s">
        <v>70</v>
      </c>
      <c r="D31" s="177" t="s">
        <v>45</v>
      </c>
      <c r="E31" s="177">
        <v>6.0000000000000001E-3</v>
      </c>
      <c r="F31" s="177"/>
      <c r="G31" s="193">
        <f>G18*E31</f>
        <v>0.36894000000000005</v>
      </c>
      <c r="H31" s="193">
        <f>H18*E31</f>
        <v>0.54642000000000002</v>
      </c>
      <c r="I31" s="179">
        <f t="shared" si="2"/>
        <v>0.91536000000000006</v>
      </c>
      <c r="J31" s="180">
        <f>VLOOKUP(B31,материал!$B$5:$G$67,5,0)</f>
        <v>0</v>
      </c>
      <c r="K31" s="180">
        <f t="shared" si="3"/>
        <v>0</v>
      </c>
      <c r="L31" s="177" t="s">
        <v>76</v>
      </c>
      <c r="M31" s="271" t="str">
        <f>VLOOKUP(B31,материал!$B$5:$H$67,7,0)</f>
        <v>Закуп подярдчика</v>
      </c>
    </row>
    <row r="32" spans="1:13" s="135" customFormat="1" ht="12.75" customHeight="1" x14ac:dyDescent="0.25">
      <c r="A32" s="181"/>
      <c r="B32" s="189" t="s">
        <v>77</v>
      </c>
      <c r="C32" s="177" t="s">
        <v>70</v>
      </c>
      <c r="D32" s="177" t="s">
        <v>45</v>
      </c>
      <c r="E32" s="177">
        <v>1.01</v>
      </c>
      <c r="F32" s="177"/>
      <c r="G32" s="193">
        <v>1E-3</v>
      </c>
      <c r="H32" s="193">
        <v>2.1000000000000001E-2</v>
      </c>
      <c r="I32" s="179">
        <f t="shared" si="2"/>
        <v>2.2000000000000002E-2</v>
      </c>
      <c r="J32" s="180">
        <f>VLOOKUP(B32,материал!$B$5:$G$67,5,0)</f>
        <v>0</v>
      </c>
      <c r="K32" s="180">
        <f t="shared" si="3"/>
        <v>0</v>
      </c>
      <c r="L32" s="194"/>
      <c r="M32" s="271" t="str">
        <f>VLOOKUP(B32,материал!$B$5:$H$67,7,0)</f>
        <v>Закуп подярдчика</v>
      </c>
    </row>
    <row r="33" spans="1:13" s="135" customFormat="1" ht="12.75" customHeight="1" x14ac:dyDescent="0.25">
      <c r="A33" s="181"/>
      <c r="B33" s="189" t="s">
        <v>78</v>
      </c>
      <c r="C33" s="177" t="s">
        <v>79</v>
      </c>
      <c r="D33" s="177" t="s">
        <v>47</v>
      </c>
      <c r="E33" s="177"/>
      <c r="F33" s="177"/>
      <c r="G33" s="178">
        <v>273.75</v>
      </c>
      <c r="H33" s="178">
        <v>441.03</v>
      </c>
      <c r="I33" s="179">
        <f t="shared" si="2"/>
        <v>714.78</v>
      </c>
      <c r="J33" s="180">
        <f>VLOOKUP(B33,материал!$B$5:$G$67,5,0)</f>
        <v>0</v>
      </c>
      <c r="K33" s="180">
        <f t="shared" si="3"/>
        <v>0</v>
      </c>
      <c r="L33" s="194"/>
      <c r="M33" s="271" t="str">
        <f>VLOOKUP(B33,материал!$B$5:$H$67,7,0)</f>
        <v>Закуп подярдчика</v>
      </c>
    </row>
    <row r="34" spans="1:13" s="135" customFormat="1" ht="12.75" customHeight="1" x14ac:dyDescent="0.25">
      <c r="A34" s="181"/>
      <c r="B34" s="189" t="s">
        <v>80</v>
      </c>
      <c r="C34" s="177" t="s">
        <v>260</v>
      </c>
      <c r="D34" s="177" t="s">
        <v>60</v>
      </c>
      <c r="E34" s="177"/>
      <c r="F34" s="177"/>
      <c r="G34" s="178"/>
      <c r="H34" s="178">
        <v>2</v>
      </c>
      <c r="I34" s="179">
        <f t="shared" si="2"/>
        <v>2</v>
      </c>
      <c r="J34" s="180">
        <f>VLOOKUP(B34,материал!$B$5:$G$67,5,0)</f>
        <v>0</v>
      </c>
      <c r="K34" s="180">
        <f t="shared" si="3"/>
        <v>0</v>
      </c>
      <c r="L34" s="194"/>
      <c r="M34" s="271" t="str">
        <f>VLOOKUP(B34,материал!$B$5:$H$67,7,0)</f>
        <v>Закуп подярдчика</v>
      </c>
    </row>
    <row r="35" spans="1:13" s="135" customFormat="1" ht="12.75" customHeight="1" x14ac:dyDescent="0.25">
      <c r="A35" s="181"/>
      <c r="B35" s="189" t="s">
        <v>82</v>
      </c>
      <c r="C35" s="177" t="s">
        <v>261</v>
      </c>
      <c r="D35" s="177" t="s">
        <v>60</v>
      </c>
      <c r="E35" s="177"/>
      <c r="F35" s="177"/>
      <c r="G35" s="178"/>
      <c r="H35" s="178">
        <v>4</v>
      </c>
      <c r="I35" s="179">
        <f t="shared" si="2"/>
        <v>4</v>
      </c>
      <c r="J35" s="180">
        <f>VLOOKUP(B35,материал!$B$5:$G$67,5,0)</f>
        <v>0</v>
      </c>
      <c r="K35" s="180">
        <f t="shared" si="3"/>
        <v>0</v>
      </c>
      <c r="L35" s="194"/>
      <c r="M35" s="271" t="str">
        <f>VLOOKUP(B35,материал!$B$5:$H$67,7,0)</f>
        <v>Закуп подярдчика</v>
      </c>
    </row>
    <row r="36" spans="1:13" s="135" customFormat="1" ht="12.75" customHeight="1" x14ac:dyDescent="0.25">
      <c r="A36" s="181"/>
      <c r="B36" s="189" t="s">
        <v>84</v>
      </c>
      <c r="C36" s="177" t="s">
        <v>262</v>
      </c>
      <c r="D36" s="177" t="s">
        <v>60</v>
      </c>
      <c r="E36" s="177"/>
      <c r="F36" s="177"/>
      <c r="G36" s="178"/>
      <c r="H36" s="178">
        <v>3</v>
      </c>
      <c r="I36" s="179">
        <f t="shared" si="2"/>
        <v>3</v>
      </c>
      <c r="J36" s="180">
        <f>VLOOKUP(B36,материал!$B$5:$G$67,5,0)</f>
        <v>0</v>
      </c>
      <c r="K36" s="180">
        <f t="shared" si="3"/>
        <v>0</v>
      </c>
      <c r="L36" s="194"/>
      <c r="M36" s="271" t="str">
        <f>VLOOKUP(B36,материал!$B$5:$H$67,7,0)</f>
        <v>Закуп подярдчика</v>
      </c>
    </row>
    <row r="37" spans="1:13" s="135" customFormat="1" ht="12.75" customHeight="1" x14ac:dyDescent="0.25">
      <c r="A37" s="181"/>
      <c r="B37" s="189" t="s">
        <v>86</v>
      </c>
      <c r="C37" s="177" t="s">
        <v>81</v>
      </c>
      <c r="D37" s="177" t="s">
        <v>60</v>
      </c>
      <c r="E37" s="177"/>
      <c r="F37" s="177"/>
      <c r="G37" s="178">
        <v>9</v>
      </c>
      <c r="H37" s="178">
        <v>12</v>
      </c>
      <c r="I37" s="179">
        <f t="shared" si="2"/>
        <v>21</v>
      </c>
      <c r="J37" s="180">
        <f>VLOOKUP(B37,материал!$B$5:$G$67,5,0)</f>
        <v>0</v>
      </c>
      <c r="K37" s="180">
        <f t="shared" si="3"/>
        <v>0</v>
      </c>
      <c r="L37" s="194"/>
      <c r="M37" s="271" t="str">
        <f>VLOOKUP(B37,материал!$B$5:$H$67,7,0)</f>
        <v>Закуп подярдчика</v>
      </c>
    </row>
    <row r="38" spans="1:13" s="135" customFormat="1" ht="12.75" customHeight="1" x14ac:dyDescent="0.25">
      <c r="A38" s="181"/>
      <c r="B38" s="189" t="s">
        <v>88</v>
      </c>
      <c r="C38" s="177" t="s">
        <v>83</v>
      </c>
      <c r="D38" s="177" t="s">
        <v>60</v>
      </c>
      <c r="E38" s="177"/>
      <c r="F38" s="177"/>
      <c r="G38" s="178">
        <v>3</v>
      </c>
      <c r="H38" s="178"/>
      <c r="I38" s="179">
        <f t="shared" si="2"/>
        <v>3</v>
      </c>
      <c r="J38" s="180">
        <f>VLOOKUP(B38,материал!$B$5:$G$67,5,0)</f>
        <v>0</v>
      </c>
      <c r="K38" s="180">
        <f t="shared" si="3"/>
        <v>0</v>
      </c>
      <c r="L38" s="194"/>
      <c r="M38" s="271" t="str">
        <f>VLOOKUP(B38,материал!$B$5:$H$67,7,0)</f>
        <v>Закуп подярдчика</v>
      </c>
    </row>
    <row r="39" spans="1:13" s="135" customFormat="1" ht="12.75" customHeight="1" x14ac:dyDescent="0.25">
      <c r="A39" s="181"/>
      <c r="B39" s="189" t="s">
        <v>90</v>
      </c>
      <c r="C39" s="177" t="s">
        <v>85</v>
      </c>
      <c r="D39" s="177" t="s">
        <v>60</v>
      </c>
      <c r="E39" s="177"/>
      <c r="F39" s="177"/>
      <c r="G39" s="178"/>
      <c r="H39" s="178">
        <v>1</v>
      </c>
      <c r="I39" s="179">
        <f t="shared" si="2"/>
        <v>1</v>
      </c>
      <c r="J39" s="180">
        <f>VLOOKUP(B39,материал!$B$5:$G$67,5,0)</f>
        <v>0</v>
      </c>
      <c r="K39" s="180">
        <f t="shared" si="3"/>
        <v>0</v>
      </c>
      <c r="L39" s="194"/>
      <c r="M39" s="271" t="str">
        <f>VLOOKUP(B39,материал!$B$5:$H$67,7,0)</f>
        <v>Закуп подярдчика</v>
      </c>
    </row>
    <row r="40" spans="1:13" s="135" customFormat="1" ht="12.75" customHeight="1" x14ac:dyDescent="0.25">
      <c r="A40" s="181"/>
      <c r="B40" s="189" t="s">
        <v>113</v>
      </c>
      <c r="C40" s="177" t="s">
        <v>87</v>
      </c>
      <c r="D40" s="177" t="s">
        <v>60</v>
      </c>
      <c r="E40" s="177"/>
      <c r="F40" s="177"/>
      <c r="G40" s="178">
        <v>3</v>
      </c>
      <c r="H40" s="178">
        <v>6</v>
      </c>
      <c r="I40" s="179">
        <f t="shared" si="2"/>
        <v>9</v>
      </c>
      <c r="J40" s="180">
        <f>VLOOKUP(B40,материал!$B$5:$G$67,5,0)</f>
        <v>0</v>
      </c>
      <c r="K40" s="180">
        <f t="shared" si="3"/>
        <v>0</v>
      </c>
      <c r="L40" s="194"/>
      <c r="M40" s="271" t="str">
        <f>VLOOKUP(B40,материал!$B$5:$H$67,7,0)</f>
        <v>Закуп подярдчика</v>
      </c>
    </row>
    <row r="41" spans="1:13" s="135" customFormat="1" ht="12.75" customHeight="1" x14ac:dyDescent="0.25">
      <c r="A41" s="181"/>
      <c r="B41" s="189" t="s">
        <v>115</v>
      </c>
      <c r="C41" s="177" t="s">
        <v>89</v>
      </c>
      <c r="D41" s="177" t="s">
        <v>60</v>
      </c>
      <c r="E41" s="177"/>
      <c r="F41" s="177"/>
      <c r="G41" s="178">
        <v>16</v>
      </c>
      <c r="H41" s="178">
        <v>32</v>
      </c>
      <c r="I41" s="179">
        <f t="shared" si="2"/>
        <v>48</v>
      </c>
      <c r="J41" s="180">
        <f>VLOOKUP(B41,материал!$B$5:$G$67,5,0)</f>
        <v>0</v>
      </c>
      <c r="K41" s="180">
        <f t="shared" si="3"/>
        <v>0</v>
      </c>
      <c r="L41" s="194"/>
      <c r="M41" s="271" t="str">
        <f>VLOOKUP(B41,материал!$B$5:$H$67,7,0)</f>
        <v>Закуп подярдчика</v>
      </c>
    </row>
    <row r="42" spans="1:13" s="135" customFormat="1" ht="12.75" customHeight="1" x14ac:dyDescent="0.25">
      <c r="A42" s="181"/>
      <c r="B42" s="189" t="s">
        <v>117</v>
      </c>
      <c r="C42" s="177" t="s">
        <v>264</v>
      </c>
      <c r="D42" s="177" t="s">
        <v>60</v>
      </c>
      <c r="E42" s="177"/>
      <c r="F42" s="177"/>
      <c r="G42" s="178">
        <v>8</v>
      </c>
      <c r="H42" s="178">
        <v>5</v>
      </c>
      <c r="I42" s="179">
        <f t="shared" si="2"/>
        <v>13</v>
      </c>
      <c r="J42" s="180">
        <f>VLOOKUP(B42,материал!$B$5:$G$67,5,0)</f>
        <v>0</v>
      </c>
      <c r="K42" s="180">
        <f t="shared" si="3"/>
        <v>0</v>
      </c>
      <c r="L42" s="194"/>
      <c r="M42" s="271" t="str">
        <f>VLOOKUP(B42,материал!$B$5:$H$67,7,0)</f>
        <v>Закуп подярдчика</v>
      </c>
    </row>
    <row r="43" spans="1:13" s="135" customFormat="1" ht="12.75" customHeight="1" x14ac:dyDescent="0.25">
      <c r="A43" s="181"/>
      <c r="B43" s="189" t="s">
        <v>119</v>
      </c>
      <c r="C43" s="177" t="s">
        <v>265</v>
      </c>
      <c r="D43" s="177" t="s">
        <v>60</v>
      </c>
      <c r="E43" s="177"/>
      <c r="F43" s="177"/>
      <c r="G43" s="178"/>
      <c r="H43" s="178">
        <v>4</v>
      </c>
      <c r="I43" s="179">
        <f t="shared" si="2"/>
        <v>4</v>
      </c>
      <c r="J43" s="180">
        <f>VLOOKUP(B43,материал!$B$5:$G$67,5,0)</f>
        <v>0</v>
      </c>
      <c r="K43" s="180">
        <f t="shared" si="3"/>
        <v>0</v>
      </c>
      <c r="L43" s="194"/>
      <c r="M43" s="271" t="str">
        <f>VLOOKUP(B43,материал!$B$5:$H$67,7,0)</f>
        <v>Закуп подярдчика</v>
      </c>
    </row>
    <row r="44" spans="1:13" s="135" customFormat="1" ht="12.75" customHeight="1" x14ac:dyDescent="0.25">
      <c r="A44" s="181"/>
      <c r="B44" s="189" t="s">
        <v>121</v>
      </c>
      <c r="C44" s="177" t="s">
        <v>309</v>
      </c>
      <c r="D44" s="177" t="s">
        <v>60</v>
      </c>
      <c r="E44" s="177"/>
      <c r="F44" s="177"/>
      <c r="G44" s="178">
        <v>4</v>
      </c>
      <c r="H44" s="178"/>
      <c r="I44" s="179">
        <f t="shared" si="2"/>
        <v>4</v>
      </c>
      <c r="J44" s="180">
        <f>VLOOKUP(B44,материал!$B$5:$G$67,5,0)</f>
        <v>0</v>
      </c>
      <c r="K44" s="180">
        <f t="shared" si="3"/>
        <v>0</v>
      </c>
      <c r="L44" s="194"/>
      <c r="M44" s="271" t="str">
        <f>VLOOKUP(B44,материал!$B$5:$H$67,7,0)</f>
        <v>Закуп подярдчика</v>
      </c>
    </row>
    <row r="45" spans="1:13" s="135" customFormat="1" ht="12.75" customHeight="1" x14ac:dyDescent="0.25">
      <c r="A45" s="181"/>
      <c r="B45" s="189" t="s">
        <v>123</v>
      </c>
      <c r="C45" s="177" t="s">
        <v>310</v>
      </c>
      <c r="D45" s="177" t="s">
        <v>60</v>
      </c>
      <c r="E45" s="177"/>
      <c r="F45" s="177"/>
      <c r="G45" s="178">
        <v>2</v>
      </c>
      <c r="H45" s="178">
        <v>4</v>
      </c>
      <c r="I45" s="179">
        <f t="shared" si="2"/>
        <v>6</v>
      </c>
      <c r="J45" s="180">
        <f>VLOOKUP(B45,материал!$B$5:$G$67,5,0)</f>
        <v>0</v>
      </c>
      <c r="K45" s="180">
        <f t="shared" si="3"/>
        <v>0</v>
      </c>
      <c r="L45" s="194"/>
      <c r="M45" s="271" t="str">
        <f>VLOOKUP(B45,материал!$B$5:$H$67,7,0)</f>
        <v>Закуп подярдчика</v>
      </c>
    </row>
    <row r="46" spans="1:13" s="135" customFormat="1" ht="12.75" customHeight="1" x14ac:dyDescent="0.25">
      <c r="A46" s="181"/>
      <c r="B46" s="189" t="s">
        <v>125</v>
      </c>
      <c r="C46" s="177" t="s">
        <v>311</v>
      </c>
      <c r="D46" s="177" t="s">
        <v>60</v>
      </c>
      <c r="E46" s="177"/>
      <c r="F46" s="177"/>
      <c r="G46" s="178">
        <v>4</v>
      </c>
      <c r="H46" s="178"/>
      <c r="I46" s="179">
        <f t="shared" si="2"/>
        <v>4</v>
      </c>
      <c r="J46" s="180">
        <f>VLOOKUP(B46,материал!$B$5:$G$67,5,0)</f>
        <v>0</v>
      </c>
      <c r="K46" s="180">
        <f t="shared" si="3"/>
        <v>0</v>
      </c>
      <c r="L46" s="194"/>
      <c r="M46" s="271" t="str">
        <f>VLOOKUP(B46,материал!$B$5:$H$67,7,0)</f>
        <v>Закуп подярдчика</v>
      </c>
    </row>
    <row r="47" spans="1:13" s="135" customFormat="1" ht="12.75" customHeight="1" x14ac:dyDescent="0.25">
      <c r="A47" s="181"/>
      <c r="B47" s="189" t="s">
        <v>127</v>
      </c>
      <c r="C47" s="177" t="s">
        <v>268</v>
      </c>
      <c r="D47" s="177" t="s">
        <v>60</v>
      </c>
      <c r="E47" s="177"/>
      <c r="F47" s="177"/>
      <c r="G47" s="178">
        <v>1</v>
      </c>
      <c r="H47" s="178"/>
      <c r="I47" s="179">
        <f t="shared" si="2"/>
        <v>1</v>
      </c>
      <c r="J47" s="180">
        <f>VLOOKUP(B47,материал!$B$5:$G$67,5,0)</f>
        <v>0</v>
      </c>
      <c r="K47" s="180">
        <f t="shared" si="3"/>
        <v>0</v>
      </c>
      <c r="L47" s="194"/>
      <c r="M47" s="271" t="str">
        <f>VLOOKUP(B47,материал!$B$5:$H$67,7,0)</f>
        <v>Закуп подярдчика</v>
      </c>
    </row>
    <row r="48" spans="1:13" s="135" customFormat="1" ht="12.75" customHeight="1" x14ac:dyDescent="0.25">
      <c r="A48" s="181"/>
      <c r="B48" s="189" t="s">
        <v>129</v>
      </c>
      <c r="C48" s="177" t="s">
        <v>312</v>
      </c>
      <c r="D48" s="177" t="s">
        <v>60</v>
      </c>
      <c r="E48" s="177"/>
      <c r="F48" s="177"/>
      <c r="G48" s="178">
        <v>1</v>
      </c>
      <c r="H48" s="178"/>
      <c r="I48" s="179">
        <f t="shared" si="2"/>
        <v>1</v>
      </c>
      <c r="J48" s="180">
        <f>VLOOKUP(B48,материал!$B$5:$G$67,5,0)</f>
        <v>0</v>
      </c>
      <c r="K48" s="180">
        <f t="shared" si="3"/>
        <v>0</v>
      </c>
      <c r="L48" s="194"/>
      <c r="M48" s="271" t="str">
        <f>VLOOKUP(B48,материал!$B$5:$H$67,7,0)</f>
        <v>Закуп подярдчика</v>
      </c>
    </row>
    <row r="49" spans="1:13" s="135" customFormat="1" ht="12.75" customHeight="1" x14ac:dyDescent="0.25">
      <c r="A49" s="181"/>
      <c r="B49" s="189" t="s">
        <v>92</v>
      </c>
      <c r="C49" s="177" t="s">
        <v>93</v>
      </c>
      <c r="D49" s="177" t="s">
        <v>54</v>
      </c>
      <c r="E49" s="177">
        <v>1.04</v>
      </c>
      <c r="F49" s="177"/>
      <c r="G49" s="178">
        <f>109.5*E49</f>
        <v>113.88000000000001</v>
      </c>
      <c r="H49" s="178">
        <f>185.5*E49</f>
        <v>192.92000000000002</v>
      </c>
      <c r="I49" s="179">
        <f t="shared" si="2"/>
        <v>306.8</v>
      </c>
      <c r="J49" s="180">
        <f>VLOOKUP(B49,материал!$B$5:$G$67,5,0)</f>
        <v>0</v>
      </c>
      <c r="K49" s="180">
        <f t="shared" si="3"/>
        <v>0</v>
      </c>
      <c r="L49" s="194"/>
      <c r="M49" s="271" t="str">
        <f>VLOOKUP(B49,материал!$B$5:$H$67,7,0)</f>
        <v>Закуп подярдчика</v>
      </c>
    </row>
    <row r="50" spans="1:13" s="135" customFormat="1" ht="12.75" customHeight="1" x14ac:dyDescent="0.25">
      <c r="A50" s="181"/>
      <c r="B50" s="189" t="s">
        <v>94</v>
      </c>
      <c r="C50" s="177" t="s">
        <v>95</v>
      </c>
      <c r="D50" s="177" t="s">
        <v>54</v>
      </c>
      <c r="E50" s="177">
        <v>1.04</v>
      </c>
      <c r="F50" s="177"/>
      <c r="G50" s="178">
        <f>G19*E50</f>
        <v>0.86319999999999997</v>
      </c>
      <c r="H50" s="178">
        <f>H19*E50</f>
        <v>11.5336</v>
      </c>
      <c r="I50" s="179">
        <f t="shared" si="2"/>
        <v>12.396799999999999</v>
      </c>
      <c r="J50" s="180">
        <f>VLOOKUP(B50,материал!$B$5:$G$67,5,0)</f>
        <v>0</v>
      </c>
      <c r="K50" s="180">
        <f t="shared" si="3"/>
        <v>0</v>
      </c>
      <c r="L50" s="194"/>
      <c r="M50" s="271" t="str">
        <f>VLOOKUP(B50,материал!$B$5:$H$67,7,0)</f>
        <v>Закуп подярдчика</v>
      </c>
    </row>
    <row r="51" spans="1:13" s="135" customFormat="1" ht="12.75" customHeight="1" x14ac:dyDescent="0.25">
      <c r="A51" s="181"/>
      <c r="B51" s="189" t="s">
        <v>96</v>
      </c>
      <c r="C51" s="177" t="s">
        <v>39</v>
      </c>
      <c r="D51" s="177" t="s">
        <v>54</v>
      </c>
      <c r="E51" s="177">
        <v>1.04</v>
      </c>
      <c r="F51" s="177"/>
      <c r="G51" s="178">
        <f>11.91*E51</f>
        <v>12.3864</v>
      </c>
      <c r="H51" s="178">
        <f>21.17*E51</f>
        <v>22.016800000000003</v>
      </c>
      <c r="I51" s="179">
        <f t="shared" si="2"/>
        <v>34.403200000000005</v>
      </c>
      <c r="J51" s="180">
        <f>VLOOKUP(B51,материал!$B$5:$G$67,5,0)</f>
        <v>0</v>
      </c>
      <c r="K51" s="180">
        <f t="shared" si="3"/>
        <v>0</v>
      </c>
      <c r="L51" s="194"/>
      <c r="M51" s="271" t="str">
        <f>VLOOKUP(B51,материал!$B$5:$H$67,7,0)</f>
        <v>Закуп подярдчика</v>
      </c>
    </row>
    <row r="52" spans="1:13" s="135" customFormat="1" ht="12.75" customHeight="1" x14ac:dyDescent="0.25">
      <c r="A52" s="181"/>
      <c r="B52" s="189" t="s">
        <v>97</v>
      </c>
      <c r="C52" s="177" t="s">
        <v>39</v>
      </c>
      <c r="D52" s="177" t="s">
        <v>54</v>
      </c>
      <c r="E52" s="177">
        <v>1.04</v>
      </c>
      <c r="F52" s="177"/>
      <c r="G52" s="178">
        <f>E52*5.13</f>
        <v>5.3352000000000004</v>
      </c>
      <c r="H52" s="178">
        <f>E52*18.42</f>
        <v>19.156800000000004</v>
      </c>
      <c r="I52" s="179">
        <f t="shared" si="2"/>
        <v>24.492000000000004</v>
      </c>
      <c r="J52" s="180">
        <f>VLOOKUP(B52,материал!$B$5:$G$67,5,0)</f>
        <v>0</v>
      </c>
      <c r="K52" s="180">
        <f t="shared" si="3"/>
        <v>0</v>
      </c>
      <c r="L52" s="194"/>
      <c r="M52" s="271" t="str">
        <f>VLOOKUP(B52,материал!$B$5:$H$67,7,0)</f>
        <v>Закуп подярдчика</v>
      </c>
    </row>
    <row r="53" spans="1:13" s="135" customFormat="1" ht="12.75" customHeight="1" x14ac:dyDescent="0.25">
      <c r="A53" s="181"/>
      <c r="B53" s="189" t="s">
        <v>270</v>
      </c>
      <c r="C53" s="177" t="s">
        <v>271</v>
      </c>
      <c r="D53" s="177" t="s">
        <v>54</v>
      </c>
      <c r="E53" s="177">
        <v>1.04</v>
      </c>
      <c r="F53" s="177"/>
      <c r="G53" s="178">
        <f>42*E53</f>
        <v>43.68</v>
      </c>
      <c r="H53" s="178">
        <f>49.03*E53</f>
        <v>50.991200000000006</v>
      </c>
      <c r="I53" s="179">
        <f t="shared" si="2"/>
        <v>94.671199999999999</v>
      </c>
      <c r="J53" s="180">
        <f>VLOOKUP(B53,материал!$B$5:$G$67,5,0)</f>
        <v>0</v>
      </c>
      <c r="K53" s="180">
        <f t="shared" si="3"/>
        <v>0</v>
      </c>
      <c r="L53" s="194"/>
      <c r="M53" s="271" t="str">
        <f>VLOOKUP(B53,материал!$B$5:$H$67,7,0)</f>
        <v>Закуп подярдчика</v>
      </c>
    </row>
    <row r="54" spans="1:13" s="135" customFormat="1" ht="12.75" customHeight="1" x14ac:dyDescent="0.25">
      <c r="A54" s="181"/>
      <c r="B54" s="189" t="s">
        <v>272</v>
      </c>
      <c r="C54" s="177" t="s">
        <v>273</v>
      </c>
      <c r="D54" s="177" t="s">
        <v>54</v>
      </c>
      <c r="E54" s="177">
        <v>1.04</v>
      </c>
      <c r="F54" s="177"/>
      <c r="G54" s="178">
        <f>E54*2.45</f>
        <v>2.5480000000000005</v>
      </c>
      <c r="H54" s="178">
        <f>E54*2.45</f>
        <v>2.5480000000000005</v>
      </c>
      <c r="I54" s="179">
        <f t="shared" si="2"/>
        <v>5.096000000000001</v>
      </c>
      <c r="J54" s="180">
        <f>VLOOKUP(B54,материал!$B$5:$G$67,5,0)</f>
        <v>0</v>
      </c>
      <c r="K54" s="180">
        <f t="shared" si="3"/>
        <v>0</v>
      </c>
      <c r="L54" s="194"/>
      <c r="M54" s="271" t="str">
        <f>VLOOKUP(B54,материал!$B$5:$H$67,7,0)</f>
        <v>Закуп подярдчика</v>
      </c>
    </row>
    <row r="55" spans="1:13" s="135" customFormat="1" ht="12.75" customHeight="1" x14ac:dyDescent="0.25">
      <c r="A55" s="181"/>
      <c r="B55" s="189" t="s">
        <v>275</v>
      </c>
      <c r="C55" s="177" t="s">
        <v>276</v>
      </c>
      <c r="D55" s="177" t="s">
        <v>45</v>
      </c>
      <c r="E55" s="177">
        <v>1.04</v>
      </c>
      <c r="F55" s="177"/>
      <c r="G55" s="178">
        <f>G20*0.05*E55</f>
        <v>2.2074051999999997</v>
      </c>
      <c r="H55" s="178">
        <f>H20*0.05*E55</f>
        <v>0</v>
      </c>
      <c r="I55" s="179">
        <f t="shared" si="2"/>
        <v>2.2074051999999997</v>
      </c>
      <c r="J55" s="180">
        <f>VLOOKUP(B55,материал!$B$5:$G$67,5,0)</f>
        <v>0</v>
      </c>
      <c r="K55" s="180">
        <f t="shared" si="3"/>
        <v>0</v>
      </c>
      <c r="L55" s="194"/>
      <c r="M55" s="271" t="str">
        <f>VLOOKUP(B55,материал!$B$5:$H$67,7,0)</f>
        <v>Закуп подярдчика</v>
      </c>
    </row>
    <row r="56" spans="1:13" s="137" customFormat="1" ht="24.95" customHeight="1" x14ac:dyDescent="0.25">
      <c r="A56" s="195"/>
      <c r="B56" s="196" t="s">
        <v>98</v>
      </c>
      <c r="C56" s="197" t="s">
        <v>39</v>
      </c>
      <c r="D56" s="197" t="s">
        <v>99</v>
      </c>
      <c r="E56" s="197"/>
      <c r="F56" s="197"/>
      <c r="G56" s="198"/>
      <c r="H56" s="198"/>
      <c r="I56" s="199">
        <f ca="1">SUMIF(материал!$B$5:$G$67,B56,материал!$E$5:$E$67)</f>
        <v>0</v>
      </c>
      <c r="J56" s="179"/>
      <c r="K56" s="180">
        <f ca="1">SUM(K23:K55)*I56%</f>
        <v>0</v>
      </c>
      <c r="L56" s="200"/>
      <c r="M56" s="274" t="str">
        <f>VLOOKUP(B56,материал!$B$5:$H$67,7,0)</f>
        <v>Закуп подярдчика</v>
      </c>
    </row>
    <row r="57" spans="1:13" s="135" customFormat="1" ht="12.75" customHeight="1" x14ac:dyDescent="0.25">
      <c r="A57" s="160" t="s">
        <v>100</v>
      </c>
      <c r="B57" s="161" t="s">
        <v>101</v>
      </c>
      <c r="C57" s="162"/>
      <c r="D57" s="163"/>
      <c r="E57" s="162"/>
      <c r="F57" s="162"/>
      <c r="G57" s="164"/>
      <c r="H57" s="164"/>
      <c r="I57" s="165"/>
      <c r="J57" s="165"/>
      <c r="K57" s="165">
        <f ca="1">K58+K71</f>
        <v>0</v>
      </c>
      <c r="L57" s="186"/>
      <c r="M57" s="273"/>
    </row>
    <row r="58" spans="1:13" s="135" customFormat="1" ht="12.75" customHeight="1" x14ac:dyDescent="0.25">
      <c r="A58" s="166"/>
      <c r="B58" s="167" t="s">
        <v>34</v>
      </c>
      <c r="C58" s="168"/>
      <c r="D58" s="168"/>
      <c r="E58" s="168"/>
      <c r="F58" s="168"/>
      <c r="G58" s="169"/>
      <c r="H58" s="169"/>
      <c r="I58" s="170"/>
      <c r="J58" s="170"/>
      <c r="K58" s="170">
        <f>SUM(K59:K69)</f>
        <v>0</v>
      </c>
      <c r="L58" s="172"/>
      <c r="M58" s="270"/>
    </row>
    <row r="59" spans="1:13" s="135" customFormat="1" ht="25.5" customHeight="1" x14ac:dyDescent="0.25">
      <c r="A59" s="166"/>
      <c r="B59" s="171" t="s">
        <v>44</v>
      </c>
      <c r="C59" s="172"/>
      <c r="D59" s="172" t="s">
        <v>45</v>
      </c>
      <c r="E59" s="172"/>
      <c r="F59" s="172"/>
      <c r="G59" s="173">
        <v>26.31</v>
      </c>
      <c r="H59" s="173">
        <v>34.979999999999997</v>
      </c>
      <c r="I59" s="170">
        <f t="shared" ref="I59:I70" si="4">SUM(G59:H59)</f>
        <v>61.289999999999992</v>
      </c>
      <c r="J59" s="174">
        <f>VLOOKUP(B59,работы!$B$5:$F$19,4,0)</f>
        <v>0</v>
      </c>
      <c r="K59" s="174">
        <f t="shared" si="3"/>
        <v>0</v>
      </c>
      <c r="L59" s="172"/>
      <c r="M59" s="270"/>
    </row>
    <row r="60" spans="1:13" s="135" customFormat="1" ht="12.75" customHeight="1" x14ac:dyDescent="0.25">
      <c r="A60" s="166"/>
      <c r="B60" s="171" t="s">
        <v>102</v>
      </c>
      <c r="C60" s="172"/>
      <c r="D60" s="172" t="s">
        <v>45</v>
      </c>
      <c r="E60" s="172"/>
      <c r="F60" s="172"/>
      <c r="G60" s="173">
        <v>1.72</v>
      </c>
      <c r="H60" s="173">
        <v>2.6</v>
      </c>
      <c r="I60" s="170">
        <f t="shared" si="4"/>
        <v>4.32</v>
      </c>
      <c r="J60" s="174">
        <f>VLOOKUP(B60,работы!$B$5:$F$19,4,0)</f>
        <v>0</v>
      </c>
      <c r="K60" s="174">
        <f t="shared" si="3"/>
        <v>0</v>
      </c>
      <c r="L60" s="172"/>
      <c r="M60" s="270"/>
    </row>
    <row r="61" spans="1:13" s="135" customFormat="1" ht="25.5" customHeight="1" x14ac:dyDescent="0.25">
      <c r="A61" s="166"/>
      <c r="B61" s="171" t="s">
        <v>46</v>
      </c>
      <c r="C61" s="172"/>
      <c r="D61" s="172" t="s">
        <v>47</v>
      </c>
      <c r="E61" s="172"/>
      <c r="F61" s="172"/>
      <c r="G61" s="173">
        <v>102.26</v>
      </c>
      <c r="H61" s="173">
        <v>178.68</v>
      </c>
      <c r="I61" s="170">
        <f t="shared" si="4"/>
        <v>280.94</v>
      </c>
      <c r="J61" s="174">
        <f>VLOOKUP(B61,работы!$B$5:$F$19,4,0)</f>
        <v>0</v>
      </c>
      <c r="K61" s="174">
        <f t="shared" si="3"/>
        <v>0</v>
      </c>
      <c r="L61" s="172"/>
      <c r="M61" s="270"/>
    </row>
    <row r="62" spans="1:13" s="135" customFormat="1" ht="25.5" customHeight="1" x14ac:dyDescent="0.25">
      <c r="A62" s="166"/>
      <c r="B62" s="171" t="s">
        <v>48</v>
      </c>
      <c r="C62" s="172"/>
      <c r="D62" s="172" t="s">
        <v>47</v>
      </c>
      <c r="E62" s="172"/>
      <c r="F62" s="172"/>
      <c r="G62" s="173">
        <v>53.68</v>
      </c>
      <c r="H62" s="173">
        <v>110.37</v>
      </c>
      <c r="I62" s="170">
        <f t="shared" si="4"/>
        <v>164.05</v>
      </c>
      <c r="J62" s="174">
        <f>VLOOKUP(B62,работы!$B$5:$F$19,4,0)</f>
        <v>0</v>
      </c>
      <c r="K62" s="174">
        <f t="shared" si="3"/>
        <v>0</v>
      </c>
      <c r="L62" s="172"/>
      <c r="M62" s="270"/>
    </row>
    <row r="63" spans="1:13" s="135" customFormat="1" ht="25.5" customHeight="1" x14ac:dyDescent="0.25">
      <c r="A63" s="166"/>
      <c r="B63" s="171" t="s">
        <v>103</v>
      </c>
      <c r="C63" s="172"/>
      <c r="D63" s="172" t="s">
        <v>47</v>
      </c>
      <c r="E63" s="172"/>
      <c r="F63" s="172"/>
      <c r="G63" s="173">
        <v>114.29</v>
      </c>
      <c r="H63" s="173">
        <v>184.88</v>
      </c>
      <c r="I63" s="170">
        <f t="shared" si="4"/>
        <v>299.17</v>
      </c>
      <c r="J63" s="174">
        <f>VLOOKUP(B63,работы!$B$5:$F$19,4,0)</f>
        <v>0</v>
      </c>
      <c r="K63" s="174">
        <f t="shared" si="3"/>
        <v>0</v>
      </c>
      <c r="L63" s="172"/>
      <c r="M63" s="270"/>
    </row>
    <row r="64" spans="1:13" s="135" customFormat="1" ht="25.5" customHeight="1" x14ac:dyDescent="0.25">
      <c r="A64" s="166"/>
      <c r="B64" s="171" t="s">
        <v>104</v>
      </c>
      <c r="C64" s="172"/>
      <c r="D64" s="172" t="s">
        <v>47</v>
      </c>
      <c r="E64" s="172"/>
      <c r="F64" s="172"/>
      <c r="G64" s="173">
        <v>133.18</v>
      </c>
      <c r="H64" s="173">
        <v>189.83</v>
      </c>
      <c r="I64" s="170">
        <f t="shared" si="4"/>
        <v>323.01</v>
      </c>
      <c r="J64" s="174">
        <f>VLOOKUP(B64,работы!$B$5:$F$19,4,0)</f>
        <v>0</v>
      </c>
      <c r="K64" s="174">
        <f t="shared" si="3"/>
        <v>0</v>
      </c>
      <c r="L64" s="172"/>
      <c r="M64" s="270"/>
    </row>
    <row r="65" spans="1:13" s="135" customFormat="1" ht="12.75" customHeight="1" x14ac:dyDescent="0.25">
      <c r="A65" s="166"/>
      <c r="B65" s="171" t="s">
        <v>49</v>
      </c>
      <c r="C65" s="172"/>
      <c r="D65" s="172" t="s">
        <v>47</v>
      </c>
      <c r="E65" s="172"/>
      <c r="F65" s="172"/>
      <c r="G65" s="173">
        <v>52.46</v>
      </c>
      <c r="H65" s="173">
        <v>38.6</v>
      </c>
      <c r="I65" s="170">
        <f t="shared" si="4"/>
        <v>91.06</v>
      </c>
      <c r="J65" s="174">
        <f>VLOOKUP(B65,работы!$B$5:$F$19,4,0)</f>
        <v>0</v>
      </c>
      <c r="K65" s="174">
        <f t="shared" si="3"/>
        <v>0</v>
      </c>
      <c r="L65" s="172"/>
      <c r="M65" s="270"/>
    </row>
    <row r="66" spans="1:13" s="135" customFormat="1" ht="12.75" customHeight="1" x14ac:dyDescent="0.25">
      <c r="A66" s="166"/>
      <c r="B66" s="171" t="s">
        <v>50</v>
      </c>
      <c r="C66" s="172"/>
      <c r="D66" s="172" t="s">
        <v>51</v>
      </c>
      <c r="E66" s="172"/>
      <c r="F66" s="172"/>
      <c r="G66" s="173">
        <v>71</v>
      </c>
      <c r="H66" s="173">
        <v>94</v>
      </c>
      <c r="I66" s="170">
        <f t="shared" si="4"/>
        <v>165</v>
      </c>
      <c r="J66" s="174">
        <f>VLOOKUP(B66,работы!$B$5:$F$19,4,0)</f>
        <v>0</v>
      </c>
      <c r="K66" s="174">
        <f t="shared" si="3"/>
        <v>0</v>
      </c>
      <c r="L66" s="172"/>
      <c r="M66" s="270"/>
    </row>
    <row r="67" spans="1:13" s="135" customFormat="1" ht="12.75" customHeight="1" x14ac:dyDescent="0.25">
      <c r="A67" s="166"/>
      <c r="B67" s="171" t="s">
        <v>52</v>
      </c>
      <c r="C67" s="172" t="s">
        <v>105</v>
      </c>
      <c r="D67" s="172" t="s">
        <v>54</v>
      </c>
      <c r="E67" s="172"/>
      <c r="F67" s="172"/>
      <c r="G67" s="173">
        <v>99.09</v>
      </c>
      <c r="H67" s="173">
        <v>79.66</v>
      </c>
      <c r="I67" s="170">
        <f t="shared" si="4"/>
        <v>178.75</v>
      </c>
      <c r="J67" s="174">
        <f>VLOOKUP(B67,работы!$B$5:$F$19,4,0)</f>
        <v>0</v>
      </c>
      <c r="K67" s="174">
        <f t="shared" si="3"/>
        <v>0</v>
      </c>
      <c r="L67" s="172"/>
      <c r="M67" s="270"/>
    </row>
    <row r="68" spans="1:13" s="135" customFormat="1" ht="25.5" customHeight="1" x14ac:dyDescent="0.25">
      <c r="A68" s="166"/>
      <c r="B68" s="171" t="s">
        <v>55</v>
      </c>
      <c r="C68" s="172"/>
      <c r="D68" s="172" t="s">
        <v>54</v>
      </c>
      <c r="E68" s="172"/>
      <c r="F68" s="172"/>
      <c r="G68" s="173">
        <v>31.05</v>
      </c>
      <c r="H68" s="173">
        <v>44.59</v>
      </c>
      <c r="I68" s="170">
        <f t="shared" si="4"/>
        <v>75.64</v>
      </c>
      <c r="J68" s="174">
        <f>VLOOKUP(B68,работы!$B$5:$F$19,4,0)</f>
        <v>0</v>
      </c>
      <c r="K68" s="174">
        <f t="shared" si="3"/>
        <v>0</v>
      </c>
      <c r="L68" s="172"/>
      <c r="M68" s="270"/>
    </row>
    <row r="69" spans="1:13" s="135" customFormat="1" ht="12.75" customHeight="1" x14ac:dyDescent="0.25">
      <c r="A69" s="166"/>
      <c r="B69" s="171" t="s">
        <v>256</v>
      </c>
      <c r="C69" s="172"/>
      <c r="D69" s="172" t="s">
        <v>47</v>
      </c>
      <c r="E69" s="172"/>
      <c r="F69" s="172"/>
      <c r="G69" s="173">
        <f>11.4*2.82</f>
        <v>32.147999999999996</v>
      </c>
      <c r="H69" s="173"/>
      <c r="I69" s="170">
        <f t="shared" si="4"/>
        <v>32.147999999999996</v>
      </c>
      <c r="J69" s="174">
        <f>VLOOKUP(B69,работы!$B$5:$F$19,4,0)</f>
        <v>0</v>
      </c>
      <c r="K69" s="174">
        <f t="shared" si="3"/>
        <v>0</v>
      </c>
      <c r="L69" s="172"/>
      <c r="M69" s="270"/>
    </row>
    <row r="70" spans="1:13" s="135" customFormat="1" ht="24.95" customHeight="1" x14ac:dyDescent="0.25">
      <c r="A70" s="166"/>
      <c r="B70" s="187" t="s">
        <v>56</v>
      </c>
      <c r="C70" s="188"/>
      <c r="D70" s="188" t="s">
        <v>45</v>
      </c>
      <c r="E70" s="188"/>
      <c r="F70" s="188"/>
      <c r="G70" s="173">
        <f>255.08*0.06*0.03</f>
        <v>0.459144</v>
      </c>
      <c r="H70" s="173">
        <f>366.31*0.06*0.03</f>
        <v>0.659358</v>
      </c>
      <c r="I70" s="170">
        <f t="shared" si="4"/>
        <v>1.1185019999999999</v>
      </c>
      <c r="J70" s="174"/>
      <c r="K70" s="174"/>
      <c r="L70" s="188" t="s">
        <v>57</v>
      </c>
      <c r="M70" s="270"/>
    </row>
    <row r="71" spans="1:13" s="135" customFormat="1" x14ac:dyDescent="0.25">
      <c r="A71" s="175"/>
      <c r="B71" s="176" t="s">
        <v>38</v>
      </c>
      <c r="C71" s="177"/>
      <c r="D71" s="177"/>
      <c r="E71" s="177"/>
      <c r="F71" s="177"/>
      <c r="G71" s="178"/>
      <c r="H71" s="178"/>
      <c r="I71" s="179"/>
      <c r="J71" s="180"/>
      <c r="K71" s="179">
        <f ca="1">SUM(K72:K106)</f>
        <v>0</v>
      </c>
      <c r="L71" s="177"/>
      <c r="M71" s="271"/>
    </row>
    <row r="72" spans="1:13" s="135" customFormat="1" ht="24.95" customHeight="1" x14ac:dyDescent="0.25">
      <c r="A72" s="181"/>
      <c r="B72" s="182" t="s">
        <v>58</v>
      </c>
      <c r="C72" s="177" t="s">
        <v>59</v>
      </c>
      <c r="D72" s="177" t="s">
        <v>60</v>
      </c>
      <c r="E72" s="178">
        <v>12.4</v>
      </c>
      <c r="F72" s="177">
        <v>0.25</v>
      </c>
      <c r="G72" s="183">
        <f>G59/F72*E72</f>
        <v>1304.9759999999999</v>
      </c>
      <c r="H72" s="183">
        <f>H59/F72*E72</f>
        <v>1735.0079999999998</v>
      </c>
      <c r="I72" s="184">
        <f t="shared" ref="I72:I105" si="5">SUM(G72:H72)</f>
        <v>3039.9839999999995</v>
      </c>
      <c r="J72" s="180">
        <f>VLOOKUP(B72,материал!$B$5:$G$67,5,0)</f>
        <v>0</v>
      </c>
      <c r="K72" s="180">
        <f t="shared" si="3"/>
        <v>0</v>
      </c>
      <c r="L72" s="177" t="s">
        <v>61</v>
      </c>
      <c r="M72" s="271" t="str">
        <f>VLOOKUP(B72,материал!$B$5:$H$67,7,0)</f>
        <v>Давальческий материал</v>
      </c>
    </row>
    <row r="73" spans="1:13" s="135" customFormat="1" ht="24.95" customHeight="1" x14ac:dyDescent="0.25">
      <c r="A73" s="181"/>
      <c r="B73" s="182" t="s">
        <v>62</v>
      </c>
      <c r="C73" s="177" t="s">
        <v>63</v>
      </c>
      <c r="D73" s="177" t="s">
        <v>60</v>
      </c>
      <c r="E73" s="178">
        <v>12.4</v>
      </c>
      <c r="F73" s="177"/>
      <c r="G73" s="183">
        <f>G61*E73</f>
        <v>1268.0240000000001</v>
      </c>
      <c r="H73" s="183">
        <f>H61*E73</f>
        <v>2215.6320000000001</v>
      </c>
      <c r="I73" s="184">
        <f t="shared" si="5"/>
        <v>3483.6559999999999</v>
      </c>
      <c r="J73" s="180">
        <f>VLOOKUP(B73,материал!$B$5:$G$67,5,0)</f>
        <v>0</v>
      </c>
      <c r="K73" s="180">
        <f t="shared" si="3"/>
        <v>0</v>
      </c>
      <c r="L73" s="177" t="s">
        <v>61</v>
      </c>
      <c r="M73" s="271" t="str">
        <f>VLOOKUP(B73,материал!$B$5:$H$67,7,0)</f>
        <v>Давальческий материал</v>
      </c>
    </row>
    <row r="74" spans="1:13" s="135" customFormat="1" ht="24.95" customHeight="1" x14ac:dyDescent="0.25">
      <c r="A74" s="181"/>
      <c r="B74" s="182" t="s">
        <v>64</v>
      </c>
      <c r="C74" s="177" t="s">
        <v>65</v>
      </c>
      <c r="D74" s="177" t="s">
        <v>60</v>
      </c>
      <c r="E74" s="178">
        <v>12.4</v>
      </c>
      <c r="F74" s="177"/>
      <c r="G74" s="183">
        <f>G62*E74</f>
        <v>665.63200000000006</v>
      </c>
      <c r="H74" s="183">
        <f>H62*E74</f>
        <v>1368.5880000000002</v>
      </c>
      <c r="I74" s="184">
        <f t="shared" si="5"/>
        <v>2034.2200000000003</v>
      </c>
      <c r="J74" s="180">
        <f>VLOOKUP(B74,материал!$B$5:$G$67,5,0)</f>
        <v>0</v>
      </c>
      <c r="K74" s="180">
        <f t="shared" si="3"/>
        <v>0</v>
      </c>
      <c r="L74" s="177" t="s">
        <v>61</v>
      </c>
      <c r="M74" s="271" t="str">
        <f>VLOOKUP(B74,материал!$B$5:$H$67,7,0)</f>
        <v>Давальческий материал</v>
      </c>
    </row>
    <row r="75" spans="1:13" s="135" customFormat="1" ht="24.95" customHeight="1" x14ac:dyDescent="0.25">
      <c r="A75" s="181"/>
      <c r="B75" s="182" t="s">
        <v>106</v>
      </c>
      <c r="C75" s="177" t="s">
        <v>107</v>
      </c>
      <c r="D75" s="177" t="s">
        <v>60</v>
      </c>
      <c r="E75" s="178">
        <v>12.4</v>
      </c>
      <c r="F75" s="177"/>
      <c r="G75" s="183">
        <f>G63*E75</f>
        <v>1417.1960000000001</v>
      </c>
      <c r="H75" s="183">
        <f>H63*E75</f>
        <v>2292.5120000000002</v>
      </c>
      <c r="I75" s="184">
        <f t="shared" si="5"/>
        <v>3709.7080000000005</v>
      </c>
      <c r="J75" s="180">
        <f>VLOOKUP(B75,материал!$B$5:$G$67,5,0)</f>
        <v>0</v>
      </c>
      <c r="K75" s="180">
        <f t="shared" si="3"/>
        <v>0</v>
      </c>
      <c r="L75" s="177" t="s">
        <v>61</v>
      </c>
      <c r="M75" s="271" t="str">
        <f>VLOOKUP(B75,материал!$B$5:$H$67,7,0)</f>
        <v>Давальческий материал</v>
      </c>
    </row>
    <row r="76" spans="1:13" s="135" customFormat="1" ht="24.95" customHeight="1" x14ac:dyDescent="0.25">
      <c r="A76" s="181"/>
      <c r="B76" s="182" t="s">
        <v>108</v>
      </c>
      <c r="C76" s="177" t="s">
        <v>109</v>
      </c>
      <c r="D76" s="177" t="s">
        <v>60</v>
      </c>
      <c r="E76" s="178">
        <v>12.4</v>
      </c>
      <c r="F76" s="177"/>
      <c r="G76" s="183">
        <f>G64*E76</f>
        <v>1651.4320000000002</v>
      </c>
      <c r="H76" s="183">
        <f>H64*E76</f>
        <v>2353.8920000000003</v>
      </c>
      <c r="I76" s="184">
        <f t="shared" si="5"/>
        <v>4005.3240000000005</v>
      </c>
      <c r="J76" s="180">
        <f>VLOOKUP(B76,материал!$B$5:$G$67,5,0)</f>
        <v>0</v>
      </c>
      <c r="K76" s="180">
        <f t="shared" si="3"/>
        <v>0</v>
      </c>
      <c r="L76" s="177" t="s">
        <v>61</v>
      </c>
      <c r="M76" s="271" t="str">
        <f>VLOOKUP(B76,материал!$B$5:$H$67,7,0)</f>
        <v>Давальческий материал</v>
      </c>
    </row>
    <row r="77" spans="1:13" s="135" customFormat="1" ht="38.25" x14ac:dyDescent="0.25">
      <c r="A77" s="181"/>
      <c r="B77" s="189" t="s">
        <v>66</v>
      </c>
      <c r="C77" s="177" t="s">
        <v>67</v>
      </c>
      <c r="D77" s="177" t="s">
        <v>60</v>
      </c>
      <c r="E77" s="190">
        <v>42</v>
      </c>
      <c r="F77" s="190"/>
      <c r="G77" s="183">
        <f>G65*E77</f>
        <v>2203.3200000000002</v>
      </c>
      <c r="H77" s="183">
        <f>H65*E77</f>
        <v>1621.2</v>
      </c>
      <c r="I77" s="184">
        <f t="shared" si="5"/>
        <v>3824.5200000000004</v>
      </c>
      <c r="J77" s="180">
        <f>VLOOKUP(B77,материал!$B$5:$G$67,5,0)</f>
        <v>0</v>
      </c>
      <c r="K77" s="180">
        <f t="shared" si="3"/>
        <v>0</v>
      </c>
      <c r="L77" s="177" t="s">
        <v>68</v>
      </c>
      <c r="M77" s="271" t="str">
        <f>VLOOKUP(B77,материал!$B$5:$H$67,7,0)</f>
        <v>Давальческий материал</v>
      </c>
    </row>
    <row r="78" spans="1:13" s="135" customFormat="1" ht="38.25" x14ac:dyDescent="0.25">
      <c r="A78" s="181"/>
      <c r="B78" s="189" t="s">
        <v>110</v>
      </c>
      <c r="C78" s="177" t="s">
        <v>111</v>
      </c>
      <c r="D78" s="177" t="s">
        <v>60</v>
      </c>
      <c r="E78" s="190">
        <v>42</v>
      </c>
      <c r="F78" s="190"/>
      <c r="G78" s="183">
        <f>G60/0.25*E78</f>
        <v>288.95999999999998</v>
      </c>
      <c r="H78" s="183">
        <f>H60/0.25*E78</f>
        <v>436.8</v>
      </c>
      <c r="I78" s="184">
        <f t="shared" si="5"/>
        <v>725.76</v>
      </c>
      <c r="J78" s="180">
        <f>VLOOKUP(B78,материал!$B$5:$G$67,5,0)</f>
        <v>0</v>
      </c>
      <c r="K78" s="180">
        <f t="shared" si="3"/>
        <v>0</v>
      </c>
      <c r="L78" s="177" t="s">
        <v>68</v>
      </c>
      <c r="M78" s="271" t="str">
        <f>VLOOKUP(B78,материал!$B$5:$H$67,7,0)</f>
        <v>Давальческий материал</v>
      </c>
    </row>
    <row r="79" spans="1:13" s="135" customFormat="1" ht="12.75" customHeight="1" x14ac:dyDescent="0.25">
      <c r="A79" s="181"/>
      <c r="B79" s="191" t="s">
        <v>69</v>
      </c>
      <c r="C79" s="177" t="s">
        <v>70</v>
      </c>
      <c r="D79" s="177" t="s">
        <v>45</v>
      </c>
      <c r="E79" s="177">
        <v>0.19500000000000001</v>
      </c>
      <c r="F79" s="190"/>
      <c r="G79" s="178">
        <f>G59*E79+G61*E79*0.19+G62*E79*0.19+G63*E79*0.09+G64*E79*0.09</f>
        <v>15.251125500000001</v>
      </c>
      <c r="H79" s="178">
        <f>H59*E79+H61*E79*0.19+H62*E79*0.19+H63*E79*0.09+H64*E79*0.09</f>
        <v>24.106563000000001</v>
      </c>
      <c r="I79" s="179">
        <f t="shared" si="5"/>
        <v>39.357688500000002</v>
      </c>
      <c r="J79" s="180">
        <f>VLOOKUP(B79,материал!$B$5:$G$67,5,0)</f>
        <v>0</v>
      </c>
      <c r="K79" s="180">
        <f t="shared" si="3"/>
        <v>0</v>
      </c>
      <c r="L79" s="177" t="s">
        <v>71</v>
      </c>
      <c r="M79" s="271" t="str">
        <f>VLOOKUP(B79,материал!$B$5:$H$67,7,0)</f>
        <v>Закуп подярдчика</v>
      </c>
    </row>
    <row r="80" spans="1:13" s="135" customFormat="1" ht="12.75" customHeight="1" x14ac:dyDescent="0.25">
      <c r="A80" s="192"/>
      <c r="B80" s="191" t="s">
        <v>112</v>
      </c>
      <c r="C80" s="177" t="s">
        <v>70</v>
      </c>
      <c r="D80" s="177" t="s">
        <v>45</v>
      </c>
      <c r="E80" s="177">
        <v>0.24</v>
      </c>
      <c r="F80" s="177"/>
      <c r="G80" s="178">
        <f>G60*E80</f>
        <v>0.4128</v>
      </c>
      <c r="H80" s="178">
        <f>H60*E80</f>
        <v>0.624</v>
      </c>
      <c r="I80" s="179">
        <f t="shared" si="5"/>
        <v>1.0367999999999999</v>
      </c>
      <c r="J80" s="180">
        <f>VLOOKUP(B80,материал!$B$5:$G$67,5,0)</f>
        <v>0</v>
      </c>
      <c r="K80" s="180">
        <f t="shared" si="3"/>
        <v>0</v>
      </c>
      <c r="L80" s="177" t="s">
        <v>71</v>
      </c>
      <c r="M80" s="271" t="str">
        <f>VLOOKUP(B80,материал!$B$5:$H$67,7,0)</f>
        <v>Закуп подярдчика</v>
      </c>
    </row>
    <row r="81" spans="1:13" s="135" customFormat="1" ht="36.75" customHeight="1" x14ac:dyDescent="0.25">
      <c r="A81" s="192"/>
      <c r="B81" s="191" t="s">
        <v>72</v>
      </c>
      <c r="C81" s="177" t="s">
        <v>70</v>
      </c>
      <c r="D81" s="177" t="s">
        <v>45</v>
      </c>
      <c r="E81" s="177">
        <v>4.5999999999999999E-2</v>
      </c>
      <c r="F81" s="177"/>
      <c r="G81" s="178">
        <f>G65*E81</f>
        <v>2.41316</v>
      </c>
      <c r="H81" s="178">
        <f>H65*E81</f>
        <v>1.7756000000000001</v>
      </c>
      <c r="I81" s="179">
        <f t="shared" si="5"/>
        <v>4.1887600000000003</v>
      </c>
      <c r="J81" s="180">
        <f>VLOOKUP(B81,материал!$B$5:$G$67,5,0)</f>
        <v>0</v>
      </c>
      <c r="K81" s="180">
        <f t="shared" si="3"/>
        <v>0</v>
      </c>
      <c r="L81" s="177" t="s">
        <v>73</v>
      </c>
      <c r="M81" s="271" t="str">
        <f>VLOOKUP(B81,материал!$B$5:$H$67,7,0)</f>
        <v>Закуп подярдчика</v>
      </c>
    </row>
    <row r="82" spans="1:13" s="135" customFormat="1" ht="12.75" customHeight="1" x14ac:dyDescent="0.25">
      <c r="A82" s="192"/>
      <c r="B82" s="191" t="s">
        <v>74</v>
      </c>
      <c r="C82" s="177" t="s">
        <v>70</v>
      </c>
      <c r="D82" s="177" t="s">
        <v>45</v>
      </c>
      <c r="E82" s="177">
        <v>1.01</v>
      </c>
      <c r="F82" s="177"/>
      <c r="G82" s="178">
        <f>G70*E82</f>
        <v>0.46373544</v>
      </c>
      <c r="H82" s="178">
        <f>H70*E82</f>
        <v>0.66595157999999999</v>
      </c>
      <c r="I82" s="179">
        <f t="shared" si="5"/>
        <v>1.12968702</v>
      </c>
      <c r="J82" s="180">
        <f>VLOOKUP(B82,материал!$B$5:$G$67,5,0)</f>
        <v>0</v>
      </c>
      <c r="K82" s="180">
        <f t="shared" si="3"/>
        <v>0</v>
      </c>
      <c r="L82" s="177" t="s">
        <v>71</v>
      </c>
      <c r="M82" s="271" t="str">
        <f>VLOOKUP(B82,материал!$B$5:$H$67,7,0)</f>
        <v>Закуп подярдчика</v>
      </c>
    </row>
    <row r="83" spans="1:13" s="135" customFormat="1" ht="36.75" customHeight="1" x14ac:dyDescent="0.25">
      <c r="A83" s="181"/>
      <c r="B83" s="189" t="s">
        <v>75</v>
      </c>
      <c r="C83" s="177" t="s">
        <v>70</v>
      </c>
      <c r="D83" s="177" t="s">
        <v>45</v>
      </c>
      <c r="E83" s="177">
        <v>6.0000000000000001E-3</v>
      </c>
      <c r="F83" s="177"/>
      <c r="G83" s="178">
        <f>G66*E83</f>
        <v>0.42599999999999999</v>
      </c>
      <c r="H83" s="178">
        <f>H66*E83</f>
        <v>0.56400000000000006</v>
      </c>
      <c r="I83" s="179">
        <f t="shared" si="5"/>
        <v>0.99</v>
      </c>
      <c r="J83" s="180">
        <f>VLOOKUP(B83,материал!$B$5:$G$67,5,0)</f>
        <v>0</v>
      </c>
      <c r="K83" s="180">
        <f t="shared" si="3"/>
        <v>0</v>
      </c>
      <c r="L83" s="177" t="s">
        <v>76</v>
      </c>
      <c r="M83" s="271" t="str">
        <f>VLOOKUP(B83,материал!$B$5:$H$67,7,0)</f>
        <v>Закуп подярдчика</v>
      </c>
    </row>
    <row r="84" spans="1:13" s="135" customFormat="1" ht="12.75" customHeight="1" x14ac:dyDescent="0.25">
      <c r="A84" s="181"/>
      <c r="B84" s="189" t="s">
        <v>77</v>
      </c>
      <c r="C84" s="177" t="s">
        <v>70</v>
      </c>
      <c r="D84" s="177" t="s">
        <v>45</v>
      </c>
      <c r="E84" s="177">
        <v>1.01</v>
      </c>
      <c r="F84" s="177"/>
      <c r="G84" s="193">
        <v>5.3999999999999999E-2</v>
      </c>
      <c r="H84" s="193">
        <v>8.6999999999999994E-2</v>
      </c>
      <c r="I84" s="179">
        <f t="shared" si="5"/>
        <v>0.14099999999999999</v>
      </c>
      <c r="J84" s="180">
        <f>VLOOKUP(B84,материал!$B$5:$G$67,5,0)</f>
        <v>0</v>
      </c>
      <c r="K84" s="180">
        <f t="shared" si="3"/>
        <v>0</v>
      </c>
      <c r="L84" s="194"/>
      <c r="M84" s="271" t="str">
        <f>VLOOKUP(B84,материал!$B$5:$H$67,7,0)</f>
        <v>Закуп подярдчика</v>
      </c>
    </row>
    <row r="85" spans="1:13" s="135" customFormat="1" ht="12.75" customHeight="1" x14ac:dyDescent="0.25">
      <c r="A85" s="181"/>
      <c r="B85" s="189" t="s">
        <v>78</v>
      </c>
      <c r="C85" s="177" t="s">
        <v>79</v>
      </c>
      <c r="D85" s="177" t="s">
        <v>47</v>
      </c>
      <c r="E85" s="177"/>
      <c r="F85" s="177"/>
      <c r="G85" s="178">
        <v>153.38</v>
      </c>
      <c r="H85" s="178">
        <v>226.65</v>
      </c>
      <c r="I85" s="179">
        <f t="shared" si="5"/>
        <v>380.03</v>
      </c>
      <c r="J85" s="180">
        <f>VLOOKUP(B85,материал!$B$5:$G$67,5,0)</f>
        <v>0</v>
      </c>
      <c r="K85" s="180">
        <f t="shared" si="3"/>
        <v>0</v>
      </c>
      <c r="L85" s="194"/>
      <c r="M85" s="271" t="str">
        <f>VLOOKUP(B85,материал!$B$5:$H$67,7,0)</f>
        <v>Закуп подярдчика</v>
      </c>
    </row>
    <row r="86" spans="1:13" s="135" customFormat="1" ht="24.95" customHeight="1" x14ac:dyDescent="0.25">
      <c r="A86" s="181"/>
      <c r="B86" s="189" t="s">
        <v>277</v>
      </c>
      <c r="C86" s="177" t="s">
        <v>114</v>
      </c>
      <c r="D86" s="177" t="s">
        <v>60</v>
      </c>
      <c r="E86" s="177"/>
      <c r="F86" s="177"/>
      <c r="G86" s="178">
        <v>18</v>
      </c>
      <c r="H86" s="178">
        <v>14</v>
      </c>
      <c r="I86" s="179">
        <f t="shared" si="5"/>
        <v>32</v>
      </c>
      <c r="J86" s="180">
        <f>VLOOKUP(B86,материал!$B$5:$G$67,5,0)</f>
        <v>0</v>
      </c>
      <c r="K86" s="180">
        <f t="shared" si="3"/>
        <v>0</v>
      </c>
      <c r="L86" s="194"/>
      <c r="M86" s="271" t="str">
        <f>VLOOKUP(B86,материал!$B$5:$H$67,7,0)</f>
        <v>Закуп подярдчика</v>
      </c>
    </row>
    <row r="87" spans="1:13" s="135" customFormat="1" ht="24.95" customHeight="1" x14ac:dyDescent="0.25">
      <c r="A87" s="181"/>
      <c r="B87" s="189" t="s">
        <v>278</v>
      </c>
      <c r="C87" s="177" t="s">
        <v>116</v>
      </c>
      <c r="D87" s="177" t="s">
        <v>60</v>
      </c>
      <c r="E87" s="177"/>
      <c r="F87" s="177"/>
      <c r="G87" s="178">
        <v>1</v>
      </c>
      <c r="H87" s="178">
        <v>10</v>
      </c>
      <c r="I87" s="179">
        <f t="shared" si="5"/>
        <v>11</v>
      </c>
      <c r="J87" s="180">
        <f>VLOOKUP(B87,материал!$B$5:$G$67,5,0)</f>
        <v>0</v>
      </c>
      <c r="K87" s="180">
        <f t="shared" ref="K87:K150" si="6">I87*J87</f>
        <v>0</v>
      </c>
      <c r="L87" s="194"/>
      <c r="M87" s="271" t="str">
        <f>VLOOKUP(B87,материал!$B$5:$H$67,7,0)</f>
        <v>Закуп подярдчика</v>
      </c>
    </row>
    <row r="88" spans="1:13" s="135" customFormat="1" ht="24.95" customHeight="1" x14ac:dyDescent="0.25">
      <c r="A88" s="181"/>
      <c r="B88" s="189" t="s">
        <v>279</v>
      </c>
      <c r="C88" s="177" t="s">
        <v>282</v>
      </c>
      <c r="D88" s="177" t="s">
        <v>60</v>
      </c>
      <c r="E88" s="177"/>
      <c r="F88" s="177"/>
      <c r="G88" s="178"/>
      <c r="H88" s="178">
        <v>4</v>
      </c>
      <c r="I88" s="179">
        <f t="shared" si="5"/>
        <v>4</v>
      </c>
      <c r="J88" s="180">
        <f>VLOOKUP(B88,материал!$B$5:$G$67,5,0)</f>
        <v>0</v>
      </c>
      <c r="K88" s="180">
        <f t="shared" si="6"/>
        <v>0</v>
      </c>
      <c r="L88" s="194"/>
      <c r="M88" s="271" t="str">
        <f>VLOOKUP(B88,материал!$B$5:$H$67,7,0)</f>
        <v>Закуп подярдчика</v>
      </c>
    </row>
    <row r="89" spans="1:13" s="135" customFormat="1" ht="24.95" customHeight="1" x14ac:dyDescent="0.25">
      <c r="A89" s="181"/>
      <c r="B89" s="189" t="s">
        <v>281</v>
      </c>
      <c r="C89" s="177" t="s">
        <v>284</v>
      </c>
      <c r="D89" s="177" t="s">
        <v>60</v>
      </c>
      <c r="E89" s="177"/>
      <c r="F89" s="177"/>
      <c r="G89" s="178">
        <v>9</v>
      </c>
      <c r="H89" s="178">
        <v>4</v>
      </c>
      <c r="I89" s="179">
        <f t="shared" si="5"/>
        <v>13</v>
      </c>
      <c r="J89" s="180">
        <f>VLOOKUP(B89,материал!$B$5:$G$67,5,0)</f>
        <v>0</v>
      </c>
      <c r="K89" s="180">
        <f t="shared" si="6"/>
        <v>0</v>
      </c>
      <c r="L89" s="194"/>
      <c r="M89" s="271" t="str">
        <f>VLOOKUP(B89,материал!$B$5:$H$67,7,0)</f>
        <v>Закуп подярдчика</v>
      </c>
    </row>
    <row r="90" spans="1:13" s="135" customFormat="1" ht="24.95" customHeight="1" x14ac:dyDescent="0.25">
      <c r="A90" s="181"/>
      <c r="B90" s="189" t="s">
        <v>283</v>
      </c>
      <c r="C90" s="177" t="s">
        <v>286</v>
      </c>
      <c r="D90" s="177" t="s">
        <v>60</v>
      </c>
      <c r="E90" s="177"/>
      <c r="F90" s="177"/>
      <c r="G90" s="178">
        <v>1</v>
      </c>
      <c r="H90" s="178">
        <v>1</v>
      </c>
      <c r="I90" s="179">
        <f t="shared" si="5"/>
        <v>2</v>
      </c>
      <c r="J90" s="180">
        <f>VLOOKUP(B90,материал!$B$5:$G$67,5,0)</f>
        <v>0</v>
      </c>
      <c r="K90" s="180">
        <f t="shared" si="6"/>
        <v>0</v>
      </c>
      <c r="L90" s="194"/>
      <c r="M90" s="271" t="str">
        <f>VLOOKUP(B90,материал!$B$5:$H$67,7,0)</f>
        <v>Закуп подярдчика</v>
      </c>
    </row>
    <row r="91" spans="1:13" s="135" customFormat="1" ht="24.95" customHeight="1" x14ac:dyDescent="0.25">
      <c r="A91" s="181"/>
      <c r="B91" s="189" t="s">
        <v>285</v>
      </c>
      <c r="C91" s="177" t="s">
        <v>288</v>
      </c>
      <c r="D91" s="177" t="s">
        <v>60</v>
      </c>
      <c r="E91" s="177"/>
      <c r="F91" s="177"/>
      <c r="G91" s="178">
        <v>1</v>
      </c>
      <c r="H91" s="178">
        <v>1</v>
      </c>
      <c r="I91" s="179">
        <f t="shared" si="5"/>
        <v>2</v>
      </c>
      <c r="J91" s="180">
        <f>VLOOKUP(B91,материал!$B$5:$G$67,5,0)</f>
        <v>0</v>
      </c>
      <c r="K91" s="180">
        <f t="shared" si="6"/>
        <v>0</v>
      </c>
      <c r="L91" s="194"/>
      <c r="M91" s="271" t="str">
        <f>VLOOKUP(B91,материал!$B$5:$H$67,7,0)</f>
        <v>Закуп подярдчика</v>
      </c>
    </row>
    <row r="92" spans="1:13" s="135" customFormat="1" ht="24.95" customHeight="1" x14ac:dyDescent="0.25">
      <c r="A92" s="181"/>
      <c r="B92" s="189" t="s">
        <v>287</v>
      </c>
      <c r="C92" s="177" t="s">
        <v>290</v>
      </c>
      <c r="D92" s="177" t="s">
        <v>60</v>
      </c>
      <c r="E92" s="177"/>
      <c r="F92" s="177"/>
      <c r="G92" s="178">
        <v>6</v>
      </c>
      <c r="H92" s="178">
        <v>4</v>
      </c>
      <c r="I92" s="179">
        <f t="shared" si="5"/>
        <v>10</v>
      </c>
      <c r="J92" s="180">
        <f>VLOOKUP(B92,материал!$B$5:$G$67,5,0)</f>
        <v>0</v>
      </c>
      <c r="K92" s="180">
        <f t="shared" si="6"/>
        <v>0</v>
      </c>
      <c r="L92" s="194"/>
      <c r="M92" s="271" t="str">
        <f>VLOOKUP(B92,материал!$B$5:$H$67,7,0)</f>
        <v>Закуп подярдчика</v>
      </c>
    </row>
    <row r="93" spans="1:13" s="135" customFormat="1" ht="24.95" customHeight="1" x14ac:dyDescent="0.25">
      <c r="A93" s="181"/>
      <c r="B93" s="189" t="s">
        <v>289</v>
      </c>
      <c r="C93" s="177" t="s">
        <v>292</v>
      </c>
      <c r="D93" s="177" t="s">
        <v>60</v>
      </c>
      <c r="E93" s="177"/>
      <c r="F93" s="177"/>
      <c r="G93" s="178">
        <v>20</v>
      </c>
      <c r="H93" s="178">
        <v>26</v>
      </c>
      <c r="I93" s="179">
        <f t="shared" si="5"/>
        <v>46</v>
      </c>
      <c r="J93" s="180">
        <f>VLOOKUP(B93,материал!$B$5:$G$67,5,0)</f>
        <v>0</v>
      </c>
      <c r="K93" s="180">
        <f t="shared" si="6"/>
        <v>0</v>
      </c>
      <c r="L93" s="194"/>
      <c r="M93" s="271" t="str">
        <f>VLOOKUP(B93,материал!$B$5:$H$67,7,0)</f>
        <v>Закуп подярдчика</v>
      </c>
    </row>
    <row r="94" spans="1:13" s="135" customFormat="1" ht="24.95" customHeight="1" x14ac:dyDescent="0.25">
      <c r="A94" s="181"/>
      <c r="B94" s="189" t="s">
        <v>291</v>
      </c>
      <c r="C94" s="177" t="s">
        <v>294</v>
      </c>
      <c r="D94" s="177" t="s">
        <v>60</v>
      </c>
      <c r="E94" s="177"/>
      <c r="F94" s="177"/>
      <c r="G94" s="178">
        <v>2</v>
      </c>
      <c r="H94" s="178">
        <v>18</v>
      </c>
      <c r="I94" s="179">
        <f t="shared" si="5"/>
        <v>20</v>
      </c>
      <c r="J94" s="180">
        <f>VLOOKUP(B94,материал!$B$5:$G$67,5,0)</f>
        <v>0</v>
      </c>
      <c r="K94" s="180">
        <f t="shared" si="6"/>
        <v>0</v>
      </c>
      <c r="L94" s="194"/>
      <c r="M94" s="271" t="str">
        <f>VLOOKUP(B94,материал!$B$5:$H$67,7,0)</f>
        <v>Закуп подярдчика</v>
      </c>
    </row>
    <row r="95" spans="1:13" s="135" customFormat="1" ht="24.95" customHeight="1" x14ac:dyDescent="0.25">
      <c r="A95" s="181"/>
      <c r="B95" s="189" t="s">
        <v>313</v>
      </c>
      <c r="C95" s="177" t="s">
        <v>296</v>
      </c>
      <c r="D95" s="177" t="s">
        <v>60</v>
      </c>
      <c r="E95" s="177"/>
      <c r="F95" s="177"/>
      <c r="G95" s="178">
        <v>4</v>
      </c>
      <c r="H95" s="178"/>
      <c r="I95" s="179">
        <f t="shared" si="5"/>
        <v>4</v>
      </c>
      <c r="J95" s="180">
        <f>VLOOKUP(B95,материал!$B$5:$G$67,5,0)</f>
        <v>0</v>
      </c>
      <c r="K95" s="180">
        <f t="shared" si="6"/>
        <v>0</v>
      </c>
      <c r="L95" s="194"/>
      <c r="M95" s="271" t="str">
        <f>VLOOKUP(B95,материал!$B$5:$H$67,7,0)</f>
        <v>Закуп подярдчика</v>
      </c>
    </row>
    <row r="96" spans="1:13" s="135" customFormat="1" ht="24.95" customHeight="1" x14ac:dyDescent="0.25">
      <c r="A96" s="181"/>
      <c r="B96" s="189" t="s">
        <v>293</v>
      </c>
      <c r="C96" s="177" t="s">
        <v>314</v>
      </c>
      <c r="D96" s="177" t="s">
        <v>60</v>
      </c>
      <c r="E96" s="177"/>
      <c r="F96" s="177"/>
      <c r="G96" s="178">
        <v>4</v>
      </c>
      <c r="H96" s="178"/>
      <c r="I96" s="179">
        <f t="shared" si="5"/>
        <v>4</v>
      </c>
      <c r="J96" s="180">
        <f>VLOOKUP(B96,материал!$B$5:$G$67,5,0)</f>
        <v>0</v>
      </c>
      <c r="K96" s="180">
        <f t="shared" si="6"/>
        <v>0</v>
      </c>
      <c r="L96" s="194"/>
      <c r="M96" s="271" t="str">
        <f>VLOOKUP(B96,материал!$B$5:$H$67,7,0)</f>
        <v>Закуп подярдчика</v>
      </c>
    </row>
    <row r="97" spans="1:13" s="135" customFormat="1" ht="24.95" customHeight="1" x14ac:dyDescent="0.25">
      <c r="A97" s="181"/>
      <c r="B97" s="189" t="s">
        <v>295</v>
      </c>
      <c r="C97" s="177" t="s">
        <v>118</v>
      </c>
      <c r="D97" s="177" t="s">
        <v>60</v>
      </c>
      <c r="E97" s="177"/>
      <c r="F97" s="177"/>
      <c r="G97" s="178">
        <v>1</v>
      </c>
      <c r="H97" s="178">
        <v>2</v>
      </c>
      <c r="I97" s="179">
        <f t="shared" si="5"/>
        <v>3</v>
      </c>
      <c r="J97" s="180">
        <f>VLOOKUP(B97,материал!$B$5:$G$67,5,0)</f>
        <v>0</v>
      </c>
      <c r="K97" s="180">
        <f t="shared" si="6"/>
        <v>0</v>
      </c>
      <c r="L97" s="194"/>
      <c r="M97" s="271" t="str">
        <f>VLOOKUP(B97,материал!$B$5:$H$67,7,0)</f>
        <v>Закуп подярдчика</v>
      </c>
    </row>
    <row r="98" spans="1:13" s="135" customFormat="1" ht="24.95" customHeight="1" x14ac:dyDescent="0.25">
      <c r="A98" s="181"/>
      <c r="B98" s="189" t="s">
        <v>315</v>
      </c>
      <c r="C98" s="177" t="s">
        <v>120</v>
      </c>
      <c r="D98" s="177" t="s">
        <v>60</v>
      </c>
      <c r="E98" s="177"/>
      <c r="F98" s="177"/>
      <c r="G98" s="178">
        <v>4</v>
      </c>
      <c r="H98" s="178">
        <v>10</v>
      </c>
      <c r="I98" s="179">
        <f t="shared" si="5"/>
        <v>14</v>
      </c>
      <c r="J98" s="180">
        <f>VLOOKUP(B98,материал!$B$5:$G$67,5,0)</f>
        <v>0</v>
      </c>
      <c r="K98" s="180">
        <f t="shared" si="6"/>
        <v>0</v>
      </c>
      <c r="L98" s="194"/>
      <c r="M98" s="271" t="str">
        <f>VLOOKUP(B98,материал!$B$5:$H$67,7,0)</f>
        <v>Закуп подярдчика</v>
      </c>
    </row>
    <row r="99" spans="1:13" s="135" customFormat="1" ht="12.75" customHeight="1" x14ac:dyDescent="0.25">
      <c r="A99" s="181"/>
      <c r="B99" s="189" t="s">
        <v>92</v>
      </c>
      <c r="C99" s="177" t="s">
        <v>93</v>
      </c>
      <c r="D99" s="177" t="s">
        <v>54</v>
      </c>
      <c r="E99" s="177">
        <v>1.04</v>
      </c>
      <c r="F99" s="177"/>
      <c r="G99" s="178">
        <f>127.56*E99</f>
        <v>132.66240000000002</v>
      </c>
      <c r="H99" s="178">
        <f>180.66*E99</f>
        <v>187.88640000000001</v>
      </c>
      <c r="I99" s="179">
        <f t="shared" si="5"/>
        <v>320.54880000000003</v>
      </c>
      <c r="J99" s="180">
        <f>VLOOKUP(B99,материал!$B$5:$G$67,5,0)</f>
        <v>0</v>
      </c>
      <c r="K99" s="180">
        <f t="shared" si="6"/>
        <v>0</v>
      </c>
      <c r="L99" s="194"/>
      <c r="M99" s="271" t="str">
        <f>VLOOKUP(B99,материал!$B$5:$H$67,7,0)</f>
        <v>Закуп подярдчика</v>
      </c>
    </row>
    <row r="100" spans="1:13" s="135" customFormat="1" ht="12.75" customHeight="1" x14ac:dyDescent="0.25">
      <c r="A100" s="181"/>
      <c r="B100" s="189" t="s">
        <v>94</v>
      </c>
      <c r="C100" s="177" t="s">
        <v>95</v>
      </c>
      <c r="D100" s="177" t="s">
        <v>54</v>
      </c>
      <c r="E100" s="177">
        <v>1.04</v>
      </c>
      <c r="F100" s="177"/>
      <c r="G100" s="178">
        <f>G68*E100</f>
        <v>32.292000000000002</v>
      </c>
      <c r="H100" s="178">
        <f>H68*E100</f>
        <v>46.373600000000003</v>
      </c>
      <c r="I100" s="179">
        <f t="shared" si="5"/>
        <v>78.665600000000012</v>
      </c>
      <c r="J100" s="180">
        <f>VLOOKUP(B100,материал!$B$5:$G$67,5,0)</f>
        <v>0</v>
      </c>
      <c r="K100" s="180">
        <f t="shared" si="6"/>
        <v>0</v>
      </c>
      <c r="L100" s="194"/>
      <c r="M100" s="271" t="str">
        <f>VLOOKUP(B100,материал!$B$5:$H$67,7,0)</f>
        <v>Закуп подярдчика</v>
      </c>
    </row>
    <row r="101" spans="1:13" s="135" customFormat="1" ht="12.75" customHeight="1" x14ac:dyDescent="0.25">
      <c r="A101" s="181"/>
      <c r="B101" s="189" t="s">
        <v>131</v>
      </c>
      <c r="C101" s="177" t="s">
        <v>39</v>
      </c>
      <c r="D101" s="177" t="s">
        <v>54</v>
      </c>
      <c r="E101" s="177">
        <v>1.04</v>
      </c>
      <c r="F101" s="177"/>
      <c r="G101" s="178">
        <f>46.68*E101</f>
        <v>48.547200000000004</v>
      </c>
      <c r="H101" s="178">
        <f>31.12*E101</f>
        <v>32.364800000000002</v>
      </c>
      <c r="I101" s="179">
        <f t="shared" si="5"/>
        <v>80.912000000000006</v>
      </c>
      <c r="J101" s="180">
        <f>VLOOKUP(B101,материал!$B$5:$G$67,5,0)</f>
        <v>0</v>
      </c>
      <c r="K101" s="180">
        <f t="shared" si="6"/>
        <v>0</v>
      </c>
      <c r="L101" s="194"/>
      <c r="M101" s="271" t="str">
        <f>VLOOKUP(B101,материал!$B$5:$H$67,7,0)</f>
        <v>Закуп подярдчика</v>
      </c>
    </row>
    <row r="102" spans="1:13" s="135" customFormat="1" ht="12.75" customHeight="1" x14ac:dyDescent="0.25">
      <c r="A102" s="181"/>
      <c r="B102" s="189" t="s">
        <v>96</v>
      </c>
      <c r="C102" s="177" t="s">
        <v>39</v>
      </c>
      <c r="D102" s="177" t="s">
        <v>54</v>
      </c>
      <c r="E102" s="177">
        <v>1.04</v>
      </c>
      <c r="F102" s="177"/>
      <c r="G102" s="178">
        <f>25.93*E102</f>
        <v>26.967200000000002</v>
      </c>
      <c r="H102" s="178">
        <f>E102*17.2</f>
        <v>17.887999999999998</v>
      </c>
      <c r="I102" s="179">
        <f t="shared" si="5"/>
        <v>44.855199999999996</v>
      </c>
      <c r="J102" s="180">
        <f>VLOOKUP(B102,материал!$B$5:$G$67,5,0)</f>
        <v>0</v>
      </c>
      <c r="K102" s="180">
        <f t="shared" si="6"/>
        <v>0</v>
      </c>
      <c r="L102" s="194"/>
      <c r="M102" s="271" t="str">
        <f>VLOOKUP(B102,материал!$B$5:$H$67,7,0)</f>
        <v>Закуп подярдчика</v>
      </c>
    </row>
    <row r="103" spans="1:13" s="135" customFormat="1" ht="12.75" customHeight="1" x14ac:dyDescent="0.25">
      <c r="A103" s="181"/>
      <c r="B103" s="189" t="s">
        <v>97</v>
      </c>
      <c r="C103" s="177" t="s">
        <v>39</v>
      </c>
      <c r="D103" s="177" t="s">
        <v>54</v>
      </c>
      <c r="E103" s="177">
        <v>1.04</v>
      </c>
      <c r="F103" s="177"/>
      <c r="G103" s="178">
        <f>E103*10.72</f>
        <v>11.148800000000001</v>
      </c>
      <c r="H103" s="178">
        <f>E103*20.84</f>
        <v>21.6736</v>
      </c>
      <c r="I103" s="179">
        <f t="shared" si="5"/>
        <v>32.822400000000002</v>
      </c>
      <c r="J103" s="180">
        <f>VLOOKUP(B103,материал!$B$5:$G$67,5,0)</f>
        <v>0</v>
      </c>
      <c r="K103" s="180">
        <f t="shared" si="6"/>
        <v>0</v>
      </c>
      <c r="L103" s="194"/>
      <c r="M103" s="271" t="str">
        <f>VLOOKUP(B103,материал!$B$5:$H$67,7,0)</f>
        <v>Закуп подярдчика</v>
      </c>
    </row>
    <row r="104" spans="1:13" s="135" customFormat="1" ht="12.75" customHeight="1" x14ac:dyDescent="0.25">
      <c r="A104" s="181"/>
      <c r="B104" s="189" t="s">
        <v>132</v>
      </c>
      <c r="C104" s="177" t="s">
        <v>39</v>
      </c>
      <c r="D104" s="177" t="s">
        <v>54</v>
      </c>
      <c r="E104" s="177">
        <v>1.04</v>
      </c>
      <c r="F104" s="177"/>
      <c r="G104" s="178">
        <f>15.75*E104</f>
        <v>16.38</v>
      </c>
      <c r="H104" s="178">
        <f>10.5*E104</f>
        <v>10.92</v>
      </c>
      <c r="I104" s="179">
        <f t="shared" si="5"/>
        <v>27.299999999999997</v>
      </c>
      <c r="J104" s="180">
        <f>VLOOKUP(B104,материал!$B$5:$G$67,5,0)</f>
        <v>0</v>
      </c>
      <c r="K104" s="180">
        <f t="shared" si="6"/>
        <v>0</v>
      </c>
      <c r="L104" s="194"/>
      <c r="M104" s="271" t="str">
        <f>VLOOKUP(B104,материал!$B$5:$H$67,7,0)</f>
        <v>Закуп подярдчика</v>
      </c>
    </row>
    <row r="105" spans="1:13" s="135" customFormat="1" ht="24.75" customHeight="1" x14ac:dyDescent="0.25">
      <c r="A105" s="181"/>
      <c r="B105" s="189" t="s">
        <v>275</v>
      </c>
      <c r="C105" s="177" t="s">
        <v>276</v>
      </c>
      <c r="D105" s="177" t="s">
        <v>45</v>
      </c>
      <c r="E105" s="177">
        <v>1.04</v>
      </c>
      <c r="F105" s="177"/>
      <c r="G105" s="178">
        <f>G69*0.05*E105</f>
        <v>1.6716960000000001</v>
      </c>
      <c r="H105" s="178">
        <f>H69*0.05*E105</f>
        <v>0</v>
      </c>
      <c r="I105" s="179">
        <f t="shared" si="5"/>
        <v>1.6716960000000001</v>
      </c>
      <c r="J105" s="180">
        <f>VLOOKUP(B105,материал!$B$5:$G$67,5,0)</f>
        <v>0</v>
      </c>
      <c r="K105" s="180">
        <f t="shared" si="6"/>
        <v>0</v>
      </c>
      <c r="L105" s="194"/>
      <c r="M105" s="271" t="str">
        <f>VLOOKUP(B105,материал!$B$5:$H$67,7,0)</f>
        <v>Закуп подярдчика</v>
      </c>
    </row>
    <row r="106" spans="1:13" s="137" customFormat="1" ht="24.95" customHeight="1" x14ac:dyDescent="0.25">
      <c r="A106" s="195"/>
      <c r="B106" s="196" t="s">
        <v>133</v>
      </c>
      <c r="C106" s="197" t="s">
        <v>39</v>
      </c>
      <c r="D106" s="197" t="s">
        <v>99</v>
      </c>
      <c r="E106" s="197"/>
      <c r="F106" s="197"/>
      <c r="G106" s="198"/>
      <c r="H106" s="198"/>
      <c r="I106" s="199">
        <f ca="1">SUMIF(материал!$B$5:$G$67,B106,материал!$E$5:$E$67)</f>
        <v>0</v>
      </c>
      <c r="J106" s="179"/>
      <c r="K106" s="180">
        <f ca="1">SUM(K72:K105)*I106%</f>
        <v>0</v>
      </c>
      <c r="L106" s="200"/>
      <c r="M106" s="274" t="str">
        <f>VLOOKUP(B106,материал!$B$5:$H$67,7,0)</f>
        <v>Закуп подярдчика</v>
      </c>
    </row>
    <row r="107" spans="1:13" s="135" customFormat="1" x14ac:dyDescent="0.25">
      <c r="A107" s="160" t="s">
        <v>134</v>
      </c>
      <c r="B107" s="161" t="s">
        <v>135</v>
      </c>
      <c r="C107" s="162"/>
      <c r="D107" s="163"/>
      <c r="E107" s="162"/>
      <c r="F107" s="162"/>
      <c r="G107" s="164"/>
      <c r="H107" s="164"/>
      <c r="I107" s="165"/>
      <c r="J107" s="165"/>
      <c r="K107" s="165">
        <f ca="1">K108+K121</f>
        <v>0</v>
      </c>
      <c r="L107" s="186"/>
      <c r="M107" s="273" t="e">
        <f>VLOOKUP(B107,материал!$B$5:$H$67,7,0)</f>
        <v>#N/A</v>
      </c>
    </row>
    <row r="108" spans="1:13" s="135" customFormat="1" x14ac:dyDescent="0.25">
      <c r="A108" s="166"/>
      <c r="B108" s="167" t="s">
        <v>34</v>
      </c>
      <c r="C108" s="168"/>
      <c r="D108" s="168"/>
      <c r="E108" s="168"/>
      <c r="F108" s="168"/>
      <c r="G108" s="169"/>
      <c r="H108" s="169"/>
      <c r="I108" s="170"/>
      <c r="J108" s="170"/>
      <c r="K108" s="170">
        <f>SUM(K109:K119)</f>
        <v>0</v>
      </c>
      <c r="L108" s="172"/>
      <c r="M108" s="270" t="e">
        <f>VLOOKUP(B108,материал!$B$5:$H$67,7,0)</f>
        <v>#N/A</v>
      </c>
    </row>
    <row r="109" spans="1:13" s="135" customFormat="1" ht="26.25" customHeight="1" x14ac:dyDescent="0.25">
      <c r="A109" s="166"/>
      <c r="B109" s="171" t="s">
        <v>44</v>
      </c>
      <c r="C109" s="172"/>
      <c r="D109" s="172" t="s">
        <v>45</v>
      </c>
      <c r="E109" s="172"/>
      <c r="F109" s="172"/>
      <c r="G109" s="173">
        <v>26.31</v>
      </c>
      <c r="H109" s="173">
        <v>34.979999999999997</v>
      </c>
      <c r="I109" s="170">
        <f t="shared" ref="I109:I120" si="7">SUM(G109:H109)</f>
        <v>61.289999999999992</v>
      </c>
      <c r="J109" s="174">
        <f>VLOOKUP(B109,работы!$B$5:$F$19,4,0)</f>
        <v>0</v>
      </c>
      <c r="K109" s="174">
        <f t="shared" si="6"/>
        <v>0</v>
      </c>
      <c r="L109" s="172"/>
      <c r="M109" s="270" t="e">
        <f>VLOOKUP(B109,материал!$B$5:$H$67,7,0)</f>
        <v>#N/A</v>
      </c>
    </row>
    <row r="110" spans="1:13" s="135" customFormat="1" ht="12.75" customHeight="1" x14ac:dyDescent="0.25">
      <c r="A110" s="166"/>
      <c r="B110" s="171" t="s">
        <v>102</v>
      </c>
      <c r="C110" s="172"/>
      <c r="D110" s="172" t="s">
        <v>45</v>
      </c>
      <c r="E110" s="172"/>
      <c r="F110" s="172"/>
      <c r="G110" s="173">
        <v>1.72</v>
      </c>
      <c r="H110" s="173">
        <v>2.6</v>
      </c>
      <c r="I110" s="170">
        <f t="shared" si="7"/>
        <v>4.32</v>
      </c>
      <c r="J110" s="174">
        <f>VLOOKUP(B110,работы!$B$5:$F$19,4,0)</f>
        <v>0</v>
      </c>
      <c r="K110" s="174">
        <f t="shared" si="6"/>
        <v>0</v>
      </c>
      <c r="L110" s="172"/>
      <c r="M110" s="270" t="e">
        <f>VLOOKUP(B110,материал!$B$5:$H$67,7,0)</f>
        <v>#N/A</v>
      </c>
    </row>
    <row r="111" spans="1:13" s="135" customFormat="1" ht="26.25" customHeight="1" x14ac:dyDescent="0.25">
      <c r="A111" s="166"/>
      <c r="B111" s="171" t="s">
        <v>46</v>
      </c>
      <c r="C111" s="172"/>
      <c r="D111" s="172" t="s">
        <v>47</v>
      </c>
      <c r="E111" s="172"/>
      <c r="F111" s="172"/>
      <c r="G111" s="173">
        <v>102.26</v>
      </c>
      <c r="H111" s="173">
        <v>178.68</v>
      </c>
      <c r="I111" s="170">
        <f t="shared" si="7"/>
        <v>280.94</v>
      </c>
      <c r="J111" s="174">
        <f>VLOOKUP(B111,работы!$B$5:$F$19,4,0)</f>
        <v>0</v>
      </c>
      <c r="K111" s="174">
        <f t="shared" si="6"/>
        <v>0</v>
      </c>
      <c r="L111" s="172"/>
      <c r="M111" s="270" t="e">
        <f>VLOOKUP(B111,материал!$B$5:$H$67,7,0)</f>
        <v>#N/A</v>
      </c>
    </row>
    <row r="112" spans="1:13" s="135" customFormat="1" ht="26.25" customHeight="1" x14ac:dyDescent="0.25">
      <c r="A112" s="166"/>
      <c r="B112" s="171" t="s">
        <v>48</v>
      </c>
      <c r="C112" s="172"/>
      <c r="D112" s="172" t="s">
        <v>47</v>
      </c>
      <c r="E112" s="172"/>
      <c r="F112" s="172"/>
      <c r="G112" s="173">
        <v>53.68</v>
      </c>
      <c r="H112" s="173">
        <v>110.37</v>
      </c>
      <c r="I112" s="170">
        <f t="shared" si="7"/>
        <v>164.05</v>
      </c>
      <c r="J112" s="174">
        <f>VLOOKUP(B112,работы!$B$5:$F$19,4,0)</f>
        <v>0</v>
      </c>
      <c r="K112" s="174">
        <f t="shared" si="6"/>
        <v>0</v>
      </c>
      <c r="L112" s="172"/>
      <c r="M112" s="270" t="e">
        <f>VLOOKUP(B112,материал!$B$5:$H$67,7,0)</f>
        <v>#N/A</v>
      </c>
    </row>
    <row r="113" spans="1:13" s="135" customFormat="1" ht="26.25" customHeight="1" x14ac:dyDescent="0.25">
      <c r="A113" s="166"/>
      <c r="B113" s="171" t="s">
        <v>103</v>
      </c>
      <c r="C113" s="172"/>
      <c r="D113" s="172" t="s">
        <v>47</v>
      </c>
      <c r="E113" s="172"/>
      <c r="F113" s="172"/>
      <c r="G113" s="173">
        <v>114.29</v>
      </c>
      <c r="H113" s="173">
        <v>184.88</v>
      </c>
      <c r="I113" s="170">
        <f t="shared" si="7"/>
        <v>299.17</v>
      </c>
      <c r="J113" s="174">
        <f>VLOOKUP(B113,работы!$B$5:$F$19,4,0)</f>
        <v>0</v>
      </c>
      <c r="K113" s="174">
        <f t="shared" si="6"/>
        <v>0</v>
      </c>
      <c r="L113" s="172"/>
      <c r="M113" s="270" t="e">
        <f>VLOOKUP(B113,материал!$B$5:$H$67,7,0)</f>
        <v>#N/A</v>
      </c>
    </row>
    <row r="114" spans="1:13" s="135" customFormat="1" ht="26.25" customHeight="1" x14ac:dyDescent="0.25">
      <c r="A114" s="166"/>
      <c r="B114" s="171" t="s">
        <v>104</v>
      </c>
      <c r="C114" s="172"/>
      <c r="D114" s="172" t="s">
        <v>47</v>
      </c>
      <c r="E114" s="172"/>
      <c r="F114" s="172"/>
      <c r="G114" s="173">
        <v>133.18</v>
      </c>
      <c r="H114" s="173">
        <v>189.83</v>
      </c>
      <c r="I114" s="170">
        <f t="shared" si="7"/>
        <v>323.01</v>
      </c>
      <c r="J114" s="174">
        <f>VLOOKUP(B114,работы!$B$5:$F$19,4,0)</f>
        <v>0</v>
      </c>
      <c r="K114" s="174">
        <f t="shared" si="6"/>
        <v>0</v>
      </c>
      <c r="L114" s="172"/>
      <c r="M114" s="270" t="e">
        <f>VLOOKUP(B114,материал!$B$5:$H$67,7,0)</f>
        <v>#N/A</v>
      </c>
    </row>
    <row r="115" spans="1:13" s="135" customFormat="1" ht="12.75" customHeight="1" x14ac:dyDescent="0.25">
      <c r="A115" s="166"/>
      <c r="B115" s="171" t="s">
        <v>49</v>
      </c>
      <c r="C115" s="172"/>
      <c r="D115" s="172" t="s">
        <v>47</v>
      </c>
      <c r="E115" s="172"/>
      <c r="F115" s="172"/>
      <c r="G115" s="173">
        <v>52.46</v>
      </c>
      <c r="H115" s="173">
        <v>38.6</v>
      </c>
      <c r="I115" s="170">
        <f t="shared" si="7"/>
        <v>91.06</v>
      </c>
      <c r="J115" s="174">
        <f>VLOOKUP(B115,работы!$B$5:$F$19,4,0)</f>
        <v>0</v>
      </c>
      <c r="K115" s="174">
        <f t="shared" si="6"/>
        <v>0</v>
      </c>
      <c r="L115" s="172"/>
      <c r="M115" s="270" t="e">
        <f>VLOOKUP(B115,материал!$B$5:$H$67,7,0)</f>
        <v>#N/A</v>
      </c>
    </row>
    <row r="116" spans="1:13" s="135" customFormat="1" ht="12.75" customHeight="1" x14ac:dyDescent="0.25">
      <c r="A116" s="166"/>
      <c r="B116" s="171" t="s">
        <v>50</v>
      </c>
      <c r="C116" s="172"/>
      <c r="D116" s="172" t="s">
        <v>51</v>
      </c>
      <c r="E116" s="172"/>
      <c r="F116" s="172"/>
      <c r="G116" s="173">
        <v>71</v>
      </c>
      <c r="H116" s="173">
        <v>94</v>
      </c>
      <c r="I116" s="170">
        <f t="shared" si="7"/>
        <v>165</v>
      </c>
      <c r="J116" s="174">
        <f>VLOOKUP(B116,работы!$B$5:$F$19,4,0)</f>
        <v>0</v>
      </c>
      <c r="K116" s="174">
        <f t="shared" si="6"/>
        <v>0</v>
      </c>
      <c r="L116" s="172"/>
      <c r="M116" s="270" t="e">
        <f>VLOOKUP(B116,материал!$B$5:$H$67,7,0)</f>
        <v>#N/A</v>
      </c>
    </row>
    <row r="117" spans="1:13" s="135" customFormat="1" ht="12.75" customHeight="1" x14ac:dyDescent="0.25">
      <c r="A117" s="166"/>
      <c r="B117" s="171" t="s">
        <v>52</v>
      </c>
      <c r="C117" s="172" t="s">
        <v>105</v>
      </c>
      <c r="D117" s="172" t="s">
        <v>54</v>
      </c>
      <c r="E117" s="172"/>
      <c r="F117" s="172"/>
      <c r="G117" s="173">
        <v>99.09</v>
      </c>
      <c r="H117" s="173">
        <v>79.66</v>
      </c>
      <c r="I117" s="170">
        <f t="shared" si="7"/>
        <v>178.75</v>
      </c>
      <c r="J117" s="174">
        <f>VLOOKUP(B117,работы!$B$5:$F$19,4,0)</f>
        <v>0</v>
      </c>
      <c r="K117" s="174">
        <f t="shared" si="6"/>
        <v>0</v>
      </c>
      <c r="L117" s="172"/>
      <c r="M117" s="270" t="e">
        <f>VLOOKUP(B117,материал!$B$5:$H$67,7,0)</f>
        <v>#N/A</v>
      </c>
    </row>
    <row r="118" spans="1:13" s="135" customFormat="1" ht="25.5" x14ac:dyDescent="0.25">
      <c r="A118" s="166"/>
      <c r="B118" s="171" t="s">
        <v>55</v>
      </c>
      <c r="C118" s="172"/>
      <c r="D118" s="172" t="s">
        <v>54</v>
      </c>
      <c r="E118" s="172"/>
      <c r="F118" s="172"/>
      <c r="G118" s="173">
        <v>31.05</v>
      </c>
      <c r="H118" s="173">
        <v>44.59</v>
      </c>
      <c r="I118" s="170">
        <f t="shared" si="7"/>
        <v>75.64</v>
      </c>
      <c r="J118" s="174">
        <f>VLOOKUP(B118,работы!$B$5:$F$19,4,0)</f>
        <v>0</v>
      </c>
      <c r="K118" s="174">
        <f t="shared" si="6"/>
        <v>0</v>
      </c>
      <c r="L118" s="172"/>
      <c r="M118" s="270" t="e">
        <f>VLOOKUP(B118,материал!$B$5:$H$67,7,0)</f>
        <v>#N/A</v>
      </c>
    </row>
    <row r="119" spans="1:13" s="135" customFormat="1" ht="12.75" customHeight="1" x14ac:dyDescent="0.25">
      <c r="A119" s="166"/>
      <c r="B119" s="171" t="s">
        <v>256</v>
      </c>
      <c r="C119" s="172"/>
      <c r="D119" s="172" t="s">
        <v>47</v>
      </c>
      <c r="E119" s="172"/>
      <c r="F119" s="172"/>
      <c r="G119" s="173">
        <f>11.4*2.82</f>
        <v>32.147999999999996</v>
      </c>
      <c r="H119" s="173"/>
      <c r="I119" s="170">
        <f t="shared" si="7"/>
        <v>32.147999999999996</v>
      </c>
      <c r="J119" s="174">
        <f>VLOOKUP(B119,работы!$B$5:$F$19,4,0)</f>
        <v>0</v>
      </c>
      <c r="K119" s="174">
        <f t="shared" si="6"/>
        <v>0</v>
      </c>
      <c r="L119" s="172"/>
      <c r="M119" s="270" t="e">
        <f>VLOOKUP(B119,материал!$B$5:$H$67,7,0)</f>
        <v>#N/A</v>
      </c>
    </row>
    <row r="120" spans="1:13" s="135" customFormat="1" ht="24.95" customHeight="1" x14ac:dyDescent="0.25">
      <c r="A120" s="166"/>
      <c r="B120" s="187" t="s">
        <v>56</v>
      </c>
      <c r="C120" s="188"/>
      <c r="D120" s="188" t="s">
        <v>45</v>
      </c>
      <c r="E120" s="188"/>
      <c r="F120" s="188"/>
      <c r="G120" s="173">
        <f>255.08*0.06*0.03</f>
        <v>0.459144</v>
      </c>
      <c r="H120" s="173">
        <f>366.31*0.06*0.03</f>
        <v>0.659358</v>
      </c>
      <c r="I120" s="170">
        <f t="shared" si="7"/>
        <v>1.1185019999999999</v>
      </c>
      <c r="J120" s="174"/>
      <c r="K120" s="174"/>
      <c r="L120" s="188" t="s">
        <v>57</v>
      </c>
      <c r="M120" s="270" t="e">
        <f>VLOOKUP(B120,материал!$B$5:$H$67,7,0)</f>
        <v>#N/A</v>
      </c>
    </row>
    <row r="121" spans="1:13" s="135" customFormat="1" ht="12.75" customHeight="1" x14ac:dyDescent="0.25">
      <c r="A121" s="175"/>
      <c r="B121" s="176" t="s">
        <v>38</v>
      </c>
      <c r="C121" s="177"/>
      <c r="D121" s="177"/>
      <c r="E121" s="177"/>
      <c r="F121" s="177"/>
      <c r="G121" s="178"/>
      <c r="H121" s="178"/>
      <c r="I121" s="179"/>
      <c r="J121" s="180"/>
      <c r="K121" s="179">
        <f ca="1">SUM(K122:K156)</f>
        <v>0</v>
      </c>
      <c r="L121" s="177"/>
      <c r="M121" s="271"/>
    </row>
    <row r="122" spans="1:13" s="135" customFormat="1" ht="12.75" customHeight="1" x14ac:dyDescent="0.25">
      <c r="A122" s="181"/>
      <c r="B122" s="182" t="s">
        <v>58</v>
      </c>
      <c r="C122" s="177" t="s">
        <v>59</v>
      </c>
      <c r="D122" s="177" t="s">
        <v>60</v>
      </c>
      <c r="E122" s="178">
        <v>12.4</v>
      </c>
      <c r="F122" s="177">
        <v>0.25</v>
      </c>
      <c r="G122" s="183">
        <f>G109/F122*E122</f>
        <v>1304.9759999999999</v>
      </c>
      <c r="H122" s="183">
        <f>H109/F122*E122</f>
        <v>1735.0079999999998</v>
      </c>
      <c r="I122" s="184">
        <f t="shared" ref="I122:I155" si="8">SUM(G122:H122)</f>
        <v>3039.9839999999995</v>
      </c>
      <c r="J122" s="180">
        <f>VLOOKUP(B122,материал!$B$5:$G$67,5,0)</f>
        <v>0</v>
      </c>
      <c r="K122" s="180">
        <f t="shared" si="6"/>
        <v>0</v>
      </c>
      <c r="L122" s="177" t="s">
        <v>61</v>
      </c>
      <c r="M122" s="271" t="str">
        <f>VLOOKUP(B122,материал!$B$5:$H$67,7,0)</f>
        <v>Давальческий материал</v>
      </c>
    </row>
    <row r="123" spans="1:13" s="135" customFormat="1" ht="12.75" customHeight="1" x14ac:dyDescent="0.25">
      <c r="A123" s="181"/>
      <c r="B123" s="182" t="s">
        <v>62</v>
      </c>
      <c r="C123" s="177" t="s">
        <v>63</v>
      </c>
      <c r="D123" s="177" t="s">
        <v>60</v>
      </c>
      <c r="E123" s="178">
        <v>12.4</v>
      </c>
      <c r="F123" s="177"/>
      <c r="G123" s="183">
        <f>G111*E123</f>
        <v>1268.0240000000001</v>
      </c>
      <c r="H123" s="183">
        <f>H111*E123</f>
        <v>2215.6320000000001</v>
      </c>
      <c r="I123" s="184">
        <f t="shared" si="8"/>
        <v>3483.6559999999999</v>
      </c>
      <c r="J123" s="180">
        <f>VLOOKUP(B123,материал!$B$5:$G$67,5,0)</f>
        <v>0</v>
      </c>
      <c r="K123" s="180">
        <f t="shared" si="6"/>
        <v>0</v>
      </c>
      <c r="L123" s="177" t="s">
        <v>61</v>
      </c>
      <c r="M123" s="271" t="str">
        <f>VLOOKUP(B123,материал!$B$5:$H$67,7,0)</f>
        <v>Давальческий материал</v>
      </c>
    </row>
    <row r="124" spans="1:13" s="135" customFormat="1" ht="12.75" customHeight="1" x14ac:dyDescent="0.25">
      <c r="A124" s="181"/>
      <c r="B124" s="182" t="s">
        <v>64</v>
      </c>
      <c r="C124" s="177" t="s">
        <v>65</v>
      </c>
      <c r="D124" s="177" t="s">
        <v>60</v>
      </c>
      <c r="E124" s="178">
        <v>12.4</v>
      </c>
      <c r="F124" s="177"/>
      <c r="G124" s="183">
        <f>G112*E124</f>
        <v>665.63200000000006</v>
      </c>
      <c r="H124" s="183">
        <f>H112*E124</f>
        <v>1368.5880000000002</v>
      </c>
      <c r="I124" s="184">
        <f t="shared" si="8"/>
        <v>2034.2200000000003</v>
      </c>
      <c r="J124" s="180">
        <f>VLOOKUP(B124,материал!$B$5:$G$67,5,0)</f>
        <v>0</v>
      </c>
      <c r="K124" s="180">
        <f t="shared" si="6"/>
        <v>0</v>
      </c>
      <c r="L124" s="177" t="s">
        <v>61</v>
      </c>
      <c r="M124" s="271" t="str">
        <f>VLOOKUP(B124,материал!$B$5:$H$67,7,0)</f>
        <v>Давальческий материал</v>
      </c>
    </row>
    <row r="125" spans="1:13" s="135" customFormat="1" ht="12.75" customHeight="1" x14ac:dyDescent="0.25">
      <c r="A125" s="181"/>
      <c r="B125" s="182" t="s">
        <v>106</v>
      </c>
      <c r="C125" s="177" t="s">
        <v>107</v>
      </c>
      <c r="D125" s="177" t="s">
        <v>60</v>
      </c>
      <c r="E125" s="178">
        <v>12.4</v>
      </c>
      <c r="F125" s="177"/>
      <c r="G125" s="183">
        <f>G113*E125</f>
        <v>1417.1960000000001</v>
      </c>
      <c r="H125" s="183">
        <f>H113*E125</f>
        <v>2292.5120000000002</v>
      </c>
      <c r="I125" s="184">
        <f t="shared" si="8"/>
        <v>3709.7080000000005</v>
      </c>
      <c r="J125" s="180">
        <f>VLOOKUP(B125,материал!$B$5:$G$67,5,0)</f>
        <v>0</v>
      </c>
      <c r="K125" s="180">
        <f t="shared" si="6"/>
        <v>0</v>
      </c>
      <c r="L125" s="177" t="s">
        <v>61</v>
      </c>
      <c r="M125" s="271" t="str">
        <f>VLOOKUP(B125,материал!$B$5:$H$67,7,0)</f>
        <v>Давальческий материал</v>
      </c>
    </row>
    <row r="126" spans="1:13" s="135" customFormat="1" ht="12.75" customHeight="1" x14ac:dyDescent="0.25">
      <c r="A126" s="181"/>
      <c r="B126" s="182" t="s">
        <v>108</v>
      </c>
      <c r="C126" s="177" t="s">
        <v>109</v>
      </c>
      <c r="D126" s="177" t="s">
        <v>60</v>
      </c>
      <c r="E126" s="178">
        <v>12.4</v>
      </c>
      <c r="F126" s="177"/>
      <c r="G126" s="183">
        <f>G114*E126</f>
        <v>1651.4320000000002</v>
      </c>
      <c r="H126" s="183">
        <f>H114*E126</f>
        <v>2353.8920000000003</v>
      </c>
      <c r="I126" s="184">
        <f t="shared" si="8"/>
        <v>4005.3240000000005</v>
      </c>
      <c r="J126" s="180">
        <f>VLOOKUP(B126,материал!$B$5:$G$67,5,0)</f>
        <v>0</v>
      </c>
      <c r="K126" s="180">
        <f t="shared" si="6"/>
        <v>0</v>
      </c>
      <c r="L126" s="177" t="s">
        <v>61</v>
      </c>
      <c r="M126" s="271" t="str">
        <f>VLOOKUP(B126,материал!$B$5:$H$67,7,0)</f>
        <v>Давальческий материал</v>
      </c>
    </row>
    <row r="127" spans="1:13" s="135" customFormat="1" ht="38.25" x14ac:dyDescent="0.25">
      <c r="A127" s="181"/>
      <c r="B127" s="189" t="s">
        <v>66</v>
      </c>
      <c r="C127" s="177" t="s">
        <v>67</v>
      </c>
      <c r="D127" s="177" t="s">
        <v>60</v>
      </c>
      <c r="E127" s="190">
        <v>42</v>
      </c>
      <c r="F127" s="190"/>
      <c r="G127" s="183">
        <f>G115*E127</f>
        <v>2203.3200000000002</v>
      </c>
      <c r="H127" s="183">
        <f>H115*E127</f>
        <v>1621.2</v>
      </c>
      <c r="I127" s="184">
        <f t="shared" si="8"/>
        <v>3824.5200000000004</v>
      </c>
      <c r="J127" s="180">
        <f>VLOOKUP(B127,материал!$B$5:$G$67,5,0)</f>
        <v>0</v>
      </c>
      <c r="K127" s="180">
        <f t="shared" si="6"/>
        <v>0</v>
      </c>
      <c r="L127" s="177" t="s">
        <v>68</v>
      </c>
      <c r="M127" s="271" t="str">
        <f>VLOOKUP(B127,материал!$B$5:$H$67,7,0)</f>
        <v>Давальческий материал</v>
      </c>
    </row>
    <row r="128" spans="1:13" s="135" customFormat="1" ht="38.25" x14ac:dyDescent="0.25">
      <c r="A128" s="181"/>
      <c r="B128" s="189" t="s">
        <v>110</v>
      </c>
      <c r="C128" s="177" t="s">
        <v>111</v>
      </c>
      <c r="D128" s="177" t="s">
        <v>60</v>
      </c>
      <c r="E128" s="190">
        <v>42</v>
      </c>
      <c r="F128" s="190"/>
      <c r="G128" s="183">
        <f>G110/0.25*E128</f>
        <v>288.95999999999998</v>
      </c>
      <c r="H128" s="183">
        <f>H110/0.25*E128</f>
        <v>436.8</v>
      </c>
      <c r="I128" s="184">
        <f t="shared" si="8"/>
        <v>725.76</v>
      </c>
      <c r="J128" s="180">
        <f>VLOOKUP(B128,материал!$B$5:$G$67,5,0)</f>
        <v>0</v>
      </c>
      <c r="K128" s="180">
        <f t="shared" si="6"/>
        <v>0</v>
      </c>
      <c r="L128" s="177" t="s">
        <v>68</v>
      </c>
      <c r="M128" s="271" t="str">
        <f>VLOOKUP(B128,материал!$B$5:$H$67,7,0)</f>
        <v>Давальческий материал</v>
      </c>
    </row>
    <row r="129" spans="1:13" s="135" customFormat="1" ht="12.75" customHeight="1" x14ac:dyDescent="0.25">
      <c r="A129" s="181"/>
      <c r="B129" s="191" t="s">
        <v>69</v>
      </c>
      <c r="C129" s="177" t="s">
        <v>70</v>
      </c>
      <c r="D129" s="177" t="s">
        <v>45</v>
      </c>
      <c r="E129" s="177">
        <v>0.19500000000000001</v>
      </c>
      <c r="F129" s="190"/>
      <c r="G129" s="178">
        <f>G109*E129+G111*E129*0.19+G112*E129*0.19+G113*E129*0.09+G114*E129*0.09</f>
        <v>15.251125500000001</v>
      </c>
      <c r="H129" s="178">
        <f>H109*E129+H111*E129*0.19+H112*E129*0.19+H113*E129*0.09+H114*E129*0.09</f>
        <v>24.106563000000001</v>
      </c>
      <c r="I129" s="179">
        <f t="shared" si="8"/>
        <v>39.357688500000002</v>
      </c>
      <c r="J129" s="180">
        <f>VLOOKUP(B129,материал!$B$5:$G$67,5,0)</f>
        <v>0</v>
      </c>
      <c r="K129" s="180">
        <f t="shared" si="6"/>
        <v>0</v>
      </c>
      <c r="L129" s="177" t="s">
        <v>71</v>
      </c>
      <c r="M129" s="271" t="str">
        <f>VLOOKUP(B129,материал!$B$5:$H$67,7,0)</f>
        <v>Закуп подярдчика</v>
      </c>
    </row>
    <row r="130" spans="1:13" s="135" customFormat="1" ht="12.75" customHeight="1" x14ac:dyDescent="0.25">
      <c r="A130" s="192"/>
      <c r="B130" s="191" t="s">
        <v>112</v>
      </c>
      <c r="C130" s="177" t="s">
        <v>70</v>
      </c>
      <c r="D130" s="177" t="s">
        <v>45</v>
      </c>
      <c r="E130" s="177">
        <v>0.24</v>
      </c>
      <c r="F130" s="177"/>
      <c r="G130" s="178">
        <f>G110*E130</f>
        <v>0.4128</v>
      </c>
      <c r="H130" s="178">
        <f>H110*E130</f>
        <v>0.624</v>
      </c>
      <c r="I130" s="179">
        <f t="shared" si="8"/>
        <v>1.0367999999999999</v>
      </c>
      <c r="J130" s="180">
        <f>VLOOKUP(B130,материал!$B$5:$G$67,5,0)</f>
        <v>0</v>
      </c>
      <c r="K130" s="180">
        <f t="shared" si="6"/>
        <v>0</v>
      </c>
      <c r="L130" s="177" t="s">
        <v>71</v>
      </c>
      <c r="M130" s="271" t="str">
        <f>VLOOKUP(B130,материал!$B$5:$H$67,7,0)</f>
        <v>Закуп подярдчика</v>
      </c>
    </row>
    <row r="131" spans="1:13" s="135" customFormat="1" ht="32.25" customHeight="1" x14ac:dyDescent="0.25">
      <c r="A131" s="192"/>
      <c r="B131" s="191" t="s">
        <v>72</v>
      </c>
      <c r="C131" s="177" t="s">
        <v>70</v>
      </c>
      <c r="D131" s="177" t="s">
        <v>45</v>
      </c>
      <c r="E131" s="177">
        <v>4.5999999999999999E-2</v>
      </c>
      <c r="F131" s="177"/>
      <c r="G131" s="178">
        <f>G115*E131</f>
        <v>2.41316</v>
      </c>
      <c r="H131" s="178">
        <f>H115*E131</f>
        <v>1.7756000000000001</v>
      </c>
      <c r="I131" s="179">
        <f t="shared" si="8"/>
        <v>4.1887600000000003</v>
      </c>
      <c r="J131" s="180">
        <f>VLOOKUP(B131,материал!$B$5:$G$67,5,0)</f>
        <v>0</v>
      </c>
      <c r="K131" s="180">
        <f t="shared" si="6"/>
        <v>0</v>
      </c>
      <c r="L131" s="177" t="s">
        <v>73</v>
      </c>
      <c r="M131" s="271" t="str">
        <f>VLOOKUP(B131,материал!$B$5:$H$67,7,0)</f>
        <v>Закуп подярдчика</v>
      </c>
    </row>
    <row r="132" spans="1:13" s="135" customFormat="1" ht="12.75" customHeight="1" x14ac:dyDescent="0.25">
      <c r="A132" s="192"/>
      <c r="B132" s="191" t="s">
        <v>74</v>
      </c>
      <c r="C132" s="177" t="s">
        <v>70</v>
      </c>
      <c r="D132" s="177" t="s">
        <v>45</v>
      </c>
      <c r="E132" s="177">
        <v>1.01</v>
      </c>
      <c r="F132" s="177"/>
      <c r="G132" s="178">
        <f>G120*E132</f>
        <v>0.46373544</v>
      </c>
      <c r="H132" s="178">
        <f>H120*E132</f>
        <v>0.66595157999999999</v>
      </c>
      <c r="I132" s="179">
        <f t="shared" si="8"/>
        <v>1.12968702</v>
      </c>
      <c r="J132" s="180">
        <f>VLOOKUP(B132,материал!$B$5:$G$67,5,0)</f>
        <v>0</v>
      </c>
      <c r="K132" s="180">
        <f t="shared" si="6"/>
        <v>0</v>
      </c>
      <c r="L132" s="177" t="s">
        <v>71</v>
      </c>
      <c r="M132" s="271" t="str">
        <f>VLOOKUP(B132,материал!$B$5:$H$67,7,0)</f>
        <v>Закуп подярдчика</v>
      </c>
    </row>
    <row r="133" spans="1:13" s="135" customFormat="1" ht="32.25" customHeight="1" x14ac:dyDescent="0.25">
      <c r="A133" s="181"/>
      <c r="B133" s="189" t="s">
        <v>75</v>
      </c>
      <c r="C133" s="177" t="s">
        <v>70</v>
      </c>
      <c r="D133" s="177" t="s">
        <v>45</v>
      </c>
      <c r="E133" s="177">
        <v>6.0000000000000001E-3</v>
      </c>
      <c r="F133" s="177"/>
      <c r="G133" s="178">
        <f>G116*E133</f>
        <v>0.42599999999999999</v>
      </c>
      <c r="H133" s="178">
        <f>H116*E133</f>
        <v>0.56400000000000006</v>
      </c>
      <c r="I133" s="179">
        <f t="shared" si="8"/>
        <v>0.99</v>
      </c>
      <c r="J133" s="180">
        <f>VLOOKUP(B133,материал!$B$5:$G$67,5,0)</f>
        <v>0</v>
      </c>
      <c r="K133" s="180">
        <f t="shared" si="6"/>
        <v>0</v>
      </c>
      <c r="L133" s="177" t="s">
        <v>76</v>
      </c>
      <c r="M133" s="271" t="str">
        <f>VLOOKUP(B133,материал!$B$5:$H$67,7,0)</f>
        <v>Закуп подярдчика</v>
      </c>
    </row>
    <row r="134" spans="1:13" s="135" customFormat="1" ht="12.75" customHeight="1" x14ac:dyDescent="0.25">
      <c r="A134" s="181"/>
      <c r="B134" s="189" t="s">
        <v>77</v>
      </c>
      <c r="C134" s="177" t="s">
        <v>70</v>
      </c>
      <c r="D134" s="177" t="s">
        <v>45</v>
      </c>
      <c r="E134" s="177">
        <v>1.01</v>
      </c>
      <c r="F134" s="177"/>
      <c r="G134" s="193">
        <v>5.3999999999999999E-2</v>
      </c>
      <c r="H134" s="193">
        <v>8.6999999999999994E-2</v>
      </c>
      <c r="I134" s="179">
        <f t="shared" si="8"/>
        <v>0.14099999999999999</v>
      </c>
      <c r="J134" s="180">
        <f>VLOOKUP(B134,материал!$B$5:$G$67,5,0)</f>
        <v>0</v>
      </c>
      <c r="K134" s="180">
        <f t="shared" si="6"/>
        <v>0</v>
      </c>
      <c r="L134" s="194"/>
      <c r="M134" s="271" t="str">
        <f>VLOOKUP(B134,материал!$B$5:$H$67,7,0)</f>
        <v>Закуп подярдчика</v>
      </c>
    </row>
    <row r="135" spans="1:13" s="135" customFormat="1" ht="12.75" customHeight="1" x14ac:dyDescent="0.25">
      <c r="A135" s="181"/>
      <c r="B135" s="189" t="s">
        <v>78</v>
      </c>
      <c r="C135" s="177" t="s">
        <v>79</v>
      </c>
      <c r="D135" s="177" t="s">
        <v>47</v>
      </c>
      <c r="E135" s="177"/>
      <c r="F135" s="177"/>
      <c r="G135" s="178">
        <v>153.38</v>
      </c>
      <c r="H135" s="178">
        <v>226.65</v>
      </c>
      <c r="I135" s="179">
        <f t="shared" si="8"/>
        <v>380.03</v>
      </c>
      <c r="J135" s="180">
        <f>VLOOKUP(B135,материал!$B$5:$G$67,5,0)</f>
        <v>0</v>
      </c>
      <c r="K135" s="180">
        <f t="shared" si="6"/>
        <v>0</v>
      </c>
      <c r="L135" s="194"/>
      <c r="M135" s="271" t="str">
        <f>VLOOKUP(B135,материал!$B$5:$H$67,7,0)</f>
        <v>Закуп подярдчика</v>
      </c>
    </row>
    <row r="136" spans="1:13" s="135" customFormat="1" ht="27" customHeight="1" x14ac:dyDescent="0.25">
      <c r="A136" s="181"/>
      <c r="B136" s="189" t="s">
        <v>277</v>
      </c>
      <c r="C136" s="177" t="s">
        <v>114</v>
      </c>
      <c r="D136" s="177" t="s">
        <v>60</v>
      </c>
      <c r="E136" s="177"/>
      <c r="F136" s="177"/>
      <c r="G136" s="178">
        <v>18</v>
      </c>
      <c r="H136" s="178">
        <v>14</v>
      </c>
      <c r="I136" s="179">
        <f t="shared" si="8"/>
        <v>32</v>
      </c>
      <c r="J136" s="180">
        <f>VLOOKUP(B136,материал!$B$5:$G$67,5,0)</f>
        <v>0</v>
      </c>
      <c r="K136" s="180">
        <f t="shared" si="6"/>
        <v>0</v>
      </c>
      <c r="L136" s="194"/>
      <c r="M136" s="271" t="str">
        <f>VLOOKUP(B136,материал!$B$5:$H$67,7,0)</f>
        <v>Закуп подярдчика</v>
      </c>
    </row>
    <row r="137" spans="1:13" s="135" customFormat="1" ht="27" customHeight="1" x14ac:dyDescent="0.25">
      <c r="A137" s="181"/>
      <c r="B137" s="189" t="s">
        <v>278</v>
      </c>
      <c r="C137" s="177" t="s">
        <v>116</v>
      </c>
      <c r="D137" s="177" t="s">
        <v>60</v>
      </c>
      <c r="E137" s="177"/>
      <c r="F137" s="177"/>
      <c r="G137" s="178">
        <v>1</v>
      </c>
      <c r="H137" s="178">
        <v>10</v>
      </c>
      <c r="I137" s="179">
        <f t="shared" si="8"/>
        <v>11</v>
      </c>
      <c r="J137" s="180">
        <f>VLOOKUP(B137,материал!$B$5:$G$67,5,0)</f>
        <v>0</v>
      </c>
      <c r="K137" s="180">
        <f t="shared" si="6"/>
        <v>0</v>
      </c>
      <c r="L137" s="194"/>
      <c r="M137" s="271" t="str">
        <f>VLOOKUP(B137,материал!$B$5:$H$67,7,0)</f>
        <v>Закуп подярдчика</v>
      </c>
    </row>
    <row r="138" spans="1:13" s="135" customFormat="1" ht="27" customHeight="1" x14ac:dyDescent="0.25">
      <c r="A138" s="181"/>
      <c r="B138" s="189" t="s">
        <v>279</v>
      </c>
      <c r="C138" s="177" t="s">
        <v>282</v>
      </c>
      <c r="D138" s="177" t="s">
        <v>60</v>
      </c>
      <c r="E138" s="177"/>
      <c r="F138" s="177"/>
      <c r="G138" s="178"/>
      <c r="H138" s="178">
        <v>4</v>
      </c>
      <c r="I138" s="179">
        <f t="shared" si="8"/>
        <v>4</v>
      </c>
      <c r="J138" s="180">
        <f>VLOOKUP(B138,материал!$B$5:$G$67,5,0)</f>
        <v>0</v>
      </c>
      <c r="K138" s="180">
        <f t="shared" si="6"/>
        <v>0</v>
      </c>
      <c r="L138" s="194"/>
      <c r="M138" s="271" t="str">
        <f>VLOOKUP(B138,материал!$B$5:$H$67,7,0)</f>
        <v>Закуп подярдчика</v>
      </c>
    </row>
    <row r="139" spans="1:13" s="135" customFormat="1" ht="27" customHeight="1" x14ac:dyDescent="0.25">
      <c r="A139" s="181"/>
      <c r="B139" s="189" t="s">
        <v>281</v>
      </c>
      <c r="C139" s="177" t="s">
        <v>284</v>
      </c>
      <c r="D139" s="177" t="s">
        <v>60</v>
      </c>
      <c r="E139" s="177"/>
      <c r="F139" s="177"/>
      <c r="G139" s="178">
        <v>9</v>
      </c>
      <c r="H139" s="178">
        <v>4</v>
      </c>
      <c r="I139" s="179">
        <f t="shared" si="8"/>
        <v>13</v>
      </c>
      <c r="J139" s="180">
        <f>VLOOKUP(B139,материал!$B$5:$G$67,5,0)</f>
        <v>0</v>
      </c>
      <c r="K139" s="180">
        <f t="shared" si="6"/>
        <v>0</v>
      </c>
      <c r="L139" s="194"/>
      <c r="M139" s="271" t="str">
        <f>VLOOKUP(B139,материал!$B$5:$H$67,7,0)</f>
        <v>Закуп подярдчика</v>
      </c>
    </row>
    <row r="140" spans="1:13" s="135" customFormat="1" ht="27" customHeight="1" x14ac:dyDescent="0.25">
      <c r="A140" s="181"/>
      <c r="B140" s="189" t="s">
        <v>283</v>
      </c>
      <c r="C140" s="177" t="s">
        <v>286</v>
      </c>
      <c r="D140" s="177" t="s">
        <v>60</v>
      </c>
      <c r="E140" s="177"/>
      <c r="F140" s="177"/>
      <c r="G140" s="178">
        <v>1</v>
      </c>
      <c r="H140" s="178">
        <v>1</v>
      </c>
      <c r="I140" s="179">
        <f t="shared" si="8"/>
        <v>2</v>
      </c>
      <c r="J140" s="180">
        <f>VLOOKUP(B140,материал!$B$5:$G$67,5,0)</f>
        <v>0</v>
      </c>
      <c r="K140" s="180">
        <f t="shared" si="6"/>
        <v>0</v>
      </c>
      <c r="L140" s="194"/>
      <c r="M140" s="271" t="str">
        <f>VLOOKUP(B140,материал!$B$5:$H$67,7,0)</f>
        <v>Закуп подярдчика</v>
      </c>
    </row>
    <row r="141" spans="1:13" s="135" customFormat="1" ht="27" customHeight="1" x14ac:dyDescent="0.25">
      <c r="A141" s="181"/>
      <c r="B141" s="189" t="s">
        <v>285</v>
      </c>
      <c r="C141" s="177" t="s">
        <v>288</v>
      </c>
      <c r="D141" s="177" t="s">
        <v>60</v>
      </c>
      <c r="E141" s="177"/>
      <c r="F141" s="177"/>
      <c r="G141" s="178">
        <v>1</v>
      </c>
      <c r="H141" s="178">
        <v>1</v>
      </c>
      <c r="I141" s="179">
        <f t="shared" si="8"/>
        <v>2</v>
      </c>
      <c r="J141" s="180">
        <f>VLOOKUP(B141,материал!$B$5:$G$67,5,0)</f>
        <v>0</v>
      </c>
      <c r="K141" s="180">
        <f t="shared" si="6"/>
        <v>0</v>
      </c>
      <c r="L141" s="194"/>
      <c r="M141" s="271" t="str">
        <f>VLOOKUP(B141,материал!$B$5:$H$67,7,0)</f>
        <v>Закуп подярдчика</v>
      </c>
    </row>
    <row r="142" spans="1:13" s="135" customFormat="1" ht="27" customHeight="1" x14ac:dyDescent="0.25">
      <c r="A142" s="181"/>
      <c r="B142" s="189" t="s">
        <v>287</v>
      </c>
      <c r="C142" s="177" t="s">
        <v>290</v>
      </c>
      <c r="D142" s="177" t="s">
        <v>60</v>
      </c>
      <c r="E142" s="177"/>
      <c r="F142" s="177"/>
      <c r="G142" s="178">
        <v>6</v>
      </c>
      <c r="H142" s="178">
        <v>4</v>
      </c>
      <c r="I142" s="179">
        <f t="shared" si="8"/>
        <v>10</v>
      </c>
      <c r="J142" s="180">
        <f>VLOOKUP(B142,материал!$B$5:$G$67,5,0)</f>
        <v>0</v>
      </c>
      <c r="K142" s="180">
        <f t="shared" si="6"/>
        <v>0</v>
      </c>
      <c r="L142" s="194"/>
      <c r="M142" s="271" t="str">
        <f>VLOOKUP(B142,материал!$B$5:$H$67,7,0)</f>
        <v>Закуп подярдчика</v>
      </c>
    </row>
    <row r="143" spans="1:13" s="135" customFormat="1" ht="27" customHeight="1" x14ac:dyDescent="0.25">
      <c r="A143" s="181"/>
      <c r="B143" s="189" t="s">
        <v>289</v>
      </c>
      <c r="C143" s="177" t="s">
        <v>292</v>
      </c>
      <c r="D143" s="177" t="s">
        <v>60</v>
      </c>
      <c r="E143" s="177"/>
      <c r="F143" s="177"/>
      <c r="G143" s="178">
        <v>20</v>
      </c>
      <c r="H143" s="178">
        <v>26</v>
      </c>
      <c r="I143" s="179">
        <f t="shared" si="8"/>
        <v>46</v>
      </c>
      <c r="J143" s="180">
        <f>VLOOKUP(B143,материал!$B$5:$G$67,5,0)</f>
        <v>0</v>
      </c>
      <c r="K143" s="180">
        <f t="shared" si="6"/>
        <v>0</v>
      </c>
      <c r="L143" s="194"/>
      <c r="M143" s="271" t="str">
        <f>VLOOKUP(B143,материал!$B$5:$H$67,7,0)</f>
        <v>Закуп подярдчика</v>
      </c>
    </row>
    <row r="144" spans="1:13" s="135" customFormat="1" ht="27" customHeight="1" x14ac:dyDescent="0.25">
      <c r="A144" s="181"/>
      <c r="B144" s="189" t="s">
        <v>291</v>
      </c>
      <c r="C144" s="177" t="s">
        <v>294</v>
      </c>
      <c r="D144" s="177" t="s">
        <v>60</v>
      </c>
      <c r="E144" s="177"/>
      <c r="F144" s="177"/>
      <c r="G144" s="178">
        <v>2</v>
      </c>
      <c r="H144" s="178">
        <v>18</v>
      </c>
      <c r="I144" s="179">
        <f t="shared" si="8"/>
        <v>20</v>
      </c>
      <c r="J144" s="180">
        <f>VLOOKUP(B144,материал!$B$5:$G$67,5,0)</f>
        <v>0</v>
      </c>
      <c r="K144" s="180">
        <f t="shared" si="6"/>
        <v>0</v>
      </c>
      <c r="L144" s="194"/>
      <c r="M144" s="271" t="str">
        <f>VLOOKUP(B144,материал!$B$5:$H$67,7,0)</f>
        <v>Закуп подярдчика</v>
      </c>
    </row>
    <row r="145" spans="1:13" s="135" customFormat="1" ht="27" customHeight="1" x14ac:dyDescent="0.25">
      <c r="A145" s="181"/>
      <c r="B145" s="189" t="s">
        <v>313</v>
      </c>
      <c r="C145" s="177" t="s">
        <v>296</v>
      </c>
      <c r="D145" s="177" t="s">
        <v>60</v>
      </c>
      <c r="E145" s="177"/>
      <c r="F145" s="177"/>
      <c r="G145" s="178">
        <v>4</v>
      </c>
      <c r="H145" s="178"/>
      <c r="I145" s="179">
        <f t="shared" si="8"/>
        <v>4</v>
      </c>
      <c r="J145" s="180">
        <f>VLOOKUP(B145,материал!$B$5:$G$67,5,0)</f>
        <v>0</v>
      </c>
      <c r="K145" s="180">
        <f t="shared" si="6"/>
        <v>0</v>
      </c>
      <c r="L145" s="194"/>
      <c r="M145" s="271" t="str">
        <f>VLOOKUP(B145,материал!$B$5:$H$67,7,0)</f>
        <v>Закуп подярдчика</v>
      </c>
    </row>
    <row r="146" spans="1:13" s="135" customFormat="1" ht="27" customHeight="1" x14ac:dyDescent="0.25">
      <c r="A146" s="181"/>
      <c r="B146" s="189" t="s">
        <v>293</v>
      </c>
      <c r="C146" s="177" t="s">
        <v>314</v>
      </c>
      <c r="D146" s="177" t="s">
        <v>60</v>
      </c>
      <c r="E146" s="177"/>
      <c r="F146" s="177"/>
      <c r="G146" s="178">
        <v>4</v>
      </c>
      <c r="H146" s="178"/>
      <c r="I146" s="179">
        <f t="shared" si="8"/>
        <v>4</v>
      </c>
      <c r="J146" s="180">
        <f>VLOOKUP(B146,материал!$B$5:$G$67,5,0)</f>
        <v>0</v>
      </c>
      <c r="K146" s="180">
        <f t="shared" si="6"/>
        <v>0</v>
      </c>
      <c r="L146" s="194"/>
      <c r="M146" s="271" t="str">
        <f>VLOOKUP(B146,материал!$B$5:$H$67,7,0)</f>
        <v>Закуп подярдчика</v>
      </c>
    </row>
    <row r="147" spans="1:13" s="135" customFormat="1" ht="27" customHeight="1" x14ac:dyDescent="0.25">
      <c r="A147" s="181"/>
      <c r="B147" s="189" t="s">
        <v>295</v>
      </c>
      <c r="C147" s="177" t="s">
        <v>118</v>
      </c>
      <c r="D147" s="177" t="s">
        <v>60</v>
      </c>
      <c r="E147" s="177"/>
      <c r="F147" s="177"/>
      <c r="G147" s="178">
        <v>1</v>
      </c>
      <c r="H147" s="178">
        <v>2</v>
      </c>
      <c r="I147" s="179">
        <f t="shared" si="8"/>
        <v>3</v>
      </c>
      <c r="J147" s="180">
        <f>VLOOKUP(B147,материал!$B$5:$G$67,5,0)</f>
        <v>0</v>
      </c>
      <c r="K147" s="180">
        <f t="shared" si="6"/>
        <v>0</v>
      </c>
      <c r="L147" s="194"/>
      <c r="M147" s="271" t="str">
        <f>VLOOKUP(B147,материал!$B$5:$H$67,7,0)</f>
        <v>Закуп подярдчика</v>
      </c>
    </row>
    <row r="148" spans="1:13" s="135" customFormat="1" ht="27" customHeight="1" x14ac:dyDescent="0.25">
      <c r="A148" s="181"/>
      <c r="B148" s="189" t="s">
        <v>315</v>
      </c>
      <c r="C148" s="177" t="s">
        <v>120</v>
      </c>
      <c r="D148" s="177" t="s">
        <v>60</v>
      </c>
      <c r="E148" s="177"/>
      <c r="F148" s="177"/>
      <c r="G148" s="178">
        <v>4</v>
      </c>
      <c r="H148" s="178">
        <v>10</v>
      </c>
      <c r="I148" s="179">
        <f t="shared" si="8"/>
        <v>14</v>
      </c>
      <c r="J148" s="180">
        <f>VLOOKUP(B148,материал!$B$5:$G$67,5,0)</f>
        <v>0</v>
      </c>
      <c r="K148" s="180">
        <f t="shared" si="6"/>
        <v>0</v>
      </c>
      <c r="L148" s="194"/>
      <c r="M148" s="271" t="str">
        <f>VLOOKUP(B148,материал!$B$5:$H$67,7,0)</f>
        <v>Закуп подярдчика</v>
      </c>
    </row>
    <row r="149" spans="1:13" s="135" customFormat="1" ht="12.75" customHeight="1" x14ac:dyDescent="0.25">
      <c r="A149" s="181"/>
      <c r="B149" s="189" t="s">
        <v>92</v>
      </c>
      <c r="C149" s="177" t="s">
        <v>93</v>
      </c>
      <c r="D149" s="177" t="s">
        <v>54</v>
      </c>
      <c r="E149" s="177">
        <v>1.04</v>
      </c>
      <c r="F149" s="177"/>
      <c r="G149" s="178">
        <f>127.56*E149</f>
        <v>132.66240000000002</v>
      </c>
      <c r="H149" s="178">
        <f>180.66*E149</f>
        <v>187.88640000000001</v>
      </c>
      <c r="I149" s="179">
        <f t="shared" si="8"/>
        <v>320.54880000000003</v>
      </c>
      <c r="J149" s="180">
        <f>VLOOKUP(B149,материал!$B$5:$G$67,5,0)</f>
        <v>0</v>
      </c>
      <c r="K149" s="180">
        <f t="shared" si="6"/>
        <v>0</v>
      </c>
      <c r="L149" s="194"/>
      <c r="M149" s="271" t="str">
        <f>VLOOKUP(B149,материал!$B$5:$H$67,7,0)</f>
        <v>Закуп подярдчика</v>
      </c>
    </row>
    <row r="150" spans="1:13" s="135" customFormat="1" ht="12.75" customHeight="1" x14ac:dyDescent="0.25">
      <c r="A150" s="181"/>
      <c r="B150" s="189" t="s">
        <v>94</v>
      </c>
      <c r="C150" s="177" t="s">
        <v>95</v>
      </c>
      <c r="D150" s="177" t="s">
        <v>54</v>
      </c>
      <c r="E150" s="177">
        <v>1.04</v>
      </c>
      <c r="F150" s="177"/>
      <c r="G150" s="178">
        <f>G118*E150</f>
        <v>32.292000000000002</v>
      </c>
      <c r="H150" s="178">
        <f>H118*E150</f>
        <v>46.373600000000003</v>
      </c>
      <c r="I150" s="179">
        <f t="shared" si="8"/>
        <v>78.665600000000012</v>
      </c>
      <c r="J150" s="180">
        <f>VLOOKUP(B150,материал!$B$5:$G$67,5,0)</f>
        <v>0</v>
      </c>
      <c r="K150" s="180">
        <f t="shared" si="6"/>
        <v>0</v>
      </c>
      <c r="L150" s="194"/>
      <c r="M150" s="271" t="str">
        <f>VLOOKUP(B150,материал!$B$5:$H$67,7,0)</f>
        <v>Закуп подярдчика</v>
      </c>
    </row>
    <row r="151" spans="1:13" s="135" customFormat="1" ht="12.75" customHeight="1" x14ac:dyDescent="0.25">
      <c r="A151" s="181"/>
      <c r="B151" s="189" t="s">
        <v>131</v>
      </c>
      <c r="C151" s="177" t="s">
        <v>39</v>
      </c>
      <c r="D151" s="177" t="s">
        <v>54</v>
      </c>
      <c r="E151" s="177">
        <v>1.04</v>
      </c>
      <c r="F151" s="177"/>
      <c r="G151" s="178">
        <f>46.68*E151</f>
        <v>48.547200000000004</v>
      </c>
      <c r="H151" s="178">
        <f>31.12*E151</f>
        <v>32.364800000000002</v>
      </c>
      <c r="I151" s="179">
        <f t="shared" si="8"/>
        <v>80.912000000000006</v>
      </c>
      <c r="J151" s="180">
        <f>VLOOKUP(B151,материал!$B$5:$G$67,5,0)</f>
        <v>0</v>
      </c>
      <c r="K151" s="180">
        <f t="shared" ref="K151:K214" si="9">I151*J151</f>
        <v>0</v>
      </c>
      <c r="L151" s="194"/>
      <c r="M151" s="271" t="str">
        <f>VLOOKUP(B151,материал!$B$5:$H$67,7,0)</f>
        <v>Закуп подярдчика</v>
      </c>
    </row>
    <row r="152" spans="1:13" s="135" customFormat="1" ht="12.75" customHeight="1" x14ac:dyDescent="0.25">
      <c r="A152" s="181"/>
      <c r="B152" s="189" t="s">
        <v>96</v>
      </c>
      <c r="C152" s="177" t="s">
        <v>39</v>
      </c>
      <c r="D152" s="177" t="s">
        <v>54</v>
      </c>
      <c r="E152" s="177">
        <v>1.04</v>
      </c>
      <c r="F152" s="177"/>
      <c r="G152" s="178">
        <f>25.93*E152</f>
        <v>26.967200000000002</v>
      </c>
      <c r="H152" s="178">
        <f>E152*17.2</f>
        <v>17.887999999999998</v>
      </c>
      <c r="I152" s="179">
        <f t="shared" si="8"/>
        <v>44.855199999999996</v>
      </c>
      <c r="J152" s="180">
        <f>VLOOKUP(B152,материал!$B$5:$G$67,5,0)</f>
        <v>0</v>
      </c>
      <c r="K152" s="180">
        <f t="shared" si="9"/>
        <v>0</v>
      </c>
      <c r="L152" s="194"/>
      <c r="M152" s="271" t="str">
        <f>VLOOKUP(B152,материал!$B$5:$H$67,7,0)</f>
        <v>Закуп подярдчика</v>
      </c>
    </row>
    <row r="153" spans="1:13" s="135" customFormat="1" ht="12.75" customHeight="1" x14ac:dyDescent="0.25">
      <c r="A153" s="181"/>
      <c r="B153" s="189" t="s">
        <v>97</v>
      </c>
      <c r="C153" s="177" t="s">
        <v>39</v>
      </c>
      <c r="D153" s="177" t="s">
        <v>54</v>
      </c>
      <c r="E153" s="177">
        <v>1.04</v>
      </c>
      <c r="F153" s="177"/>
      <c r="G153" s="178">
        <f>E153*10.72</f>
        <v>11.148800000000001</v>
      </c>
      <c r="H153" s="178">
        <f>E153*20.84</f>
        <v>21.6736</v>
      </c>
      <c r="I153" s="179">
        <f t="shared" si="8"/>
        <v>32.822400000000002</v>
      </c>
      <c r="J153" s="180">
        <f>VLOOKUP(B153,материал!$B$5:$G$67,5,0)</f>
        <v>0</v>
      </c>
      <c r="K153" s="180">
        <f t="shared" si="9"/>
        <v>0</v>
      </c>
      <c r="L153" s="194"/>
      <c r="M153" s="271" t="str">
        <f>VLOOKUP(B153,материал!$B$5:$H$67,7,0)</f>
        <v>Закуп подярдчика</v>
      </c>
    </row>
    <row r="154" spans="1:13" s="135" customFormat="1" ht="12.75" customHeight="1" x14ac:dyDescent="0.25">
      <c r="A154" s="181"/>
      <c r="B154" s="189" t="s">
        <v>132</v>
      </c>
      <c r="C154" s="177" t="s">
        <v>39</v>
      </c>
      <c r="D154" s="177" t="s">
        <v>54</v>
      </c>
      <c r="E154" s="177">
        <v>1.04</v>
      </c>
      <c r="F154" s="177"/>
      <c r="G154" s="178">
        <f>15.75*E154</f>
        <v>16.38</v>
      </c>
      <c r="H154" s="178">
        <f>10.5*E154</f>
        <v>10.92</v>
      </c>
      <c r="I154" s="179">
        <f t="shared" si="8"/>
        <v>27.299999999999997</v>
      </c>
      <c r="J154" s="180">
        <f>VLOOKUP(B154,материал!$B$5:$G$67,5,0)</f>
        <v>0</v>
      </c>
      <c r="K154" s="180">
        <f t="shared" si="9"/>
        <v>0</v>
      </c>
      <c r="L154" s="194"/>
      <c r="M154" s="271" t="str">
        <f>VLOOKUP(B154,материал!$B$5:$H$67,7,0)</f>
        <v>Закуп подярдчика</v>
      </c>
    </row>
    <row r="155" spans="1:13" s="135" customFormat="1" ht="27" customHeight="1" x14ac:dyDescent="0.25">
      <c r="A155" s="181"/>
      <c r="B155" s="189" t="s">
        <v>275</v>
      </c>
      <c r="C155" s="177" t="s">
        <v>276</v>
      </c>
      <c r="D155" s="177" t="s">
        <v>45</v>
      </c>
      <c r="E155" s="177">
        <v>1.04</v>
      </c>
      <c r="F155" s="177"/>
      <c r="G155" s="178">
        <f>G119*0.05*E155</f>
        <v>1.6716960000000001</v>
      </c>
      <c r="H155" s="178">
        <f>H119*0.05*E155</f>
        <v>0</v>
      </c>
      <c r="I155" s="179">
        <f t="shared" si="8"/>
        <v>1.6716960000000001</v>
      </c>
      <c r="J155" s="180">
        <f>VLOOKUP(B155,материал!$B$5:$G$67,5,0)</f>
        <v>0</v>
      </c>
      <c r="K155" s="180">
        <f t="shared" si="9"/>
        <v>0</v>
      </c>
      <c r="L155" s="194"/>
      <c r="M155" s="271" t="str">
        <f>VLOOKUP(B155,материал!$B$5:$H$67,7,0)</f>
        <v>Закуп подярдчика</v>
      </c>
    </row>
    <row r="156" spans="1:13" s="137" customFormat="1" ht="24.95" customHeight="1" x14ac:dyDescent="0.25">
      <c r="A156" s="195"/>
      <c r="B156" s="196" t="s">
        <v>133</v>
      </c>
      <c r="C156" s="197" t="s">
        <v>39</v>
      </c>
      <c r="D156" s="197" t="s">
        <v>99</v>
      </c>
      <c r="E156" s="197"/>
      <c r="F156" s="197"/>
      <c r="G156" s="198"/>
      <c r="H156" s="198"/>
      <c r="I156" s="199">
        <f ca="1">SUMIF(материал!$B$5:$G$67,B156,материал!$E$5:$E$67)</f>
        <v>0</v>
      </c>
      <c r="J156" s="179"/>
      <c r="K156" s="180">
        <f ca="1">SUM(K122:K155)*I156%</f>
        <v>0</v>
      </c>
      <c r="L156" s="200"/>
      <c r="M156" s="274" t="str">
        <f>VLOOKUP(B156,материал!$B$5:$H$67,7,0)</f>
        <v>Закуп подярдчика</v>
      </c>
    </row>
    <row r="157" spans="1:13" s="135" customFormat="1" x14ac:dyDescent="0.25">
      <c r="A157" s="160" t="s">
        <v>136</v>
      </c>
      <c r="B157" s="161" t="s">
        <v>137</v>
      </c>
      <c r="C157" s="162"/>
      <c r="D157" s="163"/>
      <c r="E157" s="162"/>
      <c r="F157" s="162"/>
      <c r="G157" s="164"/>
      <c r="H157" s="164"/>
      <c r="I157" s="165"/>
      <c r="J157" s="165"/>
      <c r="K157" s="165">
        <f ca="1">K158+K171</f>
        <v>0</v>
      </c>
      <c r="L157" s="186"/>
      <c r="M157" s="273" t="e">
        <f>VLOOKUP(B157,материал!$B$5:$H$67,7,0)</f>
        <v>#N/A</v>
      </c>
    </row>
    <row r="158" spans="1:13" s="135" customFormat="1" x14ac:dyDescent="0.25">
      <c r="A158" s="166"/>
      <c r="B158" s="167" t="s">
        <v>34</v>
      </c>
      <c r="C158" s="168"/>
      <c r="D158" s="168"/>
      <c r="E158" s="168"/>
      <c r="F158" s="168"/>
      <c r="G158" s="169"/>
      <c r="H158" s="169"/>
      <c r="I158" s="170"/>
      <c r="J158" s="170"/>
      <c r="K158" s="170">
        <f>SUM(K159:K169)</f>
        <v>0</v>
      </c>
      <c r="L158" s="172"/>
      <c r="M158" s="270" t="e">
        <f>VLOOKUP(B158,материал!$B$5:$H$67,7,0)</f>
        <v>#N/A</v>
      </c>
    </row>
    <row r="159" spans="1:13" s="135" customFormat="1" ht="26.25" customHeight="1" x14ac:dyDescent="0.25">
      <c r="A159" s="166"/>
      <c r="B159" s="171" t="s">
        <v>44</v>
      </c>
      <c r="C159" s="172"/>
      <c r="D159" s="172" t="s">
        <v>45</v>
      </c>
      <c r="E159" s="172"/>
      <c r="F159" s="172"/>
      <c r="G159" s="173">
        <v>26.31</v>
      </c>
      <c r="H159" s="173">
        <v>34.979999999999997</v>
      </c>
      <c r="I159" s="170">
        <f t="shared" ref="I159:I170" si="10">SUM(G159:H159)</f>
        <v>61.289999999999992</v>
      </c>
      <c r="J159" s="174">
        <f>VLOOKUP(B159,работы!$B$5:$F$19,4,0)</f>
        <v>0</v>
      </c>
      <c r="K159" s="174">
        <f t="shared" si="9"/>
        <v>0</v>
      </c>
      <c r="L159" s="172"/>
      <c r="M159" s="270" t="e">
        <f>VLOOKUP(B159,материал!$B$5:$H$67,7,0)</f>
        <v>#N/A</v>
      </c>
    </row>
    <row r="160" spans="1:13" s="135" customFormat="1" ht="26.25" customHeight="1" x14ac:dyDescent="0.25">
      <c r="A160" s="166"/>
      <c r="B160" s="171" t="s">
        <v>102</v>
      </c>
      <c r="C160" s="172"/>
      <c r="D160" s="172" t="s">
        <v>45</v>
      </c>
      <c r="E160" s="172"/>
      <c r="F160" s="172"/>
      <c r="G160" s="173">
        <v>1.72</v>
      </c>
      <c r="H160" s="173">
        <v>2.6</v>
      </c>
      <c r="I160" s="170">
        <f t="shared" si="10"/>
        <v>4.32</v>
      </c>
      <c r="J160" s="174">
        <f>VLOOKUP(B160,работы!$B$5:$F$19,4,0)</f>
        <v>0</v>
      </c>
      <c r="K160" s="174">
        <f t="shared" si="9"/>
        <v>0</v>
      </c>
      <c r="L160" s="172"/>
      <c r="M160" s="270" t="e">
        <f>VLOOKUP(B160,материал!$B$5:$H$67,7,0)</f>
        <v>#N/A</v>
      </c>
    </row>
    <row r="161" spans="1:13" s="135" customFormat="1" ht="26.25" customHeight="1" x14ac:dyDescent="0.25">
      <c r="A161" s="166"/>
      <c r="B161" s="171" t="s">
        <v>46</v>
      </c>
      <c r="C161" s="172"/>
      <c r="D161" s="172" t="s">
        <v>47</v>
      </c>
      <c r="E161" s="172"/>
      <c r="F161" s="172"/>
      <c r="G161" s="173">
        <v>102.26</v>
      </c>
      <c r="H161" s="173">
        <v>178.68</v>
      </c>
      <c r="I161" s="170">
        <f t="shared" si="10"/>
        <v>280.94</v>
      </c>
      <c r="J161" s="174">
        <f>VLOOKUP(B161,работы!$B$5:$F$19,4,0)</f>
        <v>0</v>
      </c>
      <c r="K161" s="174">
        <f t="shared" si="9"/>
        <v>0</v>
      </c>
      <c r="L161" s="172"/>
      <c r="M161" s="270" t="e">
        <f>VLOOKUP(B161,материал!$B$5:$H$67,7,0)</f>
        <v>#N/A</v>
      </c>
    </row>
    <row r="162" spans="1:13" s="135" customFormat="1" ht="26.25" customHeight="1" x14ac:dyDescent="0.25">
      <c r="A162" s="166"/>
      <c r="B162" s="171" t="s">
        <v>48</v>
      </c>
      <c r="C162" s="172"/>
      <c r="D162" s="172" t="s">
        <v>47</v>
      </c>
      <c r="E162" s="172"/>
      <c r="F162" s="172"/>
      <c r="G162" s="173">
        <v>53.68</v>
      </c>
      <c r="H162" s="173">
        <v>110.37</v>
      </c>
      <c r="I162" s="170">
        <f t="shared" si="10"/>
        <v>164.05</v>
      </c>
      <c r="J162" s="174">
        <f>VLOOKUP(B162,работы!$B$5:$F$19,4,0)</f>
        <v>0</v>
      </c>
      <c r="K162" s="174">
        <f t="shared" si="9"/>
        <v>0</v>
      </c>
      <c r="L162" s="172"/>
      <c r="M162" s="270" t="e">
        <f>VLOOKUP(B162,материал!$B$5:$H$67,7,0)</f>
        <v>#N/A</v>
      </c>
    </row>
    <row r="163" spans="1:13" s="135" customFormat="1" ht="26.25" customHeight="1" x14ac:dyDescent="0.25">
      <c r="A163" s="166"/>
      <c r="B163" s="171" t="s">
        <v>103</v>
      </c>
      <c r="C163" s="172"/>
      <c r="D163" s="172" t="s">
        <v>47</v>
      </c>
      <c r="E163" s="172"/>
      <c r="F163" s="172"/>
      <c r="G163" s="173">
        <v>114.29</v>
      </c>
      <c r="H163" s="173">
        <v>184.88</v>
      </c>
      <c r="I163" s="170">
        <f t="shared" si="10"/>
        <v>299.17</v>
      </c>
      <c r="J163" s="174">
        <f>VLOOKUP(B163,работы!$B$5:$F$19,4,0)</f>
        <v>0</v>
      </c>
      <c r="K163" s="174">
        <f t="shared" si="9"/>
        <v>0</v>
      </c>
      <c r="L163" s="172"/>
      <c r="M163" s="270" t="e">
        <f>VLOOKUP(B163,материал!$B$5:$H$67,7,0)</f>
        <v>#N/A</v>
      </c>
    </row>
    <row r="164" spans="1:13" s="135" customFormat="1" ht="26.25" customHeight="1" x14ac:dyDescent="0.25">
      <c r="A164" s="166"/>
      <c r="B164" s="171" t="s">
        <v>104</v>
      </c>
      <c r="C164" s="172"/>
      <c r="D164" s="172" t="s">
        <v>47</v>
      </c>
      <c r="E164" s="172"/>
      <c r="F164" s="172"/>
      <c r="G164" s="173">
        <v>133.18</v>
      </c>
      <c r="H164" s="173">
        <v>189.83</v>
      </c>
      <c r="I164" s="170">
        <f t="shared" si="10"/>
        <v>323.01</v>
      </c>
      <c r="J164" s="174">
        <f>VLOOKUP(B164,работы!$B$5:$F$19,4,0)</f>
        <v>0</v>
      </c>
      <c r="K164" s="174">
        <f t="shared" si="9"/>
        <v>0</v>
      </c>
      <c r="L164" s="172"/>
      <c r="M164" s="270" t="e">
        <f>VLOOKUP(B164,материал!$B$5:$H$67,7,0)</f>
        <v>#N/A</v>
      </c>
    </row>
    <row r="165" spans="1:13" s="135" customFormat="1" ht="26.25" customHeight="1" x14ac:dyDescent="0.25">
      <c r="A165" s="166"/>
      <c r="B165" s="171" t="s">
        <v>49</v>
      </c>
      <c r="C165" s="172"/>
      <c r="D165" s="172" t="s">
        <v>47</v>
      </c>
      <c r="E165" s="172"/>
      <c r="F165" s="172"/>
      <c r="G165" s="173">
        <v>52.46</v>
      </c>
      <c r="H165" s="173">
        <v>38.6</v>
      </c>
      <c r="I165" s="170">
        <f t="shared" si="10"/>
        <v>91.06</v>
      </c>
      <c r="J165" s="174">
        <f>VLOOKUP(B165,работы!$B$5:$F$19,4,0)</f>
        <v>0</v>
      </c>
      <c r="K165" s="174">
        <f t="shared" si="9"/>
        <v>0</v>
      </c>
      <c r="L165" s="172"/>
      <c r="M165" s="270" t="e">
        <f>VLOOKUP(B165,материал!$B$5:$H$67,7,0)</f>
        <v>#N/A</v>
      </c>
    </row>
    <row r="166" spans="1:13" s="135" customFormat="1" ht="26.25" customHeight="1" x14ac:dyDescent="0.25">
      <c r="A166" s="166"/>
      <c r="B166" s="171" t="s">
        <v>50</v>
      </c>
      <c r="C166" s="172"/>
      <c r="D166" s="172" t="s">
        <v>51</v>
      </c>
      <c r="E166" s="172"/>
      <c r="F166" s="172"/>
      <c r="G166" s="173">
        <v>71</v>
      </c>
      <c r="H166" s="173">
        <v>94</v>
      </c>
      <c r="I166" s="170">
        <f t="shared" si="10"/>
        <v>165</v>
      </c>
      <c r="J166" s="174">
        <f>VLOOKUP(B166,работы!$B$5:$F$19,4,0)</f>
        <v>0</v>
      </c>
      <c r="K166" s="174">
        <f t="shared" si="9"/>
        <v>0</v>
      </c>
      <c r="L166" s="172"/>
      <c r="M166" s="270" t="e">
        <f>VLOOKUP(B166,материал!$B$5:$H$67,7,0)</f>
        <v>#N/A</v>
      </c>
    </row>
    <row r="167" spans="1:13" s="135" customFormat="1" ht="26.25" customHeight="1" x14ac:dyDescent="0.25">
      <c r="A167" s="166"/>
      <c r="B167" s="171" t="s">
        <v>52</v>
      </c>
      <c r="C167" s="172" t="s">
        <v>105</v>
      </c>
      <c r="D167" s="172" t="s">
        <v>54</v>
      </c>
      <c r="E167" s="172"/>
      <c r="F167" s="172"/>
      <c r="G167" s="173">
        <v>99.09</v>
      </c>
      <c r="H167" s="173">
        <v>79.66</v>
      </c>
      <c r="I167" s="170">
        <f t="shared" si="10"/>
        <v>178.75</v>
      </c>
      <c r="J167" s="174">
        <f>VLOOKUP(B167,работы!$B$5:$F$19,4,0)</f>
        <v>0</v>
      </c>
      <c r="K167" s="174">
        <f t="shared" si="9"/>
        <v>0</v>
      </c>
      <c r="L167" s="172"/>
      <c r="M167" s="270" t="e">
        <f>VLOOKUP(B167,материал!$B$5:$H$67,7,0)</f>
        <v>#N/A</v>
      </c>
    </row>
    <row r="168" spans="1:13" s="135" customFormat="1" ht="25.5" x14ac:dyDescent="0.25">
      <c r="A168" s="166"/>
      <c r="B168" s="171" t="s">
        <v>55</v>
      </c>
      <c r="C168" s="172"/>
      <c r="D168" s="172" t="s">
        <v>54</v>
      </c>
      <c r="E168" s="172"/>
      <c r="F168" s="172"/>
      <c r="G168" s="173">
        <v>31.05</v>
      </c>
      <c r="H168" s="173">
        <v>44.59</v>
      </c>
      <c r="I168" s="170">
        <f t="shared" si="10"/>
        <v>75.64</v>
      </c>
      <c r="J168" s="174">
        <f>VLOOKUP(B168,работы!$B$5:$F$19,4,0)</f>
        <v>0</v>
      </c>
      <c r="K168" s="174">
        <f t="shared" si="9"/>
        <v>0</v>
      </c>
      <c r="L168" s="172"/>
      <c r="M168" s="270" t="e">
        <f>VLOOKUP(B168,материал!$B$5:$H$67,7,0)</f>
        <v>#N/A</v>
      </c>
    </row>
    <row r="169" spans="1:13" s="135" customFormat="1" ht="21" customHeight="1" x14ac:dyDescent="0.25">
      <c r="A169" s="166"/>
      <c r="B169" s="171" t="s">
        <v>256</v>
      </c>
      <c r="C169" s="172"/>
      <c r="D169" s="172" t="s">
        <v>47</v>
      </c>
      <c r="E169" s="172"/>
      <c r="F169" s="172"/>
      <c r="G169" s="173">
        <f>11.4*2.82</f>
        <v>32.147999999999996</v>
      </c>
      <c r="H169" s="173"/>
      <c r="I169" s="170">
        <f t="shared" si="10"/>
        <v>32.147999999999996</v>
      </c>
      <c r="J169" s="174">
        <f>VLOOKUP(B169,работы!$B$5:$F$19,4,0)</f>
        <v>0</v>
      </c>
      <c r="K169" s="174">
        <f t="shared" si="9"/>
        <v>0</v>
      </c>
      <c r="L169" s="172"/>
      <c r="M169" s="270" t="e">
        <f>VLOOKUP(B169,материал!$B$5:$H$67,7,0)</f>
        <v>#N/A</v>
      </c>
    </row>
    <row r="170" spans="1:13" s="135" customFormat="1" ht="21" customHeight="1" x14ac:dyDescent="0.25">
      <c r="A170" s="166"/>
      <c r="B170" s="187" t="s">
        <v>56</v>
      </c>
      <c r="C170" s="188"/>
      <c r="D170" s="188" t="s">
        <v>45</v>
      </c>
      <c r="E170" s="188"/>
      <c r="F170" s="188"/>
      <c r="G170" s="173">
        <f>255.08*0.06*0.03</f>
        <v>0.459144</v>
      </c>
      <c r="H170" s="173">
        <f>366.31*0.06*0.03</f>
        <v>0.659358</v>
      </c>
      <c r="I170" s="170">
        <f t="shared" si="10"/>
        <v>1.1185019999999999</v>
      </c>
      <c r="J170" s="174"/>
      <c r="K170" s="174"/>
      <c r="L170" s="188" t="s">
        <v>57</v>
      </c>
      <c r="M170" s="270" t="e">
        <f>VLOOKUP(B170,материал!$B$5:$H$67,7,0)</f>
        <v>#N/A</v>
      </c>
    </row>
    <row r="171" spans="1:13" s="135" customFormat="1" x14ac:dyDescent="0.25">
      <c r="A171" s="175"/>
      <c r="B171" s="176" t="s">
        <v>38</v>
      </c>
      <c r="C171" s="177"/>
      <c r="D171" s="177"/>
      <c r="E171" s="177"/>
      <c r="F171" s="177"/>
      <c r="G171" s="178"/>
      <c r="H171" s="178"/>
      <c r="I171" s="179"/>
      <c r="J171" s="180"/>
      <c r="K171" s="179">
        <f ca="1">SUM(K172:K206)</f>
        <v>0</v>
      </c>
      <c r="L171" s="177"/>
      <c r="M171" s="271"/>
    </row>
    <row r="172" spans="1:13" s="135" customFormat="1" ht="25.5" x14ac:dyDescent="0.25">
      <c r="A172" s="181"/>
      <c r="B172" s="182" t="s">
        <v>58</v>
      </c>
      <c r="C172" s="177" t="s">
        <v>59</v>
      </c>
      <c r="D172" s="177" t="s">
        <v>60</v>
      </c>
      <c r="E172" s="178">
        <v>12.4</v>
      </c>
      <c r="F172" s="177">
        <v>0.25</v>
      </c>
      <c r="G172" s="183">
        <f>G159/F172*E172</f>
        <v>1304.9759999999999</v>
      </c>
      <c r="H172" s="183">
        <f>H159/F172*E172</f>
        <v>1735.0079999999998</v>
      </c>
      <c r="I172" s="184">
        <f t="shared" ref="I172:I205" si="11">SUM(G172:H172)</f>
        <v>3039.9839999999995</v>
      </c>
      <c r="J172" s="180">
        <f>VLOOKUP(B172,материал!$B$5:$G$67,5,0)</f>
        <v>0</v>
      </c>
      <c r="K172" s="180">
        <f t="shared" si="9"/>
        <v>0</v>
      </c>
      <c r="L172" s="177" t="s">
        <v>61</v>
      </c>
      <c r="M172" s="271" t="str">
        <f>VLOOKUP(B172,материал!$B$5:$H$67,7,0)</f>
        <v>Давальческий материал</v>
      </c>
    </row>
    <row r="173" spans="1:13" s="135" customFormat="1" ht="25.5" x14ac:dyDescent="0.25">
      <c r="A173" s="181"/>
      <c r="B173" s="182" t="s">
        <v>62</v>
      </c>
      <c r="C173" s="177" t="s">
        <v>63</v>
      </c>
      <c r="D173" s="177" t="s">
        <v>60</v>
      </c>
      <c r="E173" s="178">
        <v>12.4</v>
      </c>
      <c r="F173" s="177"/>
      <c r="G173" s="183">
        <f>G161*E173</f>
        <v>1268.0240000000001</v>
      </c>
      <c r="H173" s="183">
        <f>H161*E173</f>
        <v>2215.6320000000001</v>
      </c>
      <c r="I173" s="184">
        <f t="shared" si="11"/>
        <v>3483.6559999999999</v>
      </c>
      <c r="J173" s="180">
        <f>VLOOKUP(B173,материал!$B$5:$G$67,5,0)</f>
        <v>0</v>
      </c>
      <c r="K173" s="180">
        <f t="shared" si="9"/>
        <v>0</v>
      </c>
      <c r="L173" s="177" t="s">
        <v>61</v>
      </c>
      <c r="M173" s="271" t="str">
        <f>VLOOKUP(B173,материал!$B$5:$H$67,7,0)</f>
        <v>Давальческий материал</v>
      </c>
    </row>
    <row r="174" spans="1:13" s="135" customFormat="1" ht="25.5" x14ac:dyDescent="0.25">
      <c r="A174" s="181"/>
      <c r="B174" s="182" t="s">
        <v>64</v>
      </c>
      <c r="C174" s="177" t="s">
        <v>65</v>
      </c>
      <c r="D174" s="177" t="s">
        <v>60</v>
      </c>
      <c r="E174" s="178">
        <v>12.4</v>
      </c>
      <c r="F174" s="177"/>
      <c r="G174" s="183">
        <f>G162*E174</f>
        <v>665.63200000000006</v>
      </c>
      <c r="H174" s="183">
        <f>H162*E174</f>
        <v>1368.5880000000002</v>
      </c>
      <c r="I174" s="184">
        <f t="shared" si="11"/>
        <v>2034.2200000000003</v>
      </c>
      <c r="J174" s="180">
        <f>VLOOKUP(B174,материал!$B$5:$G$67,5,0)</f>
        <v>0</v>
      </c>
      <c r="K174" s="180">
        <f t="shared" si="9"/>
        <v>0</v>
      </c>
      <c r="L174" s="177" t="s">
        <v>61</v>
      </c>
      <c r="M174" s="271" t="str">
        <f>VLOOKUP(B174,материал!$B$5:$H$67,7,0)</f>
        <v>Давальческий материал</v>
      </c>
    </row>
    <row r="175" spans="1:13" s="135" customFormat="1" ht="25.5" x14ac:dyDescent="0.25">
      <c r="A175" s="181"/>
      <c r="B175" s="182" t="s">
        <v>106</v>
      </c>
      <c r="C175" s="177" t="s">
        <v>107</v>
      </c>
      <c r="D175" s="177" t="s">
        <v>60</v>
      </c>
      <c r="E175" s="178">
        <v>12.4</v>
      </c>
      <c r="F175" s="177"/>
      <c r="G175" s="183">
        <f>G163*E175</f>
        <v>1417.1960000000001</v>
      </c>
      <c r="H175" s="183">
        <f>H163*E175</f>
        <v>2292.5120000000002</v>
      </c>
      <c r="I175" s="184">
        <f t="shared" si="11"/>
        <v>3709.7080000000005</v>
      </c>
      <c r="J175" s="180">
        <f>VLOOKUP(B175,материал!$B$5:$G$67,5,0)</f>
        <v>0</v>
      </c>
      <c r="K175" s="180">
        <f t="shared" si="9"/>
        <v>0</v>
      </c>
      <c r="L175" s="177" t="s">
        <v>61</v>
      </c>
      <c r="M175" s="271" t="str">
        <f>VLOOKUP(B175,материал!$B$5:$H$67,7,0)</f>
        <v>Давальческий материал</v>
      </c>
    </row>
    <row r="176" spans="1:13" s="135" customFormat="1" ht="25.5" x14ac:dyDescent="0.25">
      <c r="A176" s="181"/>
      <c r="B176" s="182" t="s">
        <v>108</v>
      </c>
      <c r="C176" s="177" t="s">
        <v>109</v>
      </c>
      <c r="D176" s="177" t="s">
        <v>60</v>
      </c>
      <c r="E176" s="178">
        <v>12.4</v>
      </c>
      <c r="F176" s="177"/>
      <c r="G176" s="183">
        <f>G164*E176</f>
        <v>1651.4320000000002</v>
      </c>
      <c r="H176" s="183">
        <f>H164*E176</f>
        <v>2353.8920000000003</v>
      </c>
      <c r="I176" s="184">
        <f t="shared" si="11"/>
        <v>4005.3240000000005</v>
      </c>
      <c r="J176" s="180">
        <f>VLOOKUP(B176,материал!$B$5:$G$67,5,0)</f>
        <v>0</v>
      </c>
      <c r="K176" s="180">
        <f t="shared" si="9"/>
        <v>0</v>
      </c>
      <c r="L176" s="177" t="s">
        <v>61</v>
      </c>
      <c r="M176" s="271" t="str">
        <f>VLOOKUP(B176,материал!$B$5:$H$67,7,0)</f>
        <v>Давальческий материал</v>
      </c>
    </row>
    <row r="177" spans="1:13" s="135" customFormat="1" ht="38.25" x14ac:dyDescent="0.25">
      <c r="A177" s="181"/>
      <c r="B177" s="189" t="s">
        <v>66</v>
      </c>
      <c r="C177" s="177" t="s">
        <v>67</v>
      </c>
      <c r="D177" s="177" t="s">
        <v>60</v>
      </c>
      <c r="E177" s="190">
        <v>42</v>
      </c>
      <c r="F177" s="190"/>
      <c r="G177" s="183">
        <f>G165*E177</f>
        <v>2203.3200000000002</v>
      </c>
      <c r="H177" s="183">
        <f>H165*E177</f>
        <v>1621.2</v>
      </c>
      <c r="I177" s="184">
        <f t="shared" si="11"/>
        <v>3824.5200000000004</v>
      </c>
      <c r="J177" s="180">
        <f>VLOOKUP(B177,материал!$B$5:$G$67,5,0)</f>
        <v>0</v>
      </c>
      <c r="K177" s="180">
        <f t="shared" si="9"/>
        <v>0</v>
      </c>
      <c r="L177" s="177" t="s">
        <v>68</v>
      </c>
      <c r="M177" s="271" t="str">
        <f>VLOOKUP(B177,материал!$B$5:$H$67,7,0)</f>
        <v>Давальческий материал</v>
      </c>
    </row>
    <row r="178" spans="1:13" s="135" customFormat="1" ht="38.25" x14ac:dyDescent="0.25">
      <c r="A178" s="181"/>
      <c r="B178" s="189" t="s">
        <v>110</v>
      </c>
      <c r="C178" s="177" t="s">
        <v>111</v>
      </c>
      <c r="D178" s="177" t="s">
        <v>60</v>
      </c>
      <c r="E178" s="190">
        <v>42</v>
      </c>
      <c r="F178" s="190"/>
      <c r="G178" s="183">
        <f>G160/0.25*E178</f>
        <v>288.95999999999998</v>
      </c>
      <c r="H178" s="183">
        <f>H160/0.25*E178</f>
        <v>436.8</v>
      </c>
      <c r="I178" s="184">
        <f t="shared" si="11"/>
        <v>725.76</v>
      </c>
      <c r="J178" s="180">
        <f>VLOOKUP(B178,материал!$B$5:$G$67,5,0)</f>
        <v>0</v>
      </c>
      <c r="K178" s="180">
        <f t="shared" si="9"/>
        <v>0</v>
      </c>
      <c r="L178" s="177" t="s">
        <v>68</v>
      </c>
      <c r="M178" s="271" t="str">
        <f>VLOOKUP(B178,материал!$B$5:$H$67,7,0)</f>
        <v>Давальческий материал</v>
      </c>
    </row>
    <row r="179" spans="1:13" s="135" customFormat="1" ht="12.75" customHeight="1" x14ac:dyDescent="0.25">
      <c r="A179" s="181"/>
      <c r="B179" s="191" t="s">
        <v>69</v>
      </c>
      <c r="C179" s="177" t="s">
        <v>70</v>
      </c>
      <c r="D179" s="177" t="s">
        <v>45</v>
      </c>
      <c r="E179" s="177">
        <v>0.19500000000000001</v>
      </c>
      <c r="F179" s="190"/>
      <c r="G179" s="178">
        <f>G159*E179+G161*E179*0.19+G162*E179*0.19+G163*E179*0.09+G164*E179*0.09</f>
        <v>15.251125500000001</v>
      </c>
      <c r="H179" s="178">
        <f>H159*E179+H161*E179*0.19+H162*E179*0.19+H163*E179*0.09+H164*E179*0.09</f>
        <v>24.106563000000001</v>
      </c>
      <c r="I179" s="179">
        <f t="shared" si="11"/>
        <v>39.357688500000002</v>
      </c>
      <c r="J179" s="180">
        <f>VLOOKUP(B179,материал!$B$5:$G$67,5,0)</f>
        <v>0</v>
      </c>
      <c r="K179" s="180">
        <f t="shared" si="9"/>
        <v>0</v>
      </c>
      <c r="L179" s="177" t="s">
        <v>71</v>
      </c>
      <c r="M179" s="271" t="str">
        <f>VLOOKUP(B179,материал!$B$5:$H$67,7,0)</f>
        <v>Закуп подярдчика</v>
      </c>
    </row>
    <row r="180" spans="1:13" s="135" customFormat="1" ht="12.75" customHeight="1" x14ac:dyDescent="0.25">
      <c r="A180" s="192"/>
      <c r="B180" s="191" t="s">
        <v>112</v>
      </c>
      <c r="C180" s="177" t="s">
        <v>70</v>
      </c>
      <c r="D180" s="177" t="s">
        <v>45</v>
      </c>
      <c r="E180" s="177">
        <v>0.24</v>
      </c>
      <c r="F180" s="177"/>
      <c r="G180" s="178">
        <f>G160*E180</f>
        <v>0.4128</v>
      </c>
      <c r="H180" s="178">
        <f>H160*E180</f>
        <v>0.624</v>
      </c>
      <c r="I180" s="179">
        <f t="shared" si="11"/>
        <v>1.0367999999999999</v>
      </c>
      <c r="J180" s="180">
        <f>VLOOKUP(B180,материал!$B$5:$G$67,5,0)</f>
        <v>0</v>
      </c>
      <c r="K180" s="180">
        <f t="shared" si="9"/>
        <v>0</v>
      </c>
      <c r="L180" s="177" t="s">
        <v>71</v>
      </c>
      <c r="M180" s="271" t="str">
        <f>VLOOKUP(B180,материал!$B$5:$H$67,7,0)</f>
        <v>Закуп подярдчика</v>
      </c>
    </row>
    <row r="181" spans="1:13" s="135" customFormat="1" ht="33.75" customHeight="1" x14ac:dyDescent="0.25">
      <c r="A181" s="192"/>
      <c r="B181" s="191" t="s">
        <v>72</v>
      </c>
      <c r="C181" s="177" t="s">
        <v>70</v>
      </c>
      <c r="D181" s="177" t="s">
        <v>45</v>
      </c>
      <c r="E181" s="177">
        <v>4.5999999999999999E-2</v>
      </c>
      <c r="F181" s="177"/>
      <c r="G181" s="178">
        <f>G165*E181</f>
        <v>2.41316</v>
      </c>
      <c r="H181" s="178">
        <f>H165*E181</f>
        <v>1.7756000000000001</v>
      </c>
      <c r="I181" s="179">
        <f t="shared" si="11"/>
        <v>4.1887600000000003</v>
      </c>
      <c r="J181" s="180">
        <f>VLOOKUP(B181,материал!$B$5:$G$67,5,0)</f>
        <v>0</v>
      </c>
      <c r="K181" s="180">
        <f t="shared" si="9"/>
        <v>0</v>
      </c>
      <c r="L181" s="177" t="s">
        <v>73</v>
      </c>
      <c r="M181" s="271" t="str">
        <f>VLOOKUP(B181,материал!$B$5:$H$67,7,0)</f>
        <v>Закуп подярдчика</v>
      </c>
    </row>
    <row r="182" spans="1:13" s="135" customFormat="1" ht="12.75" customHeight="1" x14ac:dyDescent="0.25">
      <c r="A182" s="192"/>
      <c r="B182" s="191" t="s">
        <v>74</v>
      </c>
      <c r="C182" s="177" t="s">
        <v>70</v>
      </c>
      <c r="D182" s="177" t="s">
        <v>45</v>
      </c>
      <c r="E182" s="177">
        <v>1.01</v>
      </c>
      <c r="F182" s="177"/>
      <c r="G182" s="178">
        <f>G170*E182</f>
        <v>0.46373544</v>
      </c>
      <c r="H182" s="178">
        <f>H170*E182</f>
        <v>0.66595157999999999</v>
      </c>
      <c r="I182" s="179">
        <f t="shared" si="11"/>
        <v>1.12968702</v>
      </c>
      <c r="J182" s="180">
        <f>VLOOKUP(B182,материал!$B$5:$G$67,5,0)</f>
        <v>0</v>
      </c>
      <c r="K182" s="180">
        <f t="shared" si="9"/>
        <v>0</v>
      </c>
      <c r="L182" s="177" t="s">
        <v>71</v>
      </c>
      <c r="M182" s="271" t="str">
        <f>VLOOKUP(B182,материал!$B$5:$H$67,7,0)</f>
        <v>Закуп подярдчика</v>
      </c>
    </row>
    <row r="183" spans="1:13" s="135" customFormat="1" ht="33.75" customHeight="1" x14ac:dyDescent="0.25">
      <c r="A183" s="181"/>
      <c r="B183" s="189" t="s">
        <v>75</v>
      </c>
      <c r="C183" s="177" t="s">
        <v>70</v>
      </c>
      <c r="D183" s="177" t="s">
        <v>45</v>
      </c>
      <c r="E183" s="177">
        <v>6.0000000000000001E-3</v>
      </c>
      <c r="F183" s="177"/>
      <c r="G183" s="178">
        <f>G166*E183</f>
        <v>0.42599999999999999</v>
      </c>
      <c r="H183" s="178">
        <f>H166*E183</f>
        <v>0.56400000000000006</v>
      </c>
      <c r="I183" s="179">
        <f t="shared" si="11"/>
        <v>0.99</v>
      </c>
      <c r="J183" s="180">
        <f>VLOOKUP(B183,материал!$B$5:$G$67,5,0)</f>
        <v>0</v>
      </c>
      <c r="K183" s="180">
        <f t="shared" si="9"/>
        <v>0</v>
      </c>
      <c r="L183" s="177" t="s">
        <v>76</v>
      </c>
      <c r="M183" s="271" t="str">
        <f>VLOOKUP(B183,материал!$B$5:$H$67,7,0)</f>
        <v>Закуп подярдчика</v>
      </c>
    </row>
    <row r="184" spans="1:13" s="135" customFormat="1" ht="12.75" customHeight="1" x14ac:dyDescent="0.25">
      <c r="A184" s="181"/>
      <c r="B184" s="189" t="s">
        <v>77</v>
      </c>
      <c r="C184" s="177" t="s">
        <v>70</v>
      </c>
      <c r="D184" s="177" t="s">
        <v>45</v>
      </c>
      <c r="E184" s="177">
        <v>1.01</v>
      </c>
      <c r="F184" s="177"/>
      <c r="G184" s="193">
        <v>5.3999999999999999E-2</v>
      </c>
      <c r="H184" s="193">
        <v>8.6999999999999994E-2</v>
      </c>
      <c r="I184" s="179">
        <f t="shared" si="11"/>
        <v>0.14099999999999999</v>
      </c>
      <c r="J184" s="180">
        <f>VLOOKUP(B184,материал!$B$5:$G$67,5,0)</f>
        <v>0</v>
      </c>
      <c r="K184" s="180">
        <f t="shared" si="9"/>
        <v>0</v>
      </c>
      <c r="L184" s="194"/>
      <c r="M184" s="271" t="str">
        <f>VLOOKUP(B184,материал!$B$5:$H$67,7,0)</f>
        <v>Закуп подярдчика</v>
      </c>
    </row>
    <row r="185" spans="1:13" s="135" customFormat="1" ht="29.25" customHeight="1" x14ac:dyDescent="0.25">
      <c r="A185" s="181"/>
      <c r="B185" s="189" t="s">
        <v>78</v>
      </c>
      <c r="C185" s="177" t="s">
        <v>79</v>
      </c>
      <c r="D185" s="177" t="s">
        <v>47</v>
      </c>
      <c r="E185" s="177"/>
      <c r="F185" s="177"/>
      <c r="G185" s="178">
        <v>153.38</v>
      </c>
      <c r="H185" s="178">
        <v>226.65</v>
      </c>
      <c r="I185" s="179">
        <f t="shared" si="11"/>
        <v>380.03</v>
      </c>
      <c r="J185" s="180">
        <f>VLOOKUP(B185,материал!$B$5:$G$67,5,0)</f>
        <v>0</v>
      </c>
      <c r="K185" s="180">
        <f t="shared" si="9"/>
        <v>0</v>
      </c>
      <c r="L185" s="194"/>
      <c r="M185" s="271" t="str">
        <f>VLOOKUP(B185,материал!$B$5:$H$67,7,0)</f>
        <v>Закуп подярдчика</v>
      </c>
    </row>
    <row r="186" spans="1:13" s="135" customFormat="1" ht="29.25" customHeight="1" x14ac:dyDescent="0.25">
      <c r="A186" s="181"/>
      <c r="B186" s="189" t="s">
        <v>277</v>
      </c>
      <c r="C186" s="177" t="s">
        <v>114</v>
      </c>
      <c r="D186" s="177" t="s">
        <v>60</v>
      </c>
      <c r="E186" s="177"/>
      <c r="F186" s="177"/>
      <c r="G186" s="178">
        <v>18</v>
      </c>
      <c r="H186" s="178">
        <v>14</v>
      </c>
      <c r="I186" s="179">
        <f t="shared" si="11"/>
        <v>32</v>
      </c>
      <c r="J186" s="180">
        <f>VLOOKUP(B186,материал!$B$5:$G$67,5,0)</f>
        <v>0</v>
      </c>
      <c r="K186" s="180">
        <f t="shared" si="9"/>
        <v>0</v>
      </c>
      <c r="L186" s="194"/>
      <c r="M186" s="271" t="str">
        <f>VLOOKUP(B186,материал!$B$5:$H$67,7,0)</f>
        <v>Закуп подярдчика</v>
      </c>
    </row>
    <row r="187" spans="1:13" s="135" customFormat="1" ht="29.25" customHeight="1" x14ac:dyDescent="0.25">
      <c r="A187" s="181"/>
      <c r="B187" s="189" t="s">
        <v>278</v>
      </c>
      <c r="C187" s="177" t="s">
        <v>116</v>
      </c>
      <c r="D187" s="177" t="s">
        <v>60</v>
      </c>
      <c r="E187" s="177"/>
      <c r="F187" s="177"/>
      <c r="G187" s="178">
        <v>1</v>
      </c>
      <c r="H187" s="178">
        <v>10</v>
      </c>
      <c r="I187" s="179">
        <f t="shared" si="11"/>
        <v>11</v>
      </c>
      <c r="J187" s="180">
        <f>VLOOKUP(B187,материал!$B$5:$G$67,5,0)</f>
        <v>0</v>
      </c>
      <c r="K187" s="180">
        <f t="shared" si="9"/>
        <v>0</v>
      </c>
      <c r="L187" s="194"/>
      <c r="M187" s="271" t="str">
        <f>VLOOKUP(B187,материал!$B$5:$H$67,7,0)</f>
        <v>Закуп подярдчика</v>
      </c>
    </row>
    <row r="188" spans="1:13" s="135" customFormat="1" ht="29.25" customHeight="1" x14ac:dyDescent="0.25">
      <c r="A188" s="181"/>
      <c r="B188" s="189" t="s">
        <v>279</v>
      </c>
      <c r="C188" s="177" t="s">
        <v>282</v>
      </c>
      <c r="D188" s="177" t="s">
        <v>60</v>
      </c>
      <c r="E188" s="177"/>
      <c r="F188" s="177"/>
      <c r="G188" s="178"/>
      <c r="H188" s="178">
        <v>4</v>
      </c>
      <c r="I188" s="179">
        <f t="shared" si="11"/>
        <v>4</v>
      </c>
      <c r="J188" s="180">
        <f>VLOOKUP(B188,материал!$B$5:$G$67,5,0)</f>
        <v>0</v>
      </c>
      <c r="K188" s="180">
        <f t="shared" si="9"/>
        <v>0</v>
      </c>
      <c r="L188" s="194"/>
      <c r="M188" s="271" t="str">
        <f>VLOOKUP(B188,материал!$B$5:$H$67,7,0)</f>
        <v>Закуп подярдчика</v>
      </c>
    </row>
    <row r="189" spans="1:13" s="135" customFormat="1" ht="29.25" customHeight="1" x14ac:dyDescent="0.25">
      <c r="A189" s="181"/>
      <c r="B189" s="189" t="s">
        <v>281</v>
      </c>
      <c r="C189" s="177" t="s">
        <v>284</v>
      </c>
      <c r="D189" s="177" t="s">
        <v>60</v>
      </c>
      <c r="E189" s="177"/>
      <c r="F189" s="177"/>
      <c r="G189" s="178">
        <v>9</v>
      </c>
      <c r="H189" s="178">
        <v>4</v>
      </c>
      <c r="I189" s="179">
        <f t="shared" si="11"/>
        <v>13</v>
      </c>
      <c r="J189" s="180">
        <f>VLOOKUP(B189,материал!$B$5:$G$67,5,0)</f>
        <v>0</v>
      </c>
      <c r="K189" s="180">
        <f t="shared" si="9"/>
        <v>0</v>
      </c>
      <c r="L189" s="194"/>
      <c r="M189" s="271" t="str">
        <f>VLOOKUP(B189,материал!$B$5:$H$67,7,0)</f>
        <v>Закуп подярдчика</v>
      </c>
    </row>
    <row r="190" spans="1:13" s="135" customFormat="1" ht="29.25" customHeight="1" x14ac:dyDescent="0.25">
      <c r="A190" s="181"/>
      <c r="B190" s="189" t="s">
        <v>283</v>
      </c>
      <c r="C190" s="177" t="s">
        <v>286</v>
      </c>
      <c r="D190" s="177" t="s">
        <v>60</v>
      </c>
      <c r="E190" s="177"/>
      <c r="F190" s="177"/>
      <c r="G190" s="178">
        <v>1</v>
      </c>
      <c r="H190" s="178">
        <v>1</v>
      </c>
      <c r="I190" s="179">
        <f t="shared" si="11"/>
        <v>2</v>
      </c>
      <c r="J190" s="180">
        <f>VLOOKUP(B190,материал!$B$5:$G$67,5,0)</f>
        <v>0</v>
      </c>
      <c r="K190" s="180">
        <f t="shared" si="9"/>
        <v>0</v>
      </c>
      <c r="L190" s="194"/>
      <c r="M190" s="271" t="str">
        <f>VLOOKUP(B190,материал!$B$5:$H$67,7,0)</f>
        <v>Закуп подярдчика</v>
      </c>
    </row>
    <row r="191" spans="1:13" s="135" customFormat="1" ht="29.25" customHeight="1" x14ac:dyDescent="0.25">
      <c r="A191" s="181"/>
      <c r="B191" s="189" t="s">
        <v>285</v>
      </c>
      <c r="C191" s="177" t="s">
        <v>288</v>
      </c>
      <c r="D191" s="177" t="s">
        <v>60</v>
      </c>
      <c r="E191" s="177"/>
      <c r="F191" s="177"/>
      <c r="G191" s="178">
        <v>1</v>
      </c>
      <c r="H191" s="178">
        <v>1</v>
      </c>
      <c r="I191" s="179">
        <f t="shared" si="11"/>
        <v>2</v>
      </c>
      <c r="J191" s="180">
        <f>VLOOKUP(B191,материал!$B$5:$G$67,5,0)</f>
        <v>0</v>
      </c>
      <c r="K191" s="180">
        <f t="shared" si="9"/>
        <v>0</v>
      </c>
      <c r="L191" s="194"/>
      <c r="M191" s="271" t="str">
        <f>VLOOKUP(B191,материал!$B$5:$H$67,7,0)</f>
        <v>Закуп подярдчика</v>
      </c>
    </row>
    <row r="192" spans="1:13" s="135" customFormat="1" ht="29.25" customHeight="1" x14ac:dyDescent="0.25">
      <c r="A192" s="181"/>
      <c r="B192" s="189" t="s">
        <v>287</v>
      </c>
      <c r="C192" s="177" t="s">
        <v>290</v>
      </c>
      <c r="D192" s="177" t="s">
        <v>60</v>
      </c>
      <c r="E192" s="177"/>
      <c r="F192" s="177"/>
      <c r="G192" s="178">
        <v>6</v>
      </c>
      <c r="H192" s="178">
        <v>4</v>
      </c>
      <c r="I192" s="179">
        <f t="shared" si="11"/>
        <v>10</v>
      </c>
      <c r="J192" s="180">
        <f>VLOOKUP(B192,материал!$B$5:$G$67,5,0)</f>
        <v>0</v>
      </c>
      <c r="K192" s="180">
        <f t="shared" si="9"/>
        <v>0</v>
      </c>
      <c r="L192" s="194"/>
      <c r="M192" s="271" t="str">
        <f>VLOOKUP(B192,материал!$B$5:$H$67,7,0)</f>
        <v>Закуп подярдчика</v>
      </c>
    </row>
    <row r="193" spans="1:13" s="135" customFormat="1" ht="29.25" customHeight="1" x14ac:dyDescent="0.25">
      <c r="A193" s="181"/>
      <c r="B193" s="189" t="s">
        <v>289</v>
      </c>
      <c r="C193" s="177" t="s">
        <v>292</v>
      </c>
      <c r="D193" s="177" t="s">
        <v>60</v>
      </c>
      <c r="E193" s="177"/>
      <c r="F193" s="177"/>
      <c r="G193" s="178">
        <v>20</v>
      </c>
      <c r="H193" s="178">
        <v>26</v>
      </c>
      <c r="I193" s="179">
        <f t="shared" si="11"/>
        <v>46</v>
      </c>
      <c r="J193" s="180">
        <f>VLOOKUP(B193,материал!$B$5:$G$67,5,0)</f>
        <v>0</v>
      </c>
      <c r="K193" s="180">
        <f t="shared" si="9"/>
        <v>0</v>
      </c>
      <c r="L193" s="194"/>
      <c r="M193" s="271" t="str">
        <f>VLOOKUP(B193,материал!$B$5:$H$67,7,0)</f>
        <v>Закуп подярдчика</v>
      </c>
    </row>
    <row r="194" spans="1:13" s="135" customFormat="1" ht="29.25" customHeight="1" x14ac:dyDescent="0.25">
      <c r="A194" s="181"/>
      <c r="B194" s="189" t="s">
        <v>291</v>
      </c>
      <c r="C194" s="177" t="s">
        <v>294</v>
      </c>
      <c r="D194" s="177" t="s">
        <v>60</v>
      </c>
      <c r="E194" s="177"/>
      <c r="F194" s="177"/>
      <c r="G194" s="178">
        <v>2</v>
      </c>
      <c r="H194" s="178">
        <v>18</v>
      </c>
      <c r="I194" s="179">
        <f t="shared" si="11"/>
        <v>20</v>
      </c>
      <c r="J194" s="180">
        <f>VLOOKUP(B194,материал!$B$5:$G$67,5,0)</f>
        <v>0</v>
      </c>
      <c r="K194" s="180">
        <f t="shared" si="9"/>
        <v>0</v>
      </c>
      <c r="L194" s="194"/>
      <c r="M194" s="271" t="str">
        <f>VLOOKUP(B194,материал!$B$5:$H$67,7,0)</f>
        <v>Закуп подярдчика</v>
      </c>
    </row>
    <row r="195" spans="1:13" s="135" customFormat="1" ht="29.25" customHeight="1" x14ac:dyDescent="0.25">
      <c r="A195" s="181"/>
      <c r="B195" s="189" t="s">
        <v>313</v>
      </c>
      <c r="C195" s="177" t="s">
        <v>296</v>
      </c>
      <c r="D195" s="177" t="s">
        <v>60</v>
      </c>
      <c r="E195" s="177"/>
      <c r="F195" s="177"/>
      <c r="G195" s="178">
        <v>4</v>
      </c>
      <c r="H195" s="178"/>
      <c r="I195" s="179">
        <f t="shared" si="11"/>
        <v>4</v>
      </c>
      <c r="J195" s="180">
        <f>VLOOKUP(B195,материал!$B$5:$G$67,5,0)</f>
        <v>0</v>
      </c>
      <c r="K195" s="180">
        <f t="shared" si="9"/>
        <v>0</v>
      </c>
      <c r="L195" s="194"/>
      <c r="M195" s="271" t="str">
        <f>VLOOKUP(B195,материал!$B$5:$H$67,7,0)</f>
        <v>Закуп подярдчика</v>
      </c>
    </row>
    <row r="196" spans="1:13" s="135" customFormat="1" ht="29.25" customHeight="1" x14ac:dyDescent="0.25">
      <c r="A196" s="181"/>
      <c r="B196" s="189" t="s">
        <v>293</v>
      </c>
      <c r="C196" s="177" t="s">
        <v>314</v>
      </c>
      <c r="D196" s="177" t="s">
        <v>60</v>
      </c>
      <c r="E196" s="177"/>
      <c r="F196" s="177"/>
      <c r="G196" s="178">
        <v>4</v>
      </c>
      <c r="H196" s="178"/>
      <c r="I196" s="179">
        <f t="shared" si="11"/>
        <v>4</v>
      </c>
      <c r="J196" s="180">
        <f>VLOOKUP(B196,материал!$B$5:$G$67,5,0)</f>
        <v>0</v>
      </c>
      <c r="K196" s="180">
        <f t="shared" si="9"/>
        <v>0</v>
      </c>
      <c r="L196" s="194"/>
      <c r="M196" s="271" t="str">
        <f>VLOOKUP(B196,материал!$B$5:$H$67,7,0)</f>
        <v>Закуп подярдчика</v>
      </c>
    </row>
    <row r="197" spans="1:13" s="135" customFormat="1" ht="29.25" customHeight="1" x14ac:dyDescent="0.25">
      <c r="A197" s="181"/>
      <c r="B197" s="189" t="s">
        <v>295</v>
      </c>
      <c r="C197" s="177" t="s">
        <v>118</v>
      </c>
      <c r="D197" s="177" t="s">
        <v>60</v>
      </c>
      <c r="E197" s="177"/>
      <c r="F197" s="177"/>
      <c r="G197" s="178">
        <v>1</v>
      </c>
      <c r="H197" s="178">
        <v>2</v>
      </c>
      <c r="I197" s="179">
        <f t="shared" si="11"/>
        <v>3</v>
      </c>
      <c r="J197" s="180">
        <f>VLOOKUP(B197,материал!$B$5:$G$67,5,0)</f>
        <v>0</v>
      </c>
      <c r="K197" s="180">
        <f t="shared" si="9"/>
        <v>0</v>
      </c>
      <c r="L197" s="194"/>
      <c r="M197" s="271" t="str">
        <f>VLOOKUP(B197,материал!$B$5:$H$67,7,0)</f>
        <v>Закуп подярдчика</v>
      </c>
    </row>
    <row r="198" spans="1:13" s="135" customFormat="1" ht="29.25" customHeight="1" x14ac:dyDescent="0.25">
      <c r="A198" s="181"/>
      <c r="B198" s="189" t="s">
        <v>315</v>
      </c>
      <c r="C198" s="177" t="s">
        <v>120</v>
      </c>
      <c r="D198" s="177" t="s">
        <v>60</v>
      </c>
      <c r="E198" s="177"/>
      <c r="F198" s="177"/>
      <c r="G198" s="178">
        <v>4</v>
      </c>
      <c r="H198" s="178">
        <v>10</v>
      </c>
      <c r="I198" s="179">
        <f t="shared" si="11"/>
        <v>14</v>
      </c>
      <c r="J198" s="180">
        <f>VLOOKUP(B198,материал!$B$5:$G$67,5,0)</f>
        <v>0</v>
      </c>
      <c r="K198" s="180">
        <f t="shared" si="9"/>
        <v>0</v>
      </c>
      <c r="L198" s="194"/>
      <c r="M198" s="271" t="str">
        <f>VLOOKUP(B198,материал!$B$5:$H$67,7,0)</f>
        <v>Закуп подярдчика</v>
      </c>
    </row>
    <row r="199" spans="1:13" s="135" customFormat="1" ht="12.75" customHeight="1" x14ac:dyDescent="0.25">
      <c r="A199" s="181"/>
      <c r="B199" s="189" t="s">
        <v>92</v>
      </c>
      <c r="C199" s="177" t="s">
        <v>93</v>
      </c>
      <c r="D199" s="177" t="s">
        <v>54</v>
      </c>
      <c r="E199" s="177">
        <v>1.04</v>
      </c>
      <c r="F199" s="177"/>
      <c r="G199" s="178">
        <f>127.56*E199</f>
        <v>132.66240000000002</v>
      </c>
      <c r="H199" s="178">
        <f>180.66*E199</f>
        <v>187.88640000000001</v>
      </c>
      <c r="I199" s="179">
        <f t="shared" si="11"/>
        <v>320.54880000000003</v>
      </c>
      <c r="J199" s="180">
        <f>VLOOKUP(B199,материал!$B$5:$G$67,5,0)</f>
        <v>0</v>
      </c>
      <c r="K199" s="180">
        <f t="shared" si="9"/>
        <v>0</v>
      </c>
      <c r="L199" s="194"/>
      <c r="M199" s="271" t="str">
        <f>VLOOKUP(B199,материал!$B$5:$H$67,7,0)</f>
        <v>Закуп подярдчика</v>
      </c>
    </row>
    <row r="200" spans="1:13" s="135" customFormat="1" ht="12.75" customHeight="1" x14ac:dyDescent="0.25">
      <c r="A200" s="181"/>
      <c r="B200" s="189" t="s">
        <v>94</v>
      </c>
      <c r="C200" s="177" t="s">
        <v>95</v>
      </c>
      <c r="D200" s="177" t="s">
        <v>54</v>
      </c>
      <c r="E200" s="177">
        <v>1.04</v>
      </c>
      <c r="F200" s="177"/>
      <c r="G200" s="178">
        <f>G168*E200</f>
        <v>32.292000000000002</v>
      </c>
      <c r="H200" s="178">
        <f>H168*E200</f>
        <v>46.373600000000003</v>
      </c>
      <c r="I200" s="179">
        <f t="shared" si="11"/>
        <v>78.665600000000012</v>
      </c>
      <c r="J200" s="180">
        <f>VLOOKUP(B200,материал!$B$5:$G$67,5,0)</f>
        <v>0</v>
      </c>
      <c r="K200" s="180">
        <f t="shared" si="9"/>
        <v>0</v>
      </c>
      <c r="L200" s="194"/>
      <c r="M200" s="271" t="str">
        <f>VLOOKUP(B200,материал!$B$5:$H$67,7,0)</f>
        <v>Закуп подярдчика</v>
      </c>
    </row>
    <row r="201" spans="1:13" s="135" customFormat="1" ht="12.75" customHeight="1" x14ac:dyDescent="0.25">
      <c r="A201" s="181"/>
      <c r="B201" s="189" t="s">
        <v>131</v>
      </c>
      <c r="C201" s="177" t="s">
        <v>39</v>
      </c>
      <c r="D201" s="177" t="s">
        <v>54</v>
      </c>
      <c r="E201" s="177">
        <v>1.04</v>
      </c>
      <c r="F201" s="177"/>
      <c r="G201" s="178">
        <f>46.68*E201</f>
        <v>48.547200000000004</v>
      </c>
      <c r="H201" s="178">
        <f>31.12*E201</f>
        <v>32.364800000000002</v>
      </c>
      <c r="I201" s="179">
        <f t="shared" si="11"/>
        <v>80.912000000000006</v>
      </c>
      <c r="J201" s="180">
        <f>VLOOKUP(B201,материал!$B$5:$G$67,5,0)</f>
        <v>0</v>
      </c>
      <c r="K201" s="180">
        <f t="shared" si="9"/>
        <v>0</v>
      </c>
      <c r="L201" s="194"/>
      <c r="M201" s="271" t="str">
        <f>VLOOKUP(B201,материал!$B$5:$H$67,7,0)</f>
        <v>Закуп подярдчика</v>
      </c>
    </row>
    <row r="202" spans="1:13" s="135" customFormat="1" ht="12.75" customHeight="1" x14ac:dyDescent="0.25">
      <c r="A202" s="181"/>
      <c r="B202" s="189" t="s">
        <v>96</v>
      </c>
      <c r="C202" s="177" t="s">
        <v>39</v>
      </c>
      <c r="D202" s="177" t="s">
        <v>54</v>
      </c>
      <c r="E202" s="177">
        <v>1.04</v>
      </c>
      <c r="F202" s="177"/>
      <c r="G202" s="178">
        <f>25.93*E202</f>
        <v>26.967200000000002</v>
      </c>
      <c r="H202" s="178">
        <f>E202*17.2</f>
        <v>17.887999999999998</v>
      </c>
      <c r="I202" s="179">
        <f t="shared" si="11"/>
        <v>44.855199999999996</v>
      </c>
      <c r="J202" s="180">
        <f>VLOOKUP(B202,материал!$B$5:$G$67,5,0)</f>
        <v>0</v>
      </c>
      <c r="K202" s="180">
        <f t="shared" si="9"/>
        <v>0</v>
      </c>
      <c r="L202" s="194"/>
      <c r="M202" s="271" t="str">
        <f>VLOOKUP(B202,материал!$B$5:$H$67,7,0)</f>
        <v>Закуп подярдчика</v>
      </c>
    </row>
    <row r="203" spans="1:13" s="135" customFormat="1" ht="12.75" customHeight="1" x14ac:dyDescent="0.25">
      <c r="A203" s="181"/>
      <c r="B203" s="189" t="s">
        <v>97</v>
      </c>
      <c r="C203" s="177" t="s">
        <v>39</v>
      </c>
      <c r="D203" s="177" t="s">
        <v>54</v>
      </c>
      <c r="E203" s="177">
        <v>1.04</v>
      </c>
      <c r="F203" s="177"/>
      <c r="G203" s="178">
        <f>E203*10.72</f>
        <v>11.148800000000001</v>
      </c>
      <c r="H203" s="178">
        <f>E203*20.84</f>
        <v>21.6736</v>
      </c>
      <c r="I203" s="179">
        <f t="shared" si="11"/>
        <v>32.822400000000002</v>
      </c>
      <c r="J203" s="180">
        <f>VLOOKUP(B203,материал!$B$5:$G$67,5,0)</f>
        <v>0</v>
      </c>
      <c r="K203" s="180">
        <f t="shared" si="9"/>
        <v>0</v>
      </c>
      <c r="L203" s="194"/>
      <c r="M203" s="271" t="str">
        <f>VLOOKUP(B203,материал!$B$5:$H$67,7,0)</f>
        <v>Закуп подярдчика</v>
      </c>
    </row>
    <row r="204" spans="1:13" s="135" customFormat="1" ht="12.75" customHeight="1" x14ac:dyDescent="0.25">
      <c r="A204" s="181"/>
      <c r="B204" s="189" t="s">
        <v>132</v>
      </c>
      <c r="C204" s="177" t="s">
        <v>39</v>
      </c>
      <c r="D204" s="177" t="s">
        <v>54</v>
      </c>
      <c r="E204" s="177">
        <v>1.04</v>
      </c>
      <c r="F204" s="177"/>
      <c r="G204" s="178">
        <f>15.75*E204</f>
        <v>16.38</v>
      </c>
      <c r="H204" s="178">
        <f>10.5*E204</f>
        <v>10.92</v>
      </c>
      <c r="I204" s="179">
        <f t="shared" si="11"/>
        <v>27.299999999999997</v>
      </c>
      <c r="J204" s="180">
        <f>VLOOKUP(B204,материал!$B$5:$G$67,5,0)</f>
        <v>0</v>
      </c>
      <c r="K204" s="180">
        <f t="shared" si="9"/>
        <v>0</v>
      </c>
      <c r="L204" s="194"/>
      <c r="M204" s="271" t="str">
        <f>VLOOKUP(B204,материал!$B$5:$H$67,7,0)</f>
        <v>Закуп подярдчика</v>
      </c>
    </row>
    <row r="205" spans="1:13" s="135" customFormat="1" ht="29.25" customHeight="1" x14ac:dyDescent="0.25">
      <c r="A205" s="181"/>
      <c r="B205" s="189" t="s">
        <v>275</v>
      </c>
      <c r="C205" s="177" t="s">
        <v>276</v>
      </c>
      <c r="D205" s="177" t="s">
        <v>45</v>
      </c>
      <c r="E205" s="177">
        <v>1.04</v>
      </c>
      <c r="F205" s="177"/>
      <c r="G205" s="178">
        <f>G169*0.05*E205</f>
        <v>1.6716960000000001</v>
      </c>
      <c r="H205" s="178">
        <f>H169*0.05*E205</f>
        <v>0</v>
      </c>
      <c r="I205" s="179">
        <f t="shared" si="11"/>
        <v>1.6716960000000001</v>
      </c>
      <c r="J205" s="180">
        <f>VLOOKUP(B205,материал!$B$5:$G$67,5,0)</f>
        <v>0</v>
      </c>
      <c r="K205" s="180">
        <f t="shared" si="9"/>
        <v>0</v>
      </c>
      <c r="L205" s="194"/>
      <c r="M205" s="271" t="str">
        <f>VLOOKUP(B205,материал!$B$5:$H$67,7,0)</f>
        <v>Закуп подярдчика</v>
      </c>
    </row>
    <row r="206" spans="1:13" s="137" customFormat="1" ht="24.95" customHeight="1" x14ac:dyDescent="0.25">
      <c r="A206" s="195"/>
      <c r="B206" s="196" t="s">
        <v>133</v>
      </c>
      <c r="C206" s="197" t="s">
        <v>39</v>
      </c>
      <c r="D206" s="197" t="s">
        <v>99</v>
      </c>
      <c r="E206" s="197"/>
      <c r="F206" s="197"/>
      <c r="G206" s="198"/>
      <c r="H206" s="198"/>
      <c r="I206" s="199">
        <f ca="1">SUMIF(материал!$B$5:$G$67,B206,материал!$E$5:$E$67)</f>
        <v>0</v>
      </c>
      <c r="J206" s="179"/>
      <c r="K206" s="180">
        <f ca="1">SUM(K172:K205)*I206%</f>
        <v>0</v>
      </c>
      <c r="L206" s="200"/>
      <c r="M206" s="274" t="str">
        <f>VLOOKUP(B206,материал!$B$5:$H$67,7,0)</f>
        <v>Закуп подярдчика</v>
      </c>
    </row>
    <row r="207" spans="1:13" s="135" customFormat="1" x14ac:dyDescent="0.25">
      <c r="A207" s="160" t="s">
        <v>138</v>
      </c>
      <c r="B207" s="161" t="s">
        <v>139</v>
      </c>
      <c r="C207" s="162"/>
      <c r="D207" s="163"/>
      <c r="E207" s="162"/>
      <c r="F207" s="162"/>
      <c r="G207" s="164"/>
      <c r="H207" s="164"/>
      <c r="I207" s="165"/>
      <c r="J207" s="165"/>
      <c r="K207" s="165">
        <f ca="1">K208+K221</f>
        <v>0</v>
      </c>
      <c r="L207" s="186"/>
      <c r="M207" s="273" t="e">
        <f>VLOOKUP(B207,материал!$B$5:$H$67,7,0)</f>
        <v>#N/A</v>
      </c>
    </row>
    <row r="208" spans="1:13" s="135" customFormat="1" x14ac:dyDescent="0.25">
      <c r="A208" s="166"/>
      <c r="B208" s="167" t="s">
        <v>34</v>
      </c>
      <c r="C208" s="168"/>
      <c r="D208" s="168"/>
      <c r="E208" s="168"/>
      <c r="F208" s="168"/>
      <c r="G208" s="169"/>
      <c r="H208" s="169"/>
      <c r="I208" s="170"/>
      <c r="J208" s="170"/>
      <c r="K208" s="170">
        <f>SUM(K209:K219)</f>
        <v>0</v>
      </c>
      <c r="L208" s="172"/>
      <c r="M208" s="270" t="e">
        <f>VLOOKUP(B208,материал!$B$5:$H$67,7,0)</f>
        <v>#N/A</v>
      </c>
    </row>
    <row r="209" spans="1:13" s="135" customFormat="1" ht="24" customHeight="1" x14ac:dyDescent="0.25">
      <c r="A209" s="166"/>
      <c r="B209" s="171" t="s">
        <v>44</v>
      </c>
      <c r="C209" s="172"/>
      <c r="D209" s="172" t="s">
        <v>45</v>
      </c>
      <c r="E209" s="172"/>
      <c r="F209" s="172"/>
      <c r="G209" s="173">
        <v>26.31</v>
      </c>
      <c r="H209" s="173">
        <v>34.979999999999997</v>
      </c>
      <c r="I209" s="170">
        <f t="shared" ref="I209:I220" si="12">SUM(G209:H209)</f>
        <v>61.289999999999992</v>
      </c>
      <c r="J209" s="174">
        <f>VLOOKUP(B209,работы!$B$5:$F$19,4,0)</f>
        <v>0</v>
      </c>
      <c r="K209" s="174">
        <f t="shared" si="9"/>
        <v>0</v>
      </c>
      <c r="L209" s="172"/>
      <c r="M209" s="270" t="e">
        <f>VLOOKUP(B209,материал!$B$5:$H$67,7,0)</f>
        <v>#N/A</v>
      </c>
    </row>
    <row r="210" spans="1:13" s="135" customFormat="1" ht="12.75" customHeight="1" x14ac:dyDescent="0.25">
      <c r="A210" s="166"/>
      <c r="B210" s="171" t="s">
        <v>102</v>
      </c>
      <c r="C210" s="172"/>
      <c r="D210" s="172" t="s">
        <v>45</v>
      </c>
      <c r="E210" s="172"/>
      <c r="F210" s="172"/>
      <c r="G210" s="173">
        <v>1.72</v>
      </c>
      <c r="H210" s="173">
        <v>2.6</v>
      </c>
      <c r="I210" s="170">
        <f t="shared" si="12"/>
        <v>4.32</v>
      </c>
      <c r="J210" s="174">
        <f>VLOOKUP(B210,работы!$B$5:$F$19,4,0)</f>
        <v>0</v>
      </c>
      <c r="K210" s="174">
        <f t="shared" si="9"/>
        <v>0</v>
      </c>
      <c r="L210" s="172"/>
      <c r="M210" s="270" t="e">
        <f>VLOOKUP(B210,материал!$B$5:$H$67,7,0)</f>
        <v>#N/A</v>
      </c>
    </row>
    <row r="211" spans="1:13" s="135" customFormat="1" ht="24" customHeight="1" x14ac:dyDescent="0.25">
      <c r="A211" s="166"/>
      <c r="B211" s="171" t="s">
        <v>46</v>
      </c>
      <c r="C211" s="172"/>
      <c r="D211" s="172" t="s">
        <v>47</v>
      </c>
      <c r="E211" s="172"/>
      <c r="F211" s="172"/>
      <c r="G211" s="173">
        <v>102.26</v>
      </c>
      <c r="H211" s="173">
        <v>178.68</v>
      </c>
      <c r="I211" s="170">
        <f t="shared" si="12"/>
        <v>280.94</v>
      </c>
      <c r="J211" s="174">
        <f>VLOOKUP(B211,работы!$B$5:$F$19,4,0)</f>
        <v>0</v>
      </c>
      <c r="K211" s="174">
        <f t="shared" si="9"/>
        <v>0</v>
      </c>
      <c r="L211" s="172"/>
      <c r="M211" s="270" t="e">
        <f>VLOOKUP(B211,материал!$B$5:$H$67,7,0)</f>
        <v>#N/A</v>
      </c>
    </row>
    <row r="212" spans="1:13" s="135" customFormat="1" ht="24" customHeight="1" x14ac:dyDescent="0.25">
      <c r="A212" s="166"/>
      <c r="B212" s="171" t="s">
        <v>48</v>
      </c>
      <c r="C212" s="172"/>
      <c r="D212" s="172" t="s">
        <v>47</v>
      </c>
      <c r="E212" s="172"/>
      <c r="F212" s="172"/>
      <c r="G212" s="173">
        <v>53.68</v>
      </c>
      <c r="H212" s="173">
        <v>110.37</v>
      </c>
      <c r="I212" s="170">
        <f t="shared" si="12"/>
        <v>164.05</v>
      </c>
      <c r="J212" s="174">
        <f>VLOOKUP(B212,работы!$B$5:$F$19,4,0)</f>
        <v>0</v>
      </c>
      <c r="K212" s="174">
        <f t="shared" si="9"/>
        <v>0</v>
      </c>
      <c r="L212" s="172"/>
      <c r="M212" s="270" t="e">
        <f>VLOOKUP(B212,материал!$B$5:$H$67,7,0)</f>
        <v>#N/A</v>
      </c>
    </row>
    <row r="213" spans="1:13" s="135" customFormat="1" ht="24" customHeight="1" x14ac:dyDescent="0.25">
      <c r="A213" s="166"/>
      <c r="B213" s="171" t="s">
        <v>103</v>
      </c>
      <c r="C213" s="172"/>
      <c r="D213" s="172" t="s">
        <v>47</v>
      </c>
      <c r="E213" s="172"/>
      <c r="F213" s="172"/>
      <c r="G213" s="173">
        <v>114.29</v>
      </c>
      <c r="H213" s="173">
        <v>184.88</v>
      </c>
      <c r="I213" s="170">
        <f t="shared" si="12"/>
        <v>299.17</v>
      </c>
      <c r="J213" s="174">
        <f>VLOOKUP(B213,работы!$B$5:$F$19,4,0)</f>
        <v>0</v>
      </c>
      <c r="K213" s="174">
        <f t="shared" si="9"/>
        <v>0</v>
      </c>
      <c r="L213" s="172"/>
      <c r="M213" s="270" t="e">
        <f>VLOOKUP(B213,материал!$B$5:$H$67,7,0)</f>
        <v>#N/A</v>
      </c>
    </row>
    <row r="214" spans="1:13" s="135" customFormat="1" ht="24" customHeight="1" x14ac:dyDescent="0.25">
      <c r="A214" s="166"/>
      <c r="B214" s="171" t="s">
        <v>104</v>
      </c>
      <c r="C214" s="172"/>
      <c r="D214" s="172" t="s">
        <v>47</v>
      </c>
      <c r="E214" s="172"/>
      <c r="F214" s="172"/>
      <c r="G214" s="173">
        <v>133.18</v>
      </c>
      <c r="H214" s="173">
        <v>189.83</v>
      </c>
      <c r="I214" s="170">
        <f t="shared" si="12"/>
        <v>323.01</v>
      </c>
      <c r="J214" s="174">
        <f>VLOOKUP(B214,работы!$B$5:$F$19,4,0)</f>
        <v>0</v>
      </c>
      <c r="K214" s="174">
        <f t="shared" si="9"/>
        <v>0</v>
      </c>
      <c r="L214" s="172"/>
      <c r="M214" s="270" t="e">
        <f>VLOOKUP(B214,материал!$B$5:$H$67,7,0)</f>
        <v>#N/A</v>
      </c>
    </row>
    <row r="215" spans="1:13" s="135" customFormat="1" ht="12.75" customHeight="1" x14ac:dyDescent="0.25">
      <c r="A215" s="166"/>
      <c r="B215" s="171" t="s">
        <v>49</v>
      </c>
      <c r="C215" s="172"/>
      <c r="D215" s="172" t="s">
        <v>47</v>
      </c>
      <c r="E215" s="172"/>
      <c r="F215" s="172"/>
      <c r="G215" s="173">
        <v>52.46</v>
      </c>
      <c r="H215" s="173">
        <v>38.6</v>
      </c>
      <c r="I215" s="170">
        <f t="shared" si="12"/>
        <v>91.06</v>
      </c>
      <c r="J215" s="174">
        <f>VLOOKUP(B215,работы!$B$5:$F$19,4,0)</f>
        <v>0</v>
      </c>
      <c r="K215" s="174">
        <f t="shared" ref="K215:K278" si="13">I215*J215</f>
        <v>0</v>
      </c>
      <c r="L215" s="172"/>
      <c r="M215" s="270" t="e">
        <f>VLOOKUP(B215,материал!$B$5:$H$67,7,0)</f>
        <v>#N/A</v>
      </c>
    </row>
    <row r="216" spans="1:13" s="135" customFormat="1" ht="12.75" customHeight="1" x14ac:dyDescent="0.25">
      <c r="A216" s="166"/>
      <c r="B216" s="171" t="s">
        <v>50</v>
      </c>
      <c r="C216" s="172"/>
      <c r="D216" s="172" t="s">
        <v>51</v>
      </c>
      <c r="E216" s="172"/>
      <c r="F216" s="172"/>
      <c r="G216" s="173">
        <v>71</v>
      </c>
      <c r="H216" s="173">
        <v>94</v>
      </c>
      <c r="I216" s="170">
        <f t="shared" si="12"/>
        <v>165</v>
      </c>
      <c r="J216" s="174">
        <f>VLOOKUP(B216,работы!$B$5:$F$19,4,0)</f>
        <v>0</v>
      </c>
      <c r="K216" s="174">
        <f t="shared" si="13"/>
        <v>0</v>
      </c>
      <c r="L216" s="172"/>
      <c r="M216" s="270" t="e">
        <f>VLOOKUP(B216,материал!$B$5:$H$67,7,0)</f>
        <v>#N/A</v>
      </c>
    </row>
    <row r="217" spans="1:13" s="135" customFormat="1" ht="12.75" customHeight="1" x14ac:dyDescent="0.25">
      <c r="A217" s="166"/>
      <c r="B217" s="171" t="s">
        <v>52</v>
      </c>
      <c r="C217" s="172" t="s">
        <v>105</v>
      </c>
      <c r="D217" s="172" t="s">
        <v>54</v>
      </c>
      <c r="E217" s="172"/>
      <c r="F217" s="172"/>
      <c r="G217" s="173">
        <v>99.09</v>
      </c>
      <c r="H217" s="173">
        <v>79.66</v>
      </c>
      <c r="I217" s="170">
        <f t="shared" si="12"/>
        <v>178.75</v>
      </c>
      <c r="J217" s="174">
        <f>VLOOKUP(B217,работы!$B$5:$F$19,4,0)</f>
        <v>0</v>
      </c>
      <c r="K217" s="174">
        <f t="shared" si="13"/>
        <v>0</v>
      </c>
      <c r="L217" s="172"/>
      <c r="M217" s="270" t="e">
        <f>VLOOKUP(B217,материал!$B$5:$H$67,7,0)</f>
        <v>#N/A</v>
      </c>
    </row>
    <row r="218" spans="1:13" s="135" customFormat="1" ht="25.5" x14ac:dyDescent="0.25">
      <c r="A218" s="166"/>
      <c r="B218" s="171" t="s">
        <v>55</v>
      </c>
      <c r="C218" s="172"/>
      <c r="D218" s="172" t="s">
        <v>54</v>
      </c>
      <c r="E218" s="172"/>
      <c r="F218" s="172"/>
      <c r="G218" s="173">
        <v>31.05</v>
      </c>
      <c r="H218" s="173">
        <v>44.59</v>
      </c>
      <c r="I218" s="170">
        <f t="shared" si="12"/>
        <v>75.64</v>
      </c>
      <c r="J218" s="174">
        <f>VLOOKUP(B218,работы!$B$5:$F$19,4,0)</f>
        <v>0</v>
      </c>
      <c r="K218" s="174">
        <f t="shared" si="13"/>
        <v>0</v>
      </c>
      <c r="L218" s="172"/>
      <c r="M218" s="270" t="e">
        <f>VLOOKUP(B218,материал!$B$5:$H$67,7,0)</f>
        <v>#N/A</v>
      </c>
    </row>
    <row r="219" spans="1:13" s="135" customFormat="1" ht="12.75" customHeight="1" x14ac:dyDescent="0.25">
      <c r="A219" s="166"/>
      <c r="B219" s="171" t="s">
        <v>256</v>
      </c>
      <c r="C219" s="172"/>
      <c r="D219" s="172" t="s">
        <v>47</v>
      </c>
      <c r="E219" s="172"/>
      <c r="F219" s="172"/>
      <c r="G219" s="173">
        <f>11.4*2.82</f>
        <v>32.147999999999996</v>
      </c>
      <c r="H219" s="173"/>
      <c r="I219" s="170">
        <f t="shared" si="12"/>
        <v>32.147999999999996</v>
      </c>
      <c r="J219" s="174">
        <f>VLOOKUP(B219,работы!$B$5:$F$19,4,0)</f>
        <v>0</v>
      </c>
      <c r="K219" s="174">
        <f t="shared" si="13"/>
        <v>0</v>
      </c>
      <c r="L219" s="172"/>
      <c r="M219" s="270" t="e">
        <f>VLOOKUP(B219,материал!$B$5:$H$67,7,0)</f>
        <v>#N/A</v>
      </c>
    </row>
    <row r="220" spans="1:13" s="135" customFormat="1" ht="12.75" customHeight="1" x14ac:dyDescent="0.25">
      <c r="A220" s="166"/>
      <c r="B220" s="187" t="s">
        <v>56</v>
      </c>
      <c r="C220" s="188"/>
      <c r="D220" s="188" t="s">
        <v>45</v>
      </c>
      <c r="E220" s="188"/>
      <c r="F220" s="188"/>
      <c r="G220" s="173">
        <f>255.08*0.06*0.03</f>
        <v>0.459144</v>
      </c>
      <c r="H220" s="173">
        <f>366.31*0.06*0.03</f>
        <v>0.659358</v>
      </c>
      <c r="I220" s="170">
        <f t="shared" si="12"/>
        <v>1.1185019999999999</v>
      </c>
      <c r="J220" s="174"/>
      <c r="K220" s="174"/>
      <c r="L220" s="188"/>
      <c r="M220" s="270" t="e">
        <f>VLOOKUP(B220,материал!$B$5:$H$67,7,0)</f>
        <v>#N/A</v>
      </c>
    </row>
    <row r="221" spans="1:13" s="135" customFormat="1" x14ac:dyDescent="0.25">
      <c r="A221" s="175"/>
      <c r="B221" s="176" t="s">
        <v>38</v>
      </c>
      <c r="C221" s="177"/>
      <c r="D221" s="177"/>
      <c r="E221" s="177"/>
      <c r="F221" s="177"/>
      <c r="G221" s="178"/>
      <c r="H221" s="178"/>
      <c r="I221" s="179"/>
      <c r="J221" s="180"/>
      <c r="K221" s="179">
        <f ca="1">SUM(K222:K256)</f>
        <v>0</v>
      </c>
      <c r="L221" s="177"/>
      <c r="M221" s="271"/>
    </row>
    <row r="222" spans="1:13" s="135" customFormat="1" ht="25.5" x14ac:dyDescent="0.25">
      <c r="A222" s="181"/>
      <c r="B222" s="182" t="s">
        <v>58</v>
      </c>
      <c r="C222" s="177" t="s">
        <v>59</v>
      </c>
      <c r="D222" s="177" t="s">
        <v>60</v>
      </c>
      <c r="E222" s="178">
        <v>12.4</v>
      </c>
      <c r="F222" s="177">
        <v>0.25</v>
      </c>
      <c r="G222" s="183">
        <f>G209/F222*E222</f>
        <v>1304.9759999999999</v>
      </c>
      <c r="H222" s="183">
        <f>H209/F222*E222</f>
        <v>1735.0079999999998</v>
      </c>
      <c r="I222" s="184">
        <f t="shared" ref="I222:I255" si="14">SUM(G222:H222)</f>
        <v>3039.9839999999995</v>
      </c>
      <c r="J222" s="180">
        <f>VLOOKUP(B222,материал!$B$5:$G$67,5,0)</f>
        <v>0</v>
      </c>
      <c r="K222" s="180">
        <f t="shared" si="13"/>
        <v>0</v>
      </c>
      <c r="L222" s="177"/>
      <c r="M222" s="271" t="str">
        <f>VLOOKUP(B222,материал!$B$5:$H$67,7,0)</f>
        <v>Давальческий материал</v>
      </c>
    </row>
    <row r="223" spans="1:13" s="135" customFormat="1" ht="25.5" x14ac:dyDescent="0.25">
      <c r="A223" s="181"/>
      <c r="B223" s="182" t="s">
        <v>62</v>
      </c>
      <c r="C223" s="177" t="s">
        <v>63</v>
      </c>
      <c r="D223" s="177" t="s">
        <v>60</v>
      </c>
      <c r="E223" s="178">
        <v>12.4</v>
      </c>
      <c r="F223" s="177"/>
      <c r="G223" s="183">
        <f>G211*E223</f>
        <v>1268.0240000000001</v>
      </c>
      <c r="H223" s="183">
        <f>H211*E223</f>
        <v>2215.6320000000001</v>
      </c>
      <c r="I223" s="184">
        <f t="shared" si="14"/>
        <v>3483.6559999999999</v>
      </c>
      <c r="J223" s="180">
        <f>VLOOKUP(B223,материал!$B$5:$G$67,5,0)</f>
        <v>0</v>
      </c>
      <c r="K223" s="180">
        <f t="shared" si="13"/>
        <v>0</v>
      </c>
      <c r="L223" s="177"/>
      <c r="M223" s="271" t="str">
        <f>VLOOKUP(B223,материал!$B$5:$H$67,7,0)</f>
        <v>Давальческий материал</v>
      </c>
    </row>
    <row r="224" spans="1:13" s="135" customFormat="1" ht="25.5" x14ac:dyDescent="0.25">
      <c r="A224" s="181"/>
      <c r="B224" s="182" t="s">
        <v>64</v>
      </c>
      <c r="C224" s="177" t="s">
        <v>65</v>
      </c>
      <c r="D224" s="177" t="s">
        <v>60</v>
      </c>
      <c r="E224" s="178">
        <v>12.4</v>
      </c>
      <c r="F224" s="177"/>
      <c r="G224" s="183">
        <f>G212*E224</f>
        <v>665.63200000000006</v>
      </c>
      <c r="H224" s="183">
        <f>H212*E224</f>
        <v>1368.5880000000002</v>
      </c>
      <c r="I224" s="184">
        <f t="shared" si="14"/>
        <v>2034.2200000000003</v>
      </c>
      <c r="J224" s="180">
        <f>VLOOKUP(B224,материал!$B$5:$G$67,5,0)</f>
        <v>0</v>
      </c>
      <c r="K224" s="180">
        <f t="shared" si="13"/>
        <v>0</v>
      </c>
      <c r="L224" s="177"/>
      <c r="M224" s="271" t="str">
        <f>VLOOKUP(B224,материал!$B$5:$H$67,7,0)</f>
        <v>Давальческий материал</v>
      </c>
    </row>
    <row r="225" spans="1:13" s="135" customFormat="1" ht="25.5" x14ac:dyDescent="0.25">
      <c r="A225" s="181"/>
      <c r="B225" s="182" t="s">
        <v>106</v>
      </c>
      <c r="C225" s="177" t="s">
        <v>107</v>
      </c>
      <c r="D225" s="177" t="s">
        <v>60</v>
      </c>
      <c r="E225" s="178">
        <v>12.4</v>
      </c>
      <c r="F225" s="177"/>
      <c r="G225" s="183">
        <f>G213*E225</f>
        <v>1417.1960000000001</v>
      </c>
      <c r="H225" s="183">
        <f>H213*E225</f>
        <v>2292.5120000000002</v>
      </c>
      <c r="I225" s="184">
        <f t="shared" si="14"/>
        <v>3709.7080000000005</v>
      </c>
      <c r="J225" s="180">
        <f>VLOOKUP(B225,материал!$B$5:$G$67,5,0)</f>
        <v>0</v>
      </c>
      <c r="K225" s="180">
        <f t="shared" si="13"/>
        <v>0</v>
      </c>
      <c r="L225" s="177"/>
      <c r="M225" s="271" t="str">
        <f>VLOOKUP(B225,материал!$B$5:$H$67,7,0)</f>
        <v>Давальческий материал</v>
      </c>
    </row>
    <row r="226" spans="1:13" s="135" customFormat="1" ht="25.5" x14ac:dyDescent="0.25">
      <c r="A226" s="181"/>
      <c r="B226" s="182" t="s">
        <v>108</v>
      </c>
      <c r="C226" s="177" t="s">
        <v>109</v>
      </c>
      <c r="D226" s="177" t="s">
        <v>60</v>
      </c>
      <c r="E226" s="178">
        <v>12.4</v>
      </c>
      <c r="F226" s="177"/>
      <c r="G226" s="183">
        <f>G214*E226</f>
        <v>1651.4320000000002</v>
      </c>
      <c r="H226" s="183">
        <f>H214*E226</f>
        <v>2353.8920000000003</v>
      </c>
      <c r="I226" s="184">
        <f t="shared" si="14"/>
        <v>4005.3240000000005</v>
      </c>
      <c r="J226" s="180">
        <f>VLOOKUP(B226,материал!$B$5:$G$67,5,0)</f>
        <v>0</v>
      </c>
      <c r="K226" s="180">
        <f t="shared" si="13"/>
        <v>0</v>
      </c>
      <c r="L226" s="177"/>
      <c r="M226" s="271" t="str">
        <f>VLOOKUP(B226,материал!$B$5:$H$67,7,0)</f>
        <v>Давальческий материал</v>
      </c>
    </row>
    <row r="227" spans="1:13" s="135" customFormat="1" x14ac:dyDescent="0.25">
      <c r="A227" s="181"/>
      <c r="B227" s="189" t="s">
        <v>66</v>
      </c>
      <c r="C227" s="177" t="s">
        <v>67</v>
      </c>
      <c r="D227" s="177" t="s">
        <v>60</v>
      </c>
      <c r="E227" s="190">
        <v>42</v>
      </c>
      <c r="F227" s="190"/>
      <c r="G227" s="183">
        <f>G215*E227</f>
        <v>2203.3200000000002</v>
      </c>
      <c r="H227" s="183">
        <f>H215*E227</f>
        <v>1621.2</v>
      </c>
      <c r="I227" s="184">
        <f t="shared" si="14"/>
        <v>3824.5200000000004</v>
      </c>
      <c r="J227" s="180">
        <f>VLOOKUP(B227,материал!$B$5:$G$67,5,0)</f>
        <v>0</v>
      </c>
      <c r="K227" s="180">
        <f t="shared" si="13"/>
        <v>0</v>
      </c>
      <c r="L227" s="177"/>
      <c r="M227" s="271" t="str">
        <f>VLOOKUP(B227,материал!$B$5:$H$67,7,0)</f>
        <v>Давальческий материал</v>
      </c>
    </row>
    <row r="228" spans="1:13" s="135" customFormat="1" x14ac:dyDescent="0.25">
      <c r="A228" s="181"/>
      <c r="B228" s="189" t="s">
        <v>110</v>
      </c>
      <c r="C228" s="177" t="s">
        <v>111</v>
      </c>
      <c r="D228" s="177" t="s">
        <v>60</v>
      </c>
      <c r="E228" s="190">
        <v>42</v>
      </c>
      <c r="F228" s="190"/>
      <c r="G228" s="183">
        <f>G210/0.25*E228</f>
        <v>288.95999999999998</v>
      </c>
      <c r="H228" s="183">
        <f>H210/0.25*E228</f>
        <v>436.8</v>
      </c>
      <c r="I228" s="184">
        <f t="shared" si="14"/>
        <v>725.76</v>
      </c>
      <c r="J228" s="180">
        <f>VLOOKUP(B228,материал!$B$5:$G$67,5,0)</f>
        <v>0</v>
      </c>
      <c r="K228" s="180">
        <f t="shared" si="13"/>
        <v>0</v>
      </c>
      <c r="L228" s="177"/>
      <c r="M228" s="271" t="str">
        <f>VLOOKUP(B228,материал!$B$5:$H$67,7,0)</f>
        <v>Давальческий материал</v>
      </c>
    </row>
    <row r="229" spans="1:13" s="135" customFormat="1" ht="12.75" customHeight="1" x14ac:dyDescent="0.25">
      <c r="A229" s="181"/>
      <c r="B229" s="191" t="s">
        <v>69</v>
      </c>
      <c r="C229" s="177" t="s">
        <v>70</v>
      </c>
      <c r="D229" s="177" t="s">
        <v>45</v>
      </c>
      <c r="E229" s="177">
        <v>0.19500000000000001</v>
      </c>
      <c r="F229" s="190"/>
      <c r="G229" s="178">
        <f>G209*E229+G211*E229*0.19+G212*E229*0.19+G213*E229*0.09+G214*E229*0.09</f>
        <v>15.251125500000001</v>
      </c>
      <c r="H229" s="178">
        <f>H209*E229+H211*E229*0.19+H212*E229*0.19+H213*E229*0.09+H214*E229*0.09</f>
        <v>24.106563000000001</v>
      </c>
      <c r="I229" s="179">
        <f t="shared" si="14"/>
        <v>39.357688500000002</v>
      </c>
      <c r="J229" s="180">
        <f>VLOOKUP(B229,материал!$B$5:$G$67,5,0)</f>
        <v>0</v>
      </c>
      <c r="K229" s="180">
        <f t="shared" si="13"/>
        <v>0</v>
      </c>
      <c r="L229" s="177"/>
      <c r="M229" s="271" t="str">
        <f>VLOOKUP(B229,материал!$B$5:$H$67,7,0)</f>
        <v>Закуп подярдчика</v>
      </c>
    </row>
    <row r="230" spans="1:13" s="135" customFormat="1" ht="12.75" customHeight="1" x14ac:dyDescent="0.25">
      <c r="A230" s="192"/>
      <c r="B230" s="191" t="s">
        <v>112</v>
      </c>
      <c r="C230" s="177" t="s">
        <v>70</v>
      </c>
      <c r="D230" s="177" t="s">
        <v>45</v>
      </c>
      <c r="E230" s="177">
        <v>0.24</v>
      </c>
      <c r="F230" s="177"/>
      <c r="G230" s="178">
        <f>G210*E230</f>
        <v>0.4128</v>
      </c>
      <c r="H230" s="178">
        <f>H210*E230</f>
        <v>0.624</v>
      </c>
      <c r="I230" s="179">
        <f t="shared" si="14"/>
        <v>1.0367999999999999</v>
      </c>
      <c r="J230" s="180">
        <f>VLOOKUP(B230,материал!$B$5:$G$67,5,0)</f>
        <v>0</v>
      </c>
      <c r="K230" s="180">
        <f t="shared" si="13"/>
        <v>0</v>
      </c>
      <c r="L230" s="177"/>
      <c r="M230" s="271" t="str">
        <f>VLOOKUP(B230,материал!$B$5:$H$67,7,0)</f>
        <v>Закуп подярдчика</v>
      </c>
    </row>
    <row r="231" spans="1:13" s="135" customFormat="1" ht="12.75" customHeight="1" x14ac:dyDescent="0.25">
      <c r="A231" s="192"/>
      <c r="B231" s="191" t="s">
        <v>72</v>
      </c>
      <c r="C231" s="177" t="s">
        <v>70</v>
      </c>
      <c r="D231" s="177" t="s">
        <v>45</v>
      </c>
      <c r="E231" s="177">
        <v>4.5999999999999999E-2</v>
      </c>
      <c r="F231" s="177"/>
      <c r="G231" s="178">
        <f>G215*E231</f>
        <v>2.41316</v>
      </c>
      <c r="H231" s="178">
        <f>H215*E231</f>
        <v>1.7756000000000001</v>
      </c>
      <c r="I231" s="179">
        <f t="shared" si="14"/>
        <v>4.1887600000000003</v>
      </c>
      <c r="J231" s="180">
        <f>VLOOKUP(B231,материал!$B$5:$G$67,5,0)</f>
        <v>0</v>
      </c>
      <c r="K231" s="180">
        <f t="shared" si="13"/>
        <v>0</v>
      </c>
      <c r="L231" s="177"/>
      <c r="M231" s="271" t="str">
        <f>VLOOKUP(B231,материал!$B$5:$H$67,7,0)</f>
        <v>Закуп подярдчика</v>
      </c>
    </row>
    <row r="232" spans="1:13" s="135" customFormat="1" ht="12.75" customHeight="1" x14ac:dyDescent="0.25">
      <c r="A232" s="192"/>
      <c r="B232" s="191" t="s">
        <v>74</v>
      </c>
      <c r="C232" s="177" t="s">
        <v>70</v>
      </c>
      <c r="D232" s="177" t="s">
        <v>45</v>
      </c>
      <c r="E232" s="177">
        <v>1.01</v>
      </c>
      <c r="F232" s="177"/>
      <c r="G232" s="178">
        <f>G220*E232</f>
        <v>0.46373544</v>
      </c>
      <c r="H232" s="178">
        <f>H220*E232</f>
        <v>0.66595157999999999</v>
      </c>
      <c r="I232" s="179">
        <f t="shared" si="14"/>
        <v>1.12968702</v>
      </c>
      <c r="J232" s="180">
        <f>VLOOKUP(B232,материал!$B$5:$G$67,5,0)</f>
        <v>0</v>
      </c>
      <c r="K232" s="180">
        <f t="shared" si="13"/>
        <v>0</v>
      </c>
      <c r="L232" s="177"/>
      <c r="M232" s="271" t="str">
        <f>VLOOKUP(B232,материал!$B$5:$H$67,7,0)</f>
        <v>Закуп подярдчика</v>
      </c>
    </row>
    <row r="233" spans="1:13" s="135" customFormat="1" ht="12.75" customHeight="1" x14ac:dyDescent="0.25">
      <c r="A233" s="181"/>
      <c r="B233" s="189" t="s">
        <v>75</v>
      </c>
      <c r="C233" s="177" t="s">
        <v>70</v>
      </c>
      <c r="D233" s="177" t="s">
        <v>45</v>
      </c>
      <c r="E233" s="177">
        <v>6.0000000000000001E-3</v>
      </c>
      <c r="F233" s="177"/>
      <c r="G233" s="178">
        <f>G216*E233</f>
        <v>0.42599999999999999</v>
      </c>
      <c r="H233" s="178">
        <f>H216*E233</f>
        <v>0.56400000000000006</v>
      </c>
      <c r="I233" s="179">
        <f t="shared" si="14"/>
        <v>0.99</v>
      </c>
      <c r="J233" s="180">
        <f>VLOOKUP(B233,материал!$B$5:$G$67,5,0)</f>
        <v>0</v>
      </c>
      <c r="K233" s="180">
        <f t="shared" si="13"/>
        <v>0</v>
      </c>
      <c r="L233" s="177"/>
      <c r="M233" s="271" t="str">
        <f>VLOOKUP(B233,материал!$B$5:$H$67,7,0)</f>
        <v>Закуп подярдчика</v>
      </c>
    </row>
    <row r="234" spans="1:13" s="135" customFormat="1" ht="12.75" customHeight="1" x14ac:dyDescent="0.25">
      <c r="A234" s="181"/>
      <c r="B234" s="189" t="s">
        <v>77</v>
      </c>
      <c r="C234" s="177" t="s">
        <v>70</v>
      </c>
      <c r="D234" s="177" t="s">
        <v>45</v>
      </c>
      <c r="E234" s="177">
        <v>1.01</v>
      </c>
      <c r="F234" s="177"/>
      <c r="G234" s="193">
        <v>5.3999999999999999E-2</v>
      </c>
      <c r="H234" s="193">
        <v>8.6999999999999994E-2</v>
      </c>
      <c r="I234" s="179">
        <f t="shared" si="14"/>
        <v>0.14099999999999999</v>
      </c>
      <c r="J234" s="180">
        <f>VLOOKUP(B234,материал!$B$5:$G$67,5,0)</f>
        <v>0</v>
      </c>
      <c r="K234" s="180">
        <f t="shared" si="13"/>
        <v>0</v>
      </c>
      <c r="L234" s="194"/>
      <c r="M234" s="271" t="str">
        <f>VLOOKUP(B234,материал!$B$5:$H$67,7,0)</f>
        <v>Закуп подярдчика</v>
      </c>
    </row>
    <row r="235" spans="1:13" s="135" customFormat="1" ht="12.75" customHeight="1" x14ac:dyDescent="0.25">
      <c r="A235" s="181"/>
      <c r="B235" s="189" t="s">
        <v>78</v>
      </c>
      <c r="C235" s="177" t="s">
        <v>79</v>
      </c>
      <c r="D235" s="177" t="s">
        <v>47</v>
      </c>
      <c r="E235" s="177"/>
      <c r="F235" s="177"/>
      <c r="G235" s="178">
        <v>153.38</v>
      </c>
      <c r="H235" s="178">
        <v>226.65</v>
      </c>
      <c r="I235" s="179">
        <f t="shared" si="14"/>
        <v>380.03</v>
      </c>
      <c r="J235" s="180">
        <f>VLOOKUP(B235,материал!$B$5:$G$67,5,0)</f>
        <v>0</v>
      </c>
      <c r="K235" s="180">
        <f t="shared" si="13"/>
        <v>0</v>
      </c>
      <c r="L235" s="194"/>
      <c r="M235" s="271" t="str">
        <f>VLOOKUP(B235,материал!$B$5:$H$67,7,0)</f>
        <v>Закуп подярдчика</v>
      </c>
    </row>
    <row r="236" spans="1:13" s="135" customFormat="1" ht="27" customHeight="1" x14ac:dyDescent="0.25">
      <c r="A236" s="181"/>
      <c r="B236" s="189" t="s">
        <v>277</v>
      </c>
      <c r="C236" s="177" t="s">
        <v>114</v>
      </c>
      <c r="D236" s="177" t="s">
        <v>60</v>
      </c>
      <c r="E236" s="177"/>
      <c r="F236" s="177"/>
      <c r="G236" s="178">
        <v>18</v>
      </c>
      <c r="H236" s="178">
        <v>14</v>
      </c>
      <c r="I236" s="179">
        <f t="shared" si="14"/>
        <v>32</v>
      </c>
      <c r="J236" s="180">
        <f>VLOOKUP(B236,материал!$B$5:$G$67,5,0)</f>
        <v>0</v>
      </c>
      <c r="K236" s="180">
        <f t="shared" si="13"/>
        <v>0</v>
      </c>
      <c r="L236" s="194"/>
      <c r="M236" s="271" t="str">
        <f>VLOOKUP(B236,материал!$B$5:$H$67,7,0)</f>
        <v>Закуп подярдчика</v>
      </c>
    </row>
    <row r="237" spans="1:13" s="135" customFormat="1" ht="27" customHeight="1" x14ac:dyDescent="0.25">
      <c r="A237" s="181"/>
      <c r="B237" s="189" t="s">
        <v>278</v>
      </c>
      <c r="C237" s="177" t="s">
        <v>116</v>
      </c>
      <c r="D237" s="177" t="s">
        <v>60</v>
      </c>
      <c r="E237" s="177"/>
      <c r="F237" s="177"/>
      <c r="G237" s="178">
        <v>1</v>
      </c>
      <c r="H237" s="178">
        <v>10</v>
      </c>
      <c r="I237" s="179">
        <f t="shared" si="14"/>
        <v>11</v>
      </c>
      <c r="J237" s="180">
        <f>VLOOKUP(B237,материал!$B$5:$G$67,5,0)</f>
        <v>0</v>
      </c>
      <c r="K237" s="180">
        <f t="shared" si="13"/>
        <v>0</v>
      </c>
      <c r="L237" s="194"/>
      <c r="M237" s="271" t="str">
        <f>VLOOKUP(B237,материал!$B$5:$H$67,7,0)</f>
        <v>Закуп подярдчика</v>
      </c>
    </row>
    <row r="238" spans="1:13" s="135" customFormat="1" ht="27" customHeight="1" x14ac:dyDescent="0.25">
      <c r="A238" s="181"/>
      <c r="B238" s="189" t="s">
        <v>279</v>
      </c>
      <c r="C238" s="177" t="s">
        <v>282</v>
      </c>
      <c r="D238" s="177" t="s">
        <v>60</v>
      </c>
      <c r="E238" s="177"/>
      <c r="F238" s="177"/>
      <c r="G238" s="178"/>
      <c r="H238" s="178">
        <v>4</v>
      </c>
      <c r="I238" s="179">
        <f t="shared" si="14"/>
        <v>4</v>
      </c>
      <c r="J238" s="180">
        <f>VLOOKUP(B238,материал!$B$5:$G$67,5,0)</f>
        <v>0</v>
      </c>
      <c r="K238" s="180">
        <f t="shared" si="13"/>
        <v>0</v>
      </c>
      <c r="L238" s="194"/>
      <c r="M238" s="271" t="str">
        <f>VLOOKUP(B238,материал!$B$5:$H$67,7,0)</f>
        <v>Закуп подярдчика</v>
      </c>
    </row>
    <row r="239" spans="1:13" s="135" customFormat="1" ht="27" customHeight="1" x14ac:dyDescent="0.25">
      <c r="A239" s="181"/>
      <c r="B239" s="189" t="s">
        <v>281</v>
      </c>
      <c r="C239" s="177" t="s">
        <v>284</v>
      </c>
      <c r="D239" s="177" t="s">
        <v>60</v>
      </c>
      <c r="E239" s="177"/>
      <c r="F239" s="177"/>
      <c r="G239" s="178">
        <v>9</v>
      </c>
      <c r="H239" s="178">
        <v>4</v>
      </c>
      <c r="I239" s="179">
        <f t="shared" si="14"/>
        <v>13</v>
      </c>
      <c r="J239" s="180">
        <f>VLOOKUP(B239,материал!$B$5:$G$67,5,0)</f>
        <v>0</v>
      </c>
      <c r="K239" s="180">
        <f t="shared" si="13"/>
        <v>0</v>
      </c>
      <c r="L239" s="194"/>
      <c r="M239" s="271" t="str">
        <f>VLOOKUP(B239,материал!$B$5:$H$67,7,0)</f>
        <v>Закуп подярдчика</v>
      </c>
    </row>
    <row r="240" spans="1:13" s="135" customFormat="1" ht="27" customHeight="1" x14ac:dyDescent="0.25">
      <c r="A240" s="181"/>
      <c r="B240" s="189" t="s">
        <v>283</v>
      </c>
      <c r="C240" s="177" t="s">
        <v>286</v>
      </c>
      <c r="D240" s="177" t="s">
        <v>60</v>
      </c>
      <c r="E240" s="177"/>
      <c r="F240" s="177"/>
      <c r="G240" s="178">
        <v>1</v>
      </c>
      <c r="H240" s="178">
        <v>1</v>
      </c>
      <c r="I240" s="179">
        <f t="shared" si="14"/>
        <v>2</v>
      </c>
      <c r="J240" s="180">
        <f>VLOOKUP(B240,материал!$B$5:$G$67,5,0)</f>
        <v>0</v>
      </c>
      <c r="K240" s="180">
        <f t="shared" si="13"/>
        <v>0</v>
      </c>
      <c r="L240" s="194"/>
      <c r="M240" s="271" t="str">
        <f>VLOOKUP(B240,материал!$B$5:$H$67,7,0)</f>
        <v>Закуп подярдчика</v>
      </c>
    </row>
    <row r="241" spans="1:13" s="135" customFormat="1" ht="27" customHeight="1" x14ac:dyDescent="0.25">
      <c r="A241" s="181"/>
      <c r="B241" s="189" t="s">
        <v>285</v>
      </c>
      <c r="C241" s="177" t="s">
        <v>288</v>
      </c>
      <c r="D241" s="177" t="s">
        <v>60</v>
      </c>
      <c r="E241" s="177"/>
      <c r="F241" s="177"/>
      <c r="G241" s="178">
        <v>1</v>
      </c>
      <c r="H241" s="178">
        <v>1</v>
      </c>
      <c r="I241" s="179">
        <f t="shared" si="14"/>
        <v>2</v>
      </c>
      <c r="J241" s="180">
        <f>VLOOKUP(B241,материал!$B$5:$G$67,5,0)</f>
        <v>0</v>
      </c>
      <c r="K241" s="180">
        <f t="shared" si="13"/>
        <v>0</v>
      </c>
      <c r="L241" s="194"/>
      <c r="M241" s="271" t="str">
        <f>VLOOKUP(B241,материал!$B$5:$H$67,7,0)</f>
        <v>Закуп подярдчика</v>
      </c>
    </row>
    <row r="242" spans="1:13" s="135" customFormat="1" ht="27" customHeight="1" x14ac:dyDescent="0.25">
      <c r="A242" s="181"/>
      <c r="B242" s="189" t="s">
        <v>287</v>
      </c>
      <c r="C242" s="177" t="s">
        <v>290</v>
      </c>
      <c r="D242" s="177" t="s">
        <v>60</v>
      </c>
      <c r="E242" s="177"/>
      <c r="F242" s="177"/>
      <c r="G242" s="178">
        <v>6</v>
      </c>
      <c r="H242" s="178">
        <v>4</v>
      </c>
      <c r="I242" s="179">
        <f t="shared" si="14"/>
        <v>10</v>
      </c>
      <c r="J242" s="180">
        <f>VLOOKUP(B242,материал!$B$5:$G$67,5,0)</f>
        <v>0</v>
      </c>
      <c r="K242" s="180">
        <f t="shared" si="13"/>
        <v>0</v>
      </c>
      <c r="L242" s="194"/>
      <c r="M242" s="271" t="str">
        <f>VLOOKUP(B242,материал!$B$5:$H$67,7,0)</f>
        <v>Закуп подярдчика</v>
      </c>
    </row>
    <row r="243" spans="1:13" s="135" customFormat="1" ht="27" customHeight="1" x14ac:dyDescent="0.25">
      <c r="A243" s="181"/>
      <c r="B243" s="189" t="s">
        <v>289</v>
      </c>
      <c r="C243" s="177" t="s">
        <v>292</v>
      </c>
      <c r="D243" s="177" t="s">
        <v>60</v>
      </c>
      <c r="E243" s="177"/>
      <c r="F243" s="177"/>
      <c r="G243" s="178">
        <v>20</v>
      </c>
      <c r="H243" s="178">
        <v>26</v>
      </c>
      <c r="I243" s="179">
        <f t="shared" si="14"/>
        <v>46</v>
      </c>
      <c r="J243" s="180">
        <f>VLOOKUP(B243,материал!$B$5:$G$67,5,0)</f>
        <v>0</v>
      </c>
      <c r="K243" s="180">
        <f t="shared" si="13"/>
        <v>0</v>
      </c>
      <c r="L243" s="194"/>
      <c r="M243" s="271" t="str">
        <f>VLOOKUP(B243,материал!$B$5:$H$67,7,0)</f>
        <v>Закуп подярдчика</v>
      </c>
    </row>
    <row r="244" spans="1:13" s="135" customFormat="1" ht="27" customHeight="1" x14ac:dyDescent="0.25">
      <c r="A244" s="181"/>
      <c r="B244" s="189" t="s">
        <v>291</v>
      </c>
      <c r="C244" s="177" t="s">
        <v>294</v>
      </c>
      <c r="D244" s="177" t="s">
        <v>60</v>
      </c>
      <c r="E244" s="177"/>
      <c r="F244" s="177"/>
      <c r="G244" s="178">
        <v>2</v>
      </c>
      <c r="H244" s="178">
        <v>18</v>
      </c>
      <c r="I244" s="179">
        <f t="shared" si="14"/>
        <v>20</v>
      </c>
      <c r="J244" s="180">
        <f>VLOOKUP(B244,материал!$B$5:$G$67,5,0)</f>
        <v>0</v>
      </c>
      <c r="K244" s="180">
        <f t="shared" si="13"/>
        <v>0</v>
      </c>
      <c r="L244" s="194"/>
      <c r="M244" s="271" t="str">
        <f>VLOOKUP(B244,материал!$B$5:$H$67,7,0)</f>
        <v>Закуп подярдчика</v>
      </c>
    </row>
    <row r="245" spans="1:13" s="135" customFormat="1" ht="27" customHeight="1" x14ac:dyDescent="0.25">
      <c r="A245" s="181"/>
      <c r="B245" s="189" t="s">
        <v>313</v>
      </c>
      <c r="C245" s="177" t="s">
        <v>296</v>
      </c>
      <c r="D245" s="177" t="s">
        <v>60</v>
      </c>
      <c r="E245" s="177"/>
      <c r="F245" s="177"/>
      <c r="G245" s="178">
        <v>4</v>
      </c>
      <c r="H245" s="178"/>
      <c r="I245" s="179">
        <f t="shared" si="14"/>
        <v>4</v>
      </c>
      <c r="J245" s="180">
        <f>VLOOKUP(B245,материал!$B$5:$G$67,5,0)</f>
        <v>0</v>
      </c>
      <c r="K245" s="180">
        <f t="shared" si="13"/>
        <v>0</v>
      </c>
      <c r="L245" s="194"/>
      <c r="M245" s="271" t="str">
        <f>VLOOKUP(B245,материал!$B$5:$H$67,7,0)</f>
        <v>Закуп подярдчика</v>
      </c>
    </row>
    <row r="246" spans="1:13" s="135" customFormat="1" ht="27" customHeight="1" x14ac:dyDescent="0.25">
      <c r="A246" s="181"/>
      <c r="B246" s="189" t="s">
        <v>293</v>
      </c>
      <c r="C246" s="177" t="s">
        <v>314</v>
      </c>
      <c r="D246" s="177" t="s">
        <v>60</v>
      </c>
      <c r="E246" s="177"/>
      <c r="F246" s="177"/>
      <c r="G246" s="178">
        <v>4</v>
      </c>
      <c r="H246" s="178"/>
      <c r="I246" s="179">
        <f t="shared" si="14"/>
        <v>4</v>
      </c>
      <c r="J246" s="180">
        <f>VLOOKUP(B246,материал!$B$5:$G$67,5,0)</f>
        <v>0</v>
      </c>
      <c r="K246" s="180">
        <f t="shared" si="13"/>
        <v>0</v>
      </c>
      <c r="L246" s="194"/>
      <c r="M246" s="271" t="str">
        <f>VLOOKUP(B246,материал!$B$5:$H$67,7,0)</f>
        <v>Закуп подярдчика</v>
      </c>
    </row>
    <row r="247" spans="1:13" s="135" customFormat="1" ht="27" customHeight="1" x14ac:dyDescent="0.25">
      <c r="A247" s="181"/>
      <c r="B247" s="189" t="s">
        <v>295</v>
      </c>
      <c r="C247" s="177" t="s">
        <v>118</v>
      </c>
      <c r="D247" s="177" t="s">
        <v>60</v>
      </c>
      <c r="E247" s="177"/>
      <c r="F247" s="177"/>
      <c r="G247" s="178">
        <v>1</v>
      </c>
      <c r="H247" s="178">
        <v>2</v>
      </c>
      <c r="I247" s="179">
        <f t="shared" si="14"/>
        <v>3</v>
      </c>
      <c r="J247" s="180">
        <f>VLOOKUP(B247,материал!$B$5:$G$67,5,0)</f>
        <v>0</v>
      </c>
      <c r="K247" s="180">
        <f t="shared" si="13"/>
        <v>0</v>
      </c>
      <c r="L247" s="194"/>
      <c r="M247" s="271" t="str">
        <f>VLOOKUP(B247,материал!$B$5:$H$67,7,0)</f>
        <v>Закуп подярдчика</v>
      </c>
    </row>
    <row r="248" spans="1:13" s="135" customFormat="1" ht="27" customHeight="1" x14ac:dyDescent="0.25">
      <c r="A248" s="181"/>
      <c r="B248" s="189" t="s">
        <v>315</v>
      </c>
      <c r="C248" s="177" t="s">
        <v>120</v>
      </c>
      <c r="D248" s="177" t="s">
        <v>60</v>
      </c>
      <c r="E248" s="177"/>
      <c r="F248" s="177"/>
      <c r="G248" s="178">
        <v>4</v>
      </c>
      <c r="H248" s="178">
        <v>10</v>
      </c>
      <c r="I248" s="179">
        <f t="shared" si="14"/>
        <v>14</v>
      </c>
      <c r="J248" s="180">
        <f>VLOOKUP(B248,материал!$B$5:$G$67,5,0)</f>
        <v>0</v>
      </c>
      <c r="K248" s="180">
        <f t="shared" si="13"/>
        <v>0</v>
      </c>
      <c r="L248" s="194"/>
      <c r="M248" s="271" t="str">
        <f>VLOOKUP(B248,материал!$B$5:$H$67,7,0)</f>
        <v>Закуп подярдчика</v>
      </c>
    </row>
    <row r="249" spans="1:13" s="135" customFormat="1" ht="12.75" customHeight="1" x14ac:dyDescent="0.25">
      <c r="A249" s="181"/>
      <c r="B249" s="189" t="s">
        <v>92</v>
      </c>
      <c r="C249" s="177" t="s">
        <v>93</v>
      </c>
      <c r="D249" s="177" t="s">
        <v>54</v>
      </c>
      <c r="E249" s="177">
        <v>1.04</v>
      </c>
      <c r="F249" s="177"/>
      <c r="G249" s="178">
        <f>127.56*E249</f>
        <v>132.66240000000002</v>
      </c>
      <c r="H249" s="178">
        <f>180.66*E249</f>
        <v>187.88640000000001</v>
      </c>
      <c r="I249" s="179">
        <f t="shared" si="14"/>
        <v>320.54880000000003</v>
      </c>
      <c r="J249" s="180">
        <f>VLOOKUP(B249,материал!$B$5:$G$67,5,0)</f>
        <v>0</v>
      </c>
      <c r="K249" s="180">
        <f t="shared" si="13"/>
        <v>0</v>
      </c>
      <c r="L249" s="194"/>
      <c r="M249" s="271" t="str">
        <f>VLOOKUP(B249,материал!$B$5:$H$67,7,0)</f>
        <v>Закуп подярдчика</v>
      </c>
    </row>
    <row r="250" spans="1:13" s="135" customFormat="1" ht="12.75" customHeight="1" x14ac:dyDescent="0.25">
      <c r="A250" s="181"/>
      <c r="B250" s="189" t="s">
        <v>94</v>
      </c>
      <c r="C250" s="177" t="s">
        <v>95</v>
      </c>
      <c r="D250" s="177" t="s">
        <v>54</v>
      </c>
      <c r="E250" s="177">
        <v>1.04</v>
      </c>
      <c r="F250" s="177"/>
      <c r="G250" s="178">
        <f>G218*E250</f>
        <v>32.292000000000002</v>
      </c>
      <c r="H250" s="178">
        <f>H218*E250</f>
        <v>46.373600000000003</v>
      </c>
      <c r="I250" s="179">
        <f t="shared" si="14"/>
        <v>78.665600000000012</v>
      </c>
      <c r="J250" s="180">
        <f>VLOOKUP(B250,материал!$B$5:$G$67,5,0)</f>
        <v>0</v>
      </c>
      <c r="K250" s="180">
        <f t="shared" si="13"/>
        <v>0</v>
      </c>
      <c r="L250" s="194"/>
      <c r="M250" s="271" t="str">
        <f>VLOOKUP(B250,материал!$B$5:$H$67,7,0)</f>
        <v>Закуп подярдчика</v>
      </c>
    </row>
    <row r="251" spans="1:13" s="135" customFormat="1" ht="12.75" customHeight="1" x14ac:dyDescent="0.25">
      <c r="A251" s="181"/>
      <c r="B251" s="189" t="s">
        <v>131</v>
      </c>
      <c r="C251" s="177" t="s">
        <v>39</v>
      </c>
      <c r="D251" s="177" t="s">
        <v>54</v>
      </c>
      <c r="E251" s="177">
        <v>1.04</v>
      </c>
      <c r="F251" s="177"/>
      <c r="G251" s="178">
        <f>46.68*E251</f>
        <v>48.547200000000004</v>
      </c>
      <c r="H251" s="178">
        <f>31.12*E251</f>
        <v>32.364800000000002</v>
      </c>
      <c r="I251" s="179">
        <f t="shared" si="14"/>
        <v>80.912000000000006</v>
      </c>
      <c r="J251" s="180">
        <f>VLOOKUP(B251,материал!$B$5:$G$67,5,0)</f>
        <v>0</v>
      </c>
      <c r="K251" s="180">
        <f t="shared" si="13"/>
        <v>0</v>
      </c>
      <c r="L251" s="194"/>
      <c r="M251" s="271" t="str">
        <f>VLOOKUP(B251,материал!$B$5:$H$67,7,0)</f>
        <v>Закуп подярдчика</v>
      </c>
    </row>
    <row r="252" spans="1:13" s="135" customFormat="1" ht="12.75" customHeight="1" x14ac:dyDescent="0.25">
      <c r="A252" s="181"/>
      <c r="B252" s="189" t="s">
        <v>96</v>
      </c>
      <c r="C252" s="177" t="s">
        <v>39</v>
      </c>
      <c r="D252" s="177" t="s">
        <v>54</v>
      </c>
      <c r="E252" s="177">
        <v>1.04</v>
      </c>
      <c r="F252" s="177"/>
      <c r="G252" s="178">
        <f>25.93*E252</f>
        <v>26.967200000000002</v>
      </c>
      <c r="H252" s="178">
        <f>E252*17.2</f>
        <v>17.887999999999998</v>
      </c>
      <c r="I252" s="179">
        <f t="shared" si="14"/>
        <v>44.855199999999996</v>
      </c>
      <c r="J252" s="180">
        <f>VLOOKUP(B252,материал!$B$5:$G$67,5,0)</f>
        <v>0</v>
      </c>
      <c r="K252" s="180">
        <f t="shared" si="13"/>
        <v>0</v>
      </c>
      <c r="L252" s="194"/>
      <c r="M252" s="271" t="str">
        <f>VLOOKUP(B252,материал!$B$5:$H$67,7,0)</f>
        <v>Закуп подярдчика</v>
      </c>
    </row>
    <row r="253" spans="1:13" s="135" customFormat="1" ht="12.75" customHeight="1" x14ac:dyDescent="0.25">
      <c r="A253" s="181"/>
      <c r="B253" s="189" t="s">
        <v>97</v>
      </c>
      <c r="C253" s="177" t="s">
        <v>39</v>
      </c>
      <c r="D253" s="177" t="s">
        <v>54</v>
      </c>
      <c r="E253" s="177">
        <v>1.04</v>
      </c>
      <c r="F253" s="177"/>
      <c r="G253" s="178">
        <f>E253*10.72</f>
        <v>11.148800000000001</v>
      </c>
      <c r="H253" s="178">
        <f>E253*20.84</f>
        <v>21.6736</v>
      </c>
      <c r="I253" s="179">
        <f t="shared" si="14"/>
        <v>32.822400000000002</v>
      </c>
      <c r="J253" s="180">
        <f>VLOOKUP(B253,материал!$B$5:$G$67,5,0)</f>
        <v>0</v>
      </c>
      <c r="K253" s="180">
        <f t="shared" si="13"/>
        <v>0</v>
      </c>
      <c r="L253" s="194"/>
      <c r="M253" s="271" t="str">
        <f>VLOOKUP(B253,материал!$B$5:$H$67,7,0)</f>
        <v>Закуп подярдчика</v>
      </c>
    </row>
    <row r="254" spans="1:13" s="135" customFormat="1" ht="12.75" customHeight="1" x14ac:dyDescent="0.25">
      <c r="A254" s="181"/>
      <c r="B254" s="189" t="s">
        <v>132</v>
      </c>
      <c r="C254" s="177" t="s">
        <v>39</v>
      </c>
      <c r="D254" s="177" t="s">
        <v>54</v>
      </c>
      <c r="E254" s="177">
        <v>1.04</v>
      </c>
      <c r="F254" s="177"/>
      <c r="G254" s="178">
        <f>15.75*E254</f>
        <v>16.38</v>
      </c>
      <c r="H254" s="178">
        <f>10.5*E254</f>
        <v>10.92</v>
      </c>
      <c r="I254" s="179">
        <f t="shared" si="14"/>
        <v>27.299999999999997</v>
      </c>
      <c r="J254" s="180">
        <f>VLOOKUP(B254,материал!$B$5:$G$67,5,0)</f>
        <v>0</v>
      </c>
      <c r="K254" s="180">
        <f t="shared" si="13"/>
        <v>0</v>
      </c>
      <c r="L254" s="194"/>
      <c r="M254" s="271" t="str">
        <f>VLOOKUP(B254,материал!$B$5:$H$67,7,0)</f>
        <v>Закуп подярдчика</v>
      </c>
    </row>
    <row r="255" spans="1:13" s="137" customFormat="1" ht="36.75" customHeight="1" x14ac:dyDescent="0.25">
      <c r="A255" s="181"/>
      <c r="B255" s="189" t="s">
        <v>275</v>
      </c>
      <c r="C255" s="177" t="s">
        <v>276</v>
      </c>
      <c r="D255" s="177" t="s">
        <v>45</v>
      </c>
      <c r="E255" s="177">
        <v>1.04</v>
      </c>
      <c r="F255" s="177"/>
      <c r="G255" s="178">
        <f>G219*0.05*E255</f>
        <v>1.6716960000000001</v>
      </c>
      <c r="H255" s="178">
        <f>H219*0.05*E255</f>
        <v>0</v>
      </c>
      <c r="I255" s="179">
        <f t="shared" si="14"/>
        <v>1.6716960000000001</v>
      </c>
      <c r="J255" s="180">
        <f>VLOOKUP(B255,материал!$B$5:$G$67,5,0)</f>
        <v>0</v>
      </c>
      <c r="K255" s="180">
        <f t="shared" si="13"/>
        <v>0</v>
      </c>
      <c r="L255" s="194"/>
      <c r="M255" s="271" t="str">
        <f>VLOOKUP(B255,материал!$B$5:$H$67,7,0)</f>
        <v>Закуп подярдчика</v>
      </c>
    </row>
    <row r="256" spans="1:13" s="135" customFormat="1" ht="25.5" x14ac:dyDescent="0.25">
      <c r="A256" s="195"/>
      <c r="B256" s="196" t="s">
        <v>133</v>
      </c>
      <c r="C256" s="197" t="s">
        <v>39</v>
      </c>
      <c r="D256" s="197" t="s">
        <v>99</v>
      </c>
      <c r="E256" s="197"/>
      <c r="F256" s="197"/>
      <c r="G256" s="198"/>
      <c r="H256" s="198"/>
      <c r="I256" s="199">
        <f ca="1">SUMIF(материал!$B$5:$G$67,B256,материал!$E$5:$E$67)</f>
        <v>0</v>
      </c>
      <c r="J256" s="179"/>
      <c r="K256" s="180">
        <f ca="1">SUM(K222:K255)*I256%</f>
        <v>0</v>
      </c>
      <c r="L256" s="200"/>
      <c r="M256" s="274" t="str">
        <f>VLOOKUP(B256,материал!$B$5:$H$67,7,0)</f>
        <v>Закуп подярдчика</v>
      </c>
    </row>
    <row r="257" spans="1:13" s="135" customFormat="1" x14ac:dyDescent="0.25">
      <c r="A257" s="160" t="s">
        <v>140</v>
      </c>
      <c r="B257" s="161" t="s">
        <v>141</v>
      </c>
      <c r="C257" s="162"/>
      <c r="D257" s="163"/>
      <c r="E257" s="162"/>
      <c r="F257" s="162"/>
      <c r="G257" s="164"/>
      <c r="H257" s="164"/>
      <c r="I257" s="165"/>
      <c r="J257" s="165"/>
      <c r="K257" s="165">
        <f ca="1">K258+K271</f>
        <v>0</v>
      </c>
      <c r="L257" s="186"/>
      <c r="M257" s="273" t="e">
        <f>VLOOKUP(B257,материал!$B$5:$H$67,7,0)</f>
        <v>#N/A</v>
      </c>
    </row>
    <row r="258" spans="1:13" s="135" customFormat="1" ht="12.75" customHeight="1" x14ac:dyDescent="0.25">
      <c r="A258" s="166"/>
      <c r="B258" s="167" t="s">
        <v>34</v>
      </c>
      <c r="C258" s="168"/>
      <c r="D258" s="168"/>
      <c r="E258" s="168"/>
      <c r="F258" s="168"/>
      <c r="G258" s="169"/>
      <c r="H258" s="169"/>
      <c r="I258" s="170"/>
      <c r="J258" s="170"/>
      <c r="K258" s="170">
        <f>SUM(K259:K269)</f>
        <v>0</v>
      </c>
      <c r="L258" s="172"/>
      <c r="M258" s="270" t="e">
        <f>VLOOKUP(B258,материал!$B$5:$H$67,7,0)</f>
        <v>#N/A</v>
      </c>
    </row>
    <row r="259" spans="1:13" s="135" customFormat="1" ht="24" customHeight="1" x14ac:dyDescent="0.25">
      <c r="A259" s="166"/>
      <c r="B259" s="171" t="s">
        <v>44</v>
      </c>
      <c r="C259" s="172"/>
      <c r="D259" s="172" t="s">
        <v>45</v>
      </c>
      <c r="E259" s="172"/>
      <c r="F259" s="172"/>
      <c r="G259" s="173">
        <v>26.31</v>
      </c>
      <c r="H259" s="173">
        <v>34.979999999999997</v>
      </c>
      <c r="I259" s="170">
        <f t="shared" ref="I259:I270" si="15">SUM(G259:H259)</f>
        <v>61.289999999999992</v>
      </c>
      <c r="J259" s="174">
        <f>VLOOKUP(B259,работы!$B$5:$F$19,4,0)</f>
        <v>0</v>
      </c>
      <c r="K259" s="174">
        <f t="shared" si="13"/>
        <v>0</v>
      </c>
      <c r="L259" s="172"/>
      <c r="M259" s="270" t="e">
        <f>VLOOKUP(B259,материал!$B$5:$H$67,7,0)</f>
        <v>#N/A</v>
      </c>
    </row>
    <row r="260" spans="1:13" s="135" customFormat="1" ht="12.75" customHeight="1" x14ac:dyDescent="0.25">
      <c r="A260" s="166"/>
      <c r="B260" s="171" t="s">
        <v>102</v>
      </c>
      <c r="C260" s="172"/>
      <c r="D260" s="172" t="s">
        <v>45</v>
      </c>
      <c r="E260" s="172"/>
      <c r="F260" s="172"/>
      <c r="G260" s="173">
        <v>1.72</v>
      </c>
      <c r="H260" s="173">
        <v>2.6</v>
      </c>
      <c r="I260" s="170">
        <f t="shared" si="15"/>
        <v>4.32</v>
      </c>
      <c r="J260" s="174">
        <f>VLOOKUP(B260,работы!$B$5:$F$19,4,0)</f>
        <v>0</v>
      </c>
      <c r="K260" s="174">
        <f t="shared" si="13"/>
        <v>0</v>
      </c>
      <c r="L260" s="172"/>
      <c r="M260" s="270" t="e">
        <f>VLOOKUP(B260,материал!$B$5:$H$67,7,0)</f>
        <v>#N/A</v>
      </c>
    </row>
    <row r="261" spans="1:13" s="135" customFormat="1" ht="24" customHeight="1" x14ac:dyDescent="0.25">
      <c r="A261" s="166"/>
      <c r="B261" s="171" t="s">
        <v>46</v>
      </c>
      <c r="C261" s="172"/>
      <c r="D261" s="172" t="s">
        <v>47</v>
      </c>
      <c r="E261" s="172"/>
      <c r="F261" s="172"/>
      <c r="G261" s="173">
        <v>102.26</v>
      </c>
      <c r="H261" s="173">
        <v>178.68</v>
      </c>
      <c r="I261" s="170">
        <f t="shared" si="15"/>
        <v>280.94</v>
      </c>
      <c r="J261" s="174">
        <f>VLOOKUP(B261,работы!$B$5:$F$19,4,0)</f>
        <v>0</v>
      </c>
      <c r="K261" s="174">
        <f t="shared" si="13"/>
        <v>0</v>
      </c>
      <c r="L261" s="172"/>
      <c r="M261" s="270" t="e">
        <f>VLOOKUP(B261,материал!$B$5:$H$67,7,0)</f>
        <v>#N/A</v>
      </c>
    </row>
    <row r="262" spans="1:13" s="135" customFormat="1" ht="24" customHeight="1" x14ac:dyDescent="0.25">
      <c r="A262" s="166"/>
      <c r="B262" s="171" t="s">
        <v>48</v>
      </c>
      <c r="C262" s="172"/>
      <c r="D262" s="172" t="s">
        <v>47</v>
      </c>
      <c r="E262" s="172"/>
      <c r="F262" s="172"/>
      <c r="G262" s="173">
        <v>53.68</v>
      </c>
      <c r="H262" s="173">
        <v>110.37</v>
      </c>
      <c r="I262" s="170">
        <f t="shared" si="15"/>
        <v>164.05</v>
      </c>
      <c r="J262" s="174">
        <f>VLOOKUP(B262,работы!$B$5:$F$19,4,0)</f>
        <v>0</v>
      </c>
      <c r="K262" s="174">
        <f t="shared" si="13"/>
        <v>0</v>
      </c>
      <c r="L262" s="172"/>
      <c r="M262" s="270" t="e">
        <f>VLOOKUP(B262,материал!$B$5:$H$67,7,0)</f>
        <v>#N/A</v>
      </c>
    </row>
    <row r="263" spans="1:13" s="135" customFormat="1" ht="24" customHeight="1" x14ac:dyDescent="0.25">
      <c r="A263" s="166"/>
      <c r="B263" s="171" t="s">
        <v>103</v>
      </c>
      <c r="C263" s="172"/>
      <c r="D263" s="172" t="s">
        <v>47</v>
      </c>
      <c r="E263" s="172"/>
      <c r="F263" s="172"/>
      <c r="G263" s="173">
        <v>114.29</v>
      </c>
      <c r="H263" s="173">
        <v>184.88</v>
      </c>
      <c r="I263" s="170">
        <f t="shared" si="15"/>
        <v>299.17</v>
      </c>
      <c r="J263" s="174">
        <f>VLOOKUP(B263,работы!$B$5:$F$19,4,0)</f>
        <v>0</v>
      </c>
      <c r="K263" s="174">
        <f t="shared" si="13"/>
        <v>0</v>
      </c>
      <c r="L263" s="172"/>
      <c r="M263" s="270" t="e">
        <f>VLOOKUP(B263,материал!$B$5:$H$67,7,0)</f>
        <v>#N/A</v>
      </c>
    </row>
    <row r="264" spans="1:13" s="135" customFormat="1" ht="24" customHeight="1" x14ac:dyDescent="0.25">
      <c r="A264" s="166"/>
      <c r="B264" s="171" t="s">
        <v>104</v>
      </c>
      <c r="C264" s="172"/>
      <c r="D264" s="172" t="s">
        <v>47</v>
      </c>
      <c r="E264" s="172"/>
      <c r="F264" s="172"/>
      <c r="G264" s="173">
        <v>133.18</v>
      </c>
      <c r="H264" s="173">
        <v>189.83</v>
      </c>
      <c r="I264" s="170">
        <f t="shared" si="15"/>
        <v>323.01</v>
      </c>
      <c r="J264" s="174">
        <f>VLOOKUP(B264,работы!$B$5:$F$19,4,0)</f>
        <v>0</v>
      </c>
      <c r="K264" s="174">
        <f t="shared" si="13"/>
        <v>0</v>
      </c>
      <c r="L264" s="172"/>
      <c r="M264" s="270" t="e">
        <f>VLOOKUP(B264,материал!$B$5:$H$67,7,0)</f>
        <v>#N/A</v>
      </c>
    </row>
    <row r="265" spans="1:13" s="135" customFormat="1" ht="12.75" customHeight="1" x14ac:dyDescent="0.25">
      <c r="A265" s="166"/>
      <c r="B265" s="171" t="s">
        <v>49</v>
      </c>
      <c r="C265" s="172"/>
      <c r="D265" s="172" t="s">
        <v>47</v>
      </c>
      <c r="E265" s="172"/>
      <c r="F265" s="172"/>
      <c r="G265" s="173">
        <v>52.46</v>
      </c>
      <c r="H265" s="173">
        <v>38.6</v>
      </c>
      <c r="I265" s="170">
        <f t="shared" si="15"/>
        <v>91.06</v>
      </c>
      <c r="J265" s="174">
        <f>VLOOKUP(B265,работы!$B$5:$F$19,4,0)</f>
        <v>0</v>
      </c>
      <c r="K265" s="174">
        <f t="shared" si="13"/>
        <v>0</v>
      </c>
      <c r="L265" s="172"/>
      <c r="M265" s="270" t="e">
        <f>VLOOKUP(B265,материал!$B$5:$H$67,7,0)</f>
        <v>#N/A</v>
      </c>
    </row>
    <row r="266" spans="1:13" s="135" customFormat="1" ht="12.75" customHeight="1" x14ac:dyDescent="0.25">
      <c r="A266" s="166"/>
      <c r="B266" s="171" t="s">
        <v>50</v>
      </c>
      <c r="C266" s="172"/>
      <c r="D266" s="172" t="s">
        <v>51</v>
      </c>
      <c r="E266" s="172"/>
      <c r="F266" s="172"/>
      <c r="G266" s="173">
        <v>71</v>
      </c>
      <c r="H266" s="173">
        <v>94</v>
      </c>
      <c r="I266" s="170">
        <f t="shared" si="15"/>
        <v>165</v>
      </c>
      <c r="J266" s="174">
        <f>VLOOKUP(B266,работы!$B$5:$F$19,4,0)</f>
        <v>0</v>
      </c>
      <c r="K266" s="174">
        <f t="shared" si="13"/>
        <v>0</v>
      </c>
      <c r="L266" s="172"/>
      <c r="M266" s="270" t="e">
        <f>VLOOKUP(B266,материал!$B$5:$H$67,7,0)</f>
        <v>#N/A</v>
      </c>
    </row>
    <row r="267" spans="1:13" s="135" customFormat="1" ht="12.75" customHeight="1" x14ac:dyDescent="0.25">
      <c r="A267" s="166"/>
      <c r="B267" s="171" t="s">
        <v>52</v>
      </c>
      <c r="C267" s="172" t="s">
        <v>105</v>
      </c>
      <c r="D267" s="172" t="s">
        <v>54</v>
      </c>
      <c r="E267" s="172"/>
      <c r="F267" s="172"/>
      <c r="G267" s="173">
        <v>99.09</v>
      </c>
      <c r="H267" s="173">
        <v>79.66</v>
      </c>
      <c r="I267" s="170">
        <f t="shared" si="15"/>
        <v>178.75</v>
      </c>
      <c r="J267" s="174">
        <f>VLOOKUP(B267,работы!$B$5:$F$19,4,0)</f>
        <v>0</v>
      </c>
      <c r="K267" s="174">
        <f t="shared" si="13"/>
        <v>0</v>
      </c>
      <c r="L267" s="172"/>
      <c r="M267" s="270" t="e">
        <f>VLOOKUP(B267,материал!$B$5:$H$67,7,0)</f>
        <v>#N/A</v>
      </c>
    </row>
    <row r="268" spans="1:13" s="135" customFormat="1" ht="24.95" customHeight="1" x14ac:dyDescent="0.25">
      <c r="A268" s="166"/>
      <c r="B268" s="171" t="s">
        <v>55</v>
      </c>
      <c r="C268" s="172"/>
      <c r="D268" s="172" t="s">
        <v>54</v>
      </c>
      <c r="E268" s="172"/>
      <c r="F268" s="172"/>
      <c r="G268" s="173">
        <v>31.05</v>
      </c>
      <c r="H268" s="173">
        <v>44.59</v>
      </c>
      <c r="I268" s="170">
        <f t="shared" si="15"/>
        <v>75.64</v>
      </c>
      <c r="J268" s="174">
        <f>VLOOKUP(B268,работы!$B$5:$F$19,4,0)</f>
        <v>0</v>
      </c>
      <c r="K268" s="174">
        <f t="shared" si="13"/>
        <v>0</v>
      </c>
      <c r="L268" s="172"/>
      <c r="M268" s="270" t="e">
        <f>VLOOKUP(B268,материал!$B$5:$H$67,7,0)</f>
        <v>#N/A</v>
      </c>
    </row>
    <row r="269" spans="1:13" s="135" customFormat="1" ht="12.75" customHeight="1" x14ac:dyDescent="0.25">
      <c r="A269" s="166"/>
      <c r="B269" s="171" t="s">
        <v>256</v>
      </c>
      <c r="C269" s="172"/>
      <c r="D269" s="172" t="s">
        <v>47</v>
      </c>
      <c r="E269" s="172"/>
      <c r="F269" s="172"/>
      <c r="G269" s="173">
        <f>11.4*2.82</f>
        <v>32.147999999999996</v>
      </c>
      <c r="H269" s="173"/>
      <c r="I269" s="170">
        <f t="shared" si="15"/>
        <v>32.147999999999996</v>
      </c>
      <c r="J269" s="174">
        <f>VLOOKUP(B269,работы!$B$5:$F$19,4,0)</f>
        <v>0</v>
      </c>
      <c r="K269" s="174">
        <f t="shared" si="13"/>
        <v>0</v>
      </c>
      <c r="L269" s="172"/>
      <c r="M269" s="270" t="e">
        <f>VLOOKUP(B269,материал!$B$5:$H$67,7,0)</f>
        <v>#N/A</v>
      </c>
    </row>
    <row r="270" spans="1:13" s="135" customFormat="1" ht="12.75" customHeight="1" x14ac:dyDescent="0.25">
      <c r="A270" s="166"/>
      <c r="B270" s="187" t="s">
        <v>56</v>
      </c>
      <c r="C270" s="188"/>
      <c r="D270" s="188" t="s">
        <v>45</v>
      </c>
      <c r="E270" s="188"/>
      <c r="F270" s="188"/>
      <c r="G270" s="173">
        <f>255.08*0.06*0.03</f>
        <v>0.459144</v>
      </c>
      <c r="H270" s="173">
        <f>366.31*0.06*0.03</f>
        <v>0.659358</v>
      </c>
      <c r="I270" s="170">
        <f t="shared" si="15"/>
        <v>1.1185019999999999</v>
      </c>
      <c r="J270" s="174"/>
      <c r="K270" s="174"/>
      <c r="L270" s="188"/>
      <c r="M270" s="270" t="e">
        <f>VLOOKUP(B270,материал!$B$5:$H$67,7,0)</f>
        <v>#N/A</v>
      </c>
    </row>
    <row r="271" spans="1:13" s="135" customFormat="1" x14ac:dyDescent="0.25">
      <c r="A271" s="175"/>
      <c r="B271" s="176" t="s">
        <v>38</v>
      </c>
      <c r="C271" s="177"/>
      <c r="D271" s="177"/>
      <c r="E271" s="177"/>
      <c r="F271" s="177"/>
      <c r="G271" s="178"/>
      <c r="H271" s="178"/>
      <c r="I271" s="179"/>
      <c r="J271" s="180"/>
      <c r="K271" s="179">
        <f ca="1">SUM(K272:K306)</f>
        <v>0</v>
      </c>
      <c r="L271" s="177"/>
      <c r="M271" s="271"/>
    </row>
    <row r="272" spans="1:13" s="135" customFormat="1" ht="25.5" x14ac:dyDescent="0.25">
      <c r="A272" s="181"/>
      <c r="B272" s="182" t="s">
        <v>58</v>
      </c>
      <c r="C272" s="177" t="s">
        <v>59</v>
      </c>
      <c r="D272" s="177" t="s">
        <v>60</v>
      </c>
      <c r="E272" s="178">
        <v>12.4</v>
      </c>
      <c r="F272" s="177">
        <v>0.25</v>
      </c>
      <c r="G272" s="183">
        <f>G259/F272*E272</f>
        <v>1304.9759999999999</v>
      </c>
      <c r="H272" s="183">
        <f>H259/F272*E272</f>
        <v>1735.0079999999998</v>
      </c>
      <c r="I272" s="184">
        <f t="shared" ref="I272:I305" si="16">SUM(G272:H272)</f>
        <v>3039.9839999999995</v>
      </c>
      <c r="J272" s="180">
        <f>VLOOKUP(B272,материал!$B$5:$G$67,5,0)</f>
        <v>0</v>
      </c>
      <c r="K272" s="180">
        <f t="shared" si="13"/>
        <v>0</v>
      </c>
      <c r="L272" s="177"/>
      <c r="M272" s="271" t="str">
        <f>VLOOKUP(B272,материал!$B$5:$H$67,7,0)</f>
        <v>Давальческий материал</v>
      </c>
    </row>
    <row r="273" spans="1:13" s="135" customFormat="1" ht="25.5" x14ac:dyDescent="0.25">
      <c r="A273" s="181"/>
      <c r="B273" s="182" t="s">
        <v>62</v>
      </c>
      <c r="C273" s="177" t="s">
        <v>63</v>
      </c>
      <c r="D273" s="177" t="s">
        <v>60</v>
      </c>
      <c r="E273" s="178">
        <v>12.4</v>
      </c>
      <c r="F273" s="177"/>
      <c r="G273" s="183">
        <f>G261*E273</f>
        <v>1268.0240000000001</v>
      </c>
      <c r="H273" s="183">
        <f>H261*E273</f>
        <v>2215.6320000000001</v>
      </c>
      <c r="I273" s="184">
        <f t="shared" si="16"/>
        <v>3483.6559999999999</v>
      </c>
      <c r="J273" s="180">
        <f>VLOOKUP(B273,материал!$B$5:$G$67,5,0)</f>
        <v>0</v>
      </c>
      <c r="K273" s="180">
        <f t="shared" si="13"/>
        <v>0</v>
      </c>
      <c r="L273" s="177"/>
      <c r="M273" s="271" t="str">
        <f>VLOOKUP(B273,материал!$B$5:$H$67,7,0)</f>
        <v>Давальческий материал</v>
      </c>
    </row>
    <row r="274" spans="1:13" s="135" customFormat="1" ht="25.5" x14ac:dyDescent="0.25">
      <c r="A274" s="181"/>
      <c r="B274" s="182" t="s">
        <v>64</v>
      </c>
      <c r="C274" s="177" t="s">
        <v>65</v>
      </c>
      <c r="D274" s="177" t="s">
        <v>60</v>
      </c>
      <c r="E274" s="178">
        <v>12.4</v>
      </c>
      <c r="F274" s="177"/>
      <c r="G274" s="183">
        <f>G262*E274</f>
        <v>665.63200000000006</v>
      </c>
      <c r="H274" s="183">
        <f>H262*E274</f>
        <v>1368.5880000000002</v>
      </c>
      <c r="I274" s="184">
        <f t="shared" si="16"/>
        <v>2034.2200000000003</v>
      </c>
      <c r="J274" s="180">
        <f>VLOOKUP(B274,материал!$B$5:$G$67,5,0)</f>
        <v>0</v>
      </c>
      <c r="K274" s="180">
        <f t="shared" si="13"/>
        <v>0</v>
      </c>
      <c r="L274" s="177"/>
      <c r="M274" s="271" t="str">
        <f>VLOOKUP(B274,материал!$B$5:$H$67,7,0)</f>
        <v>Давальческий материал</v>
      </c>
    </row>
    <row r="275" spans="1:13" s="135" customFormat="1" ht="25.5" x14ac:dyDescent="0.25">
      <c r="A275" s="181"/>
      <c r="B275" s="182" t="s">
        <v>106</v>
      </c>
      <c r="C275" s="177" t="s">
        <v>107</v>
      </c>
      <c r="D275" s="177" t="s">
        <v>60</v>
      </c>
      <c r="E275" s="178">
        <v>12.4</v>
      </c>
      <c r="F275" s="177"/>
      <c r="G275" s="183">
        <f>G263*E275</f>
        <v>1417.1960000000001</v>
      </c>
      <c r="H275" s="183">
        <f>H263*E275</f>
        <v>2292.5120000000002</v>
      </c>
      <c r="I275" s="184">
        <f t="shared" si="16"/>
        <v>3709.7080000000005</v>
      </c>
      <c r="J275" s="180">
        <f>VLOOKUP(B275,материал!$B$5:$G$67,5,0)</f>
        <v>0</v>
      </c>
      <c r="K275" s="180">
        <f t="shared" si="13"/>
        <v>0</v>
      </c>
      <c r="L275" s="177"/>
      <c r="M275" s="271" t="str">
        <f>VLOOKUP(B275,материал!$B$5:$H$67,7,0)</f>
        <v>Давальческий материал</v>
      </c>
    </row>
    <row r="276" spans="1:13" s="135" customFormat="1" ht="25.5" x14ac:dyDescent="0.25">
      <c r="A276" s="181"/>
      <c r="B276" s="182" t="s">
        <v>108</v>
      </c>
      <c r="C276" s="177" t="s">
        <v>109</v>
      </c>
      <c r="D276" s="177" t="s">
        <v>60</v>
      </c>
      <c r="E276" s="178">
        <v>12.4</v>
      </c>
      <c r="F276" s="177"/>
      <c r="G276" s="183">
        <f>G264*E276</f>
        <v>1651.4320000000002</v>
      </c>
      <c r="H276" s="183">
        <f>H264*E276</f>
        <v>2353.8920000000003</v>
      </c>
      <c r="I276" s="184">
        <f t="shared" si="16"/>
        <v>4005.3240000000005</v>
      </c>
      <c r="J276" s="180">
        <f>VLOOKUP(B276,материал!$B$5:$G$67,5,0)</f>
        <v>0</v>
      </c>
      <c r="K276" s="180">
        <f t="shared" si="13"/>
        <v>0</v>
      </c>
      <c r="L276" s="177"/>
      <c r="M276" s="271" t="str">
        <f>VLOOKUP(B276,материал!$B$5:$H$67,7,0)</f>
        <v>Давальческий материал</v>
      </c>
    </row>
    <row r="277" spans="1:13" s="135" customFormat="1" x14ac:dyDescent="0.25">
      <c r="A277" s="181"/>
      <c r="B277" s="189" t="s">
        <v>66</v>
      </c>
      <c r="C277" s="177" t="s">
        <v>67</v>
      </c>
      <c r="D277" s="177" t="s">
        <v>60</v>
      </c>
      <c r="E277" s="190">
        <v>42</v>
      </c>
      <c r="F277" s="190"/>
      <c r="G277" s="183">
        <f>G265*E277</f>
        <v>2203.3200000000002</v>
      </c>
      <c r="H277" s="183">
        <f>H265*E277</f>
        <v>1621.2</v>
      </c>
      <c r="I277" s="184">
        <f t="shared" si="16"/>
        <v>3824.5200000000004</v>
      </c>
      <c r="J277" s="180">
        <f>VLOOKUP(B277,материал!$B$5:$G$67,5,0)</f>
        <v>0</v>
      </c>
      <c r="K277" s="180">
        <f t="shared" si="13"/>
        <v>0</v>
      </c>
      <c r="L277" s="177"/>
      <c r="M277" s="271" t="str">
        <f>VLOOKUP(B277,материал!$B$5:$H$67,7,0)</f>
        <v>Давальческий материал</v>
      </c>
    </row>
    <row r="278" spans="1:13" s="135" customFormat="1" ht="12.75" customHeight="1" x14ac:dyDescent="0.25">
      <c r="A278" s="181"/>
      <c r="B278" s="189" t="s">
        <v>110</v>
      </c>
      <c r="C278" s="177" t="s">
        <v>111</v>
      </c>
      <c r="D278" s="177" t="s">
        <v>60</v>
      </c>
      <c r="E278" s="190">
        <v>42</v>
      </c>
      <c r="F278" s="190"/>
      <c r="G278" s="183">
        <f>G260/0.25*E278</f>
        <v>288.95999999999998</v>
      </c>
      <c r="H278" s="183">
        <f>H260/0.25*E278</f>
        <v>436.8</v>
      </c>
      <c r="I278" s="184">
        <f t="shared" si="16"/>
        <v>725.76</v>
      </c>
      <c r="J278" s="180">
        <f>VLOOKUP(B278,материал!$B$5:$G$67,5,0)</f>
        <v>0</v>
      </c>
      <c r="K278" s="180">
        <f t="shared" si="13"/>
        <v>0</v>
      </c>
      <c r="L278" s="177"/>
      <c r="M278" s="271" t="str">
        <f>VLOOKUP(B278,материал!$B$5:$H$67,7,0)</f>
        <v>Давальческий материал</v>
      </c>
    </row>
    <row r="279" spans="1:13" s="135" customFormat="1" ht="12.75" customHeight="1" x14ac:dyDescent="0.25">
      <c r="A279" s="181"/>
      <c r="B279" s="191" t="s">
        <v>69</v>
      </c>
      <c r="C279" s="177" t="s">
        <v>70</v>
      </c>
      <c r="D279" s="177" t="s">
        <v>45</v>
      </c>
      <c r="E279" s="177">
        <v>0.19500000000000001</v>
      </c>
      <c r="F279" s="190"/>
      <c r="G279" s="178">
        <f>G259*E279+G261*E279*0.19+G262*E279*0.19+G263*E279*0.09+G264*E279*0.09</f>
        <v>15.251125500000001</v>
      </c>
      <c r="H279" s="178">
        <f>H259*E279+H261*E279*0.19+H262*E279*0.19+H263*E279*0.09+H264*E279*0.09</f>
        <v>24.106563000000001</v>
      </c>
      <c r="I279" s="179">
        <f t="shared" si="16"/>
        <v>39.357688500000002</v>
      </c>
      <c r="J279" s="180">
        <f>VLOOKUP(B279,материал!$B$5:$G$67,5,0)</f>
        <v>0</v>
      </c>
      <c r="K279" s="180">
        <f t="shared" ref="K279:K342" si="17">I279*J279</f>
        <v>0</v>
      </c>
      <c r="L279" s="177"/>
      <c r="M279" s="271" t="str">
        <f>VLOOKUP(B279,материал!$B$5:$H$67,7,0)</f>
        <v>Закуп подярдчика</v>
      </c>
    </row>
    <row r="280" spans="1:13" s="135" customFormat="1" ht="12.75" customHeight="1" x14ac:dyDescent="0.25">
      <c r="A280" s="192"/>
      <c r="B280" s="191" t="s">
        <v>112</v>
      </c>
      <c r="C280" s="177" t="s">
        <v>70</v>
      </c>
      <c r="D280" s="177" t="s">
        <v>45</v>
      </c>
      <c r="E280" s="177">
        <v>0.24</v>
      </c>
      <c r="F280" s="177"/>
      <c r="G280" s="178">
        <f>G260*E280</f>
        <v>0.4128</v>
      </c>
      <c r="H280" s="178">
        <f>H260*E280</f>
        <v>0.624</v>
      </c>
      <c r="I280" s="179">
        <f t="shared" si="16"/>
        <v>1.0367999999999999</v>
      </c>
      <c r="J280" s="180">
        <f>VLOOKUP(B280,материал!$B$5:$G$67,5,0)</f>
        <v>0</v>
      </c>
      <c r="K280" s="180">
        <f t="shared" si="17"/>
        <v>0</v>
      </c>
      <c r="L280" s="177"/>
      <c r="M280" s="271" t="str">
        <f>VLOOKUP(B280,материал!$B$5:$H$67,7,0)</f>
        <v>Закуп подярдчика</v>
      </c>
    </row>
    <row r="281" spans="1:13" s="135" customFormat="1" ht="12.75" customHeight="1" x14ac:dyDescent="0.25">
      <c r="A281" s="192"/>
      <c r="B281" s="191" t="s">
        <v>72</v>
      </c>
      <c r="C281" s="177" t="s">
        <v>70</v>
      </c>
      <c r="D281" s="177" t="s">
        <v>45</v>
      </c>
      <c r="E281" s="177">
        <v>4.5999999999999999E-2</v>
      </c>
      <c r="F281" s="177"/>
      <c r="G281" s="178">
        <f>G265*E281</f>
        <v>2.41316</v>
      </c>
      <c r="H281" s="178">
        <f>H265*E281</f>
        <v>1.7756000000000001</v>
      </c>
      <c r="I281" s="179">
        <f t="shared" si="16"/>
        <v>4.1887600000000003</v>
      </c>
      <c r="J281" s="180">
        <f>VLOOKUP(B281,материал!$B$5:$G$67,5,0)</f>
        <v>0</v>
      </c>
      <c r="K281" s="180">
        <f t="shared" si="17"/>
        <v>0</v>
      </c>
      <c r="L281" s="177"/>
      <c r="M281" s="271" t="str">
        <f>VLOOKUP(B281,материал!$B$5:$H$67,7,0)</f>
        <v>Закуп подярдчика</v>
      </c>
    </row>
    <row r="282" spans="1:13" s="135" customFormat="1" ht="12.75" customHeight="1" x14ac:dyDescent="0.25">
      <c r="A282" s="192"/>
      <c r="B282" s="191" t="s">
        <v>74</v>
      </c>
      <c r="C282" s="177" t="s">
        <v>70</v>
      </c>
      <c r="D282" s="177" t="s">
        <v>45</v>
      </c>
      <c r="E282" s="177">
        <v>1.01</v>
      </c>
      <c r="F282" s="177"/>
      <c r="G282" s="178">
        <f>G270*E282</f>
        <v>0.46373544</v>
      </c>
      <c r="H282" s="178">
        <f>H270*E282</f>
        <v>0.66595157999999999</v>
      </c>
      <c r="I282" s="179">
        <f t="shared" si="16"/>
        <v>1.12968702</v>
      </c>
      <c r="J282" s="180">
        <f>VLOOKUP(B282,материал!$B$5:$G$67,5,0)</f>
        <v>0</v>
      </c>
      <c r="K282" s="180">
        <f t="shared" si="17"/>
        <v>0</v>
      </c>
      <c r="L282" s="177"/>
      <c r="M282" s="271" t="str">
        <f>VLOOKUP(B282,материал!$B$5:$H$67,7,0)</f>
        <v>Закуп подярдчика</v>
      </c>
    </row>
    <row r="283" spans="1:13" s="135" customFormat="1" ht="12.75" customHeight="1" x14ac:dyDescent="0.25">
      <c r="A283" s="181"/>
      <c r="B283" s="189" t="s">
        <v>75</v>
      </c>
      <c r="C283" s="177" t="s">
        <v>70</v>
      </c>
      <c r="D283" s="177" t="s">
        <v>45</v>
      </c>
      <c r="E283" s="177">
        <v>6.0000000000000001E-3</v>
      </c>
      <c r="F283" s="177"/>
      <c r="G283" s="178">
        <f>G266*E283</f>
        <v>0.42599999999999999</v>
      </c>
      <c r="H283" s="178">
        <f>H266*E283</f>
        <v>0.56400000000000006</v>
      </c>
      <c r="I283" s="179">
        <f t="shared" si="16"/>
        <v>0.99</v>
      </c>
      <c r="J283" s="180">
        <f>VLOOKUP(B283,материал!$B$5:$G$67,5,0)</f>
        <v>0</v>
      </c>
      <c r="K283" s="180">
        <f t="shared" si="17"/>
        <v>0</v>
      </c>
      <c r="L283" s="177"/>
      <c r="M283" s="271" t="str">
        <f>VLOOKUP(B283,материал!$B$5:$H$67,7,0)</f>
        <v>Закуп подярдчика</v>
      </c>
    </row>
    <row r="284" spans="1:13" s="135" customFormat="1" ht="12.75" customHeight="1" x14ac:dyDescent="0.25">
      <c r="A284" s="181"/>
      <c r="B284" s="189" t="s">
        <v>77</v>
      </c>
      <c r="C284" s="177" t="s">
        <v>70</v>
      </c>
      <c r="D284" s="177" t="s">
        <v>45</v>
      </c>
      <c r="E284" s="177">
        <v>1.01</v>
      </c>
      <c r="F284" s="177"/>
      <c r="G284" s="193">
        <v>5.3999999999999999E-2</v>
      </c>
      <c r="H284" s="193">
        <v>8.6999999999999994E-2</v>
      </c>
      <c r="I284" s="179">
        <f t="shared" si="16"/>
        <v>0.14099999999999999</v>
      </c>
      <c r="J284" s="180">
        <f>VLOOKUP(B284,материал!$B$5:$G$67,5,0)</f>
        <v>0</v>
      </c>
      <c r="K284" s="180">
        <f t="shared" si="17"/>
        <v>0</v>
      </c>
      <c r="L284" s="194"/>
      <c r="M284" s="271" t="str">
        <f>VLOOKUP(B284,материал!$B$5:$H$67,7,0)</f>
        <v>Закуп подярдчика</v>
      </c>
    </row>
    <row r="285" spans="1:13" s="135" customFormat="1" ht="12.75" customHeight="1" x14ac:dyDescent="0.25">
      <c r="A285" s="181"/>
      <c r="B285" s="189" t="s">
        <v>78</v>
      </c>
      <c r="C285" s="177" t="s">
        <v>79</v>
      </c>
      <c r="D285" s="177" t="s">
        <v>47</v>
      </c>
      <c r="E285" s="177"/>
      <c r="F285" s="177"/>
      <c r="G285" s="178">
        <v>153.38</v>
      </c>
      <c r="H285" s="178">
        <v>226.65</v>
      </c>
      <c r="I285" s="179">
        <f t="shared" si="16"/>
        <v>380.03</v>
      </c>
      <c r="J285" s="180">
        <f>VLOOKUP(B285,материал!$B$5:$G$67,5,0)</f>
        <v>0</v>
      </c>
      <c r="K285" s="180">
        <f t="shared" si="17"/>
        <v>0</v>
      </c>
      <c r="L285" s="194"/>
      <c r="M285" s="271" t="str">
        <f>VLOOKUP(B285,материал!$B$5:$H$67,7,0)</f>
        <v>Закуп подярдчика</v>
      </c>
    </row>
    <row r="286" spans="1:13" s="135" customFormat="1" ht="30.75" customHeight="1" x14ac:dyDescent="0.25">
      <c r="A286" s="181"/>
      <c r="B286" s="189" t="s">
        <v>277</v>
      </c>
      <c r="C286" s="177" t="s">
        <v>114</v>
      </c>
      <c r="D286" s="177" t="s">
        <v>60</v>
      </c>
      <c r="E286" s="177"/>
      <c r="F286" s="177"/>
      <c r="G286" s="178">
        <v>18</v>
      </c>
      <c r="H286" s="178">
        <v>14</v>
      </c>
      <c r="I286" s="179">
        <f t="shared" si="16"/>
        <v>32</v>
      </c>
      <c r="J286" s="180">
        <f>VLOOKUP(B286,материал!$B$5:$G$67,5,0)</f>
        <v>0</v>
      </c>
      <c r="K286" s="180">
        <f t="shared" si="17"/>
        <v>0</v>
      </c>
      <c r="L286" s="194"/>
      <c r="M286" s="271" t="str">
        <f>VLOOKUP(B286,материал!$B$5:$H$67,7,0)</f>
        <v>Закуп подярдчика</v>
      </c>
    </row>
    <row r="287" spans="1:13" s="135" customFormat="1" ht="30.75" customHeight="1" x14ac:dyDescent="0.25">
      <c r="A287" s="181"/>
      <c r="B287" s="189" t="s">
        <v>278</v>
      </c>
      <c r="C287" s="177" t="s">
        <v>116</v>
      </c>
      <c r="D287" s="177" t="s">
        <v>60</v>
      </c>
      <c r="E287" s="177"/>
      <c r="F287" s="177"/>
      <c r="G287" s="178">
        <v>1</v>
      </c>
      <c r="H287" s="178">
        <v>10</v>
      </c>
      <c r="I287" s="179">
        <f t="shared" si="16"/>
        <v>11</v>
      </c>
      <c r="J287" s="180">
        <f>VLOOKUP(B287,материал!$B$5:$G$67,5,0)</f>
        <v>0</v>
      </c>
      <c r="K287" s="180">
        <f t="shared" si="17"/>
        <v>0</v>
      </c>
      <c r="L287" s="194"/>
      <c r="M287" s="271" t="str">
        <f>VLOOKUP(B287,материал!$B$5:$H$67,7,0)</f>
        <v>Закуп подярдчика</v>
      </c>
    </row>
    <row r="288" spans="1:13" s="135" customFormat="1" ht="30.75" customHeight="1" x14ac:dyDescent="0.25">
      <c r="A288" s="181"/>
      <c r="B288" s="189" t="s">
        <v>279</v>
      </c>
      <c r="C288" s="177" t="s">
        <v>282</v>
      </c>
      <c r="D288" s="177" t="s">
        <v>60</v>
      </c>
      <c r="E288" s="177"/>
      <c r="F288" s="177"/>
      <c r="G288" s="178"/>
      <c r="H288" s="178">
        <v>4</v>
      </c>
      <c r="I288" s="179">
        <f t="shared" si="16"/>
        <v>4</v>
      </c>
      <c r="J288" s="180">
        <f>VLOOKUP(B288,материал!$B$5:$G$67,5,0)</f>
        <v>0</v>
      </c>
      <c r="K288" s="180">
        <f t="shared" si="17"/>
        <v>0</v>
      </c>
      <c r="L288" s="194"/>
      <c r="M288" s="271" t="str">
        <f>VLOOKUP(B288,материал!$B$5:$H$67,7,0)</f>
        <v>Закуп подярдчика</v>
      </c>
    </row>
    <row r="289" spans="1:13" s="135" customFormat="1" ht="30.75" customHeight="1" x14ac:dyDescent="0.25">
      <c r="A289" s="181"/>
      <c r="B289" s="189" t="s">
        <v>281</v>
      </c>
      <c r="C289" s="177" t="s">
        <v>284</v>
      </c>
      <c r="D289" s="177" t="s">
        <v>60</v>
      </c>
      <c r="E289" s="177"/>
      <c r="F289" s="177"/>
      <c r="G289" s="178">
        <v>9</v>
      </c>
      <c r="H289" s="178">
        <v>4</v>
      </c>
      <c r="I289" s="179">
        <f t="shared" si="16"/>
        <v>13</v>
      </c>
      <c r="J289" s="180">
        <f>VLOOKUP(B289,материал!$B$5:$G$67,5,0)</f>
        <v>0</v>
      </c>
      <c r="K289" s="180">
        <f t="shared" si="17"/>
        <v>0</v>
      </c>
      <c r="L289" s="194"/>
      <c r="M289" s="271" t="str">
        <f>VLOOKUP(B289,материал!$B$5:$H$67,7,0)</f>
        <v>Закуп подярдчика</v>
      </c>
    </row>
    <row r="290" spans="1:13" s="135" customFormat="1" ht="30.75" customHeight="1" x14ac:dyDescent="0.25">
      <c r="A290" s="181"/>
      <c r="B290" s="189" t="s">
        <v>283</v>
      </c>
      <c r="C290" s="177" t="s">
        <v>286</v>
      </c>
      <c r="D290" s="177" t="s">
        <v>60</v>
      </c>
      <c r="E290" s="177"/>
      <c r="F290" s="177"/>
      <c r="G290" s="178">
        <v>1</v>
      </c>
      <c r="H290" s="178">
        <v>1</v>
      </c>
      <c r="I290" s="179">
        <f t="shared" si="16"/>
        <v>2</v>
      </c>
      <c r="J290" s="180">
        <f>VLOOKUP(B290,материал!$B$5:$G$67,5,0)</f>
        <v>0</v>
      </c>
      <c r="K290" s="180">
        <f t="shared" si="17"/>
        <v>0</v>
      </c>
      <c r="L290" s="194"/>
      <c r="M290" s="271" t="str">
        <f>VLOOKUP(B290,материал!$B$5:$H$67,7,0)</f>
        <v>Закуп подярдчика</v>
      </c>
    </row>
    <row r="291" spans="1:13" s="135" customFormat="1" ht="30.75" customHeight="1" x14ac:dyDescent="0.25">
      <c r="A291" s="181"/>
      <c r="B291" s="189" t="s">
        <v>285</v>
      </c>
      <c r="C291" s="177" t="s">
        <v>288</v>
      </c>
      <c r="D291" s="177" t="s">
        <v>60</v>
      </c>
      <c r="E291" s="177"/>
      <c r="F291" s="177"/>
      <c r="G291" s="178">
        <v>1</v>
      </c>
      <c r="H291" s="178">
        <v>1</v>
      </c>
      <c r="I291" s="179">
        <f t="shared" si="16"/>
        <v>2</v>
      </c>
      <c r="J291" s="180">
        <f>VLOOKUP(B291,материал!$B$5:$G$67,5,0)</f>
        <v>0</v>
      </c>
      <c r="K291" s="180">
        <f t="shared" si="17"/>
        <v>0</v>
      </c>
      <c r="L291" s="194"/>
      <c r="M291" s="271" t="str">
        <f>VLOOKUP(B291,материал!$B$5:$H$67,7,0)</f>
        <v>Закуп подярдчика</v>
      </c>
    </row>
    <row r="292" spans="1:13" s="135" customFormat="1" ht="30.75" customHeight="1" x14ac:dyDescent="0.25">
      <c r="A292" s="181"/>
      <c r="B292" s="189" t="s">
        <v>287</v>
      </c>
      <c r="C292" s="177" t="s">
        <v>290</v>
      </c>
      <c r="D292" s="177" t="s">
        <v>60</v>
      </c>
      <c r="E292" s="177"/>
      <c r="F292" s="177"/>
      <c r="G292" s="178">
        <v>6</v>
      </c>
      <c r="H292" s="178">
        <v>4</v>
      </c>
      <c r="I292" s="179">
        <f t="shared" si="16"/>
        <v>10</v>
      </c>
      <c r="J292" s="180">
        <f>VLOOKUP(B292,материал!$B$5:$G$67,5,0)</f>
        <v>0</v>
      </c>
      <c r="K292" s="180">
        <f t="shared" si="17"/>
        <v>0</v>
      </c>
      <c r="L292" s="194"/>
      <c r="M292" s="271" t="str">
        <f>VLOOKUP(B292,материал!$B$5:$H$67,7,0)</f>
        <v>Закуп подярдчика</v>
      </c>
    </row>
    <row r="293" spans="1:13" s="135" customFormat="1" ht="30.75" customHeight="1" x14ac:dyDescent="0.25">
      <c r="A293" s="181"/>
      <c r="B293" s="189" t="s">
        <v>289</v>
      </c>
      <c r="C293" s="177" t="s">
        <v>292</v>
      </c>
      <c r="D293" s="177" t="s">
        <v>60</v>
      </c>
      <c r="E293" s="177"/>
      <c r="F293" s="177"/>
      <c r="G293" s="178">
        <v>20</v>
      </c>
      <c r="H293" s="178">
        <v>26</v>
      </c>
      <c r="I293" s="179">
        <f t="shared" si="16"/>
        <v>46</v>
      </c>
      <c r="J293" s="180">
        <f>VLOOKUP(B293,материал!$B$5:$G$67,5,0)</f>
        <v>0</v>
      </c>
      <c r="K293" s="180">
        <f t="shared" si="17"/>
        <v>0</v>
      </c>
      <c r="L293" s="194"/>
      <c r="M293" s="271" t="str">
        <f>VLOOKUP(B293,материал!$B$5:$H$67,7,0)</f>
        <v>Закуп подярдчика</v>
      </c>
    </row>
    <row r="294" spans="1:13" s="135" customFormat="1" ht="30.75" customHeight="1" x14ac:dyDescent="0.25">
      <c r="A294" s="181"/>
      <c r="B294" s="189" t="s">
        <v>291</v>
      </c>
      <c r="C294" s="177" t="s">
        <v>294</v>
      </c>
      <c r="D294" s="177" t="s">
        <v>60</v>
      </c>
      <c r="E294" s="177"/>
      <c r="F294" s="177"/>
      <c r="G294" s="178">
        <v>2</v>
      </c>
      <c r="H294" s="178">
        <v>18</v>
      </c>
      <c r="I294" s="179">
        <f t="shared" si="16"/>
        <v>20</v>
      </c>
      <c r="J294" s="180">
        <f>VLOOKUP(B294,материал!$B$5:$G$67,5,0)</f>
        <v>0</v>
      </c>
      <c r="K294" s="180">
        <f t="shared" si="17"/>
        <v>0</v>
      </c>
      <c r="L294" s="194"/>
      <c r="M294" s="271" t="str">
        <f>VLOOKUP(B294,материал!$B$5:$H$67,7,0)</f>
        <v>Закуп подярдчика</v>
      </c>
    </row>
    <row r="295" spans="1:13" s="135" customFormat="1" ht="30.75" customHeight="1" x14ac:dyDescent="0.25">
      <c r="A295" s="181"/>
      <c r="B295" s="189" t="s">
        <v>313</v>
      </c>
      <c r="C295" s="177" t="s">
        <v>296</v>
      </c>
      <c r="D295" s="177" t="s">
        <v>60</v>
      </c>
      <c r="E295" s="177"/>
      <c r="F295" s="177"/>
      <c r="G295" s="178">
        <v>4</v>
      </c>
      <c r="H295" s="178"/>
      <c r="I295" s="179">
        <f t="shared" si="16"/>
        <v>4</v>
      </c>
      <c r="J295" s="180">
        <f>VLOOKUP(B295,материал!$B$5:$G$67,5,0)</f>
        <v>0</v>
      </c>
      <c r="K295" s="180">
        <f t="shared" si="17"/>
        <v>0</v>
      </c>
      <c r="L295" s="194"/>
      <c r="M295" s="271" t="str">
        <f>VLOOKUP(B295,материал!$B$5:$H$67,7,0)</f>
        <v>Закуп подярдчика</v>
      </c>
    </row>
    <row r="296" spans="1:13" s="135" customFormat="1" ht="30.75" customHeight="1" x14ac:dyDescent="0.25">
      <c r="A296" s="181"/>
      <c r="B296" s="189" t="s">
        <v>293</v>
      </c>
      <c r="C296" s="177" t="s">
        <v>314</v>
      </c>
      <c r="D296" s="177" t="s">
        <v>60</v>
      </c>
      <c r="E296" s="177"/>
      <c r="F296" s="177"/>
      <c r="G296" s="178">
        <v>4</v>
      </c>
      <c r="H296" s="178"/>
      <c r="I296" s="179">
        <f t="shared" si="16"/>
        <v>4</v>
      </c>
      <c r="J296" s="180">
        <f>VLOOKUP(B296,материал!$B$5:$G$67,5,0)</f>
        <v>0</v>
      </c>
      <c r="K296" s="180">
        <f t="shared" si="17"/>
        <v>0</v>
      </c>
      <c r="L296" s="194"/>
      <c r="M296" s="271" t="str">
        <f>VLOOKUP(B296,материал!$B$5:$H$67,7,0)</f>
        <v>Закуп подярдчика</v>
      </c>
    </row>
    <row r="297" spans="1:13" s="135" customFormat="1" ht="30.75" customHeight="1" x14ac:dyDescent="0.25">
      <c r="A297" s="181"/>
      <c r="B297" s="189" t="s">
        <v>295</v>
      </c>
      <c r="C297" s="177" t="s">
        <v>118</v>
      </c>
      <c r="D297" s="177" t="s">
        <v>60</v>
      </c>
      <c r="E297" s="177"/>
      <c r="F297" s="177"/>
      <c r="G297" s="178">
        <v>1</v>
      </c>
      <c r="H297" s="178">
        <v>2</v>
      </c>
      <c r="I297" s="179">
        <f t="shared" si="16"/>
        <v>3</v>
      </c>
      <c r="J297" s="180">
        <f>VLOOKUP(B297,материал!$B$5:$G$67,5,0)</f>
        <v>0</v>
      </c>
      <c r="K297" s="180">
        <f t="shared" si="17"/>
        <v>0</v>
      </c>
      <c r="L297" s="194"/>
      <c r="M297" s="271" t="str">
        <f>VLOOKUP(B297,материал!$B$5:$H$67,7,0)</f>
        <v>Закуп подярдчика</v>
      </c>
    </row>
    <row r="298" spans="1:13" s="135" customFormat="1" ht="30.75" customHeight="1" x14ac:dyDescent="0.25">
      <c r="A298" s="181"/>
      <c r="B298" s="189" t="s">
        <v>315</v>
      </c>
      <c r="C298" s="177" t="s">
        <v>120</v>
      </c>
      <c r="D298" s="177" t="s">
        <v>60</v>
      </c>
      <c r="E298" s="177"/>
      <c r="F298" s="177"/>
      <c r="G298" s="178">
        <v>4</v>
      </c>
      <c r="H298" s="178">
        <v>10</v>
      </c>
      <c r="I298" s="179">
        <f t="shared" si="16"/>
        <v>14</v>
      </c>
      <c r="J298" s="180">
        <f>VLOOKUP(B298,материал!$B$5:$G$67,5,0)</f>
        <v>0</v>
      </c>
      <c r="K298" s="180">
        <f t="shared" si="17"/>
        <v>0</v>
      </c>
      <c r="L298" s="194"/>
      <c r="M298" s="271" t="str">
        <f>VLOOKUP(B298,материал!$B$5:$H$67,7,0)</f>
        <v>Закуп подярдчика</v>
      </c>
    </row>
    <row r="299" spans="1:13" s="135" customFormat="1" ht="12.75" customHeight="1" x14ac:dyDescent="0.25">
      <c r="A299" s="181"/>
      <c r="B299" s="189" t="s">
        <v>92</v>
      </c>
      <c r="C299" s="177" t="s">
        <v>93</v>
      </c>
      <c r="D299" s="177" t="s">
        <v>54</v>
      </c>
      <c r="E299" s="177">
        <v>1.04</v>
      </c>
      <c r="F299" s="177"/>
      <c r="G299" s="178">
        <f>127.56*E299</f>
        <v>132.66240000000002</v>
      </c>
      <c r="H299" s="178">
        <f>180.66*E299</f>
        <v>187.88640000000001</v>
      </c>
      <c r="I299" s="179">
        <f t="shared" si="16"/>
        <v>320.54880000000003</v>
      </c>
      <c r="J299" s="180">
        <f>VLOOKUP(B299,материал!$B$5:$G$67,5,0)</f>
        <v>0</v>
      </c>
      <c r="K299" s="180">
        <f t="shared" si="17"/>
        <v>0</v>
      </c>
      <c r="L299" s="194"/>
      <c r="M299" s="271" t="str">
        <f>VLOOKUP(B299,материал!$B$5:$H$67,7,0)</f>
        <v>Закуп подярдчика</v>
      </c>
    </row>
    <row r="300" spans="1:13" s="135" customFormat="1" ht="12.75" customHeight="1" x14ac:dyDescent="0.25">
      <c r="A300" s="181"/>
      <c r="B300" s="189" t="s">
        <v>94</v>
      </c>
      <c r="C300" s="177" t="s">
        <v>95</v>
      </c>
      <c r="D300" s="177" t="s">
        <v>54</v>
      </c>
      <c r="E300" s="177">
        <v>1.04</v>
      </c>
      <c r="F300" s="177"/>
      <c r="G300" s="178">
        <f>G268*E300</f>
        <v>32.292000000000002</v>
      </c>
      <c r="H300" s="178">
        <f>H268*E300</f>
        <v>46.373600000000003</v>
      </c>
      <c r="I300" s="179">
        <f t="shared" si="16"/>
        <v>78.665600000000012</v>
      </c>
      <c r="J300" s="180">
        <f>VLOOKUP(B300,материал!$B$5:$G$67,5,0)</f>
        <v>0</v>
      </c>
      <c r="K300" s="180">
        <f t="shared" si="17"/>
        <v>0</v>
      </c>
      <c r="L300" s="194"/>
      <c r="M300" s="271" t="str">
        <f>VLOOKUP(B300,материал!$B$5:$H$67,7,0)</f>
        <v>Закуп подярдчика</v>
      </c>
    </row>
    <row r="301" spans="1:13" s="135" customFormat="1" ht="12.75" customHeight="1" x14ac:dyDescent="0.25">
      <c r="A301" s="181"/>
      <c r="B301" s="189" t="s">
        <v>131</v>
      </c>
      <c r="C301" s="177" t="s">
        <v>39</v>
      </c>
      <c r="D301" s="177" t="s">
        <v>54</v>
      </c>
      <c r="E301" s="177">
        <v>1.04</v>
      </c>
      <c r="F301" s="177"/>
      <c r="G301" s="178">
        <f>46.68*E301</f>
        <v>48.547200000000004</v>
      </c>
      <c r="H301" s="178">
        <f>31.12*E301</f>
        <v>32.364800000000002</v>
      </c>
      <c r="I301" s="179">
        <f t="shared" si="16"/>
        <v>80.912000000000006</v>
      </c>
      <c r="J301" s="180">
        <f>VLOOKUP(B301,материал!$B$5:$G$67,5,0)</f>
        <v>0</v>
      </c>
      <c r="K301" s="180">
        <f t="shared" si="17"/>
        <v>0</v>
      </c>
      <c r="L301" s="194"/>
      <c r="M301" s="271" t="str">
        <f>VLOOKUP(B301,материал!$B$5:$H$67,7,0)</f>
        <v>Закуп подярдчика</v>
      </c>
    </row>
    <row r="302" spans="1:13" s="135" customFormat="1" ht="12.75" customHeight="1" x14ac:dyDescent="0.25">
      <c r="A302" s="181"/>
      <c r="B302" s="189" t="s">
        <v>96</v>
      </c>
      <c r="C302" s="177" t="s">
        <v>39</v>
      </c>
      <c r="D302" s="177" t="s">
        <v>54</v>
      </c>
      <c r="E302" s="177">
        <v>1.04</v>
      </c>
      <c r="F302" s="177"/>
      <c r="G302" s="178">
        <f>25.93*E302</f>
        <v>26.967200000000002</v>
      </c>
      <c r="H302" s="178">
        <f>E302*17.2</f>
        <v>17.887999999999998</v>
      </c>
      <c r="I302" s="179">
        <f t="shared" si="16"/>
        <v>44.855199999999996</v>
      </c>
      <c r="J302" s="180">
        <f>VLOOKUP(B302,материал!$B$5:$G$67,5,0)</f>
        <v>0</v>
      </c>
      <c r="K302" s="180">
        <f t="shared" si="17"/>
        <v>0</v>
      </c>
      <c r="L302" s="194"/>
      <c r="M302" s="271" t="str">
        <f>VLOOKUP(B302,материал!$B$5:$H$67,7,0)</f>
        <v>Закуп подярдчика</v>
      </c>
    </row>
    <row r="303" spans="1:13" s="135" customFormat="1" ht="12.75" customHeight="1" x14ac:dyDescent="0.25">
      <c r="A303" s="181"/>
      <c r="B303" s="189" t="s">
        <v>97</v>
      </c>
      <c r="C303" s="177" t="s">
        <v>39</v>
      </c>
      <c r="D303" s="177" t="s">
        <v>54</v>
      </c>
      <c r="E303" s="177">
        <v>1.04</v>
      </c>
      <c r="F303" s="177"/>
      <c r="G303" s="178">
        <f>E303*10.72</f>
        <v>11.148800000000001</v>
      </c>
      <c r="H303" s="178">
        <f>E303*20.84</f>
        <v>21.6736</v>
      </c>
      <c r="I303" s="179">
        <f t="shared" si="16"/>
        <v>32.822400000000002</v>
      </c>
      <c r="J303" s="180">
        <f>VLOOKUP(B303,материал!$B$5:$G$67,5,0)</f>
        <v>0</v>
      </c>
      <c r="K303" s="180">
        <f t="shared" si="17"/>
        <v>0</v>
      </c>
      <c r="L303" s="194"/>
      <c r="M303" s="271" t="str">
        <f>VLOOKUP(B303,материал!$B$5:$H$67,7,0)</f>
        <v>Закуп подярдчика</v>
      </c>
    </row>
    <row r="304" spans="1:13" s="137" customFormat="1" ht="12.75" customHeight="1" x14ac:dyDescent="0.25">
      <c r="A304" s="181"/>
      <c r="B304" s="189" t="s">
        <v>132</v>
      </c>
      <c r="C304" s="177" t="s">
        <v>39</v>
      </c>
      <c r="D304" s="177" t="s">
        <v>54</v>
      </c>
      <c r="E304" s="177">
        <v>1.04</v>
      </c>
      <c r="F304" s="177"/>
      <c r="G304" s="178">
        <f>15.75*E304</f>
        <v>16.38</v>
      </c>
      <c r="H304" s="178">
        <f>10.5*E304</f>
        <v>10.92</v>
      </c>
      <c r="I304" s="179">
        <f t="shared" si="16"/>
        <v>27.299999999999997</v>
      </c>
      <c r="J304" s="180">
        <f>VLOOKUP(B304,материал!$B$5:$G$67,5,0)</f>
        <v>0</v>
      </c>
      <c r="K304" s="180">
        <f t="shared" si="17"/>
        <v>0</v>
      </c>
      <c r="L304" s="194"/>
      <c r="M304" s="271" t="str">
        <f>VLOOKUP(B304,материал!$B$5:$H$67,7,0)</f>
        <v>Закуп подярдчика</v>
      </c>
    </row>
    <row r="305" spans="1:13" s="135" customFormat="1" ht="25.5" x14ac:dyDescent="0.25">
      <c r="A305" s="181"/>
      <c r="B305" s="189" t="s">
        <v>275</v>
      </c>
      <c r="C305" s="177" t="s">
        <v>276</v>
      </c>
      <c r="D305" s="177" t="s">
        <v>45</v>
      </c>
      <c r="E305" s="177">
        <v>1.04</v>
      </c>
      <c r="F305" s="177"/>
      <c r="G305" s="178">
        <f>G269*0.05*E305</f>
        <v>1.6716960000000001</v>
      </c>
      <c r="H305" s="178">
        <f>H269*0.05*E305</f>
        <v>0</v>
      </c>
      <c r="I305" s="179">
        <f t="shared" si="16"/>
        <v>1.6716960000000001</v>
      </c>
      <c r="J305" s="180">
        <f>VLOOKUP(B305,материал!$B$5:$G$67,5,0)</f>
        <v>0</v>
      </c>
      <c r="K305" s="180">
        <f t="shared" si="17"/>
        <v>0</v>
      </c>
      <c r="L305" s="194"/>
      <c r="M305" s="271" t="str">
        <f>VLOOKUP(B305,материал!$B$5:$H$67,7,0)</f>
        <v>Закуп подярдчика</v>
      </c>
    </row>
    <row r="306" spans="1:13" s="135" customFormat="1" ht="25.5" x14ac:dyDescent="0.25">
      <c r="A306" s="195"/>
      <c r="B306" s="196" t="s">
        <v>133</v>
      </c>
      <c r="C306" s="197" t="s">
        <v>39</v>
      </c>
      <c r="D306" s="197" t="s">
        <v>99</v>
      </c>
      <c r="E306" s="197"/>
      <c r="F306" s="197"/>
      <c r="G306" s="198"/>
      <c r="H306" s="198"/>
      <c r="I306" s="199">
        <f ca="1">SUMIF(материал!$B$5:$G$67,B306,материал!$E$5:$E$67)</f>
        <v>0</v>
      </c>
      <c r="J306" s="179"/>
      <c r="K306" s="180">
        <f ca="1">SUM(K272:K305)*I306%</f>
        <v>0</v>
      </c>
      <c r="L306" s="200"/>
      <c r="M306" s="274" t="str">
        <f>VLOOKUP(B306,материал!$B$5:$H$67,7,0)</f>
        <v>Закуп подярдчика</v>
      </c>
    </row>
    <row r="307" spans="1:13" s="135" customFormat="1" ht="12.75" customHeight="1" x14ac:dyDescent="0.25">
      <c r="A307" s="160" t="s">
        <v>142</v>
      </c>
      <c r="B307" s="161" t="s">
        <v>143</v>
      </c>
      <c r="C307" s="162"/>
      <c r="D307" s="163"/>
      <c r="E307" s="162"/>
      <c r="F307" s="162"/>
      <c r="G307" s="164"/>
      <c r="H307" s="164"/>
      <c r="I307" s="165"/>
      <c r="J307" s="165"/>
      <c r="K307" s="165">
        <f ca="1">K308+K321</f>
        <v>0</v>
      </c>
      <c r="L307" s="186"/>
      <c r="M307" s="273" t="e">
        <f>VLOOKUP(B307,материал!$B$5:$H$67,7,0)</f>
        <v>#N/A</v>
      </c>
    </row>
    <row r="308" spans="1:13" s="135" customFormat="1" ht="12.75" customHeight="1" x14ac:dyDescent="0.25">
      <c r="A308" s="166"/>
      <c r="B308" s="167" t="s">
        <v>34</v>
      </c>
      <c r="C308" s="168"/>
      <c r="D308" s="168"/>
      <c r="E308" s="168"/>
      <c r="F308" s="168"/>
      <c r="G308" s="169"/>
      <c r="H308" s="169"/>
      <c r="I308" s="170"/>
      <c r="J308" s="170"/>
      <c r="K308" s="174">
        <f>SUM(K309:K319)</f>
        <v>0</v>
      </c>
      <c r="L308" s="172"/>
      <c r="M308" s="270" t="e">
        <f>VLOOKUP(B308,материал!$B$5:$H$67,7,0)</f>
        <v>#N/A</v>
      </c>
    </row>
    <row r="309" spans="1:13" s="135" customFormat="1" ht="24" customHeight="1" x14ac:dyDescent="0.25">
      <c r="A309" s="166"/>
      <c r="B309" s="171" t="s">
        <v>44</v>
      </c>
      <c r="C309" s="172"/>
      <c r="D309" s="172" t="s">
        <v>45</v>
      </c>
      <c r="E309" s="172"/>
      <c r="F309" s="172"/>
      <c r="G309" s="173">
        <v>26.31</v>
      </c>
      <c r="H309" s="173">
        <v>34.979999999999997</v>
      </c>
      <c r="I309" s="170">
        <f t="shared" ref="I309:I320" si="18">SUM(G309:H309)</f>
        <v>61.289999999999992</v>
      </c>
      <c r="J309" s="174">
        <f>VLOOKUP(B309,работы!$B$5:$F$19,4,0)</f>
        <v>0</v>
      </c>
      <c r="K309" s="174">
        <f t="shared" si="17"/>
        <v>0</v>
      </c>
      <c r="L309" s="172"/>
      <c r="M309" s="270" t="e">
        <f>VLOOKUP(B309,материал!$B$5:$H$67,7,0)</f>
        <v>#N/A</v>
      </c>
    </row>
    <row r="310" spans="1:13" s="135" customFormat="1" ht="12.75" customHeight="1" x14ac:dyDescent="0.25">
      <c r="A310" s="166"/>
      <c r="B310" s="171" t="s">
        <v>102</v>
      </c>
      <c r="C310" s="172"/>
      <c r="D310" s="172" t="s">
        <v>45</v>
      </c>
      <c r="E310" s="172"/>
      <c r="F310" s="172"/>
      <c r="G310" s="173">
        <v>1.72</v>
      </c>
      <c r="H310" s="173">
        <v>2.6</v>
      </c>
      <c r="I310" s="170">
        <f t="shared" si="18"/>
        <v>4.32</v>
      </c>
      <c r="J310" s="174">
        <f>VLOOKUP(B310,работы!$B$5:$F$19,4,0)</f>
        <v>0</v>
      </c>
      <c r="K310" s="174">
        <f t="shared" si="17"/>
        <v>0</v>
      </c>
      <c r="L310" s="172"/>
      <c r="M310" s="270" t="e">
        <f>VLOOKUP(B310,материал!$B$5:$H$67,7,0)</f>
        <v>#N/A</v>
      </c>
    </row>
    <row r="311" spans="1:13" s="135" customFormat="1" ht="24" customHeight="1" x14ac:dyDescent="0.25">
      <c r="A311" s="166"/>
      <c r="B311" s="171" t="s">
        <v>46</v>
      </c>
      <c r="C311" s="172"/>
      <c r="D311" s="172" t="s">
        <v>47</v>
      </c>
      <c r="E311" s="172"/>
      <c r="F311" s="172"/>
      <c r="G311" s="173">
        <v>102.26</v>
      </c>
      <c r="H311" s="173">
        <v>178.68</v>
      </c>
      <c r="I311" s="170">
        <f t="shared" si="18"/>
        <v>280.94</v>
      </c>
      <c r="J311" s="174">
        <f>VLOOKUP(B311,работы!$B$5:$F$19,4,0)</f>
        <v>0</v>
      </c>
      <c r="K311" s="174">
        <f t="shared" si="17"/>
        <v>0</v>
      </c>
      <c r="L311" s="172"/>
      <c r="M311" s="270" t="e">
        <f>VLOOKUP(B311,материал!$B$5:$H$67,7,0)</f>
        <v>#N/A</v>
      </c>
    </row>
    <row r="312" spans="1:13" s="135" customFormat="1" ht="24" customHeight="1" x14ac:dyDescent="0.25">
      <c r="A312" s="166"/>
      <c r="B312" s="171" t="s">
        <v>48</v>
      </c>
      <c r="C312" s="172"/>
      <c r="D312" s="172" t="s">
        <v>47</v>
      </c>
      <c r="E312" s="172"/>
      <c r="F312" s="172"/>
      <c r="G312" s="173">
        <v>53.68</v>
      </c>
      <c r="H312" s="173">
        <v>110.37</v>
      </c>
      <c r="I312" s="170">
        <f t="shared" si="18"/>
        <v>164.05</v>
      </c>
      <c r="J312" s="174">
        <f>VLOOKUP(B312,работы!$B$5:$F$19,4,0)</f>
        <v>0</v>
      </c>
      <c r="K312" s="174">
        <f t="shared" si="17"/>
        <v>0</v>
      </c>
      <c r="L312" s="172"/>
      <c r="M312" s="270" t="e">
        <f>VLOOKUP(B312,материал!$B$5:$H$67,7,0)</f>
        <v>#N/A</v>
      </c>
    </row>
    <row r="313" spans="1:13" s="135" customFormat="1" ht="24" customHeight="1" x14ac:dyDescent="0.25">
      <c r="A313" s="166"/>
      <c r="B313" s="171" t="s">
        <v>103</v>
      </c>
      <c r="C313" s="172"/>
      <c r="D313" s="172" t="s">
        <v>47</v>
      </c>
      <c r="E313" s="172"/>
      <c r="F313" s="172"/>
      <c r="G313" s="173">
        <v>114.29</v>
      </c>
      <c r="H313" s="173">
        <v>184.88</v>
      </c>
      <c r="I313" s="170">
        <f t="shared" si="18"/>
        <v>299.17</v>
      </c>
      <c r="J313" s="174">
        <f>VLOOKUP(B313,работы!$B$5:$F$19,4,0)</f>
        <v>0</v>
      </c>
      <c r="K313" s="174">
        <f t="shared" si="17"/>
        <v>0</v>
      </c>
      <c r="L313" s="172"/>
      <c r="M313" s="270" t="e">
        <f>VLOOKUP(B313,материал!$B$5:$H$67,7,0)</f>
        <v>#N/A</v>
      </c>
    </row>
    <row r="314" spans="1:13" s="135" customFormat="1" ht="24" customHeight="1" x14ac:dyDescent="0.25">
      <c r="A314" s="166"/>
      <c r="B314" s="171" t="s">
        <v>104</v>
      </c>
      <c r="C314" s="172"/>
      <c r="D314" s="172" t="s">
        <v>47</v>
      </c>
      <c r="E314" s="172"/>
      <c r="F314" s="172"/>
      <c r="G314" s="173">
        <v>133.18</v>
      </c>
      <c r="H314" s="173">
        <v>189.83</v>
      </c>
      <c r="I314" s="170">
        <f t="shared" si="18"/>
        <v>323.01</v>
      </c>
      <c r="J314" s="174">
        <f>VLOOKUP(B314,работы!$B$5:$F$19,4,0)</f>
        <v>0</v>
      </c>
      <c r="K314" s="174">
        <f t="shared" si="17"/>
        <v>0</v>
      </c>
      <c r="L314" s="172"/>
      <c r="M314" s="270" t="e">
        <f>VLOOKUP(B314,материал!$B$5:$H$67,7,0)</f>
        <v>#N/A</v>
      </c>
    </row>
    <row r="315" spans="1:13" s="135" customFormat="1" ht="12.75" customHeight="1" x14ac:dyDescent="0.25">
      <c r="A315" s="166"/>
      <c r="B315" s="171" t="s">
        <v>49</v>
      </c>
      <c r="C315" s="172"/>
      <c r="D315" s="172" t="s">
        <v>47</v>
      </c>
      <c r="E315" s="172"/>
      <c r="F315" s="172"/>
      <c r="G315" s="173">
        <v>52.46</v>
      </c>
      <c r="H315" s="173">
        <v>38.6</v>
      </c>
      <c r="I315" s="170">
        <f t="shared" si="18"/>
        <v>91.06</v>
      </c>
      <c r="J315" s="174">
        <f>VLOOKUP(B315,работы!$B$5:$F$19,4,0)</f>
        <v>0</v>
      </c>
      <c r="K315" s="174">
        <f t="shared" si="17"/>
        <v>0</v>
      </c>
      <c r="L315" s="172"/>
      <c r="M315" s="270" t="e">
        <f>VLOOKUP(B315,материал!$B$5:$H$67,7,0)</f>
        <v>#N/A</v>
      </c>
    </row>
    <row r="316" spans="1:13" s="135" customFormat="1" ht="12.75" customHeight="1" x14ac:dyDescent="0.25">
      <c r="A316" s="166"/>
      <c r="B316" s="171" t="s">
        <v>50</v>
      </c>
      <c r="C316" s="172"/>
      <c r="D316" s="172" t="s">
        <v>51</v>
      </c>
      <c r="E316" s="172"/>
      <c r="F316" s="172"/>
      <c r="G316" s="173">
        <v>71</v>
      </c>
      <c r="H316" s="173">
        <v>94</v>
      </c>
      <c r="I316" s="170">
        <f t="shared" si="18"/>
        <v>165</v>
      </c>
      <c r="J316" s="174">
        <f>VLOOKUP(B316,работы!$B$5:$F$19,4,0)</f>
        <v>0</v>
      </c>
      <c r="K316" s="174">
        <f t="shared" si="17"/>
        <v>0</v>
      </c>
      <c r="L316" s="172"/>
      <c r="M316" s="270" t="e">
        <f>VLOOKUP(B316,материал!$B$5:$H$67,7,0)</f>
        <v>#N/A</v>
      </c>
    </row>
    <row r="317" spans="1:13" s="135" customFormat="1" ht="12.75" customHeight="1" x14ac:dyDescent="0.25">
      <c r="A317" s="166"/>
      <c r="B317" s="171" t="s">
        <v>52</v>
      </c>
      <c r="C317" s="172" t="s">
        <v>105</v>
      </c>
      <c r="D317" s="172" t="s">
        <v>54</v>
      </c>
      <c r="E317" s="172"/>
      <c r="F317" s="172"/>
      <c r="G317" s="173">
        <v>99.09</v>
      </c>
      <c r="H317" s="173">
        <v>79.66</v>
      </c>
      <c r="I317" s="170">
        <f t="shared" si="18"/>
        <v>178.75</v>
      </c>
      <c r="J317" s="174">
        <f>VLOOKUP(B317,работы!$B$5:$F$19,4,0)</f>
        <v>0</v>
      </c>
      <c r="K317" s="174">
        <f t="shared" si="17"/>
        <v>0</v>
      </c>
      <c r="L317" s="172"/>
      <c r="M317" s="270" t="e">
        <f>VLOOKUP(B317,материал!$B$5:$H$67,7,0)</f>
        <v>#N/A</v>
      </c>
    </row>
    <row r="318" spans="1:13" s="135" customFormat="1" ht="23.25" customHeight="1" x14ac:dyDescent="0.25">
      <c r="A318" s="166"/>
      <c r="B318" s="171" t="s">
        <v>55</v>
      </c>
      <c r="C318" s="172"/>
      <c r="D318" s="172" t="s">
        <v>54</v>
      </c>
      <c r="E318" s="172"/>
      <c r="F318" s="172"/>
      <c r="G318" s="173">
        <v>31.05</v>
      </c>
      <c r="H318" s="173">
        <v>44.59</v>
      </c>
      <c r="I318" s="170">
        <f t="shared" si="18"/>
        <v>75.64</v>
      </c>
      <c r="J318" s="174">
        <f>VLOOKUP(B318,работы!$B$5:$F$19,4,0)</f>
        <v>0</v>
      </c>
      <c r="K318" s="174">
        <f t="shared" si="17"/>
        <v>0</v>
      </c>
      <c r="L318" s="172"/>
      <c r="M318" s="270" t="e">
        <f>VLOOKUP(B318,материал!$B$5:$H$67,7,0)</f>
        <v>#N/A</v>
      </c>
    </row>
    <row r="319" spans="1:13" s="135" customFormat="1" x14ac:dyDescent="0.25">
      <c r="A319" s="166"/>
      <c r="B319" s="171" t="s">
        <v>256</v>
      </c>
      <c r="C319" s="172"/>
      <c r="D319" s="172" t="s">
        <v>47</v>
      </c>
      <c r="E319" s="172"/>
      <c r="F319" s="172"/>
      <c r="G319" s="173">
        <f>11.4*2.82</f>
        <v>32.147999999999996</v>
      </c>
      <c r="H319" s="173"/>
      <c r="I319" s="170">
        <f t="shared" si="18"/>
        <v>32.147999999999996</v>
      </c>
      <c r="J319" s="174">
        <f>VLOOKUP(B319,работы!$B$5:$F$19,4,0)</f>
        <v>0</v>
      </c>
      <c r="K319" s="174">
        <f t="shared" si="17"/>
        <v>0</v>
      </c>
      <c r="L319" s="172"/>
      <c r="M319" s="270" t="e">
        <f>VLOOKUP(B319,материал!$B$5:$H$67,7,0)</f>
        <v>#N/A</v>
      </c>
    </row>
    <row r="320" spans="1:13" s="135" customFormat="1" x14ac:dyDescent="0.25">
      <c r="A320" s="166"/>
      <c r="B320" s="187" t="s">
        <v>56</v>
      </c>
      <c r="C320" s="188"/>
      <c r="D320" s="188" t="s">
        <v>45</v>
      </c>
      <c r="E320" s="188"/>
      <c r="F320" s="188"/>
      <c r="G320" s="173">
        <f>255.08*0.06*0.03</f>
        <v>0.459144</v>
      </c>
      <c r="H320" s="173">
        <f>366.31*0.06*0.03</f>
        <v>0.659358</v>
      </c>
      <c r="I320" s="170">
        <f t="shared" si="18"/>
        <v>1.1185019999999999</v>
      </c>
      <c r="J320" s="174"/>
      <c r="K320" s="174"/>
      <c r="L320" s="188"/>
      <c r="M320" s="270" t="e">
        <f>VLOOKUP(B320,материал!$B$5:$H$67,7,0)</f>
        <v>#N/A</v>
      </c>
    </row>
    <row r="321" spans="1:13" s="135" customFormat="1" x14ac:dyDescent="0.25">
      <c r="A321" s="175"/>
      <c r="B321" s="176" t="s">
        <v>38</v>
      </c>
      <c r="C321" s="177"/>
      <c r="D321" s="177"/>
      <c r="E321" s="177"/>
      <c r="F321" s="177"/>
      <c r="G321" s="178"/>
      <c r="H321" s="178"/>
      <c r="I321" s="179"/>
      <c r="J321" s="180"/>
      <c r="K321" s="179">
        <f ca="1">SUM(K322:K356)</f>
        <v>0</v>
      </c>
      <c r="L321" s="177"/>
      <c r="M321" s="271"/>
    </row>
    <row r="322" spans="1:13" s="135" customFormat="1" ht="25.5" x14ac:dyDescent="0.25">
      <c r="A322" s="181"/>
      <c r="B322" s="182" t="s">
        <v>58</v>
      </c>
      <c r="C322" s="177" t="s">
        <v>59</v>
      </c>
      <c r="D322" s="177" t="s">
        <v>60</v>
      </c>
      <c r="E322" s="178">
        <v>12.4</v>
      </c>
      <c r="F322" s="177">
        <v>0.25</v>
      </c>
      <c r="G322" s="183">
        <f>G309/F322*E322</f>
        <v>1304.9759999999999</v>
      </c>
      <c r="H322" s="183">
        <f>H309/F322*E322</f>
        <v>1735.0079999999998</v>
      </c>
      <c r="I322" s="184">
        <f t="shared" ref="I322:I355" si="19">SUM(G322:H322)</f>
        <v>3039.9839999999995</v>
      </c>
      <c r="J322" s="180">
        <f>VLOOKUP(B322,материал!$B$5:$G$67,5,0)</f>
        <v>0</v>
      </c>
      <c r="K322" s="180">
        <f t="shared" si="17"/>
        <v>0</v>
      </c>
      <c r="L322" s="177"/>
      <c r="M322" s="271" t="str">
        <f>VLOOKUP(B322,материал!$B$5:$H$67,7,0)</f>
        <v>Давальческий материал</v>
      </c>
    </row>
    <row r="323" spans="1:13" s="135" customFormat="1" ht="25.5" x14ac:dyDescent="0.25">
      <c r="A323" s="181"/>
      <c r="B323" s="182" t="s">
        <v>62</v>
      </c>
      <c r="C323" s="177" t="s">
        <v>63</v>
      </c>
      <c r="D323" s="177" t="s">
        <v>60</v>
      </c>
      <c r="E323" s="178">
        <v>12.4</v>
      </c>
      <c r="F323" s="177"/>
      <c r="G323" s="183">
        <f>G311*E323</f>
        <v>1268.0240000000001</v>
      </c>
      <c r="H323" s="183">
        <f>H311*E323</f>
        <v>2215.6320000000001</v>
      </c>
      <c r="I323" s="184">
        <f t="shared" si="19"/>
        <v>3483.6559999999999</v>
      </c>
      <c r="J323" s="180">
        <f>VLOOKUP(B323,материал!$B$5:$G$67,5,0)</f>
        <v>0</v>
      </c>
      <c r="K323" s="180">
        <f t="shared" si="17"/>
        <v>0</v>
      </c>
      <c r="L323" s="177"/>
      <c r="M323" s="271" t="str">
        <f>VLOOKUP(B323,материал!$B$5:$H$67,7,0)</f>
        <v>Давальческий материал</v>
      </c>
    </row>
    <row r="324" spans="1:13" s="135" customFormat="1" ht="25.5" x14ac:dyDescent="0.25">
      <c r="A324" s="181"/>
      <c r="B324" s="182" t="s">
        <v>64</v>
      </c>
      <c r="C324" s="177" t="s">
        <v>65</v>
      </c>
      <c r="D324" s="177" t="s">
        <v>60</v>
      </c>
      <c r="E324" s="178">
        <v>12.4</v>
      </c>
      <c r="F324" s="177"/>
      <c r="G324" s="183">
        <f>G312*E324</f>
        <v>665.63200000000006</v>
      </c>
      <c r="H324" s="183">
        <f>H312*E324</f>
        <v>1368.5880000000002</v>
      </c>
      <c r="I324" s="184">
        <f t="shared" si="19"/>
        <v>2034.2200000000003</v>
      </c>
      <c r="J324" s="180">
        <f>VLOOKUP(B324,материал!$B$5:$G$67,5,0)</f>
        <v>0</v>
      </c>
      <c r="K324" s="180">
        <f t="shared" si="17"/>
        <v>0</v>
      </c>
      <c r="L324" s="177"/>
      <c r="M324" s="271" t="str">
        <f>VLOOKUP(B324,материал!$B$5:$H$67,7,0)</f>
        <v>Давальческий материал</v>
      </c>
    </row>
    <row r="325" spans="1:13" s="135" customFormat="1" ht="25.5" x14ac:dyDescent="0.25">
      <c r="A325" s="181"/>
      <c r="B325" s="182" t="s">
        <v>106</v>
      </c>
      <c r="C325" s="177" t="s">
        <v>107</v>
      </c>
      <c r="D325" s="177" t="s">
        <v>60</v>
      </c>
      <c r="E325" s="178">
        <v>12.4</v>
      </c>
      <c r="F325" s="177"/>
      <c r="G325" s="183">
        <f>G313*E325</f>
        <v>1417.1960000000001</v>
      </c>
      <c r="H325" s="183">
        <f>H313*E325</f>
        <v>2292.5120000000002</v>
      </c>
      <c r="I325" s="184">
        <f t="shared" si="19"/>
        <v>3709.7080000000005</v>
      </c>
      <c r="J325" s="180">
        <f>VLOOKUP(B325,материал!$B$5:$G$67,5,0)</f>
        <v>0</v>
      </c>
      <c r="K325" s="180">
        <f t="shared" si="17"/>
        <v>0</v>
      </c>
      <c r="L325" s="177"/>
      <c r="M325" s="271" t="str">
        <f>VLOOKUP(B325,материал!$B$5:$H$67,7,0)</f>
        <v>Давальческий материал</v>
      </c>
    </row>
    <row r="326" spans="1:13" s="135" customFormat="1" ht="25.5" x14ac:dyDescent="0.25">
      <c r="A326" s="181"/>
      <c r="B326" s="182" t="s">
        <v>108</v>
      </c>
      <c r="C326" s="177" t="s">
        <v>109</v>
      </c>
      <c r="D326" s="177" t="s">
        <v>60</v>
      </c>
      <c r="E326" s="178">
        <v>12.4</v>
      </c>
      <c r="F326" s="177"/>
      <c r="G326" s="183">
        <f>G314*E326</f>
        <v>1651.4320000000002</v>
      </c>
      <c r="H326" s="183">
        <f>H314*E326</f>
        <v>2353.8920000000003</v>
      </c>
      <c r="I326" s="184">
        <f t="shared" si="19"/>
        <v>4005.3240000000005</v>
      </c>
      <c r="J326" s="180">
        <f>VLOOKUP(B326,материал!$B$5:$G$67,5,0)</f>
        <v>0</v>
      </c>
      <c r="K326" s="180">
        <f t="shared" si="17"/>
        <v>0</v>
      </c>
      <c r="L326" s="177"/>
      <c r="M326" s="271" t="str">
        <f>VLOOKUP(B326,материал!$B$5:$H$67,7,0)</f>
        <v>Давальческий материал</v>
      </c>
    </row>
    <row r="327" spans="1:13" s="135" customFormat="1" ht="12.75" customHeight="1" x14ac:dyDescent="0.25">
      <c r="A327" s="181"/>
      <c r="B327" s="189" t="s">
        <v>66</v>
      </c>
      <c r="C327" s="177" t="s">
        <v>67</v>
      </c>
      <c r="D327" s="177" t="s">
        <v>60</v>
      </c>
      <c r="E327" s="190">
        <v>42</v>
      </c>
      <c r="F327" s="190"/>
      <c r="G327" s="183">
        <f>G315*E327</f>
        <v>2203.3200000000002</v>
      </c>
      <c r="H327" s="183">
        <f>H315*E327</f>
        <v>1621.2</v>
      </c>
      <c r="I327" s="184">
        <f t="shared" si="19"/>
        <v>3824.5200000000004</v>
      </c>
      <c r="J327" s="180">
        <f>VLOOKUP(B327,материал!$B$5:$G$67,5,0)</f>
        <v>0</v>
      </c>
      <c r="K327" s="180">
        <f t="shared" si="17"/>
        <v>0</v>
      </c>
      <c r="L327" s="177"/>
      <c r="M327" s="271" t="str">
        <f>VLOOKUP(B327,материал!$B$5:$H$67,7,0)</f>
        <v>Давальческий материал</v>
      </c>
    </row>
    <row r="328" spans="1:13" s="135" customFormat="1" ht="12.75" customHeight="1" x14ac:dyDescent="0.25">
      <c r="A328" s="181"/>
      <c r="B328" s="189" t="s">
        <v>110</v>
      </c>
      <c r="C328" s="177" t="s">
        <v>111</v>
      </c>
      <c r="D328" s="177" t="s">
        <v>60</v>
      </c>
      <c r="E328" s="190">
        <v>42</v>
      </c>
      <c r="F328" s="190"/>
      <c r="G328" s="183">
        <f>G310/0.25*E328</f>
        <v>288.95999999999998</v>
      </c>
      <c r="H328" s="183">
        <f>H310/0.25*E328</f>
        <v>436.8</v>
      </c>
      <c r="I328" s="184">
        <f t="shared" si="19"/>
        <v>725.76</v>
      </c>
      <c r="J328" s="180">
        <f>VLOOKUP(B328,материал!$B$5:$G$67,5,0)</f>
        <v>0</v>
      </c>
      <c r="K328" s="180">
        <f t="shared" si="17"/>
        <v>0</v>
      </c>
      <c r="L328" s="177"/>
      <c r="M328" s="271" t="str">
        <f>VLOOKUP(B328,материал!$B$5:$H$67,7,0)</f>
        <v>Давальческий материал</v>
      </c>
    </row>
    <row r="329" spans="1:13" s="135" customFormat="1" ht="12.75" customHeight="1" x14ac:dyDescent="0.25">
      <c r="A329" s="181"/>
      <c r="B329" s="191" t="s">
        <v>69</v>
      </c>
      <c r="C329" s="177" t="s">
        <v>70</v>
      </c>
      <c r="D329" s="177" t="s">
        <v>45</v>
      </c>
      <c r="E329" s="177">
        <v>0.19500000000000001</v>
      </c>
      <c r="F329" s="190"/>
      <c r="G329" s="178">
        <f>G309*E329+G311*E329*0.19+G312*E329*0.19+G313*E329*0.09+G314*E329*0.09</f>
        <v>15.251125500000001</v>
      </c>
      <c r="H329" s="178">
        <f>H309*E329+H311*E329*0.19+H312*E329*0.19+H313*E329*0.09+H314*E329*0.09</f>
        <v>24.106563000000001</v>
      </c>
      <c r="I329" s="179">
        <f t="shared" si="19"/>
        <v>39.357688500000002</v>
      </c>
      <c r="J329" s="180">
        <f>VLOOKUP(B329,материал!$B$5:$G$67,5,0)</f>
        <v>0</v>
      </c>
      <c r="K329" s="180">
        <f t="shared" si="17"/>
        <v>0</v>
      </c>
      <c r="L329" s="177"/>
      <c r="M329" s="271" t="str">
        <f>VLOOKUP(B329,материал!$B$5:$H$67,7,0)</f>
        <v>Закуп подярдчика</v>
      </c>
    </row>
    <row r="330" spans="1:13" s="135" customFormat="1" ht="12.75" customHeight="1" x14ac:dyDescent="0.25">
      <c r="A330" s="192"/>
      <c r="B330" s="191" t="s">
        <v>112</v>
      </c>
      <c r="C330" s="177" t="s">
        <v>70</v>
      </c>
      <c r="D330" s="177" t="s">
        <v>45</v>
      </c>
      <c r="E330" s="177">
        <v>0.24</v>
      </c>
      <c r="F330" s="177"/>
      <c r="G330" s="178">
        <f>G310*E330</f>
        <v>0.4128</v>
      </c>
      <c r="H330" s="178">
        <f>H310*E330</f>
        <v>0.624</v>
      </c>
      <c r="I330" s="179">
        <f t="shared" si="19"/>
        <v>1.0367999999999999</v>
      </c>
      <c r="J330" s="180">
        <f>VLOOKUP(B330,материал!$B$5:$G$67,5,0)</f>
        <v>0</v>
      </c>
      <c r="K330" s="180">
        <f t="shared" si="17"/>
        <v>0</v>
      </c>
      <c r="L330" s="177"/>
      <c r="M330" s="271" t="str">
        <f>VLOOKUP(B330,материал!$B$5:$H$67,7,0)</f>
        <v>Закуп подярдчика</v>
      </c>
    </row>
    <row r="331" spans="1:13" s="135" customFormat="1" ht="12.75" customHeight="1" x14ac:dyDescent="0.25">
      <c r="A331" s="192"/>
      <c r="B331" s="191" t="s">
        <v>72</v>
      </c>
      <c r="C331" s="177" t="s">
        <v>70</v>
      </c>
      <c r="D331" s="177" t="s">
        <v>45</v>
      </c>
      <c r="E331" s="177">
        <v>4.5999999999999999E-2</v>
      </c>
      <c r="F331" s="177"/>
      <c r="G331" s="178">
        <f>G315*E331</f>
        <v>2.41316</v>
      </c>
      <c r="H331" s="178">
        <f>H315*E331</f>
        <v>1.7756000000000001</v>
      </c>
      <c r="I331" s="179">
        <f t="shared" si="19"/>
        <v>4.1887600000000003</v>
      </c>
      <c r="J331" s="180">
        <f>VLOOKUP(B331,материал!$B$5:$G$67,5,0)</f>
        <v>0</v>
      </c>
      <c r="K331" s="180">
        <f t="shared" si="17"/>
        <v>0</v>
      </c>
      <c r="L331" s="177"/>
      <c r="M331" s="271" t="str">
        <f>VLOOKUP(B331,материал!$B$5:$H$67,7,0)</f>
        <v>Закуп подярдчика</v>
      </c>
    </row>
    <row r="332" spans="1:13" s="135" customFormat="1" ht="12.75" customHeight="1" x14ac:dyDescent="0.25">
      <c r="A332" s="192"/>
      <c r="B332" s="191" t="s">
        <v>74</v>
      </c>
      <c r="C332" s="177" t="s">
        <v>70</v>
      </c>
      <c r="D332" s="177" t="s">
        <v>45</v>
      </c>
      <c r="E332" s="177">
        <v>1.01</v>
      </c>
      <c r="F332" s="177"/>
      <c r="G332" s="178">
        <f>G320*E332</f>
        <v>0.46373544</v>
      </c>
      <c r="H332" s="178">
        <f>H320*E332</f>
        <v>0.66595157999999999</v>
      </c>
      <c r="I332" s="179">
        <f t="shared" si="19"/>
        <v>1.12968702</v>
      </c>
      <c r="J332" s="180">
        <f>VLOOKUP(B332,материал!$B$5:$G$67,5,0)</f>
        <v>0</v>
      </c>
      <c r="K332" s="180">
        <f t="shared" si="17"/>
        <v>0</v>
      </c>
      <c r="L332" s="177"/>
      <c r="M332" s="271" t="str">
        <f>VLOOKUP(B332,материал!$B$5:$H$67,7,0)</f>
        <v>Закуп подярдчика</v>
      </c>
    </row>
    <row r="333" spans="1:13" s="135" customFormat="1" ht="12.75" customHeight="1" x14ac:dyDescent="0.25">
      <c r="A333" s="181"/>
      <c r="B333" s="189" t="s">
        <v>75</v>
      </c>
      <c r="C333" s="177" t="s">
        <v>70</v>
      </c>
      <c r="D333" s="177" t="s">
        <v>45</v>
      </c>
      <c r="E333" s="177">
        <v>6.0000000000000001E-3</v>
      </c>
      <c r="F333" s="177"/>
      <c r="G333" s="178">
        <f>G316*E333</f>
        <v>0.42599999999999999</v>
      </c>
      <c r="H333" s="178">
        <f>H316*E333</f>
        <v>0.56400000000000006</v>
      </c>
      <c r="I333" s="179">
        <f t="shared" si="19"/>
        <v>0.99</v>
      </c>
      <c r="J333" s="180">
        <f>VLOOKUP(B333,материал!$B$5:$G$67,5,0)</f>
        <v>0</v>
      </c>
      <c r="K333" s="180">
        <f t="shared" si="17"/>
        <v>0</v>
      </c>
      <c r="L333" s="177"/>
      <c r="M333" s="271" t="str">
        <f>VLOOKUP(B333,материал!$B$5:$H$67,7,0)</f>
        <v>Закуп подярдчика</v>
      </c>
    </row>
    <row r="334" spans="1:13" s="135" customFormat="1" ht="12.75" customHeight="1" x14ac:dyDescent="0.25">
      <c r="A334" s="181"/>
      <c r="B334" s="189" t="s">
        <v>77</v>
      </c>
      <c r="C334" s="177" t="s">
        <v>70</v>
      </c>
      <c r="D334" s="177" t="s">
        <v>45</v>
      </c>
      <c r="E334" s="177">
        <v>1.01</v>
      </c>
      <c r="F334" s="177"/>
      <c r="G334" s="193">
        <v>5.3999999999999999E-2</v>
      </c>
      <c r="H334" s="193">
        <v>8.6999999999999994E-2</v>
      </c>
      <c r="I334" s="179">
        <f t="shared" si="19"/>
        <v>0.14099999999999999</v>
      </c>
      <c r="J334" s="180">
        <f>VLOOKUP(B334,материал!$B$5:$G$67,5,0)</f>
        <v>0</v>
      </c>
      <c r="K334" s="180">
        <f t="shared" si="17"/>
        <v>0</v>
      </c>
      <c r="L334" s="194"/>
      <c r="M334" s="271" t="str">
        <f>VLOOKUP(B334,материал!$B$5:$H$67,7,0)</f>
        <v>Закуп подярдчика</v>
      </c>
    </row>
    <row r="335" spans="1:13" s="135" customFormat="1" ht="12.75" customHeight="1" x14ac:dyDescent="0.25">
      <c r="A335" s="181"/>
      <c r="B335" s="189" t="s">
        <v>78</v>
      </c>
      <c r="C335" s="177" t="s">
        <v>79</v>
      </c>
      <c r="D335" s="177" t="s">
        <v>47</v>
      </c>
      <c r="E335" s="177"/>
      <c r="F335" s="177"/>
      <c r="G335" s="178">
        <v>153.38</v>
      </c>
      <c r="H335" s="178">
        <v>226.65</v>
      </c>
      <c r="I335" s="179">
        <f t="shared" si="19"/>
        <v>380.03</v>
      </c>
      <c r="J335" s="180">
        <f>VLOOKUP(B335,материал!$B$5:$G$67,5,0)</f>
        <v>0</v>
      </c>
      <c r="K335" s="180">
        <f t="shared" si="17"/>
        <v>0</v>
      </c>
      <c r="L335" s="194"/>
      <c r="M335" s="271" t="str">
        <f>VLOOKUP(B335,материал!$B$5:$H$67,7,0)</f>
        <v>Закуп подярдчика</v>
      </c>
    </row>
    <row r="336" spans="1:13" s="135" customFormat="1" ht="27" customHeight="1" x14ac:dyDescent="0.25">
      <c r="A336" s="181"/>
      <c r="B336" s="189" t="s">
        <v>277</v>
      </c>
      <c r="C336" s="177" t="s">
        <v>114</v>
      </c>
      <c r="D336" s="177" t="s">
        <v>60</v>
      </c>
      <c r="E336" s="177"/>
      <c r="F336" s="177"/>
      <c r="G336" s="178">
        <v>18</v>
      </c>
      <c r="H336" s="178">
        <v>14</v>
      </c>
      <c r="I336" s="179">
        <f t="shared" si="19"/>
        <v>32</v>
      </c>
      <c r="J336" s="180">
        <f>VLOOKUP(B336,материал!$B$5:$G$67,5,0)</f>
        <v>0</v>
      </c>
      <c r="K336" s="180">
        <f t="shared" si="17"/>
        <v>0</v>
      </c>
      <c r="L336" s="194"/>
      <c r="M336" s="271" t="str">
        <f>VLOOKUP(B336,материал!$B$5:$H$67,7,0)</f>
        <v>Закуп подярдчика</v>
      </c>
    </row>
    <row r="337" spans="1:13" s="135" customFormat="1" ht="27" customHeight="1" x14ac:dyDescent="0.25">
      <c r="A337" s="181"/>
      <c r="B337" s="189" t="s">
        <v>278</v>
      </c>
      <c r="C337" s="177" t="s">
        <v>116</v>
      </c>
      <c r="D337" s="177" t="s">
        <v>60</v>
      </c>
      <c r="E337" s="177"/>
      <c r="F337" s="177"/>
      <c r="G337" s="178">
        <v>1</v>
      </c>
      <c r="H337" s="178">
        <v>10</v>
      </c>
      <c r="I337" s="179">
        <f t="shared" si="19"/>
        <v>11</v>
      </c>
      <c r="J337" s="180">
        <f>VLOOKUP(B337,материал!$B$5:$G$67,5,0)</f>
        <v>0</v>
      </c>
      <c r="K337" s="180">
        <f t="shared" si="17"/>
        <v>0</v>
      </c>
      <c r="L337" s="194"/>
      <c r="M337" s="271" t="str">
        <f>VLOOKUP(B337,материал!$B$5:$H$67,7,0)</f>
        <v>Закуп подярдчика</v>
      </c>
    </row>
    <row r="338" spans="1:13" s="135" customFormat="1" ht="27" customHeight="1" x14ac:dyDescent="0.25">
      <c r="A338" s="181"/>
      <c r="B338" s="189" t="s">
        <v>279</v>
      </c>
      <c r="C338" s="177" t="s">
        <v>282</v>
      </c>
      <c r="D338" s="177" t="s">
        <v>60</v>
      </c>
      <c r="E338" s="177"/>
      <c r="F338" s="177"/>
      <c r="G338" s="178"/>
      <c r="H338" s="178">
        <v>4</v>
      </c>
      <c r="I338" s="179">
        <f t="shared" si="19"/>
        <v>4</v>
      </c>
      <c r="J338" s="180">
        <f>VLOOKUP(B338,материал!$B$5:$G$67,5,0)</f>
        <v>0</v>
      </c>
      <c r="K338" s="180">
        <f t="shared" si="17"/>
        <v>0</v>
      </c>
      <c r="L338" s="194"/>
      <c r="M338" s="271" t="str">
        <f>VLOOKUP(B338,материал!$B$5:$H$67,7,0)</f>
        <v>Закуп подярдчика</v>
      </c>
    </row>
    <row r="339" spans="1:13" s="135" customFormat="1" ht="27" customHeight="1" x14ac:dyDescent="0.25">
      <c r="A339" s="181"/>
      <c r="B339" s="189" t="s">
        <v>281</v>
      </c>
      <c r="C339" s="177" t="s">
        <v>284</v>
      </c>
      <c r="D339" s="177" t="s">
        <v>60</v>
      </c>
      <c r="E339" s="177"/>
      <c r="F339" s="177"/>
      <c r="G339" s="178">
        <v>9</v>
      </c>
      <c r="H339" s="178">
        <v>4</v>
      </c>
      <c r="I339" s="179">
        <f t="shared" si="19"/>
        <v>13</v>
      </c>
      <c r="J339" s="180">
        <f>VLOOKUP(B339,материал!$B$5:$G$67,5,0)</f>
        <v>0</v>
      </c>
      <c r="K339" s="180">
        <f t="shared" si="17"/>
        <v>0</v>
      </c>
      <c r="L339" s="194"/>
      <c r="M339" s="271" t="str">
        <f>VLOOKUP(B339,материал!$B$5:$H$67,7,0)</f>
        <v>Закуп подярдчика</v>
      </c>
    </row>
    <row r="340" spans="1:13" s="135" customFormat="1" ht="27" customHeight="1" x14ac:dyDescent="0.25">
      <c r="A340" s="181"/>
      <c r="B340" s="189" t="s">
        <v>283</v>
      </c>
      <c r="C340" s="177" t="s">
        <v>286</v>
      </c>
      <c r="D340" s="177" t="s">
        <v>60</v>
      </c>
      <c r="E340" s="177"/>
      <c r="F340" s="177"/>
      <c r="G340" s="178">
        <v>1</v>
      </c>
      <c r="H340" s="178">
        <v>1</v>
      </c>
      <c r="I340" s="179">
        <f t="shared" si="19"/>
        <v>2</v>
      </c>
      <c r="J340" s="180">
        <f>VLOOKUP(B340,материал!$B$5:$G$67,5,0)</f>
        <v>0</v>
      </c>
      <c r="K340" s="180">
        <f t="shared" si="17"/>
        <v>0</v>
      </c>
      <c r="L340" s="194"/>
      <c r="M340" s="271" t="str">
        <f>VLOOKUP(B340,материал!$B$5:$H$67,7,0)</f>
        <v>Закуп подярдчика</v>
      </c>
    </row>
    <row r="341" spans="1:13" s="135" customFormat="1" ht="27" customHeight="1" x14ac:dyDescent="0.25">
      <c r="A341" s="181"/>
      <c r="B341" s="189" t="s">
        <v>285</v>
      </c>
      <c r="C341" s="177" t="s">
        <v>288</v>
      </c>
      <c r="D341" s="177" t="s">
        <v>60</v>
      </c>
      <c r="E341" s="177"/>
      <c r="F341" s="177"/>
      <c r="G341" s="178">
        <v>1</v>
      </c>
      <c r="H341" s="178">
        <v>1</v>
      </c>
      <c r="I341" s="179">
        <f t="shared" si="19"/>
        <v>2</v>
      </c>
      <c r="J341" s="180">
        <f>VLOOKUP(B341,материал!$B$5:$G$67,5,0)</f>
        <v>0</v>
      </c>
      <c r="K341" s="180">
        <f t="shared" si="17"/>
        <v>0</v>
      </c>
      <c r="L341" s="194"/>
      <c r="M341" s="271" t="str">
        <f>VLOOKUP(B341,материал!$B$5:$H$67,7,0)</f>
        <v>Закуп подярдчика</v>
      </c>
    </row>
    <row r="342" spans="1:13" s="135" customFormat="1" ht="27" customHeight="1" x14ac:dyDescent="0.25">
      <c r="A342" s="181"/>
      <c r="B342" s="189" t="s">
        <v>287</v>
      </c>
      <c r="C342" s="177" t="s">
        <v>290</v>
      </c>
      <c r="D342" s="177" t="s">
        <v>60</v>
      </c>
      <c r="E342" s="177"/>
      <c r="F342" s="177"/>
      <c r="G342" s="178">
        <v>6</v>
      </c>
      <c r="H342" s="178">
        <v>4</v>
      </c>
      <c r="I342" s="179">
        <f t="shared" si="19"/>
        <v>10</v>
      </c>
      <c r="J342" s="180">
        <f>VLOOKUP(B342,материал!$B$5:$G$67,5,0)</f>
        <v>0</v>
      </c>
      <c r="K342" s="180">
        <f t="shared" si="17"/>
        <v>0</v>
      </c>
      <c r="L342" s="194"/>
      <c r="M342" s="271" t="str">
        <f>VLOOKUP(B342,материал!$B$5:$H$67,7,0)</f>
        <v>Закуп подярдчика</v>
      </c>
    </row>
    <row r="343" spans="1:13" s="135" customFormat="1" ht="27" customHeight="1" x14ac:dyDescent="0.25">
      <c r="A343" s="181"/>
      <c r="B343" s="189" t="s">
        <v>289</v>
      </c>
      <c r="C343" s="177" t="s">
        <v>292</v>
      </c>
      <c r="D343" s="177" t="s">
        <v>60</v>
      </c>
      <c r="E343" s="177"/>
      <c r="F343" s="177"/>
      <c r="G343" s="178">
        <v>20</v>
      </c>
      <c r="H343" s="178">
        <v>26</v>
      </c>
      <c r="I343" s="179">
        <f t="shared" si="19"/>
        <v>46</v>
      </c>
      <c r="J343" s="180">
        <f>VLOOKUP(B343,материал!$B$5:$G$67,5,0)</f>
        <v>0</v>
      </c>
      <c r="K343" s="180">
        <f t="shared" ref="K343:K405" si="20">I343*J343</f>
        <v>0</v>
      </c>
      <c r="L343" s="194"/>
      <c r="M343" s="271" t="str">
        <f>VLOOKUP(B343,материал!$B$5:$H$67,7,0)</f>
        <v>Закуп подярдчика</v>
      </c>
    </row>
    <row r="344" spans="1:13" s="135" customFormat="1" ht="27" customHeight="1" x14ac:dyDescent="0.25">
      <c r="A344" s="181"/>
      <c r="B344" s="189" t="s">
        <v>291</v>
      </c>
      <c r="C344" s="177" t="s">
        <v>294</v>
      </c>
      <c r="D344" s="177" t="s">
        <v>60</v>
      </c>
      <c r="E344" s="177"/>
      <c r="F344" s="177"/>
      <c r="G344" s="178">
        <v>2</v>
      </c>
      <c r="H344" s="178">
        <v>18</v>
      </c>
      <c r="I344" s="179">
        <f t="shared" si="19"/>
        <v>20</v>
      </c>
      <c r="J344" s="180">
        <f>VLOOKUP(B344,материал!$B$5:$G$67,5,0)</f>
        <v>0</v>
      </c>
      <c r="K344" s="180">
        <f t="shared" si="20"/>
        <v>0</v>
      </c>
      <c r="L344" s="194"/>
      <c r="M344" s="271" t="str">
        <f>VLOOKUP(B344,материал!$B$5:$H$67,7,0)</f>
        <v>Закуп подярдчика</v>
      </c>
    </row>
    <row r="345" spans="1:13" s="135" customFormat="1" ht="27" customHeight="1" x14ac:dyDescent="0.25">
      <c r="A345" s="181"/>
      <c r="B345" s="189" t="s">
        <v>313</v>
      </c>
      <c r="C345" s="177" t="s">
        <v>296</v>
      </c>
      <c r="D345" s="177" t="s">
        <v>60</v>
      </c>
      <c r="E345" s="177"/>
      <c r="F345" s="177"/>
      <c r="G345" s="178">
        <v>4</v>
      </c>
      <c r="H345" s="178"/>
      <c r="I345" s="179">
        <f t="shared" si="19"/>
        <v>4</v>
      </c>
      <c r="J345" s="180">
        <f>VLOOKUP(B345,материал!$B$5:$G$67,5,0)</f>
        <v>0</v>
      </c>
      <c r="K345" s="180">
        <f t="shared" si="20"/>
        <v>0</v>
      </c>
      <c r="L345" s="194"/>
      <c r="M345" s="271" t="str">
        <f>VLOOKUP(B345,материал!$B$5:$H$67,7,0)</f>
        <v>Закуп подярдчика</v>
      </c>
    </row>
    <row r="346" spans="1:13" s="135" customFormat="1" ht="27" customHeight="1" x14ac:dyDescent="0.25">
      <c r="A346" s="181"/>
      <c r="B346" s="189" t="s">
        <v>293</v>
      </c>
      <c r="C346" s="177" t="s">
        <v>314</v>
      </c>
      <c r="D346" s="177" t="s">
        <v>60</v>
      </c>
      <c r="E346" s="177"/>
      <c r="F346" s="177"/>
      <c r="G346" s="178">
        <v>4</v>
      </c>
      <c r="H346" s="178"/>
      <c r="I346" s="179">
        <f t="shared" si="19"/>
        <v>4</v>
      </c>
      <c r="J346" s="180">
        <f>VLOOKUP(B346,материал!$B$5:$G$67,5,0)</f>
        <v>0</v>
      </c>
      <c r="K346" s="180">
        <f t="shared" si="20"/>
        <v>0</v>
      </c>
      <c r="L346" s="194"/>
      <c r="M346" s="271" t="str">
        <f>VLOOKUP(B346,материал!$B$5:$H$67,7,0)</f>
        <v>Закуп подярдчика</v>
      </c>
    </row>
    <row r="347" spans="1:13" s="135" customFormat="1" ht="27" customHeight="1" x14ac:dyDescent="0.25">
      <c r="A347" s="181"/>
      <c r="B347" s="189" t="s">
        <v>295</v>
      </c>
      <c r="C347" s="177" t="s">
        <v>118</v>
      </c>
      <c r="D347" s="177" t="s">
        <v>60</v>
      </c>
      <c r="E347" s="177"/>
      <c r="F347" s="177"/>
      <c r="G347" s="178">
        <v>1</v>
      </c>
      <c r="H347" s="178">
        <v>2</v>
      </c>
      <c r="I347" s="179">
        <f t="shared" si="19"/>
        <v>3</v>
      </c>
      <c r="J347" s="180">
        <f>VLOOKUP(B347,материал!$B$5:$G$67,5,0)</f>
        <v>0</v>
      </c>
      <c r="K347" s="180">
        <f t="shared" si="20"/>
        <v>0</v>
      </c>
      <c r="L347" s="194"/>
      <c r="M347" s="271" t="str">
        <f>VLOOKUP(B347,материал!$B$5:$H$67,7,0)</f>
        <v>Закуп подярдчика</v>
      </c>
    </row>
    <row r="348" spans="1:13" s="135" customFormat="1" ht="27" customHeight="1" x14ac:dyDescent="0.25">
      <c r="A348" s="181"/>
      <c r="B348" s="189" t="s">
        <v>315</v>
      </c>
      <c r="C348" s="177" t="s">
        <v>120</v>
      </c>
      <c r="D348" s="177" t="s">
        <v>60</v>
      </c>
      <c r="E348" s="177"/>
      <c r="F348" s="177"/>
      <c r="G348" s="178">
        <v>4</v>
      </c>
      <c r="H348" s="178">
        <v>10</v>
      </c>
      <c r="I348" s="179">
        <f t="shared" si="19"/>
        <v>14</v>
      </c>
      <c r="J348" s="180">
        <f>VLOOKUP(B348,материал!$B$5:$G$67,5,0)</f>
        <v>0</v>
      </c>
      <c r="K348" s="180">
        <f t="shared" si="20"/>
        <v>0</v>
      </c>
      <c r="L348" s="194"/>
      <c r="M348" s="271" t="str">
        <f>VLOOKUP(B348,материал!$B$5:$H$67,7,0)</f>
        <v>Закуп подярдчика</v>
      </c>
    </row>
    <row r="349" spans="1:13" s="135" customFormat="1" ht="12.75" customHeight="1" x14ac:dyDescent="0.25">
      <c r="A349" s="181"/>
      <c r="B349" s="189" t="s">
        <v>92</v>
      </c>
      <c r="C349" s="177" t="s">
        <v>93</v>
      </c>
      <c r="D349" s="177" t="s">
        <v>54</v>
      </c>
      <c r="E349" s="177">
        <v>1.04</v>
      </c>
      <c r="F349" s="177"/>
      <c r="G349" s="178">
        <f>127.56*E349</f>
        <v>132.66240000000002</v>
      </c>
      <c r="H349" s="178">
        <f>180.66*E349</f>
        <v>187.88640000000001</v>
      </c>
      <c r="I349" s="179">
        <f t="shared" si="19"/>
        <v>320.54880000000003</v>
      </c>
      <c r="J349" s="180">
        <f>VLOOKUP(B349,материал!$B$5:$G$67,5,0)</f>
        <v>0</v>
      </c>
      <c r="K349" s="180">
        <f t="shared" si="20"/>
        <v>0</v>
      </c>
      <c r="L349" s="194"/>
      <c r="M349" s="271" t="str">
        <f>VLOOKUP(B349,материал!$B$5:$H$67,7,0)</f>
        <v>Закуп подярдчика</v>
      </c>
    </row>
    <row r="350" spans="1:13" s="135" customFormat="1" ht="12.75" customHeight="1" x14ac:dyDescent="0.25">
      <c r="A350" s="181"/>
      <c r="B350" s="189" t="s">
        <v>94</v>
      </c>
      <c r="C350" s="177" t="s">
        <v>95</v>
      </c>
      <c r="D350" s="177" t="s">
        <v>54</v>
      </c>
      <c r="E350" s="177">
        <v>1.04</v>
      </c>
      <c r="F350" s="177"/>
      <c r="G350" s="178">
        <f>G318*E350</f>
        <v>32.292000000000002</v>
      </c>
      <c r="H350" s="178">
        <f>H318*E350</f>
        <v>46.373600000000003</v>
      </c>
      <c r="I350" s="179">
        <f t="shared" si="19"/>
        <v>78.665600000000012</v>
      </c>
      <c r="J350" s="180">
        <f>VLOOKUP(B350,материал!$B$5:$G$67,5,0)</f>
        <v>0</v>
      </c>
      <c r="K350" s="180">
        <f t="shared" si="20"/>
        <v>0</v>
      </c>
      <c r="L350" s="194"/>
      <c r="M350" s="271" t="str">
        <f>VLOOKUP(B350,материал!$B$5:$H$67,7,0)</f>
        <v>Закуп подярдчика</v>
      </c>
    </row>
    <row r="351" spans="1:13" s="135" customFormat="1" ht="12.75" customHeight="1" x14ac:dyDescent="0.25">
      <c r="A351" s="181"/>
      <c r="B351" s="189" t="s">
        <v>131</v>
      </c>
      <c r="C351" s="177" t="s">
        <v>39</v>
      </c>
      <c r="D351" s="177" t="s">
        <v>54</v>
      </c>
      <c r="E351" s="177">
        <v>1.04</v>
      </c>
      <c r="F351" s="177"/>
      <c r="G351" s="178">
        <f>46.68*E351</f>
        <v>48.547200000000004</v>
      </c>
      <c r="H351" s="178">
        <f>31.12*E351</f>
        <v>32.364800000000002</v>
      </c>
      <c r="I351" s="179">
        <f t="shared" si="19"/>
        <v>80.912000000000006</v>
      </c>
      <c r="J351" s="180">
        <f>VLOOKUP(B351,материал!$B$5:$G$67,5,0)</f>
        <v>0</v>
      </c>
      <c r="K351" s="180">
        <f t="shared" si="20"/>
        <v>0</v>
      </c>
      <c r="L351" s="194"/>
      <c r="M351" s="271" t="str">
        <f>VLOOKUP(B351,материал!$B$5:$H$67,7,0)</f>
        <v>Закуп подярдчика</v>
      </c>
    </row>
    <row r="352" spans="1:13" s="135" customFormat="1" ht="12.75" customHeight="1" x14ac:dyDescent="0.25">
      <c r="A352" s="181"/>
      <c r="B352" s="189" t="s">
        <v>96</v>
      </c>
      <c r="C352" s="177" t="s">
        <v>39</v>
      </c>
      <c r="D352" s="177" t="s">
        <v>54</v>
      </c>
      <c r="E352" s="177">
        <v>1.04</v>
      </c>
      <c r="F352" s="177"/>
      <c r="G352" s="178">
        <f>25.93*E352</f>
        <v>26.967200000000002</v>
      </c>
      <c r="H352" s="178">
        <f>E352*17.2</f>
        <v>17.887999999999998</v>
      </c>
      <c r="I352" s="179">
        <f t="shared" si="19"/>
        <v>44.855199999999996</v>
      </c>
      <c r="J352" s="180">
        <f>VLOOKUP(B352,материал!$B$5:$G$67,5,0)</f>
        <v>0</v>
      </c>
      <c r="K352" s="180">
        <f t="shared" si="20"/>
        <v>0</v>
      </c>
      <c r="L352" s="194"/>
      <c r="M352" s="271" t="str">
        <f>VLOOKUP(B352,материал!$B$5:$H$67,7,0)</f>
        <v>Закуп подярдчика</v>
      </c>
    </row>
    <row r="353" spans="1:13" s="137" customFormat="1" ht="12.75" customHeight="1" x14ac:dyDescent="0.25">
      <c r="A353" s="181"/>
      <c r="B353" s="189" t="s">
        <v>97</v>
      </c>
      <c r="C353" s="177" t="s">
        <v>39</v>
      </c>
      <c r="D353" s="177" t="s">
        <v>54</v>
      </c>
      <c r="E353" s="177">
        <v>1.04</v>
      </c>
      <c r="F353" s="177"/>
      <c r="G353" s="178">
        <f>E353*10.72</f>
        <v>11.148800000000001</v>
      </c>
      <c r="H353" s="178">
        <f>E353*20.84</f>
        <v>21.6736</v>
      </c>
      <c r="I353" s="179">
        <f t="shared" si="19"/>
        <v>32.822400000000002</v>
      </c>
      <c r="J353" s="180">
        <f>VLOOKUP(B353,материал!$B$5:$G$67,5,0)</f>
        <v>0</v>
      </c>
      <c r="K353" s="180">
        <f t="shared" si="20"/>
        <v>0</v>
      </c>
      <c r="L353" s="194"/>
      <c r="M353" s="271" t="str">
        <f>VLOOKUP(B353,материал!$B$5:$H$67,7,0)</f>
        <v>Закуп подярдчика</v>
      </c>
    </row>
    <row r="354" spans="1:13" s="135" customFormat="1" ht="12.75" customHeight="1" x14ac:dyDescent="0.25">
      <c r="A354" s="181"/>
      <c r="B354" s="189" t="s">
        <v>132</v>
      </c>
      <c r="C354" s="177" t="s">
        <v>39</v>
      </c>
      <c r="D354" s="177" t="s">
        <v>54</v>
      </c>
      <c r="E354" s="177">
        <v>1.04</v>
      </c>
      <c r="F354" s="177"/>
      <c r="G354" s="178">
        <f>15.75*E354</f>
        <v>16.38</v>
      </c>
      <c r="H354" s="178">
        <f>10.5*E354</f>
        <v>10.92</v>
      </c>
      <c r="I354" s="179">
        <f t="shared" si="19"/>
        <v>27.299999999999997</v>
      </c>
      <c r="J354" s="180">
        <f>VLOOKUP(B354,материал!$B$5:$G$67,5,0)</f>
        <v>0</v>
      </c>
      <c r="K354" s="180">
        <f t="shared" si="20"/>
        <v>0</v>
      </c>
      <c r="L354" s="194"/>
      <c r="M354" s="271" t="str">
        <f>VLOOKUP(B354,материал!$B$5:$H$67,7,0)</f>
        <v>Закуп подярдчика</v>
      </c>
    </row>
    <row r="355" spans="1:13" s="135" customFormat="1" ht="24.95" customHeight="1" x14ac:dyDescent="0.25">
      <c r="A355" s="181"/>
      <c r="B355" s="189" t="s">
        <v>275</v>
      </c>
      <c r="C355" s="177" t="s">
        <v>276</v>
      </c>
      <c r="D355" s="177" t="s">
        <v>45</v>
      </c>
      <c r="E355" s="177">
        <v>1.04</v>
      </c>
      <c r="F355" s="177"/>
      <c r="G355" s="178">
        <f>G319*0.05*E355</f>
        <v>1.6716960000000001</v>
      </c>
      <c r="H355" s="178">
        <f>H319*0.05*E355</f>
        <v>0</v>
      </c>
      <c r="I355" s="179">
        <f t="shared" si="19"/>
        <v>1.6716960000000001</v>
      </c>
      <c r="J355" s="180">
        <f>VLOOKUP(B355,материал!$B$5:$G$67,5,0)</f>
        <v>0</v>
      </c>
      <c r="K355" s="180">
        <f t="shared" si="20"/>
        <v>0</v>
      </c>
      <c r="L355" s="194"/>
      <c r="M355" s="271" t="str">
        <f>VLOOKUP(B355,материал!$B$5:$H$67,7,0)</f>
        <v>Закуп подярдчика</v>
      </c>
    </row>
    <row r="356" spans="1:13" s="135" customFormat="1" ht="25.5" x14ac:dyDescent="0.25">
      <c r="A356" s="195"/>
      <c r="B356" s="196" t="s">
        <v>133</v>
      </c>
      <c r="C356" s="197" t="s">
        <v>39</v>
      </c>
      <c r="D356" s="197" t="s">
        <v>99</v>
      </c>
      <c r="E356" s="197"/>
      <c r="F356" s="197"/>
      <c r="G356" s="198"/>
      <c r="H356" s="198"/>
      <c r="I356" s="199">
        <f ca="1">SUMIF(материал!$B$5:$G$67,B356,материал!$E$5:$E$67)</f>
        <v>0</v>
      </c>
      <c r="J356" s="179"/>
      <c r="K356" s="180">
        <f ca="1">SUM(K322:K355)*I356%</f>
        <v>0</v>
      </c>
      <c r="L356" s="200"/>
      <c r="M356" s="274" t="str">
        <f>VLOOKUP(B356,материал!$B$5:$H$67,7,0)</f>
        <v>Закуп подярдчика</v>
      </c>
    </row>
    <row r="357" spans="1:13" s="135" customFormat="1" ht="12.75" customHeight="1" x14ac:dyDescent="0.25">
      <c r="A357" s="160" t="s">
        <v>144</v>
      </c>
      <c r="B357" s="161" t="s">
        <v>145</v>
      </c>
      <c r="C357" s="162"/>
      <c r="D357" s="163"/>
      <c r="E357" s="162"/>
      <c r="F357" s="162"/>
      <c r="G357" s="164"/>
      <c r="H357" s="164"/>
      <c r="I357" s="165"/>
      <c r="J357" s="165"/>
      <c r="K357" s="165">
        <f ca="1">K358+K371</f>
        <v>0</v>
      </c>
      <c r="L357" s="186"/>
      <c r="M357" s="273" t="e">
        <f>VLOOKUP(B357,материал!$B$5:$H$67,7,0)</f>
        <v>#N/A</v>
      </c>
    </row>
    <row r="358" spans="1:13" s="135" customFormat="1" ht="12.75" customHeight="1" x14ac:dyDescent="0.25">
      <c r="A358" s="166"/>
      <c r="B358" s="167" t="s">
        <v>34</v>
      </c>
      <c r="C358" s="168"/>
      <c r="D358" s="168"/>
      <c r="E358" s="168"/>
      <c r="F358" s="168"/>
      <c r="G358" s="169"/>
      <c r="H358" s="169"/>
      <c r="I358" s="170"/>
      <c r="J358" s="170"/>
      <c r="K358" s="170">
        <f>SUM(K359:K369)</f>
        <v>0</v>
      </c>
      <c r="L358" s="172"/>
      <c r="M358" s="270" t="e">
        <f>VLOOKUP(B358,материал!$B$5:$H$67,7,0)</f>
        <v>#N/A</v>
      </c>
    </row>
    <row r="359" spans="1:13" s="135" customFormat="1" ht="24" customHeight="1" x14ac:dyDescent="0.25">
      <c r="A359" s="166"/>
      <c r="B359" s="171" t="s">
        <v>44</v>
      </c>
      <c r="C359" s="172"/>
      <c r="D359" s="172" t="s">
        <v>45</v>
      </c>
      <c r="E359" s="172"/>
      <c r="F359" s="172"/>
      <c r="G359" s="173">
        <v>26.31</v>
      </c>
      <c r="H359" s="173">
        <v>34.979999999999997</v>
      </c>
      <c r="I359" s="170">
        <f t="shared" ref="I359:I370" si="21">SUM(G359:H359)</f>
        <v>61.289999999999992</v>
      </c>
      <c r="J359" s="174">
        <f>VLOOKUP(B359,работы!$B$5:$F$19,4,0)</f>
        <v>0</v>
      </c>
      <c r="K359" s="174">
        <f t="shared" si="20"/>
        <v>0</v>
      </c>
      <c r="L359" s="172"/>
      <c r="M359" s="270" t="e">
        <f>VLOOKUP(B359,материал!$B$5:$H$67,7,0)</f>
        <v>#N/A</v>
      </c>
    </row>
    <row r="360" spans="1:13" s="135" customFormat="1" ht="12.75" customHeight="1" x14ac:dyDescent="0.25">
      <c r="A360" s="166"/>
      <c r="B360" s="171" t="s">
        <v>102</v>
      </c>
      <c r="C360" s="172"/>
      <c r="D360" s="172" t="s">
        <v>45</v>
      </c>
      <c r="E360" s="172"/>
      <c r="F360" s="172"/>
      <c r="G360" s="173">
        <v>1.72</v>
      </c>
      <c r="H360" s="173">
        <v>2.6</v>
      </c>
      <c r="I360" s="170">
        <f t="shared" si="21"/>
        <v>4.32</v>
      </c>
      <c r="J360" s="174">
        <f>VLOOKUP(B360,работы!$B$5:$F$19,4,0)</f>
        <v>0</v>
      </c>
      <c r="K360" s="174">
        <f t="shared" si="20"/>
        <v>0</v>
      </c>
      <c r="L360" s="172"/>
      <c r="M360" s="270" t="e">
        <f>VLOOKUP(B360,материал!$B$5:$H$67,7,0)</f>
        <v>#N/A</v>
      </c>
    </row>
    <row r="361" spans="1:13" s="135" customFormat="1" ht="24" customHeight="1" x14ac:dyDescent="0.25">
      <c r="A361" s="166"/>
      <c r="B361" s="171" t="s">
        <v>46</v>
      </c>
      <c r="C361" s="172"/>
      <c r="D361" s="172" t="s">
        <v>47</v>
      </c>
      <c r="E361" s="172"/>
      <c r="F361" s="172"/>
      <c r="G361" s="173">
        <v>102.26</v>
      </c>
      <c r="H361" s="173">
        <v>178.68</v>
      </c>
      <c r="I361" s="170">
        <f t="shared" si="21"/>
        <v>280.94</v>
      </c>
      <c r="J361" s="174">
        <f>VLOOKUP(B361,работы!$B$5:$F$19,4,0)</f>
        <v>0</v>
      </c>
      <c r="K361" s="174">
        <f t="shared" si="20"/>
        <v>0</v>
      </c>
      <c r="L361" s="172"/>
      <c r="M361" s="270" t="e">
        <f>VLOOKUP(B361,материал!$B$5:$H$67,7,0)</f>
        <v>#N/A</v>
      </c>
    </row>
    <row r="362" spans="1:13" s="135" customFormat="1" ht="24" customHeight="1" x14ac:dyDescent="0.25">
      <c r="A362" s="166"/>
      <c r="B362" s="171" t="s">
        <v>48</v>
      </c>
      <c r="C362" s="172"/>
      <c r="D362" s="172" t="s">
        <v>47</v>
      </c>
      <c r="E362" s="172"/>
      <c r="F362" s="172"/>
      <c r="G362" s="173">
        <v>53.68</v>
      </c>
      <c r="H362" s="173">
        <v>110.37</v>
      </c>
      <c r="I362" s="170">
        <f t="shared" si="21"/>
        <v>164.05</v>
      </c>
      <c r="J362" s="174">
        <f>VLOOKUP(B362,работы!$B$5:$F$19,4,0)</f>
        <v>0</v>
      </c>
      <c r="K362" s="174">
        <f t="shared" si="20"/>
        <v>0</v>
      </c>
      <c r="L362" s="172"/>
      <c r="M362" s="270" t="e">
        <f>VLOOKUP(B362,материал!$B$5:$H$67,7,0)</f>
        <v>#N/A</v>
      </c>
    </row>
    <row r="363" spans="1:13" s="135" customFormat="1" ht="24" customHeight="1" x14ac:dyDescent="0.25">
      <c r="A363" s="166"/>
      <c r="B363" s="171" t="s">
        <v>103</v>
      </c>
      <c r="C363" s="172"/>
      <c r="D363" s="172" t="s">
        <v>47</v>
      </c>
      <c r="E363" s="172"/>
      <c r="F363" s="172"/>
      <c r="G363" s="173">
        <v>114.29</v>
      </c>
      <c r="H363" s="173">
        <v>184.88</v>
      </c>
      <c r="I363" s="170">
        <f t="shared" si="21"/>
        <v>299.17</v>
      </c>
      <c r="J363" s="174">
        <f>VLOOKUP(B363,работы!$B$5:$F$19,4,0)</f>
        <v>0</v>
      </c>
      <c r="K363" s="174">
        <f t="shared" si="20"/>
        <v>0</v>
      </c>
      <c r="L363" s="172"/>
      <c r="M363" s="270" t="e">
        <f>VLOOKUP(B363,материал!$B$5:$H$67,7,0)</f>
        <v>#N/A</v>
      </c>
    </row>
    <row r="364" spans="1:13" s="135" customFormat="1" ht="24" customHeight="1" x14ac:dyDescent="0.25">
      <c r="A364" s="166"/>
      <c r="B364" s="171" t="s">
        <v>104</v>
      </c>
      <c r="C364" s="172"/>
      <c r="D364" s="172" t="s">
        <v>47</v>
      </c>
      <c r="E364" s="172"/>
      <c r="F364" s="172"/>
      <c r="G364" s="173">
        <v>133.18</v>
      </c>
      <c r="H364" s="173">
        <v>189.83</v>
      </c>
      <c r="I364" s="170">
        <f t="shared" si="21"/>
        <v>323.01</v>
      </c>
      <c r="J364" s="174">
        <f>VLOOKUP(B364,работы!$B$5:$F$19,4,0)</f>
        <v>0</v>
      </c>
      <c r="K364" s="174">
        <f t="shared" si="20"/>
        <v>0</v>
      </c>
      <c r="L364" s="172"/>
      <c r="M364" s="270" t="e">
        <f>VLOOKUP(B364,материал!$B$5:$H$67,7,0)</f>
        <v>#N/A</v>
      </c>
    </row>
    <row r="365" spans="1:13" s="135" customFormat="1" x14ac:dyDescent="0.25">
      <c r="A365" s="166"/>
      <c r="B365" s="171" t="s">
        <v>49</v>
      </c>
      <c r="C365" s="172"/>
      <c r="D365" s="172" t="s">
        <v>47</v>
      </c>
      <c r="E365" s="172"/>
      <c r="F365" s="172"/>
      <c r="G365" s="173">
        <v>52.46</v>
      </c>
      <c r="H365" s="173">
        <v>38.6</v>
      </c>
      <c r="I365" s="170">
        <f t="shared" si="21"/>
        <v>91.06</v>
      </c>
      <c r="J365" s="174">
        <f>VLOOKUP(B365,работы!$B$5:$F$19,4,0)</f>
        <v>0</v>
      </c>
      <c r="K365" s="174">
        <f t="shared" si="20"/>
        <v>0</v>
      </c>
      <c r="L365" s="172"/>
      <c r="M365" s="270" t="e">
        <f>VLOOKUP(B365,материал!$B$5:$H$67,7,0)</f>
        <v>#N/A</v>
      </c>
    </row>
    <row r="366" spans="1:13" s="135" customFormat="1" ht="12.75" customHeight="1" x14ac:dyDescent="0.25">
      <c r="A366" s="166"/>
      <c r="B366" s="171" t="s">
        <v>50</v>
      </c>
      <c r="C366" s="172"/>
      <c r="D366" s="172" t="s">
        <v>51</v>
      </c>
      <c r="E366" s="172"/>
      <c r="F366" s="172"/>
      <c r="G366" s="173">
        <v>71</v>
      </c>
      <c r="H366" s="173">
        <v>94</v>
      </c>
      <c r="I366" s="170">
        <f t="shared" si="21"/>
        <v>165</v>
      </c>
      <c r="J366" s="174">
        <f>VLOOKUP(B366,работы!$B$5:$F$19,4,0)</f>
        <v>0</v>
      </c>
      <c r="K366" s="174">
        <f t="shared" si="20"/>
        <v>0</v>
      </c>
      <c r="L366" s="172"/>
      <c r="M366" s="270" t="e">
        <f>VLOOKUP(B366,материал!$B$5:$H$67,7,0)</f>
        <v>#N/A</v>
      </c>
    </row>
    <row r="367" spans="1:13" s="135" customFormat="1" ht="12.75" customHeight="1" x14ac:dyDescent="0.25">
      <c r="A367" s="166"/>
      <c r="B367" s="171" t="s">
        <v>52</v>
      </c>
      <c r="C367" s="172" t="s">
        <v>105</v>
      </c>
      <c r="D367" s="172" t="s">
        <v>54</v>
      </c>
      <c r="E367" s="172"/>
      <c r="F367" s="172"/>
      <c r="G367" s="173">
        <v>99.09</v>
      </c>
      <c r="H367" s="173">
        <v>79.66</v>
      </c>
      <c r="I367" s="170">
        <f t="shared" si="21"/>
        <v>178.75</v>
      </c>
      <c r="J367" s="174">
        <f>VLOOKUP(B367,работы!$B$5:$F$19,4,0)</f>
        <v>0</v>
      </c>
      <c r="K367" s="174">
        <f t="shared" si="20"/>
        <v>0</v>
      </c>
      <c r="L367" s="172"/>
      <c r="M367" s="270" t="e">
        <f>VLOOKUP(B367,материал!$B$5:$H$67,7,0)</f>
        <v>#N/A</v>
      </c>
    </row>
    <row r="368" spans="1:13" s="135" customFormat="1" ht="25.5" x14ac:dyDescent="0.25">
      <c r="A368" s="166"/>
      <c r="B368" s="171" t="s">
        <v>55</v>
      </c>
      <c r="C368" s="172"/>
      <c r="D368" s="172" t="s">
        <v>54</v>
      </c>
      <c r="E368" s="172"/>
      <c r="F368" s="172"/>
      <c r="G368" s="173">
        <v>31.05</v>
      </c>
      <c r="H368" s="173">
        <v>44.59</v>
      </c>
      <c r="I368" s="170">
        <f t="shared" si="21"/>
        <v>75.64</v>
      </c>
      <c r="J368" s="174">
        <f>VLOOKUP(B368,работы!$B$5:$F$19,4,0)</f>
        <v>0</v>
      </c>
      <c r="K368" s="174">
        <f t="shared" si="20"/>
        <v>0</v>
      </c>
      <c r="L368" s="172"/>
      <c r="M368" s="270" t="e">
        <f>VLOOKUP(B368,материал!$B$5:$H$67,7,0)</f>
        <v>#N/A</v>
      </c>
    </row>
    <row r="369" spans="1:13" s="135" customFormat="1" x14ac:dyDescent="0.25">
      <c r="A369" s="166"/>
      <c r="B369" s="171" t="s">
        <v>256</v>
      </c>
      <c r="C369" s="172"/>
      <c r="D369" s="172" t="s">
        <v>47</v>
      </c>
      <c r="E369" s="172"/>
      <c r="F369" s="172"/>
      <c r="G369" s="173">
        <f>11.4*2.82</f>
        <v>32.147999999999996</v>
      </c>
      <c r="H369" s="173"/>
      <c r="I369" s="170">
        <f t="shared" si="21"/>
        <v>32.147999999999996</v>
      </c>
      <c r="J369" s="174">
        <f>VLOOKUP(B369,работы!$B$5:$F$19,4,0)</f>
        <v>0</v>
      </c>
      <c r="K369" s="174">
        <f t="shared" si="20"/>
        <v>0</v>
      </c>
      <c r="L369" s="172"/>
      <c r="M369" s="270" t="e">
        <f>VLOOKUP(B369,материал!$B$5:$H$67,7,0)</f>
        <v>#N/A</v>
      </c>
    </row>
    <row r="370" spans="1:13" s="135" customFormat="1" x14ac:dyDescent="0.25">
      <c r="A370" s="166"/>
      <c r="B370" s="187" t="s">
        <v>56</v>
      </c>
      <c r="C370" s="188"/>
      <c r="D370" s="188" t="s">
        <v>45</v>
      </c>
      <c r="E370" s="188"/>
      <c r="F370" s="188"/>
      <c r="G370" s="173">
        <f>255.08*0.06*0.03</f>
        <v>0.459144</v>
      </c>
      <c r="H370" s="173">
        <f>366.31*0.06*0.03</f>
        <v>0.659358</v>
      </c>
      <c r="I370" s="170">
        <f t="shared" si="21"/>
        <v>1.1185019999999999</v>
      </c>
      <c r="J370" s="174"/>
      <c r="K370" s="174"/>
      <c r="L370" s="188"/>
      <c r="M370" s="270" t="e">
        <f>VLOOKUP(B370,материал!$B$5:$H$67,7,0)</f>
        <v>#N/A</v>
      </c>
    </row>
    <row r="371" spans="1:13" s="135" customFormat="1" x14ac:dyDescent="0.25">
      <c r="A371" s="175"/>
      <c r="B371" s="176" t="s">
        <v>38</v>
      </c>
      <c r="C371" s="177"/>
      <c r="D371" s="177"/>
      <c r="E371" s="177"/>
      <c r="F371" s="177"/>
      <c r="G371" s="178"/>
      <c r="H371" s="178"/>
      <c r="I371" s="179"/>
      <c r="J371" s="180"/>
      <c r="K371" s="179">
        <f ca="1">SUM(K372:K406)</f>
        <v>0</v>
      </c>
      <c r="L371" s="177"/>
      <c r="M371" s="271"/>
    </row>
    <row r="372" spans="1:13" s="135" customFormat="1" ht="25.5" x14ac:dyDescent="0.25">
      <c r="A372" s="181"/>
      <c r="B372" s="182" t="s">
        <v>58</v>
      </c>
      <c r="C372" s="177" t="s">
        <v>59</v>
      </c>
      <c r="D372" s="177" t="s">
        <v>60</v>
      </c>
      <c r="E372" s="178">
        <v>12.4</v>
      </c>
      <c r="F372" s="177">
        <v>0.25</v>
      </c>
      <c r="G372" s="183">
        <f>G359/F372*E372</f>
        <v>1304.9759999999999</v>
      </c>
      <c r="H372" s="183">
        <f>H359/F372*E372</f>
        <v>1735.0079999999998</v>
      </c>
      <c r="I372" s="184">
        <f t="shared" ref="I372:I405" si="22">SUM(G372:H372)</f>
        <v>3039.9839999999995</v>
      </c>
      <c r="J372" s="180">
        <f>VLOOKUP(B372,материал!$B$5:$G$67,5,0)</f>
        <v>0</v>
      </c>
      <c r="K372" s="180">
        <f t="shared" si="20"/>
        <v>0</v>
      </c>
      <c r="L372" s="177"/>
      <c r="M372" s="271" t="str">
        <f>VLOOKUP(B372,материал!$B$5:$H$67,7,0)</f>
        <v>Давальческий материал</v>
      </c>
    </row>
    <row r="373" spans="1:13" s="135" customFormat="1" ht="25.5" x14ac:dyDescent="0.25">
      <c r="A373" s="181"/>
      <c r="B373" s="182" t="s">
        <v>62</v>
      </c>
      <c r="C373" s="177" t="s">
        <v>63</v>
      </c>
      <c r="D373" s="177" t="s">
        <v>60</v>
      </c>
      <c r="E373" s="178">
        <v>12.4</v>
      </c>
      <c r="F373" s="177"/>
      <c r="G373" s="183">
        <f>G361*E373</f>
        <v>1268.0240000000001</v>
      </c>
      <c r="H373" s="183">
        <f>H361*E373</f>
        <v>2215.6320000000001</v>
      </c>
      <c r="I373" s="184">
        <f t="shared" si="22"/>
        <v>3483.6559999999999</v>
      </c>
      <c r="J373" s="180">
        <f>VLOOKUP(B373,материал!$B$5:$G$67,5,0)</f>
        <v>0</v>
      </c>
      <c r="K373" s="180">
        <f t="shared" si="20"/>
        <v>0</v>
      </c>
      <c r="L373" s="177"/>
      <c r="M373" s="271" t="str">
        <f>VLOOKUP(B373,материал!$B$5:$H$67,7,0)</f>
        <v>Давальческий материал</v>
      </c>
    </row>
    <row r="374" spans="1:13" s="135" customFormat="1" ht="25.5" x14ac:dyDescent="0.25">
      <c r="A374" s="181"/>
      <c r="B374" s="182" t="s">
        <v>64</v>
      </c>
      <c r="C374" s="177" t="s">
        <v>65</v>
      </c>
      <c r="D374" s="177" t="s">
        <v>60</v>
      </c>
      <c r="E374" s="178">
        <v>12.4</v>
      </c>
      <c r="F374" s="177"/>
      <c r="G374" s="183">
        <f>G362*E374</f>
        <v>665.63200000000006</v>
      </c>
      <c r="H374" s="183">
        <f>H362*E374</f>
        <v>1368.5880000000002</v>
      </c>
      <c r="I374" s="184">
        <f t="shared" si="22"/>
        <v>2034.2200000000003</v>
      </c>
      <c r="J374" s="180">
        <f>VLOOKUP(B374,материал!$B$5:$G$67,5,0)</f>
        <v>0</v>
      </c>
      <c r="K374" s="180">
        <f t="shared" si="20"/>
        <v>0</v>
      </c>
      <c r="L374" s="177"/>
      <c r="M374" s="271" t="str">
        <f>VLOOKUP(B374,материал!$B$5:$H$67,7,0)</f>
        <v>Давальческий материал</v>
      </c>
    </row>
    <row r="375" spans="1:13" s="135" customFormat="1" ht="25.5" x14ac:dyDescent="0.25">
      <c r="A375" s="181"/>
      <c r="B375" s="182" t="s">
        <v>106</v>
      </c>
      <c r="C375" s="177" t="s">
        <v>107</v>
      </c>
      <c r="D375" s="177" t="s">
        <v>60</v>
      </c>
      <c r="E375" s="178">
        <v>12.4</v>
      </c>
      <c r="F375" s="177"/>
      <c r="G375" s="183">
        <f>G363*E375</f>
        <v>1417.1960000000001</v>
      </c>
      <c r="H375" s="183">
        <f>H363*E375</f>
        <v>2292.5120000000002</v>
      </c>
      <c r="I375" s="184">
        <f t="shared" si="22"/>
        <v>3709.7080000000005</v>
      </c>
      <c r="J375" s="180">
        <f>VLOOKUP(B375,материал!$B$5:$G$67,5,0)</f>
        <v>0</v>
      </c>
      <c r="K375" s="180">
        <f t="shared" si="20"/>
        <v>0</v>
      </c>
      <c r="L375" s="177"/>
      <c r="M375" s="271" t="str">
        <f>VLOOKUP(B375,материал!$B$5:$H$67,7,0)</f>
        <v>Давальческий материал</v>
      </c>
    </row>
    <row r="376" spans="1:13" s="135" customFormat="1" ht="33" customHeight="1" x14ac:dyDescent="0.25">
      <c r="A376" s="181"/>
      <c r="B376" s="182" t="s">
        <v>108</v>
      </c>
      <c r="C376" s="177" t="s">
        <v>109</v>
      </c>
      <c r="D376" s="177" t="s">
        <v>60</v>
      </c>
      <c r="E376" s="178">
        <v>12.4</v>
      </c>
      <c r="F376" s="177"/>
      <c r="G376" s="183">
        <f>G364*E376</f>
        <v>1651.4320000000002</v>
      </c>
      <c r="H376" s="183">
        <f>H364*E376</f>
        <v>2353.8920000000003</v>
      </c>
      <c r="I376" s="184">
        <f t="shared" si="22"/>
        <v>4005.3240000000005</v>
      </c>
      <c r="J376" s="180">
        <f>VLOOKUP(B376,материал!$B$5:$G$67,5,0)</f>
        <v>0</v>
      </c>
      <c r="K376" s="180">
        <f t="shared" si="20"/>
        <v>0</v>
      </c>
      <c r="L376" s="177"/>
      <c r="M376" s="271" t="str">
        <f>VLOOKUP(B376,материал!$B$5:$H$67,7,0)</f>
        <v>Давальческий материал</v>
      </c>
    </row>
    <row r="377" spans="1:13" s="135" customFormat="1" ht="12.75" customHeight="1" x14ac:dyDescent="0.25">
      <c r="A377" s="181"/>
      <c r="B377" s="189" t="s">
        <v>66</v>
      </c>
      <c r="C377" s="177" t="s">
        <v>67</v>
      </c>
      <c r="D377" s="177" t="s">
        <v>60</v>
      </c>
      <c r="E377" s="190">
        <v>42</v>
      </c>
      <c r="F377" s="190"/>
      <c r="G377" s="183">
        <f>G365*E377</f>
        <v>2203.3200000000002</v>
      </c>
      <c r="H377" s="183">
        <f>H365*E377</f>
        <v>1621.2</v>
      </c>
      <c r="I377" s="184">
        <f t="shared" si="22"/>
        <v>3824.5200000000004</v>
      </c>
      <c r="J377" s="180">
        <f>VLOOKUP(B377,материал!$B$5:$G$67,5,0)</f>
        <v>0</v>
      </c>
      <c r="K377" s="180">
        <f t="shared" si="20"/>
        <v>0</v>
      </c>
      <c r="L377" s="177"/>
      <c r="M377" s="271" t="str">
        <f>VLOOKUP(B377,материал!$B$5:$H$67,7,0)</f>
        <v>Давальческий материал</v>
      </c>
    </row>
    <row r="378" spans="1:13" s="135" customFormat="1" ht="12.75" customHeight="1" x14ac:dyDescent="0.25">
      <c r="A378" s="181"/>
      <c r="B378" s="189" t="s">
        <v>110</v>
      </c>
      <c r="C378" s="177" t="s">
        <v>111</v>
      </c>
      <c r="D378" s="177" t="s">
        <v>60</v>
      </c>
      <c r="E378" s="190">
        <v>42</v>
      </c>
      <c r="F378" s="190"/>
      <c r="G378" s="183">
        <f>G360/0.25*E378</f>
        <v>288.95999999999998</v>
      </c>
      <c r="H378" s="183">
        <f>H360/0.25*E378</f>
        <v>436.8</v>
      </c>
      <c r="I378" s="184">
        <f t="shared" si="22"/>
        <v>725.76</v>
      </c>
      <c r="J378" s="180">
        <f>VLOOKUP(B378,материал!$B$5:$G$67,5,0)</f>
        <v>0</v>
      </c>
      <c r="K378" s="180">
        <f t="shared" si="20"/>
        <v>0</v>
      </c>
      <c r="L378" s="177"/>
      <c r="M378" s="271" t="str">
        <f>VLOOKUP(B378,материал!$B$5:$H$67,7,0)</f>
        <v>Давальческий материал</v>
      </c>
    </row>
    <row r="379" spans="1:13" s="135" customFormat="1" ht="12.75" customHeight="1" x14ac:dyDescent="0.25">
      <c r="A379" s="181"/>
      <c r="B379" s="191" t="s">
        <v>69</v>
      </c>
      <c r="C379" s="177" t="s">
        <v>70</v>
      </c>
      <c r="D379" s="177" t="s">
        <v>45</v>
      </c>
      <c r="E379" s="177">
        <v>0.19500000000000001</v>
      </c>
      <c r="F379" s="190"/>
      <c r="G379" s="178">
        <f>G359*E379+G361*E379*0.19+G362*E379*0.19+G363*E379*0.09+G364*E379*0.09</f>
        <v>15.251125500000001</v>
      </c>
      <c r="H379" s="178">
        <f>H359*E379+H361*E379*0.19+H362*E379*0.19+H363*E379*0.09+H364*E379*0.09</f>
        <v>24.106563000000001</v>
      </c>
      <c r="I379" s="179">
        <f t="shared" si="22"/>
        <v>39.357688500000002</v>
      </c>
      <c r="J379" s="180">
        <f>VLOOKUP(B379,материал!$B$5:$G$67,5,0)</f>
        <v>0</v>
      </c>
      <c r="K379" s="180">
        <f t="shared" si="20"/>
        <v>0</v>
      </c>
      <c r="L379" s="177"/>
      <c r="M379" s="271" t="str">
        <f>VLOOKUP(B379,материал!$B$5:$H$67,7,0)</f>
        <v>Закуп подярдчика</v>
      </c>
    </row>
    <row r="380" spans="1:13" s="135" customFormat="1" ht="12.75" customHeight="1" x14ac:dyDescent="0.25">
      <c r="A380" s="192"/>
      <c r="B380" s="191" t="s">
        <v>112</v>
      </c>
      <c r="C380" s="177" t="s">
        <v>70</v>
      </c>
      <c r="D380" s="177" t="s">
        <v>45</v>
      </c>
      <c r="E380" s="177">
        <v>0.24</v>
      </c>
      <c r="F380" s="177"/>
      <c r="G380" s="178">
        <f>G360*E380</f>
        <v>0.4128</v>
      </c>
      <c r="H380" s="178">
        <f>H360*E380</f>
        <v>0.624</v>
      </c>
      <c r="I380" s="179">
        <f t="shared" si="22"/>
        <v>1.0367999999999999</v>
      </c>
      <c r="J380" s="180">
        <f>VLOOKUP(B380,материал!$B$5:$G$67,5,0)</f>
        <v>0</v>
      </c>
      <c r="K380" s="180">
        <f t="shared" si="20"/>
        <v>0</v>
      </c>
      <c r="L380" s="177"/>
      <c r="M380" s="271" t="str">
        <f>VLOOKUP(B380,материал!$B$5:$H$67,7,0)</f>
        <v>Закуп подярдчика</v>
      </c>
    </row>
    <row r="381" spans="1:13" s="135" customFormat="1" ht="12.75" customHeight="1" x14ac:dyDescent="0.25">
      <c r="A381" s="192"/>
      <c r="B381" s="191" t="s">
        <v>72</v>
      </c>
      <c r="C381" s="177" t="s">
        <v>70</v>
      </c>
      <c r="D381" s="177" t="s">
        <v>45</v>
      </c>
      <c r="E381" s="177">
        <v>4.5999999999999999E-2</v>
      </c>
      <c r="F381" s="177"/>
      <c r="G381" s="178">
        <f>G365*E381</f>
        <v>2.41316</v>
      </c>
      <c r="H381" s="178">
        <f>H365*E381</f>
        <v>1.7756000000000001</v>
      </c>
      <c r="I381" s="179">
        <f t="shared" si="22"/>
        <v>4.1887600000000003</v>
      </c>
      <c r="J381" s="180">
        <f>VLOOKUP(B381,материал!$B$5:$G$67,5,0)</f>
        <v>0</v>
      </c>
      <c r="K381" s="180">
        <f t="shared" si="20"/>
        <v>0</v>
      </c>
      <c r="L381" s="177"/>
      <c r="M381" s="271" t="str">
        <f>VLOOKUP(B381,материал!$B$5:$H$67,7,0)</f>
        <v>Закуп подярдчика</v>
      </c>
    </row>
    <row r="382" spans="1:13" s="135" customFormat="1" ht="12.75" customHeight="1" x14ac:dyDescent="0.25">
      <c r="A382" s="192"/>
      <c r="B382" s="191" t="s">
        <v>74</v>
      </c>
      <c r="C382" s="177" t="s">
        <v>70</v>
      </c>
      <c r="D382" s="177" t="s">
        <v>45</v>
      </c>
      <c r="E382" s="177">
        <v>1.01</v>
      </c>
      <c r="F382" s="177"/>
      <c r="G382" s="178">
        <f>G370*E382</f>
        <v>0.46373544</v>
      </c>
      <c r="H382" s="178">
        <f>H370*E382</f>
        <v>0.66595157999999999</v>
      </c>
      <c r="I382" s="179">
        <f t="shared" si="22"/>
        <v>1.12968702</v>
      </c>
      <c r="J382" s="180">
        <f>VLOOKUP(B382,материал!$B$5:$G$67,5,0)</f>
        <v>0</v>
      </c>
      <c r="K382" s="180">
        <f t="shared" si="20"/>
        <v>0</v>
      </c>
      <c r="L382" s="177"/>
      <c r="M382" s="271" t="str">
        <f>VLOOKUP(B382,материал!$B$5:$H$67,7,0)</f>
        <v>Закуп подярдчика</v>
      </c>
    </row>
    <row r="383" spans="1:13" s="135" customFormat="1" ht="12.75" customHeight="1" x14ac:dyDescent="0.25">
      <c r="A383" s="181"/>
      <c r="B383" s="189" t="s">
        <v>75</v>
      </c>
      <c r="C383" s="177" t="s">
        <v>70</v>
      </c>
      <c r="D383" s="177" t="s">
        <v>45</v>
      </c>
      <c r="E383" s="177">
        <v>6.0000000000000001E-3</v>
      </c>
      <c r="F383" s="177"/>
      <c r="G383" s="178">
        <f>G366*E383</f>
        <v>0.42599999999999999</v>
      </c>
      <c r="H383" s="178">
        <f>H366*E383</f>
        <v>0.56400000000000006</v>
      </c>
      <c r="I383" s="179">
        <f t="shared" si="22"/>
        <v>0.99</v>
      </c>
      <c r="J383" s="180">
        <f>VLOOKUP(B383,материал!$B$5:$G$67,5,0)</f>
        <v>0</v>
      </c>
      <c r="K383" s="180">
        <f t="shared" si="20"/>
        <v>0</v>
      </c>
      <c r="L383" s="177"/>
      <c r="M383" s="271" t="str">
        <f>VLOOKUP(B383,материал!$B$5:$H$67,7,0)</f>
        <v>Закуп подярдчика</v>
      </c>
    </row>
    <row r="384" spans="1:13" s="135" customFormat="1" ht="12.75" customHeight="1" x14ac:dyDescent="0.25">
      <c r="A384" s="181"/>
      <c r="B384" s="189" t="s">
        <v>77</v>
      </c>
      <c r="C384" s="177" t="s">
        <v>70</v>
      </c>
      <c r="D384" s="177" t="s">
        <v>45</v>
      </c>
      <c r="E384" s="177">
        <v>1.01</v>
      </c>
      <c r="F384" s="177"/>
      <c r="G384" s="193">
        <v>5.3999999999999999E-2</v>
      </c>
      <c r="H384" s="193">
        <v>8.6999999999999994E-2</v>
      </c>
      <c r="I384" s="179">
        <f t="shared" si="22"/>
        <v>0.14099999999999999</v>
      </c>
      <c r="J384" s="180">
        <f>VLOOKUP(B384,материал!$B$5:$G$67,5,0)</f>
        <v>0</v>
      </c>
      <c r="K384" s="180">
        <f t="shared" si="20"/>
        <v>0</v>
      </c>
      <c r="L384" s="194"/>
      <c r="M384" s="271" t="str">
        <f>VLOOKUP(B384,материал!$B$5:$H$67,7,0)</f>
        <v>Закуп подярдчика</v>
      </c>
    </row>
    <row r="385" spans="1:13" s="135" customFormat="1" ht="12.75" customHeight="1" x14ac:dyDescent="0.25">
      <c r="A385" s="181"/>
      <c r="B385" s="189" t="s">
        <v>78</v>
      </c>
      <c r="C385" s="177" t="s">
        <v>79</v>
      </c>
      <c r="D385" s="177" t="s">
        <v>47</v>
      </c>
      <c r="E385" s="177"/>
      <c r="F385" s="177"/>
      <c r="G385" s="178">
        <v>153.38</v>
      </c>
      <c r="H385" s="178">
        <v>226.65</v>
      </c>
      <c r="I385" s="179">
        <f t="shared" si="22"/>
        <v>380.03</v>
      </c>
      <c r="J385" s="180">
        <f>VLOOKUP(B385,материал!$B$5:$G$67,5,0)</f>
        <v>0</v>
      </c>
      <c r="K385" s="180">
        <f t="shared" si="20"/>
        <v>0</v>
      </c>
      <c r="L385" s="194"/>
      <c r="M385" s="271" t="str">
        <f>VLOOKUP(B385,материал!$B$5:$H$67,7,0)</f>
        <v>Закуп подярдчика</v>
      </c>
    </row>
    <row r="386" spans="1:13" s="135" customFormat="1" ht="27" customHeight="1" x14ac:dyDescent="0.25">
      <c r="A386" s="181"/>
      <c r="B386" s="189" t="s">
        <v>277</v>
      </c>
      <c r="C386" s="177" t="s">
        <v>114</v>
      </c>
      <c r="D386" s="177" t="s">
        <v>60</v>
      </c>
      <c r="E386" s="177"/>
      <c r="F386" s="177"/>
      <c r="G386" s="178">
        <v>18</v>
      </c>
      <c r="H386" s="178">
        <v>14</v>
      </c>
      <c r="I386" s="179">
        <f t="shared" si="22"/>
        <v>32</v>
      </c>
      <c r="J386" s="180">
        <f>VLOOKUP(B386,материал!$B$5:$G$67,5,0)</f>
        <v>0</v>
      </c>
      <c r="K386" s="180">
        <f t="shared" si="20"/>
        <v>0</v>
      </c>
      <c r="L386" s="194"/>
      <c r="M386" s="271" t="str">
        <f>VLOOKUP(B386,материал!$B$5:$H$67,7,0)</f>
        <v>Закуп подярдчика</v>
      </c>
    </row>
    <row r="387" spans="1:13" s="135" customFormat="1" ht="27" customHeight="1" x14ac:dyDescent="0.25">
      <c r="A387" s="181"/>
      <c r="B387" s="189" t="s">
        <v>278</v>
      </c>
      <c r="C387" s="177" t="s">
        <v>116</v>
      </c>
      <c r="D387" s="177" t="s">
        <v>60</v>
      </c>
      <c r="E387" s="177"/>
      <c r="F387" s="177"/>
      <c r="G387" s="178">
        <v>1</v>
      </c>
      <c r="H387" s="178">
        <v>10</v>
      </c>
      <c r="I387" s="179">
        <f t="shared" si="22"/>
        <v>11</v>
      </c>
      <c r="J387" s="180">
        <f>VLOOKUP(B387,материал!$B$5:$G$67,5,0)</f>
        <v>0</v>
      </c>
      <c r="K387" s="180">
        <f t="shared" si="20"/>
        <v>0</v>
      </c>
      <c r="L387" s="194"/>
      <c r="M387" s="271" t="str">
        <f>VLOOKUP(B387,материал!$B$5:$H$67,7,0)</f>
        <v>Закуп подярдчика</v>
      </c>
    </row>
    <row r="388" spans="1:13" s="135" customFormat="1" ht="27" customHeight="1" x14ac:dyDescent="0.25">
      <c r="A388" s="181"/>
      <c r="B388" s="189" t="s">
        <v>279</v>
      </c>
      <c r="C388" s="177" t="s">
        <v>282</v>
      </c>
      <c r="D388" s="177" t="s">
        <v>60</v>
      </c>
      <c r="E388" s="177"/>
      <c r="F388" s="177"/>
      <c r="G388" s="178"/>
      <c r="H388" s="178">
        <v>4</v>
      </c>
      <c r="I388" s="179">
        <f t="shared" si="22"/>
        <v>4</v>
      </c>
      <c r="J388" s="180">
        <f>VLOOKUP(B388,материал!$B$5:$G$67,5,0)</f>
        <v>0</v>
      </c>
      <c r="K388" s="180">
        <f t="shared" si="20"/>
        <v>0</v>
      </c>
      <c r="L388" s="194"/>
      <c r="M388" s="271" t="str">
        <f>VLOOKUP(B388,материал!$B$5:$H$67,7,0)</f>
        <v>Закуп подярдчика</v>
      </c>
    </row>
    <row r="389" spans="1:13" s="135" customFormat="1" ht="27" customHeight="1" x14ac:dyDescent="0.25">
      <c r="A389" s="181"/>
      <c r="B389" s="189" t="s">
        <v>281</v>
      </c>
      <c r="C389" s="177" t="s">
        <v>284</v>
      </c>
      <c r="D389" s="177" t="s">
        <v>60</v>
      </c>
      <c r="E389" s="177"/>
      <c r="F389" s="177"/>
      <c r="G389" s="178">
        <v>9</v>
      </c>
      <c r="H389" s="178">
        <v>4</v>
      </c>
      <c r="I389" s="179">
        <f t="shared" si="22"/>
        <v>13</v>
      </c>
      <c r="J389" s="180">
        <f>VLOOKUP(B389,материал!$B$5:$G$67,5,0)</f>
        <v>0</v>
      </c>
      <c r="K389" s="180">
        <f t="shared" si="20"/>
        <v>0</v>
      </c>
      <c r="L389" s="194"/>
      <c r="M389" s="271" t="str">
        <f>VLOOKUP(B389,материал!$B$5:$H$67,7,0)</f>
        <v>Закуп подярдчика</v>
      </c>
    </row>
    <row r="390" spans="1:13" s="135" customFormat="1" ht="27" customHeight="1" x14ac:dyDescent="0.25">
      <c r="A390" s="181"/>
      <c r="B390" s="189" t="s">
        <v>283</v>
      </c>
      <c r="C390" s="177" t="s">
        <v>286</v>
      </c>
      <c r="D390" s="177" t="s">
        <v>60</v>
      </c>
      <c r="E390" s="177"/>
      <c r="F390" s="177"/>
      <c r="G390" s="178">
        <v>1</v>
      </c>
      <c r="H390" s="178">
        <v>1</v>
      </c>
      <c r="I390" s="179">
        <f t="shared" si="22"/>
        <v>2</v>
      </c>
      <c r="J390" s="180">
        <f>VLOOKUP(B390,материал!$B$5:$G$67,5,0)</f>
        <v>0</v>
      </c>
      <c r="K390" s="180">
        <f t="shared" si="20"/>
        <v>0</v>
      </c>
      <c r="L390" s="194"/>
      <c r="M390" s="271" t="str">
        <f>VLOOKUP(B390,материал!$B$5:$H$67,7,0)</f>
        <v>Закуп подярдчика</v>
      </c>
    </row>
    <row r="391" spans="1:13" s="135" customFormat="1" ht="27" customHeight="1" x14ac:dyDescent="0.25">
      <c r="A391" s="181"/>
      <c r="B391" s="189" t="s">
        <v>285</v>
      </c>
      <c r="C391" s="177" t="s">
        <v>288</v>
      </c>
      <c r="D391" s="177" t="s">
        <v>60</v>
      </c>
      <c r="E391" s="177"/>
      <c r="F391" s="177"/>
      <c r="G391" s="178">
        <v>1</v>
      </c>
      <c r="H391" s="178">
        <v>1</v>
      </c>
      <c r="I391" s="179">
        <f t="shared" si="22"/>
        <v>2</v>
      </c>
      <c r="J391" s="180">
        <f>VLOOKUP(B391,материал!$B$5:$G$67,5,0)</f>
        <v>0</v>
      </c>
      <c r="K391" s="180">
        <f t="shared" si="20"/>
        <v>0</v>
      </c>
      <c r="L391" s="194"/>
      <c r="M391" s="271" t="str">
        <f>VLOOKUP(B391,материал!$B$5:$H$67,7,0)</f>
        <v>Закуп подярдчика</v>
      </c>
    </row>
    <row r="392" spans="1:13" s="135" customFormat="1" ht="27" customHeight="1" x14ac:dyDescent="0.25">
      <c r="A392" s="181"/>
      <c r="B392" s="189" t="s">
        <v>287</v>
      </c>
      <c r="C392" s="177" t="s">
        <v>290</v>
      </c>
      <c r="D392" s="177" t="s">
        <v>60</v>
      </c>
      <c r="E392" s="177"/>
      <c r="F392" s="177"/>
      <c r="G392" s="178">
        <v>6</v>
      </c>
      <c r="H392" s="178">
        <v>4</v>
      </c>
      <c r="I392" s="179">
        <f t="shared" si="22"/>
        <v>10</v>
      </c>
      <c r="J392" s="180">
        <f>VLOOKUP(B392,материал!$B$5:$G$67,5,0)</f>
        <v>0</v>
      </c>
      <c r="K392" s="180">
        <f t="shared" si="20"/>
        <v>0</v>
      </c>
      <c r="L392" s="194"/>
      <c r="M392" s="271" t="str">
        <f>VLOOKUP(B392,материал!$B$5:$H$67,7,0)</f>
        <v>Закуп подярдчика</v>
      </c>
    </row>
    <row r="393" spans="1:13" s="135" customFormat="1" ht="27" customHeight="1" x14ac:dyDescent="0.25">
      <c r="A393" s="181"/>
      <c r="B393" s="189" t="s">
        <v>289</v>
      </c>
      <c r="C393" s="177" t="s">
        <v>292</v>
      </c>
      <c r="D393" s="177" t="s">
        <v>60</v>
      </c>
      <c r="E393" s="177"/>
      <c r="F393" s="177"/>
      <c r="G393" s="178">
        <v>20</v>
      </c>
      <c r="H393" s="178">
        <v>26</v>
      </c>
      <c r="I393" s="179">
        <f t="shared" si="22"/>
        <v>46</v>
      </c>
      <c r="J393" s="180">
        <f>VLOOKUP(B393,материал!$B$5:$G$67,5,0)</f>
        <v>0</v>
      </c>
      <c r="K393" s="180">
        <f t="shared" si="20"/>
        <v>0</v>
      </c>
      <c r="L393" s="194"/>
      <c r="M393" s="271" t="str">
        <f>VLOOKUP(B393,материал!$B$5:$H$67,7,0)</f>
        <v>Закуп подярдчика</v>
      </c>
    </row>
    <row r="394" spans="1:13" s="135" customFormat="1" ht="27" customHeight="1" x14ac:dyDescent="0.25">
      <c r="A394" s="181"/>
      <c r="B394" s="189" t="s">
        <v>291</v>
      </c>
      <c r="C394" s="177" t="s">
        <v>294</v>
      </c>
      <c r="D394" s="177" t="s">
        <v>60</v>
      </c>
      <c r="E394" s="177"/>
      <c r="F394" s="177"/>
      <c r="G394" s="178">
        <v>2</v>
      </c>
      <c r="H394" s="178">
        <v>18</v>
      </c>
      <c r="I394" s="179">
        <f t="shared" si="22"/>
        <v>20</v>
      </c>
      <c r="J394" s="180">
        <f>VLOOKUP(B394,материал!$B$5:$G$67,5,0)</f>
        <v>0</v>
      </c>
      <c r="K394" s="180">
        <f t="shared" si="20"/>
        <v>0</v>
      </c>
      <c r="L394" s="194"/>
      <c r="M394" s="271" t="str">
        <f>VLOOKUP(B394,материал!$B$5:$H$67,7,0)</f>
        <v>Закуп подярдчика</v>
      </c>
    </row>
    <row r="395" spans="1:13" s="135" customFormat="1" ht="27" customHeight="1" x14ac:dyDescent="0.25">
      <c r="A395" s="181"/>
      <c r="B395" s="189" t="s">
        <v>313</v>
      </c>
      <c r="C395" s="177" t="s">
        <v>296</v>
      </c>
      <c r="D395" s="177" t="s">
        <v>60</v>
      </c>
      <c r="E395" s="177"/>
      <c r="F395" s="177"/>
      <c r="G395" s="178">
        <v>4</v>
      </c>
      <c r="H395" s="178"/>
      <c r="I395" s="179">
        <f t="shared" si="22"/>
        <v>4</v>
      </c>
      <c r="J395" s="180">
        <f>VLOOKUP(B395,материал!$B$5:$G$67,5,0)</f>
        <v>0</v>
      </c>
      <c r="K395" s="180">
        <f t="shared" si="20"/>
        <v>0</v>
      </c>
      <c r="L395" s="194"/>
      <c r="M395" s="271" t="str">
        <f>VLOOKUP(B395,материал!$B$5:$H$67,7,0)</f>
        <v>Закуп подярдчика</v>
      </c>
    </row>
    <row r="396" spans="1:13" s="135" customFormat="1" ht="27" customHeight="1" x14ac:dyDescent="0.25">
      <c r="A396" s="181"/>
      <c r="B396" s="189" t="s">
        <v>293</v>
      </c>
      <c r="C396" s="177" t="s">
        <v>314</v>
      </c>
      <c r="D396" s="177" t="s">
        <v>60</v>
      </c>
      <c r="E396" s="177"/>
      <c r="F396" s="177"/>
      <c r="G396" s="178">
        <v>4</v>
      </c>
      <c r="H396" s="178"/>
      <c r="I396" s="179">
        <f t="shared" si="22"/>
        <v>4</v>
      </c>
      <c r="J396" s="180">
        <f>VLOOKUP(B396,материал!$B$5:$G$67,5,0)</f>
        <v>0</v>
      </c>
      <c r="K396" s="180">
        <f t="shared" si="20"/>
        <v>0</v>
      </c>
      <c r="L396" s="194"/>
      <c r="M396" s="271" t="str">
        <f>VLOOKUP(B396,материал!$B$5:$H$67,7,0)</f>
        <v>Закуп подярдчика</v>
      </c>
    </row>
    <row r="397" spans="1:13" s="135" customFormat="1" ht="27" customHeight="1" x14ac:dyDescent="0.25">
      <c r="A397" s="181"/>
      <c r="B397" s="189" t="s">
        <v>295</v>
      </c>
      <c r="C397" s="177" t="s">
        <v>118</v>
      </c>
      <c r="D397" s="177" t="s">
        <v>60</v>
      </c>
      <c r="E397" s="177"/>
      <c r="F397" s="177"/>
      <c r="G397" s="178">
        <v>1</v>
      </c>
      <c r="H397" s="178">
        <v>2</v>
      </c>
      <c r="I397" s="179">
        <f t="shared" si="22"/>
        <v>3</v>
      </c>
      <c r="J397" s="180">
        <f>VLOOKUP(B397,материал!$B$5:$G$67,5,0)</f>
        <v>0</v>
      </c>
      <c r="K397" s="180">
        <f t="shared" si="20"/>
        <v>0</v>
      </c>
      <c r="L397" s="194"/>
      <c r="M397" s="271" t="str">
        <f>VLOOKUP(B397,материал!$B$5:$H$67,7,0)</f>
        <v>Закуп подярдчика</v>
      </c>
    </row>
    <row r="398" spans="1:13" s="135" customFormat="1" ht="27" customHeight="1" x14ac:dyDescent="0.25">
      <c r="A398" s="181"/>
      <c r="B398" s="189" t="s">
        <v>315</v>
      </c>
      <c r="C398" s="177" t="s">
        <v>120</v>
      </c>
      <c r="D398" s="177" t="s">
        <v>60</v>
      </c>
      <c r="E398" s="177"/>
      <c r="F398" s="177"/>
      <c r="G398" s="178">
        <v>4</v>
      </c>
      <c r="H398" s="178">
        <v>10</v>
      </c>
      <c r="I398" s="179">
        <f t="shared" si="22"/>
        <v>14</v>
      </c>
      <c r="J398" s="180">
        <f>VLOOKUP(B398,материал!$B$5:$G$67,5,0)</f>
        <v>0</v>
      </c>
      <c r="K398" s="180">
        <f t="shared" si="20"/>
        <v>0</v>
      </c>
      <c r="L398" s="194"/>
      <c r="M398" s="271" t="str">
        <f>VLOOKUP(B398,материал!$B$5:$H$67,7,0)</f>
        <v>Закуп подярдчика</v>
      </c>
    </row>
    <row r="399" spans="1:13" s="135" customFormat="1" ht="12.75" customHeight="1" x14ac:dyDescent="0.25">
      <c r="A399" s="181"/>
      <c r="B399" s="189" t="s">
        <v>92</v>
      </c>
      <c r="C399" s="177" t="s">
        <v>93</v>
      </c>
      <c r="D399" s="177" t="s">
        <v>54</v>
      </c>
      <c r="E399" s="177">
        <v>1.04</v>
      </c>
      <c r="F399" s="177"/>
      <c r="G399" s="178">
        <f>127.56*E399</f>
        <v>132.66240000000002</v>
      </c>
      <c r="H399" s="178">
        <f>180.66*E399</f>
        <v>187.88640000000001</v>
      </c>
      <c r="I399" s="179">
        <f t="shared" si="22"/>
        <v>320.54880000000003</v>
      </c>
      <c r="J399" s="180">
        <f>VLOOKUP(B399,материал!$B$5:$G$67,5,0)</f>
        <v>0</v>
      </c>
      <c r="K399" s="180">
        <f t="shared" si="20"/>
        <v>0</v>
      </c>
      <c r="L399" s="194"/>
      <c r="M399" s="271" t="str">
        <f>VLOOKUP(B399,материал!$B$5:$H$67,7,0)</f>
        <v>Закуп подярдчика</v>
      </c>
    </row>
    <row r="400" spans="1:13" s="135" customFormat="1" ht="12.75" customHeight="1" x14ac:dyDescent="0.25">
      <c r="A400" s="181"/>
      <c r="B400" s="189" t="s">
        <v>94</v>
      </c>
      <c r="C400" s="177" t="s">
        <v>95</v>
      </c>
      <c r="D400" s="177" t="s">
        <v>54</v>
      </c>
      <c r="E400" s="177">
        <v>1.04</v>
      </c>
      <c r="F400" s="177"/>
      <c r="G400" s="178">
        <f>G368*E400</f>
        <v>32.292000000000002</v>
      </c>
      <c r="H400" s="178">
        <f>H368*E400</f>
        <v>46.373600000000003</v>
      </c>
      <c r="I400" s="179">
        <f t="shared" si="22"/>
        <v>78.665600000000012</v>
      </c>
      <c r="J400" s="180">
        <f>VLOOKUP(B400,материал!$B$5:$G$67,5,0)</f>
        <v>0</v>
      </c>
      <c r="K400" s="180">
        <f t="shared" si="20"/>
        <v>0</v>
      </c>
      <c r="L400" s="194"/>
      <c r="M400" s="271" t="str">
        <f>VLOOKUP(B400,материал!$B$5:$H$67,7,0)</f>
        <v>Закуп подярдчика</v>
      </c>
    </row>
    <row r="401" spans="1:13" s="135" customFormat="1" ht="12.75" customHeight="1" x14ac:dyDescent="0.25">
      <c r="A401" s="181"/>
      <c r="B401" s="189" t="s">
        <v>131</v>
      </c>
      <c r="C401" s="177" t="s">
        <v>39</v>
      </c>
      <c r="D401" s="177" t="s">
        <v>54</v>
      </c>
      <c r="E401" s="177">
        <v>1.04</v>
      </c>
      <c r="F401" s="177"/>
      <c r="G401" s="178">
        <f>46.68*E401</f>
        <v>48.547200000000004</v>
      </c>
      <c r="H401" s="178">
        <f>31.12*E401</f>
        <v>32.364800000000002</v>
      </c>
      <c r="I401" s="179">
        <f t="shared" si="22"/>
        <v>80.912000000000006</v>
      </c>
      <c r="J401" s="180">
        <f>VLOOKUP(B401,материал!$B$5:$G$67,5,0)</f>
        <v>0</v>
      </c>
      <c r="K401" s="180">
        <f t="shared" si="20"/>
        <v>0</v>
      </c>
      <c r="L401" s="194"/>
      <c r="M401" s="271" t="str">
        <f>VLOOKUP(B401,материал!$B$5:$H$67,7,0)</f>
        <v>Закуп подярдчика</v>
      </c>
    </row>
    <row r="402" spans="1:13" s="137" customFormat="1" ht="12.75" customHeight="1" x14ac:dyDescent="0.25">
      <c r="A402" s="181"/>
      <c r="B402" s="189" t="s">
        <v>96</v>
      </c>
      <c r="C402" s="177" t="s">
        <v>39</v>
      </c>
      <c r="D402" s="177" t="s">
        <v>54</v>
      </c>
      <c r="E402" s="177">
        <v>1.04</v>
      </c>
      <c r="F402" s="177"/>
      <c r="G402" s="178">
        <f>25.93*E402</f>
        <v>26.967200000000002</v>
      </c>
      <c r="H402" s="178">
        <f>E402*17.2</f>
        <v>17.887999999999998</v>
      </c>
      <c r="I402" s="179">
        <f t="shared" si="22"/>
        <v>44.855199999999996</v>
      </c>
      <c r="J402" s="180">
        <f>VLOOKUP(B402,материал!$B$5:$G$67,5,0)</f>
        <v>0</v>
      </c>
      <c r="K402" s="180">
        <f t="shared" si="20"/>
        <v>0</v>
      </c>
      <c r="L402" s="194"/>
      <c r="M402" s="271" t="str">
        <f>VLOOKUP(B402,материал!$B$5:$H$67,7,0)</f>
        <v>Закуп подярдчика</v>
      </c>
    </row>
    <row r="403" spans="1:13" s="135" customFormat="1" ht="12.75" customHeight="1" x14ac:dyDescent="0.25">
      <c r="A403" s="181"/>
      <c r="B403" s="189" t="s">
        <v>97</v>
      </c>
      <c r="C403" s="177" t="s">
        <v>39</v>
      </c>
      <c r="D403" s="177" t="s">
        <v>54</v>
      </c>
      <c r="E403" s="177">
        <v>1.04</v>
      </c>
      <c r="F403" s="177"/>
      <c r="G403" s="178">
        <f>E403*10.72</f>
        <v>11.148800000000001</v>
      </c>
      <c r="H403" s="178">
        <f>E403*20.84</f>
        <v>21.6736</v>
      </c>
      <c r="I403" s="179">
        <f t="shared" si="22"/>
        <v>32.822400000000002</v>
      </c>
      <c r="J403" s="180">
        <f>VLOOKUP(B403,материал!$B$5:$G$67,5,0)</f>
        <v>0</v>
      </c>
      <c r="K403" s="180">
        <f t="shared" si="20"/>
        <v>0</v>
      </c>
      <c r="L403" s="194"/>
      <c r="M403" s="271" t="str">
        <f>VLOOKUP(B403,материал!$B$5:$H$67,7,0)</f>
        <v>Закуп подярдчика</v>
      </c>
    </row>
    <row r="404" spans="1:13" s="135" customFormat="1" ht="12.75" customHeight="1" x14ac:dyDescent="0.25">
      <c r="A404" s="181"/>
      <c r="B404" s="189" t="s">
        <v>132</v>
      </c>
      <c r="C404" s="177" t="s">
        <v>39</v>
      </c>
      <c r="D404" s="177" t="s">
        <v>54</v>
      </c>
      <c r="E404" s="177">
        <v>1.04</v>
      </c>
      <c r="F404" s="177"/>
      <c r="G404" s="178">
        <f>15.75*E404</f>
        <v>16.38</v>
      </c>
      <c r="H404" s="178">
        <f>10.5*E404</f>
        <v>10.92</v>
      </c>
      <c r="I404" s="179">
        <f t="shared" si="22"/>
        <v>27.299999999999997</v>
      </c>
      <c r="J404" s="180">
        <f>VLOOKUP(B404,материал!$B$5:$G$67,5,0)</f>
        <v>0</v>
      </c>
      <c r="K404" s="180">
        <f t="shared" si="20"/>
        <v>0</v>
      </c>
      <c r="L404" s="194"/>
      <c r="M404" s="271" t="str">
        <f>VLOOKUP(B404,материал!$B$5:$H$67,7,0)</f>
        <v>Закуп подярдчика</v>
      </c>
    </row>
    <row r="405" spans="1:13" s="135" customFormat="1" ht="24" customHeight="1" x14ac:dyDescent="0.25">
      <c r="A405" s="181"/>
      <c r="B405" s="189" t="s">
        <v>275</v>
      </c>
      <c r="C405" s="177" t="s">
        <v>276</v>
      </c>
      <c r="D405" s="177" t="s">
        <v>45</v>
      </c>
      <c r="E405" s="177">
        <v>1.04</v>
      </c>
      <c r="F405" s="177"/>
      <c r="G405" s="178">
        <f>G369*0.05*E405</f>
        <v>1.6716960000000001</v>
      </c>
      <c r="H405" s="178">
        <f>H369*0.05*E405</f>
        <v>0</v>
      </c>
      <c r="I405" s="179">
        <f t="shared" si="22"/>
        <v>1.6716960000000001</v>
      </c>
      <c r="J405" s="180">
        <f>VLOOKUP(B405,материал!$B$5:$G$67,5,0)</f>
        <v>0</v>
      </c>
      <c r="K405" s="180">
        <f t="shared" si="20"/>
        <v>0</v>
      </c>
      <c r="L405" s="194"/>
      <c r="M405" s="271" t="str">
        <f>VLOOKUP(B405,материал!$B$5:$H$67,7,0)</f>
        <v>Закуп подярдчика</v>
      </c>
    </row>
    <row r="406" spans="1:13" s="135" customFormat="1" ht="25.5" x14ac:dyDescent="0.25">
      <c r="A406" s="195"/>
      <c r="B406" s="196" t="s">
        <v>133</v>
      </c>
      <c r="C406" s="197" t="s">
        <v>39</v>
      </c>
      <c r="D406" s="197" t="s">
        <v>99</v>
      </c>
      <c r="E406" s="197"/>
      <c r="F406" s="197"/>
      <c r="G406" s="198"/>
      <c r="H406" s="198"/>
      <c r="I406" s="199">
        <f ca="1">SUMIF(материал!$B$5:$G$67,B406,материал!$E$5:$E$67)</f>
        <v>0</v>
      </c>
      <c r="J406" s="179"/>
      <c r="K406" s="180">
        <f ca="1">SUM(K372:K405)*I406%</f>
        <v>0</v>
      </c>
      <c r="L406" s="200"/>
      <c r="M406" s="274" t="str">
        <f>VLOOKUP(B406,материал!$B$5:$H$67,7,0)</f>
        <v>Закуп подярдчика</v>
      </c>
    </row>
    <row r="407" spans="1:13" s="135" customFormat="1" ht="12.75" customHeight="1" x14ac:dyDescent="0.25">
      <c r="A407" s="160" t="s">
        <v>146</v>
      </c>
      <c r="B407" s="161" t="s">
        <v>147</v>
      </c>
      <c r="C407" s="162"/>
      <c r="D407" s="163"/>
      <c r="E407" s="162"/>
      <c r="F407" s="162"/>
      <c r="G407" s="164"/>
      <c r="H407" s="164"/>
      <c r="I407" s="165"/>
      <c r="J407" s="165"/>
      <c r="K407" s="165">
        <f ca="1">K408+K421</f>
        <v>0</v>
      </c>
      <c r="L407" s="186"/>
      <c r="M407" s="273" t="e">
        <f>VLOOKUP(B407,материал!$B$5:$H$67,7,0)</f>
        <v>#N/A</v>
      </c>
    </row>
    <row r="408" spans="1:13" s="135" customFormat="1" ht="12.75" customHeight="1" x14ac:dyDescent="0.25">
      <c r="A408" s="166"/>
      <c r="B408" s="167" t="s">
        <v>34</v>
      </c>
      <c r="C408" s="168"/>
      <c r="D408" s="168"/>
      <c r="E408" s="168"/>
      <c r="F408" s="168"/>
      <c r="G408" s="169"/>
      <c r="H408" s="169"/>
      <c r="I408" s="170"/>
      <c r="J408" s="170"/>
      <c r="K408" s="170">
        <f>SUM(K409:K419)</f>
        <v>0</v>
      </c>
      <c r="L408" s="172"/>
      <c r="M408" s="270" t="e">
        <f>VLOOKUP(B408,материал!$B$5:$H$67,7,0)</f>
        <v>#N/A</v>
      </c>
    </row>
    <row r="409" spans="1:13" s="135" customFormat="1" ht="24" customHeight="1" x14ac:dyDescent="0.25">
      <c r="A409" s="166"/>
      <c r="B409" s="171" t="s">
        <v>44</v>
      </c>
      <c r="C409" s="172"/>
      <c r="D409" s="172" t="s">
        <v>45</v>
      </c>
      <c r="E409" s="172"/>
      <c r="F409" s="172"/>
      <c r="G409" s="173">
        <v>26.31</v>
      </c>
      <c r="H409" s="173">
        <v>34.979999999999997</v>
      </c>
      <c r="I409" s="170">
        <f t="shared" ref="I409:I420" si="23">SUM(G409:H409)</f>
        <v>61.289999999999992</v>
      </c>
      <c r="J409" s="174">
        <f>VLOOKUP(B409,работы!$B$5:$F$19,4,0)</f>
        <v>0</v>
      </c>
      <c r="K409" s="174">
        <f>I409*J409</f>
        <v>0</v>
      </c>
      <c r="L409" s="172"/>
      <c r="M409" s="270" t="e">
        <f>VLOOKUP(B409,материал!$B$5:$H$67,7,0)</f>
        <v>#N/A</v>
      </c>
    </row>
    <row r="410" spans="1:13" s="135" customFormat="1" ht="12.75" customHeight="1" x14ac:dyDescent="0.25">
      <c r="A410" s="166"/>
      <c r="B410" s="171" t="s">
        <v>102</v>
      </c>
      <c r="C410" s="172"/>
      <c r="D410" s="172" t="s">
        <v>45</v>
      </c>
      <c r="E410" s="172"/>
      <c r="F410" s="172"/>
      <c r="G410" s="173">
        <v>1.72</v>
      </c>
      <c r="H410" s="173">
        <v>2.6</v>
      </c>
      <c r="I410" s="170">
        <f t="shared" si="23"/>
        <v>4.32</v>
      </c>
      <c r="J410" s="174">
        <f>VLOOKUP(B410,работы!$B$5:$F$19,4,0)</f>
        <v>0</v>
      </c>
      <c r="K410" s="174">
        <f t="shared" ref="K410:K469" si="24">I410*J410</f>
        <v>0</v>
      </c>
      <c r="L410" s="172"/>
      <c r="M410" s="270" t="e">
        <f>VLOOKUP(B410,материал!$B$5:$H$67,7,0)</f>
        <v>#N/A</v>
      </c>
    </row>
    <row r="411" spans="1:13" s="135" customFormat="1" ht="24" customHeight="1" x14ac:dyDescent="0.25">
      <c r="A411" s="166"/>
      <c r="B411" s="171" t="s">
        <v>46</v>
      </c>
      <c r="C411" s="172"/>
      <c r="D411" s="172" t="s">
        <v>47</v>
      </c>
      <c r="E411" s="172"/>
      <c r="F411" s="172"/>
      <c r="G411" s="173">
        <v>102.26</v>
      </c>
      <c r="H411" s="173">
        <v>178.68</v>
      </c>
      <c r="I411" s="170">
        <f t="shared" si="23"/>
        <v>280.94</v>
      </c>
      <c r="J411" s="174">
        <f>VLOOKUP(B411,работы!$B$5:$F$19,4,0)</f>
        <v>0</v>
      </c>
      <c r="K411" s="174">
        <f t="shared" si="24"/>
        <v>0</v>
      </c>
      <c r="L411" s="172"/>
      <c r="M411" s="270" t="e">
        <f>VLOOKUP(B411,материал!$B$5:$H$67,7,0)</f>
        <v>#N/A</v>
      </c>
    </row>
    <row r="412" spans="1:13" s="135" customFormat="1" ht="24" customHeight="1" x14ac:dyDescent="0.25">
      <c r="A412" s="166"/>
      <c r="B412" s="171" t="s">
        <v>48</v>
      </c>
      <c r="C412" s="172"/>
      <c r="D412" s="172" t="s">
        <v>47</v>
      </c>
      <c r="E412" s="172"/>
      <c r="F412" s="172"/>
      <c r="G412" s="173">
        <v>53.68</v>
      </c>
      <c r="H412" s="173">
        <v>110.37</v>
      </c>
      <c r="I412" s="170">
        <f t="shared" si="23"/>
        <v>164.05</v>
      </c>
      <c r="J412" s="174">
        <f>VLOOKUP(B412,работы!$B$5:$F$19,4,0)</f>
        <v>0</v>
      </c>
      <c r="K412" s="174">
        <f t="shared" si="24"/>
        <v>0</v>
      </c>
      <c r="L412" s="172"/>
      <c r="M412" s="270" t="e">
        <f>VLOOKUP(B412,материал!$B$5:$H$67,7,0)</f>
        <v>#N/A</v>
      </c>
    </row>
    <row r="413" spans="1:13" s="135" customFormat="1" ht="24" customHeight="1" x14ac:dyDescent="0.25">
      <c r="A413" s="166"/>
      <c r="B413" s="171" t="s">
        <v>103</v>
      </c>
      <c r="C413" s="172"/>
      <c r="D413" s="172" t="s">
        <v>47</v>
      </c>
      <c r="E413" s="172"/>
      <c r="F413" s="172"/>
      <c r="G413" s="173">
        <v>114.29</v>
      </c>
      <c r="H413" s="173">
        <v>184.88</v>
      </c>
      <c r="I413" s="170">
        <f t="shared" si="23"/>
        <v>299.17</v>
      </c>
      <c r="J413" s="174">
        <f>VLOOKUP(B413,работы!$B$5:$F$19,4,0)</f>
        <v>0</v>
      </c>
      <c r="K413" s="174">
        <f t="shared" si="24"/>
        <v>0</v>
      </c>
      <c r="L413" s="172"/>
      <c r="M413" s="270" t="e">
        <f>VLOOKUP(B413,материал!$B$5:$H$67,7,0)</f>
        <v>#N/A</v>
      </c>
    </row>
    <row r="414" spans="1:13" s="135" customFormat="1" ht="25.5" x14ac:dyDescent="0.25">
      <c r="A414" s="166"/>
      <c r="B414" s="171" t="s">
        <v>104</v>
      </c>
      <c r="C414" s="172"/>
      <c r="D414" s="172" t="s">
        <v>47</v>
      </c>
      <c r="E414" s="172"/>
      <c r="F414" s="172"/>
      <c r="G414" s="173">
        <v>133.18</v>
      </c>
      <c r="H414" s="173">
        <v>189.83</v>
      </c>
      <c r="I414" s="170">
        <f t="shared" si="23"/>
        <v>323.01</v>
      </c>
      <c r="J414" s="174">
        <f>VLOOKUP(B414,работы!$B$5:$F$19,4,0)</f>
        <v>0</v>
      </c>
      <c r="K414" s="174">
        <f t="shared" si="24"/>
        <v>0</v>
      </c>
      <c r="L414" s="172"/>
      <c r="M414" s="270" t="e">
        <f>VLOOKUP(B414,материал!$B$5:$H$67,7,0)</f>
        <v>#N/A</v>
      </c>
    </row>
    <row r="415" spans="1:13" s="135" customFormat="1" ht="12.75" customHeight="1" x14ac:dyDescent="0.25">
      <c r="A415" s="166"/>
      <c r="B415" s="171" t="s">
        <v>49</v>
      </c>
      <c r="C415" s="172"/>
      <c r="D415" s="172" t="s">
        <v>47</v>
      </c>
      <c r="E415" s="172"/>
      <c r="F415" s="172"/>
      <c r="G415" s="173">
        <v>52.46</v>
      </c>
      <c r="H415" s="173">
        <v>38.6</v>
      </c>
      <c r="I415" s="170">
        <f t="shared" si="23"/>
        <v>91.06</v>
      </c>
      <c r="J415" s="174">
        <f>VLOOKUP(B415,работы!$B$5:$F$19,4,0)</f>
        <v>0</v>
      </c>
      <c r="K415" s="174">
        <f t="shared" si="24"/>
        <v>0</v>
      </c>
      <c r="L415" s="172"/>
      <c r="M415" s="270" t="e">
        <f>VLOOKUP(B415,материал!$B$5:$H$67,7,0)</f>
        <v>#N/A</v>
      </c>
    </row>
    <row r="416" spans="1:13" s="135" customFormat="1" ht="12.75" customHeight="1" x14ac:dyDescent="0.25">
      <c r="A416" s="166"/>
      <c r="B416" s="171" t="s">
        <v>50</v>
      </c>
      <c r="C416" s="172"/>
      <c r="D416" s="172" t="s">
        <v>51</v>
      </c>
      <c r="E416" s="172"/>
      <c r="F416" s="172"/>
      <c r="G416" s="173">
        <v>71</v>
      </c>
      <c r="H416" s="173">
        <v>94</v>
      </c>
      <c r="I416" s="170">
        <f t="shared" si="23"/>
        <v>165</v>
      </c>
      <c r="J416" s="174">
        <f>VLOOKUP(B416,работы!$B$5:$F$19,4,0)</f>
        <v>0</v>
      </c>
      <c r="K416" s="174">
        <f t="shared" si="24"/>
        <v>0</v>
      </c>
      <c r="L416" s="172"/>
      <c r="M416" s="270" t="e">
        <f>VLOOKUP(B416,материал!$B$5:$H$67,7,0)</f>
        <v>#N/A</v>
      </c>
    </row>
    <row r="417" spans="1:13" s="135" customFormat="1" ht="12.75" customHeight="1" x14ac:dyDescent="0.25">
      <c r="A417" s="166"/>
      <c r="B417" s="171" t="s">
        <v>52</v>
      </c>
      <c r="C417" s="172" t="s">
        <v>105</v>
      </c>
      <c r="D417" s="172" t="s">
        <v>54</v>
      </c>
      <c r="E417" s="172"/>
      <c r="F417" s="172"/>
      <c r="G417" s="173">
        <v>99.09</v>
      </c>
      <c r="H417" s="173">
        <v>79.66</v>
      </c>
      <c r="I417" s="170">
        <f t="shared" si="23"/>
        <v>178.75</v>
      </c>
      <c r="J417" s="174">
        <f>VLOOKUP(B417,работы!$B$5:$F$19,4,0)</f>
        <v>0</v>
      </c>
      <c r="K417" s="174">
        <f t="shared" si="24"/>
        <v>0</v>
      </c>
      <c r="L417" s="172"/>
      <c r="M417" s="270" t="e">
        <f>VLOOKUP(B417,материал!$B$5:$H$67,7,0)</f>
        <v>#N/A</v>
      </c>
    </row>
    <row r="418" spans="1:13" s="135" customFormat="1" ht="25.5" x14ac:dyDescent="0.25">
      <c r="A418" s="166"/>
      <c r="B418" s="171" t="s">
        <v>55</v>
      </c>
      <c r="C418" s="172"/>
      <c r="D418" s="172" t="s">
        <v>54</v>
      </c>
      <c r="E418" s="172"/>
      <c r="F418" s="172"/>
      <c r="G418" s="173">
        <v>31.05</v>
      </c>
      <c r="H418" s="173">
        <v>44.59</v>
      </c>
      <c r="I418" s="170">
        <f t="shared" si="23"/>
        <v>75.64</v>
      </c>
      <c r="J418" s="174">
        <f>VLOOKUP(B418,работы!$B$5:$F$19,4,0)</f>
        <v>0</v>
      </c>
      <c r="K418" s="174">
        <f t="shared" si="24"/>
        <v>0</v>
      </c>
      <c r="L418" s="172"/>
      <c r="M418" s="270" t="e">
        <f>VLOOKUP(B418,материал!$B$5:$H$67,7,0)</f>
        <v>#N/A</v>
      </c>
    </row>
    <row r="419" spans="1:13" s="135" customFormat="1" x14ac:dyDescent="0.25">
      <c r="A419" s="166"/>
      <c r="B419" s="171" t="s">
        <v>256</v>
      </c>
      <c r="C419" s="172"/>
      <c r="D419" s="172" t="s">
        <v>47</v>
      </c>
      <c r="E419" s="172"/>
      <c r="F419" s="172"/>
      <c r="G419" s="173">
        <f>11.4*2.82</f>
        <v>32.147999999999996</v>
      </c>
      <c r="H419" s="173"/>
      <c r="I419" s="170">
        <f t="shared" si="23"/>
        <v>32.147999999999996</v>
      </c>
      <c r="J419" s="174">
        <f>VLOOKUP(B419,работы!$B$5:$F$19,4,0)</f>
        <v>0</v>
      </c>
      <c r="K419" s="174">
        <f t="shared" si="24"/>
        <v>0</v>
      </c>
      <c r="L419" s="172"/>
      <c r="M419" s="270" t="e">
        <f>VLOOKUP(B419,материал!$B$5:$H$67,7,0)</f>
        <v>#N/A</v>
      </c>
    </row>
    <row r="420" spans="1:13" s="135" customFormat="1" x14ac:dyDescent="0.25">
      <c r="A420" s="166"/>
      <c r="B420" s="187" t="s">
        <v>56</v>
      </c>
      <c r="C420" s="188"/>
      <c r="D420" s="188" t="s">
        <v>45</v>
      </c>
      <c r="E420" s="188"/>
      <c r="F420" s="188"/>
      <c r="G420" s="173">
        <f>255.08*0.06*0.03</f>
        <v>0.459144</v>
      </c>
      <c r="H420" s="173">
        <f>366.31*0.06*0.03</f>
        <v>0.659358</v>
      </c>
      <c r="I420" s="170">
        <f t="shared" si="23"/>
        <v>1.1185019999999999</v>
      </c>
      <c r="J420" s="174"/>
      <c r="K420" s="174"/>
      <c r="L420" s="188"/>
      <c r="M420" s="270" t="e">
        <f>VLOOKUP(B420,материал!$B$5:$H$67,7,0)</f>
        <v>#N/A</v>
      </c>
    </row>
    <row r="421" spans="1:13" s="135" customFormat="1" x14ac:dyDescent="0.25">
      <c r="A421" s="175"/>
      <c r="B421" s="176" t="s">
        <v>38</v>
      </c>
      <c r="C421" s="177"/>
      <c r="D421" s="177"/>
      <c r="E421" s="177"/>
      <c r="F421" s="177"/>
      <c r="G421" s="178"/>
      <c r="H421" s="178"/>
      <c r="I421" s="179"/>
      <c r="J421" s="180"/>
      <c r="K421" s="179">
        <f ca="1">SUM(K422:K456)</f>
        <v>0</v>
      </c>
      <c r="L421" s="177"/>
      <c r="M421" s="271"/>
    </row>
    <row r="422" spans="1:13" s="135" customFormat="1" ht="24.95" customHeight="1" x14ac:dyDescent="0.25">
      <c r="A422" s="181"/>
      <c r="B422" s="182" t="s">
        <v>58</v>
      </c>
      <c r="C422" s="177" t="s">
        <v>59</v>
      </c>
      <c r="D422" s="177" t="s">
        <v>60</v>
      </c>
      <c r="E422" s="178">
        <v>12.4</v>
      </c>
      <c r="F422" s="177">
        <v>0.25</v>
      </c>
      <c r="G422" s="183">
        <f>G409/F422*E422</f>
        <v>1304.9759999999999</v>
      </c>
      <c r="H422" s="183">
        <f>H409/F422*E422</f>
        <v>1735.0079999999998</v>
      </c>
      <c r="I422" s="184">
        <f t="shared" ref="I422:I455" si="25">SUM(G422:H422)</f>
        <v>3039.9839999999995</v>
      </c>
      <c r="J422" s="180">
        <f>VLOOKUP(B422,материал!$B$5:$G$67,5,0)</f>
        <v>0</v>
      </c>
      <c r="K422" s="180">
        <f t="shared" si="24"/>
        <v>0</v>
      </c>
      <c r="L422" s="177"/>
      <c r="M422" s="271" t="str">
        <f>VLOOKUP(B422,материал!$B$5:$H$67,7,0)</f>
        <v>Давальческий материал</v>
      </c>
    </row>
    <row r="423" spans="1:13" s="135" customFormat="1" ht="24.95" customHeight="1" x14ac:dyDescent="0.25">
      <c r="A423" s="181"/>
      <c r="B423" s="182" t="s">
        <v>62</v>
      </c>
      <c r="C423" s="177" t="s">
        <v>63</v>
      </c>
      <c r="D423" s="177" t="s">
        <v>60</v>
      </c>
      <c r="E423" s="178">
        <v>12.4</v>
      </c>
      <c r="F423" s="177"/>
      <c r="G423" s="183">
        <f>G411*E423</f>
        <v>1268.0240000000001</v>
      </c>
      <c r="H423" s="183">
        <f>H411*E423</f>
        <v>2215.6320000000001</v>
      </c>
      <c r="I423" s="184">
        <f t="shared" si="25"/>
        <v>3483.6559999999999</v>
      </c>
      <c r="J423" s="180">
        <f>VLOOKUP(B423,материал!$B$5:$G$67,5,0)</f>
        <v>0</v>
      </c>
      <c r="K423" s="180">
        <f t="shared" si="24"/>
        <v>0</v>
      </c>
      <c r="L423" s="177"/>
      <c r="M423" s="271" t="str">
        <f>VLOOKUP(B423,материал!$B$5:$H$67,7,0)</f>
        <v>Давальческий материал</v>
      </c>
    </row>
    <row r="424" spans="1:13" s="135" customFormat="1" ht="24.95" customHeight="1" x14ac:dyDescent="0.25">
      <c r="A424" s="181"/>
      <c r="B424" s="182" t="s">
        <v>64</v>
      </c>
      <c r="C424" s="177" t="s">
        <v>65</v>
      </c>
      <c r="D424" s="177" t="s">
        <v>60</v>
      </c>
      <c r="E424" s="178">
        <v>12.4</v>
      </c>
      <c r="F424" s="177"/>
      <c r="G424" s="183">
        <f>G412*E424</f>
        <v>665.63200000000006</v>
      </c>
      <c r="H424" s="183">
        <f>H412*E424</f>
        <v>1368.5880000000002</v>
      </c>
      <c r="I424" s="184">
        <f t="shared" si="25"/>
        <v>2034.2200000000003</v>
      </c>
      <c r="J424" s="180">
        <f>VLOOKUP(B424,материал!$B$5:$G$67,5,0)</f>
        <v>0</v>
      </c>
      <c r="K424" s="180">
        <f t="shared" si="24"/>
        <v>0</v>
      </c>
      <c r="L424" s="177"/>
      <c r="M424" s="271" t="str">
        <f>VLOOKUP(B424,материал!$B$5:$H$67,7,0)</f>
        <v>Давальческий материал</v>
      </c>
    </row>
    <row r="425" spans="1:13" s="135" customFormat="1" ht="24.95" customHeight="1" x14ac:dyDescent="0.25">
      <c r="A425" s="181"/>
      <c r="B425" s="182" t="s">
        <v>106</v>
      </c>
      <c r="C425" s="177" t="s">
        <v>107</v>
      </c>
      <c r="D425" s="177" t="s">
        <v>60</v>
      </c>
      <c r="E425" s="178">
        <v>12.4</v>
      </c>
      <c r="F425" s="177"/>
      <c r="G425" s="183">
        <f>G413*E425</f>
        <v>1417.1960000000001</v>
      </c>
      <c r="H425" s="183">
        <f>H413*E425</f>
        <v>2292.5120000000002</v>
      </c>
      <c r="I425" s="184">
        <f t="shared" si="25"/>
        <v>3709.7080000000005</v>
      </c>
      <c r="J425" s="180">
        <f>VLOOKUP(B425,материал!$B$5:$G$67,5,0)</f>
        <v>0</v>
      </c>
      <c r="K425" s="180">
        <f t="shared" si="24"/>
        <v>0</v>
      </c>
      <c r="L425" s="177"/>
      <c r="M425" s="271" t="str">
        <f>VLOOKUP(B425,материал!$B$5:$H$67,7,0)</f>
        <v>Давальческий материал</v>
      </c>
    </row>
    <row r="426" spans="1:13" s="135" customFormat="1" ht="24.95" customHeight="1" x14ac:dyDescent="0.25">
      <c r="A426" s="181"/>
      <c r="B426" s="182" t="s">
        <v>108</v>
      </c>
      <c r="C426" s="177" t="s">
        <v>109</v>
      </c>
      <c r="D426" s="177" t="s">
        <v>60</v>
      </c>
      <c r="E426" s="178">
        <v>12.4</v>
      </c>
      <c r="F426" s="177"/>
      <c r="G426" s="183">
        <f>G414*E426</f>
        <v>1651.4320000000002</v>
      </c>
      <c r="H426" s="183">
        <f>H414*E426</f>
        <v>2353.8920000000003</v>
      </c>
      <c r="I426" s="184">
        <f t="shared" si="25"/>
        <v>4005.3240000000005</v>
      </c>
      <c r="J426" s="180">
        <f>VLOOKUP(B426,материал!$B$5:$G$67,5,0)</f>
        <v>0</v>
      </c>
      <c r="K426" s="180">
        <f t="shared" si="24"/>
        <v>0</v>
      </c>
      <c r="L426" s="177"/>
      <c r="M426" s="271" t="str">
        <f>VLOOKUP(B426,материал!$B$5:$H$67,7,0)</f>
        <v>Давальческий материал</v>
      </c>
    </row>
    <row r="427" spans="1:13" s="135" customFormat="1" ht="12.75" customHeight="1" x14ac:dyDescent="0.25">
      <c r="A427" s="181"/>
      <c r="B427" s="189" t="s">
        <v>66</v>
      </c>
      <c r="C427" s="177" t="s">
        <v>67</v>
      </c>
      <c r="D427" s="177" t="s">
        <v>60</v>
      </c>
      <c r="E427" s="190">
        <v>42</v>
      </c>
      <c r="F427" s="190"/>
      <c r="G427" s="183">
        <f>G415*E427</f>
        <v>2203.3200000000002</v>
      </c>
      <c r="H427" s="183">
        <f>H415*E427</f>
        <v>1621.2</v>
      </c>
      <c r="I427" s="184">
        <f t="shared" si="25"/>
        <v>3824.5200000000004</v>
      </c>
      <c r="J427" s="180">
        <f>VLOOKUP(B427,материал!$B$5:$G$67,5,0)</f>
        <v>0</v>
      </c>
      <c r="K427" s="180">
        <f t="shared" si="24"/>
        <v>0</v>
      </c>
      <c r="L427" s="177"/>
      <c r="M427" s="271" t="str">
        <f>VLOOKUP(B427,материал!$B$5:$H$67,7,0)</f>
        <v>Давальческий материал</v>
      </c>
    </row>
    <row r="428" spans="1:13" s="135" customFormat="1" ht="12.75" customHeight="1" x14ac:dyDescent="0.25">
      <c r="A428" s="181"/>
      <c r="B428" s="189" t="s">
        <v>110</v>
      </c>
      <c r="C428" s="177" t="s">
        <v>111</v>
      </c>
      <c r="D428" s="177" t="s">
        <v>60</v>
      </c>
      <c r="E428" s="190">
        <v>42</v>
      </c>
      <c r="F428" s="190"/>
      <c r="G428" s="183">
        <f>G410/0.25*E428</f>
        <v>288.95999999999998</v>
      </c>
      <c r="H428" s="183">
        <f>H410/0.25*E428</f>
        <v>436.8</v>
      </c>
      <c r="I428" s="184">
        <f t="shared" si="25"/>
        <v>725.76</v>
      </c>
      <c r="J428" s="180">
        <f>VLOOKUP(B428,материал!$B$5:$G$67,5,0)</f>
        <v>0</v>
      </c>
      <c r="K428" s="180">
        <f t="shared" si="24"/>
        <v>0</v>
      </c>
      <c r="L428" s="177"/>
      <c r="M428" s="271" t="str">
        <f>VLOOKUP(B428,материал!$B$5:$H$67,7,0)</f>
        <v>Давальческий материал</v>
      </c>
    </row>
    <row r="429" spans="1:13" s="135" customFormat="1" ht="12.75" customHeight="1" x14ac:dyDescent="0.25">
      <c r="A429" s="181"/>
      <c r="B429" s="191" t="s">
        <v>69</v>
      </c>
      <c r="C429" s="177" t="s">
        <v>70</v>
      </c>
      <c r="D429" s="177" t="s">
        <v>45</v>
      </c>
      <c r="E429" s="177">
        <v>0.19500000000000001</v>
      </c>
      <c r="F429" s="190"/>
      <c r="G429" s="178">
        <f>G409*E429+G411*E429*0.19+G412*E429*0.19+G413*E429*0.09+G414*E429*0.09</f>
        <v>15.251125500000001</v>
      </c>
      <c r="H429" s="178">
        <f>H409*E429+H411*E429*0.19+H412*E429*0.19+H413*E429*0.09+H414*E429*0.09</f>
        <v>24.106563000000001</v>
      </c>
      <c r="I429" s="179">
        <f t="shared" si="25"/>
        <v>39.357688500000002</v>
      </c>
      <c r="J429" s="180">
        <f>VLOOKUP(B429,материал!$B$5:$G$67,5,0)</f>
        <v>0</v>
      </c>
      <c r="K429" s="180">
        <f t="shared" si="24"/>
        <v>0</v>
      </c>
      <c r="L429" s="177"/>
      <c r="M429" s="271" t="str">
        <f>VLOOKUP(B429,материал!$B$5:$H$67,7,0)</f>
        <v>Закуп подярдчика</v>
      </c>
    </row>
    <row r="430" spans="1:13" s="135" customFormat="1" ht="12.75" customHeight="1" x14ac:dyDescent="0.25">
      <c r="A430" s="192"/>
      <c r="B430" s="191" t="s">
        <v>112</v>
      </c>
      <c r="C430" s="177" t="s">
        <v>70</v>
      </c>
      <c r="D430" s="177" t="s">
        <v>45</v>
      </c>
      <c r="E430" s="177">
        <v>0.24</v>
      </c>
      <c r="F430" s="177"/>
      <c r="G430" s="178">
        <f>G410*E430</f>
        <v>0.4128</v>
      </c>
      <c r="H430" s="178">
        <f>H410*E430</f>
        <v>0.624</v>
      </c>
      <c r="I430" s="179">
        <f t="shared" si="25"/>
        <v>1.0367999999999999</v>
      </c>
      <c r="J430" s="180">
        <f>VLOOKUP(B430,материал!$B$5:$G$67,5,0)</f>
        <v>0</v>
      </c>
      <c r="K430" s="180">
        <f t="shared" si="24"/>
        <v>0</v>
      </c>
      <c r="L430" s="177"/>
      <c r="M430" s="271" t="str">
        <f>VLOOKUP(B430,материал!$B$5:$H$67,7,0)</f>
        <v>Закуп подярдчика</v>
      </c>
    </row>
    <row r="431" spans="1:13" s="135" customFormat="1" ht="12.75" customHeight="1" x14ac:dyDescent="0.25">
      <c r="A431" s="192"/>
      <c r="B431" s="191" t="s">
        <v>72</v>
      </c>
      <c r="C431" s="177" t="s">
        <v>70</v>
      </c>
      <c r="D431" s="177" t="s">
        <v>45</v>
      </c>
      <c r="E431" s="177">
        <v>4.5999999999999999E-2</v>
      </c>
      <c r="F431" s="177"/>
      <c r="G431" s="178">
        <f>G415*E431</f>
        <v>2.41316</v>
      </c>
      <c r="H431" s="178">
        <f>H415*E431</f>
        <v>1.7756000000000001</v>
      </c>
      <c r="I431" s="179">
        <f t="shared" si="25"/>
        <v>4.1887600000000003</v>
      </c>
      <c r="J431" s="180">
        <f>VLOOKUP(B431,материал!$B$5:$G$67,5,0)</f>
        <v>0</v>
      </c>
      <c r="K431" s="180">
        <f t="shared" si="24"/>
        <v>0</v>
      </c>
      <c r="L431" s="177"/>
      <c r="M431" s="271" t="str">
        <f>VLOOKUP(B431,материал!$B$5:$H$67,7,0)</f>
        <v>Закуп подярдчика</v>
      </c>
    </row>
    <row r="432" spans="1:13" s="135" customFormat="1" ht="12.75" customHeight="1" x14ac:dyDescent="0.25">
      <c r="A432" s="192"/>
      <c r="B432" s="191" t="s">
        <v>74</v>
      </c>
      <c r="C432" s="177" t="s">
        <v>70</v>
      </c>
      <c r="D432" s="177" t="s">
        <v>45</v>
      </c>
      <c r="E432" s="177">
        <v>1.01</v>
      </c>
      <c r="F432" s="177"/>
      <c r="G432" s="178">
        <f>G420*E432</f>
        <v>0.46373544</v>
      </c>
      <c r="H432" s="178">
        <f>H420*E432</f>
        <v>0.66595157999999999</v>
      </c>
      <c r="I432" s="179">
        <f t="shared" si="25"/>
        <v>1.12968702</v>
      </c>
      <c r="J432" s="180">
        <f>VLOOKUP(B432,материал!$B$5:$G$67,5,0)</f>
        <v>0</v>
      </c>
      <c r="K432" s="180">
        <f t="shared" si="24"/>
        <v>0</v>
      </c>
      <c r="L432" s="177"/>
      <c r="M432" s="271" t="str">
        <f>VLOOKUP(B432,материал!$B$5:$H$67,7,0)</f>
        <v>Закуп подярдчика</v>
      </c>
    </row>
    <row r="433" spans="1:13" s="135" customFormat="1" ht="12.75" customHeight="1" x14ac:dyDescent="0.25">
      <c r="A433" s="181"/>
      <c r="B433" s="189" t="s">
        <v>75</v>
      </c>
      <c r="C433" s="177" t="s">
        <v>70</v>
      </c>
      <c r="D433" s="177" t="s">
        <v>45</v>
      </c>
      <c r="E433" s="177">
        <v>6.0000000000000001E-3</v>
      </c>
      <c r="F433" s="177"/>
      <c r="G433" s="178">
        <f>G416*E433</f>
        <v>0.42599999999999999</v>
      </c>
      <c r="H433" s="178">
        <f>H416*E433</f>
        <v>0.56400000000000006</v>
      </c>
      <c r="I433" s="179">
        <f t="shared" si="25"/>
        <v>0.99</v>
      </c>
      <c r="J433" s="180">
        <f>VLOOKUP(B433,материал!$B$5:$G$67,5,0)</f>
        <v>0</v>
      </c>
      <c r="K433" s="180">
        <f t="shared" si="24"/>
        <v>0</v>
      </c>
      <c r="L433" s="177"/>
      <c r="M433" s="271" t="str">
        <f>VLOOKUP(B433,материал!$B$5:$H$67,7,0)</f>
        <v>Закуп подярдчика</v>
      </c>
    </row>
    <row r="434" spans="1:13" s="135" customFormat="1" ht="12.75" customHeight="1" x14ac:dyDescent="0.25">
      <c r="A434" s="181"/>
      <c r="B434" s="189" t="s">
        <v>77</v>
      </c>
      <c r="C434" s="177" t="s">
        <v>70</v>
      </c>
      <c r="D434" s="177" t="s">
        <v>45</v>
      </c>
      <c r="E434" s="177">
        <v>1.01</v>
      </c>
      <c r="F434" s="177"/>
      <c r="G434" s="193">
        <v>5.3999999999999999E-2</v>
      </c>
      <c r="H434" s="193">
        <v>8.6999999999999994E-2</v>
      </c>
      <c r="I434" s="179">
        <f t="shared" si="25"/>
        <v>0.14099999999999999</v>
      </c>
      <c r="J434" s="180">
        <f>VLOOKUP(B434,материал!$B$5:$G$67,5,0)</f>
        <v>0</v>
      </c>
      <c r="K434" s="180">
        <f t="shared" si="24"/>
        <v>0</v>
      </c>
      <c r="L434" s="194"/>
      <c r="M434" s="271" t="str">
        <f>VLOOKUP(B434,материал!$B$5:$H$67,7,0)</f>
        <v>Закуп подярдчика</v>
      </c>
    </row>
    <row r="435" spans="1:13" s="135" customFormat="1" ht="12.75" customHeight="1" x14ac:dyDescent="0.25">
      <c r="A435" s="181"/>
      <c r="B435" s="189" t="s">
        <v>78</v>
      </c>
      <c r="C435" s="177" t="s">
        <v>79</v>
      </c>
      <c r="D435" s="177" t="s">
        <v>47</v>
      </c>
      <c r="E435" s="177"/>
      <c r="F435" s="177"/>
      <c r="G435" s="178">
        <v>153.38</v>
      </c>
      <c r="H435" s="178">
        <v>226.65</v>
      </c>
      <c r="I435" s="179">
        <f t="shared" si="25"/>
        <v>380.03</v>
      </c>
      <c r="J435" s="180">
        <f>VLOOKUP(B435,материал!$B$5:$G$67,5,0)</f>
        <v>0</v>
      </c>
      <c r="K435" s="180">
        <f t="shared" si="24"/>
        <v>0</v>
      </c>
      <c r="L435" s="194"/>
      <c r="M435" s="271" t="str">
        <f>VLOOKUP(B435,материал!$B$5:$H$67,7,0)</f>
        <v>Закуп подярдчика</v>
      </c>
    </row>
    <row r="436" spans="1:13" s="135" customFormat="1" ht="26.25" customHeight="1" x14ac:dyDescent="0.25">
      <c r="A436" s="181"/>
      <c r="B436" s="189" t="s">
        <v>277</v>
      </c>
      <c r="C436" s="177" t="s">
        <v>114</v>
      </c>
      <c r="D436" s="177" t="s">
        <v>60</v>
      </c>
      <c r="E436" s="177"/>
      <c r="F436" s="177"/>
      <c r="G436" s="178">
        <v>18</v>
      </c>
      <c r="H436" s="178">
        <v>14</v>
      </c>
      <c r="I436" s="179">
        <f t="shared" si="25"/>
        <v>32</v>
      </c>
      <c r="J436" s="180">
        <f>VLOOKUP(B436,материал!$B$5:$G$67,5,0)</f>
        <v>0</v>
      </c>
      <c r="K436" s="180">
        <f t="shared" si="24"/>
        <v>0</v>
      </c>
      <c r="L436" s="194"/>
      <c r="M436" s="271" t="str">
        <f>VLOOKUP(B436,материал!$B$5:$H$67,7,0)</f>
        <v>Закуп подярдчика</v>
      </c>
    </row>
    <row r="437" spans="1:13" s="135" customFormat="1" ht="26.25" customHeight="1" x14ac:dyDescent="0.25">
      <c r="A437" s="181"/>
      <c r="B437" s="189" t="s">
        <v>278</v>
      </c>
      <c r="C437" s="177" t="s">
        <v>116</v>
      </c>
      <c r="D437" s="177" t="s">
        <v>60</v>
      </c>
      <c r="E437" s="177"/>
      <c r="F437" s="177"/>
      <c r="G437" s="178">
        <v>1</v>
      </c>
      <c r="H437" s="178">
        <v>10</v>
      </c>
      <c r="I437" s="179">
        <f t="shared" si="25"/>
        <v>11</v>
      </c>
      <c r="J437" s="180">
        <f>VLOOKUP(B437,материал!$B$5:$G$67,5,0)</f>
        <v>0</v>
      </c>
      <c r="K437" s="180">
        <f t="shared" si="24"/>
        <v>0</v>
      </c>
      <c r="L437" s="194"/>
      <c r="M437" s="271" t="str">
        <f>VLOOKUP(B437,материал!$B$5:$H$67,7,0)</f>
        <v>Закуп подярдчика</v>
      </c>
    </row>
    <row r="438" spans="1:13" s="135" customFormat="1" ht="26.25" customHeight="1" x14ac:dyDescent="0.25">
      <c r="A438" s="181"/>
      <c r="B438" s="189" t="s">
        <v>279</v>
      </c>
      <c r="C438" s="177" t="s">
        <v>282</v>
      </c>
      <c r="D438" s="177" t="s">
        <v>60</v>
      </c>
      <c r="E438" s="177"/>
      <c r="F438" s="177"/>
      <c r="G438" s="178"/>
      <c r="H438" s="178">
        <v>4</v>
      </c>
      <c r="I438" s="179">
        <f t="shared" si="25"/>
        <v>4</v>
      </c>
      <c r="J438" s="180">
        <f>VLOOKUP(B438,материал!$B$5:$G$67,5,0)</f>
        <v>0</v>
      </c>
      <c r="K438" s="180">
        <f t="shared" si="24"/>
        <v>0</v>
      </c>
      <c r="L438" s="194"/>
      <c r="M438" s="271" t="str">
        <f>VLOOKUP(B438,материал!$B$5:$H$67,7,0)</f>
        <v>Закуп подярдчика</v>
      </c>
    </row>
    <row r="439" spans="1:13" s="135" customFormat="1" ht="26.25" customHeight="1" x14ac:dyDescent="0.25">
      <c r="A439" s="181"/>
      <c r="B439" s="189" t="s">
        <v>281</v>
      </c>
      <c r="C439" s="177" t="s">
        <v>284</v>
      </c>
      <c r="D439" s="177" t="s">
        <v>60</v>
      </c>
      <c r="E439" s="177"/>
      <c r="F439" s="177"/>
      <c r="G439" s="178">
        <v>9</v>
      </c>
      <c r="H439" s="178">
        <v>4</v>
      </c>
      <c r="I439" s="179">
        <f t="shared" si="25"/>
        <v>13</v>
      </c>
      <c r="J439" s="180">
        <f>VLOOKUP(B439,материал!$B$5:$G$67,5,0)</f>
        <v>0</v>
      </c>
      <c r="K439" s="180">
        <f t="shared" si="24"/>
        <v>0</v>
      </c>
      <c r="L439" s="194"/>
      <c r="M439" s="271" t="str">
        <f>VLOOKUP(B439,материал!$B$5:$H$67,7,0)</f>
        <v>Закуп подярдчика</v>
      </c>
    </row>
    <row r="440" spans="1:13" s="135" customFormat="1" ht="26.25" customHeight="1" x14ac:dyDescent="0.25">
      <c r="A440" s="181"/>
      <c r="B440" s="189" t="s">
        <v>283</v>
      </c>
      <c r="C440" s="177" t="s">
        <v>286</v>
      </c>
      <c r="D440" s="177" t="s">
        <v>60</v>
      </c>
      <c r="E440" s="177"/>
      <c r="F440" s="177"/>
      <c r="G440" s="178">
        <v>1</v>
      </c>
      <c r="H440" s="178">
        <v>1</v>
      </c>
      <c r="I440" s="179">
        <f t="shared" si="25"/>
        <v>2</v>
      </c>
      <c r="J440" s="180">
        <f>VLOOKUP(B440,материал!$B$5:$G$67,5,0)</f>
        <v>0</v>
      </c>
      <c r="K440" s="180">
        <f t="shared" si="24"/>
        <v>0</v>
      </c>
      <c r="L440" s="194"/>
      <c r="M440" s="271" t="str">
        <f>VLOOKUP(B440,материал!$B$5:$H$67,7,0)</f>
        <v>Закуп подярдчика</v>
      </c>
    </row>
    <row r="441" spans="1:13" s="135" customFormat="1" ht="26.25" customHeight="1" x14ac:dyDescent="0.25">
      <c r="A441" s="181"/>
      <c r="B441" s="189" t="s">
        <v>285</v>
      </c>
      <c r="C441" s="177" t="s">
        <v>288</v>
      </c>
      <c r="D441" s="177" t="s">
        <v>60</v>
      </c>
      <c r="E441" s="177"/>
      <c r="F441" s="177"/>
      <c r="G441" s="178">
        <v>1</v>
      </c>
      <c r="H441" s="178">
        <v>1</v>
      </c>
      <c r="I441" s="179">
        <f t="shared" si="25"/>
        <v>2</v>
      </c>
      <c r="J441" s="180">
        <f>VLOOKUP(B441,материал!$B$5:$G$67,5,0)</f>
        <v>0</v>
      </c>
      <c r="K441" s="180">
        <f t="shared" si="24"/>
        <v>0</v>
      </c>
      <c r="L441" s="194"/>
      <c r="M441" s="271" t="str">
        <f>VLOOKUP(B441,материал!$B$5:$H$67,7,0)</f>
        <v>Закуп подярдчика</v>
      </c>
    </row>
    <row r="442" spans="1:13" s="135" customFormat="1" ht="26.25" customHeight="1" x14ac:dyDescent="0.25">
      <c r="A442" s="181"/>
      <c r="B442" s="189" t="s">
        <v>287</v>
      </c>
      <c r="C442" s="177" t="s">
        <v>290</v>
      </c>
      <c r="D442" s="177" t="s">
        <v>60</v>
      </c>
      <c r="E442" s="177"/>
      <c r="F442" s="177"/>
      <c r="G442" s="178">
        <v>6</v>
      </c>
      <c r="H442" s="178">
        <v>4</v>
      </c>
      <c r="I442" s="179">
        <f t="shared" si="25"/>
        <v>10</v>
      </c>
      <c r="J442" s="180">
        <f>VLOOKUP(B442,материал!$B$5:$G$67,5,0)</f>
        <v>0</v>
      </c>
      <c r="K442" s="180">
        <f t="shared" si="24"/>
        <v>0</v>
      </c>
      <c r="L442" s="194"/>
      <c r="M442" s="271" t="str">
        <f>VLOOKUP(B442,материал!$B$5:$H$67,7,0)</f>
        <v>Закуп подярдчика</v>
      </c>
    </row>
    <row r="443" spans="1:13" s="135" customFormat="1" ht="26.25" customHeight="1" x14ac:dyDescent="0.25">
      <c r="A443" s="181"/>
      <c r="B443" s="189" t="s">
        <v>289</v>
      </c>
      <c r="C443" s="177" t="s">
        <v>292</v>
      </c>
      <c r="D443" s="177" t="s">
        <v>60</v>
      </c>
      <c r="E443" s="177"/>
      <c r="F443" s="177"/>
      <c r="G443" s="178">
        <v>20</v>
      </c>
      <c r="H443" s="178">
        <v>26</v>
      </c>
      <c r="I443" s="179">
        <f t="shared" si="25"/>
        <v>46</v>
      </c>
      <c r="J443" s="180">
        <f>VLOOKUP(B443,материал!$B$5:$G$67,5,0)</f>
        <v>0</v>
      </c>
      <c r="K443" s="180">
        <f t="shared" si="24"/>
        <v>0</v>
      </c>
      <c r="L443" s="194"/>
      <c r="M443" s="271" t="str">
        <f>VLOOKUP(B443,материал!$B$5:$H$67,7,0)</f>
        <v>Закуп подярдчика</v>
      </c>
    </row>
    <row r="444" spans="1:13" s="135" customFormat="1" ht="26.25" customHeight="1" x14ac:dyDescent="0.25">
      <c r="A444" s="181"/>
      <c r="B444" s="189" t="s">
        <v>291</v>
      </c>
      <c r="C444" s="177" t="s">
        <v>294</v>
      </c>
      <c r="D444" s="177" t="s">
        <v>60</v>
      </c>
      <c r="E444" s="177"/>
      <c r="F444" s="177"/>
      <c r="G444" s="178">
        <v>2</v>
      </c>
      <c r="H444" s="178">
        <v>18</v>
      </c>
      <c r="I444" s="179">
        <f t="shared" si="25"/>
        <v>20</v>
      </c>
      <c r="J444" s="180">
        <f>VLOOKUP(B444,материал!$B$5:$G$67,5,0)</f>
        <v>0</v>
      </c>
      <c r="K444" s="180">
        <f t="shared" si="24"/>
        <v>0</v>
      </c>
      <c r="L444" s="194"/>
      <c r="M444" s="271" t="str">
        <f>VLOOKUP(B444,материал!$B$5:$H$67,7,0)</f>
        <v>Закуп подярдчика</v>
      </c>
    </row>
    <row r="445" spans="1:13" s="135" customFormat="1" ht="26.25" customHeight="1" x14ac:dyDescent="0.25">
      <c r="A445" s="181"/>
      <c r="B445" s="189" t="s">
        <v>313</v>
      </c>
      <c r="C445" s="177" t="s">
        <v>296</v>
      </c>
      <c r="D445" s="177" t="s">
        <v>60</v>
      </c>
      <c r="E445" s="177"/>
      <c r="F445" s="177"/>
      <c r="G445" s="178">
        <v>4</v>
      </c>
      <c r="H445" s="178"/>
      <c r="I445" s="179">
        <f t="shared" si="25"/>
        <v>4</v>
      </c>
      <c r="J445" s="180">
        <f>VLOOKUP(B445,материал!$B$5:$G$67,5,0)</f>
        <v>0</v>
      </c>
      <c r="K445" s="180">
        <f t="shared" si="24"/>
        <v>0</v>
      </c>
      <c r="L445" s="194"/>
      <c r="M445" s="271" t="str">
        <f>VLOOKUP(B445,материал!$B$5:$H$67,7,0)</f>
        <v>Закуп подярдчика</v>
      </c>
    </row>
    <row r="446" spans="1:13" s="135" customFormat="1" ht="26.25" customHeight="1" x14ac:dyDescent="0.25">
      <c r="A446" s="181"/>
      <c r="B446" s="189" t="s">
        <v>293</v>
      </c>
      <c r="C446" s="177" t="s">
        <v>314</v>
      </c>
      <c r="D446" s="177" t="s">
        <v>60</v>
      </c>
      <c r="E446" s="177"/>
      <c r="F446" s="177"/>
      <c r="G446" s="178">
        <v>4</v>
      </c>
      <c r="H446" s="178"/>
      <c r="I446" s="179">
        <f t="shared" si="25"/>
        <v>4</v>
      </c>
      <c r="J446" s="180">
        <f>VLOOKUP(B446,материал!$B$5:$G$67,5,0)</f>
        <v>0</v>
      </c>
      <c r="K446" s="180">
        <f t="shared" si="24"/>
        <v>0</v>
      </c>
      <c r="L446" s="194"/>
      <c r="M446" s="271" t="str">
        <f>VLOOKUP(B446,материал!$B$5:$H$67,7,0)</f>
        <v>Закуп подярдчика</v>
      </c>
    </row>
    <row r="447" spans="1:13" s="135" customFormat="1" ht="26.25" customHeight="1" x14ac:dyDescent="0.25">
      <c r="A447" s="181"/>
      <c r="B447" s="189" t="s">
        <v>295</v>
      </c>
      <c r="C447" s="177" t="s">
        <v>118</v>
      </c>
      <c r="D447" s="177" t="s">
        <v>60</v>
      </c>
      <c r="E447" s="177"/>
      <c r="F447" s="177"/>
      <c r="G447" s="178">
        <v>1</v>
      </c>
      <c r="H447" s="178">
        <v>2</v>
      </c>
      <c r="I447" s="179">
        <f t="shared" si="25"/>
        <v>3</v>
      </c>
      <c r="J447" s="180">
        <f>VLOOKUP(B447,материал!$B$5:$G$67,5,0)</f>
        <v>0</v>
      </c>
      <c r="K447" s="180">
        <f t="shared" si="24"/>
        <v>0</v>
      </c>
      <c r="L447" s="194"/>
      <c r="M447" s="271" t="str">
        <f>VLOOKUP(B447,материал!$B$5:$H$67,7,0)</f>
        <v>Закуп подярдчика</v>
      </c>
    </row>
    <row r="448" spans="1:13" s="135" customFormat="1" ht="26.25" customHeight="1" x14ac:dyDescent="0.25">
      <c r="A448" s="181"/>
      <c r="B448" s="189" t="s">
        <v>315</v>
      </c>
      <c r="C448" s="177" t="s">
        <v>120</v>
      </c>
      <c r="D448" s="177" t="s">
        <v>60</v>
      </c>
      <c r="E448" s="177"/>
      <c r="F448" s="177"/>
      <c r="G448" s="178">
        <v>4</v>
      </c>
      <c r="H448" s="178">
        <v>10</v>
      </c>
      <c r="I448" s="179">
        <f t="shared" si="25"/>
        <v>14</v>
      </c>
      <c r="J448" s="180">
        <f>VLOOKUP(B448,материал!$B$5:$G$67,5,0)</f>
        <v>0</v>
      </c>
      <c r="K448" s="180">
        <f t="shared" si="24"/>
        <v>0</v>
      </c>
      <c r="L448" s="194"/>
      <c r="M448" s="271" t="str">
        <f>VLOOKUP(B448,материал!$B$5:$H$67,7,0)</f>
        <v>Закуп подярдчика</v>
      </c>
    </row>
    <row r="449" spans="1:13" s="135" customFormat="1" ht="12.75" customHeight="1" x14ac:dyDescent="0.25">
      <c r="A449" s="181"/>
      <c r="B449" s="189" t="s">
        <v>92</v>
      </c>
      <c r="C449" s="177" t="s">
        <v>93</v>
      </c>
      <c r="D449" s="177" t="s">
        <v>54</v>
      </c>
      <c r="E449" s="177">
        <v>1.04</v>
      </c>
      <c r="F449" s="177"/>
      <c r="G449" s="178">
        <f>127.56*E449</f>
        <v>132.66240000000002</v>
      </c>
      <c r="H449" s="178">
        <f>180.66*E449</f>
        <v>187.88640000000001</v>
      </c>
      <c r="I449" s="179">
        <f t="shared" si="25"/>
        <v>320.54880000000003</v>
      </c>
      <c r="J449" s="180">
        <f>VLOOKUP(B449,материал!$B$5:$G$67,5,0)</f>
        <v>0</v>
      </c>
      <c r="K449" s="180">
        <f t="shared" si="24"/>
        <v>0</v>
      </c>
      <c r="L449" s="194"/>
      <c r="M449" s="271" t="str">
        <f>VLOOKUP(B449,материал!$B$5:$H$67,7,0)</f>
        <v>Закуп подярдчика</v>
      </c>
    </row>
    <row r="450" spans="1:13" s="135" customFormat="1" ht="12.75" customHeight="1" x14ac:dyDescent="0.25">
      <c r="A450" s="181"/>
      <c r="B450" s="189" t="s">
        <v>94</v>
      </c>
      <c r="C450" s="177" t="s">
        <v>95</v>
      </c>
      <c r="D450" s="177" t="s">
        <v>54</v>
      </c>
      <c r="E450" s="177">
        <v>1.04</v>
      </c>
      <c r="F450" s="177"/>
      <c r="G450" s="178">
        <f>G418*E450</f>
        <v>32.292000000000002</v>
      </c>
      <c r="H450" s="178">
        <f>H418*E450</f>
        <v>46.373600000000003</v>
      </c>
      <c r="I450" s="179">
        <f t="shared" si="25"/>
        <v>78.665600000000012</v>
      </c>
      <c r="J450" s="180">
        <f>VLOOKUP(B450,материал!$B$5:$G$67,5,0)</f>
        <v>0</v>
      </c>
      <c r="K450" s="180">
        <f t="shared" si="24"/>
        <v>0</v>
      </c>
      <c r="L450" s="194"/>
      <c r="M450" s="271" t="str">
        <f>VLOOKUP(B450,материал!$B$5:$H$67,7,0)</f>
        <v>Закуп подярдчика</v>
      </c>
    </row>
    <row r="451" spans="1:13" s="137" customFormat="1" ht="12.75" customHeight="1" x14ac:dyDescent="0.25">
      <c r="A451" s="181"/>
      <c r="B451" s="189" t="s">
        <v>131</v>
      </c>
      <c r="C451" s="177" t="s">
        <v>39</v>
      </c>
      <c r="D451" s="177" t="s">
        <v>54</v>
      </c>
      <c r="E451" s="177">
        <v>1.04</v>
      </c>
      <c r="F451" s="177"/>
      <c r="G451" s="178">
        <f>46.68*E451</f>
        <v>48.547200000000004</v>
      </c>
      <c r="H451" s="178">
        <f>31.12*E451</f>
        <v>32.364800000000002</v>
      </c>
      <c r="I451" s="179">
        <f t="shared" si="25"/>
        <v>80.912000000000006</v>
      </c>
      <c r="J451" s="180">
        <f>VLOOKUP(B451,материал!$B$5:$G$67,5,0)</f>
        <v>0</v>
      </c>
      <c r="K451" s="180">
        <f t="shared" si="24"/>
        <v>0</v>
      </c>
      <c r="L451" s="194"/>
      <c r="M451" s="271" t="str">
        <f>VLOOKUP(B451,материал!$B$5:$H$67,7,0)</f>
        <v>Закуп подярдчика</v>
      </c>
    </row>
    <row r="452" spans="1:13" s="135" customFormat="1" ht="12.75" customHeight="1" x14ac:dyDescent="0.25">
      <c r="A452" s="181"/>
      <c r="B452" s="189" t="s">
        <v>96</v>
      </c>
      <c r="C452" s="177" t="s">
        <v>39</v>
      </c>
      <c r="D452" s="177" t="s">
        <v>54</v>
      </c>
      <c r="E452" s="177">
        <v>1.04</v>
      </c>
      <c r="F452" s="177"/>
      <c r="G452" s="178">
        <f>25.93*E452</f>
        <v>26.967200000000002</v>
      </c>
      <c r="H452" s="178">
        <f>E452*17.2</f>
        <v>17.887999999999998</v>
      </c>
      <c r="I452" s="179">
        <f t="shared" si="25"/>
        <v>44.855199999999996</v>
      </c>
      <c r="J452" s="180">
        <f>VLOOKUP(B452,материал!$B$5:$G$67,5,0)</f>
        <v>0</v>
      </c>
      <c r="K452" s="180">
        <f t="shared" si="24"/>
        <v>0</v>
      </c>
      <c r="L452" s="194"/>
      <c r="M452" s="271" t="str">
        <f>VLOOKUP(B452,материал!$B$5:$H$67,7,0)</f>
        <v>Закуп подярдчика</v>
      </c>
    </row>
    <row r="453" spans="1:13" s="135" customFormat="1" ht="12.75" customHeight="1" x14ac:dyDescent="0.25">
      <c r="A453" s="181"/>
      <c r="B453" s="189" t="s">
        <v>97</v>
      </c>
      <c r="C453" s="177" t="s">
        <v>39</v>
      </c>
      <c r="D453" s="177" t="s">
        <v>54</v>
      </c>
      <c r="E453" s="177">
        <v>1.04</v>
      </c>
      <c r="F453" s="177"/>
      <c r="G453" s="178">
        <f>E453*10.72</f>
        <v>11.148800000000001</v>
      </c>
      <c r="H453" s="178">
        <f>E453*20.84</f>
        <v>21.6736</v>
      </c>
      <c r="I453" s="179">
        <f t="shared" si="25"/>
        <v>32.822400000000002</v>
      </c>
      <c r="J453" s="180">
        <f>VLOOKUP(B453,материал!$B$5:$G$67,5,0)</f>
        <v>0</v>
      </c>
      <c r="K453" s="180">
        <f t="shared" si="24"/>
        <v>0</v>
      </c>
      <c r="L453" s="194"/>
      <c r="M453" s="271" t="str">
        <f>VLOOKUP(B453,материал!$B$5:$H$67,7,0)</f>
        <v>Закуп подярдчика</v>
      </c>
    </row>
    <row r="454" spans="1:13" s="135" customFormat="1" ht="12.75" customHeight="1" x14ac:dyDescent="0.25">
      <c r="A454" s="181"/>
      <c r="B454" s="189" t="s">
        <v>132</v>
      </c>
      <c r="C454" s="177" t="s">
        <v>39</v>
      </c>
      <c r="D454" s="177" t="s">
        <v>54</v>
      </c>
      <c r="E454" s="177">
        <v>1.04</v>
      </c>
      <c r="F454" s="177"/>
      <c r="G454" s="178">
        <f>15.75*E454</f>
        <v>16.38</v>
      </c>
      <c r="H454" s="178">
        <f>10.5*E454</f>
        <v>10.92</v>
      </c>
      <c r="I454" s="179">
        <f t="shared" si="25"/>
        <v>27.299999999999997</v>
      </c>
      <c r="J454" s="180">
        <f>VLOOKUP(B454,материал!$B$5:$G$67,5,0)</f>
        <v>0</v>
      </c>
      <c r="K454" s="180">
        <f t="shared" si="24"/>
        <v>0</v>
      </c>
      <c r="L454" s="194"/>
      <c r="M454" s="271" t="str">
        <f>VLOOKUP(B454,материал!$B$5:$H$67,7,0)</f>
        <v>Закуп подярдчика</v>
      </c>
    </row>
    <row r="455" spans="1:13" s="135" customFormat="1" ht="29.25" customHeight="1" x14ac:dyDescent="0.25">
      <c r="A455" s="181"/>
      <c r="B455" s="189" t="s">
        <v>275</v>
      </c>
      <c r="C455" s="177" t="s">
        <v>276</v>
      </c>
      <c r="D455" s="177" t="s">
        <v>45</v>
      </c>
      <c r="E455" s="177">
        <v>1.04</v>
      </c>
      <c r="F455" s="177"/>
      <c r="G455" s="178">
        <f>G419*0.05*E455</f>
        <v>1.6716960000000001</v>
      </c>
      <c r="H455" s="178">
        <f>H419*0.05*E455</f>
        <v>0</v>
      </c>
      <c r="I455" s="179">
        <f t="shared" si="25"/>
        <v>1.6716960000000001</v>
      </c>
      <c r="J455" s="180">
        <f>VLOOKUP(B455,материал!$B$5:$G$67,5,0)</f>
        <v>0</v>
      </c>
      <c r="K455" s="180">
        <f t="shared" si="24"/>
        <v>0</v>
      </c>
      <c r="L455" s="194"/>
      <c r="M455" s="271" t="str">
        <f>VLOOKUP(B455,материал!$B$5:$H$67,7,0)</f>
        <v>Закуп подярдчика</v>
      </c>
    </row>
    <row r="456" spans="1:13" s="135" customFormat="1" ht="29.25" customHeight="1" x14ac:dyDescent="0.25">
      <c r="A456" s="195"/>
      <c r="B456" s="196" t="s">
        <v>133</v>
      </c>
      <c r="C456" s="197" t="s">
        <v>39</v>
      </c>
      <c r="D456" s="197" t="s">
        <v>99</v>
      </c>
      <c r="E456" s="197"/>
      <c r="F456" s="197"/>
      <c r="G456" s="198"/>
      <c r="H456" s="198"/>
      <c r="I456" s="199">
        <f ca="1">SUMIF(материал!$B$5:$G$67,B456,материал!$E$5:$E$67)</f>
        <v>0</v>
      </c>
      <c r="J456" s="179"/>
      <c r="K456" s="180">
        <f ca="1">SUM(K422:K455)*I456%</f>
        <v>0</v>
      </c>
      <c r="L456" s="200"/>
      <c r="M456" s="274" t="str">
        <f>VLOOKUP(B456,материал!$B$5:$H$67,7,0)</f>
        <v>Закуп подярдчика</v>
      </c>
    </row>
    <row r="457" spans="1:13" s="135" customFormat="1" ht="12.75" customHeight="1" x14ac:dyDescent="0.25">
      <c r="A457" s="160" t="s">
        <v>148</v>
      </c>
      <c r="B457" s="161" t="s">
        <v>149</v>
      </c>
      <c r="C457" s="162"/>
      <c r="D457" s="163"/>
      <c r="E457" s="162"/>
      <c r="F457" s="162"/>
      <c r="G457" s="164"/>
      <c r="H457" s="164"/>
      <c r="I457" s="165"/>
      <c r="J457" s="165"/>
      <c r="K457" s="165">
        <f ca="1">K458+K471</f>
        <v>0</v>
      </c>
      <c r="L457" s="186"/>
      <c r="M457" s="273" t="e">
        <f>VLOOKUP(B457,материал!$B$5:$H$67,7,0)</f>
        <v>#N/A</v>
      </c>
    </row>
    <row r="458" spans="1:13" s="135" customFormat="1" ht="12.75" customHeight="1" x14ac:dyDescent="0.25">
      <c r="A458" s="166"/>
      <c r="B458" s="167" t="s">
        <v>34</v>
      </c>
      <c r="C458" s="168"/>
      <c r="D458" s="168"/>
      <c r="E458" s="168"/>
      <c r="F458" s="168"/>
      <c r="G458" s="169"/>
      <c r="H458" s="169"/>
      <c r="I458" s="170"/>
      <c r="J458" s="170"/>
      <c r="K458" s="170">
        <f>SUM(K459:K469)</f>
        <v>0</v>
      </c>
      <c r="L458" s="172"/>
      <c r="M458" s="270" t="e">
        <f>VLOOKUP(B458,материал!$B$5:$H$67,7,0)</f>
        <v>#N/A</v>
      </c>
    </row>
    <row r="459" spans="1:13" s="135" customFormat="1" ht="24.95" customHeight="1" x14ac:dyDescent="0.25">
      <c r="A459" s="166"/>
      <c r="B459" s="171" t="s">
        <v>44</v>
      </c>
      <c r="C459" s="172"/>
      <c r="D459" s="172" t="s">
        <v>45</v>
      </c>
      <c r="E459" s="172"/>
      <c r="F459" s="172"/>
      <c r="G459" s="173">
        <v>26.31</v>
      </c>
      <c r="H459" s="173">
        <v>34.979999999999997</v>
      </c>
      <c r="I459" s="170">
        <f t="shared" ref="I459:I470" si="26">SUM(G459:H459)</f>
        <v>61.289999999999992</v>
      </c>
      <c r="J459" s="174">
        <f>VLOOKUP(B459,работы!$B$5:$F$19,4,0)</f>
        <v>0</v>
      </c>
      <c r="K459" s="174">
        <f t="shared" si="24"/>
        <v>0</v>
      </c>
      <c r="L459" s="172"/>
      <c r="M459" s="270" t="e">
        <f>VLOOKUP(B459,материал!$B$5:$H$67,7,0)</f>
        <v>#N/A</v>
      </c>
    </row>
    <row r="460" spans="1:13" s="135" customFormat="1" ht="12.75" customHeight="1" x14ac:dyDescent="0.25">
      <c r="A460" s="166"/>
      <c r="B460" s="171" t="s">
        <v>102</v>
      </c>
      <c r="C460" s="172"/>
      <c r="D460" s="172" t="s">
        <v>45</v>
      </c>
      <c r="E460" s="172"/>
      <c r="F460" s="172"/>
      <c r="G460" s="173">
        <v>1.72</v>
      </c>
      <c r="H460" s="173">
        <v>2.6</v>
      </c>
      <c r="I460" s="170">
        <f t="shared" si="26"/>
        <v>4.32</v>
      </c>
      <c r="J460" s="174">
        <f>VLOOKUP(B460,работы!$B$5:$F$19,4,0)</f>
        <v>0</v>
      </c>
      <c r="K460" s="174">
        <f t="shared" si="24"/>
        <v>0</v>
      </c>
      <c r="L460" s="172"/>
      <c r="M460" s="270" t="e">
        <f>VLOOKUP(B460,материал!$B$5:$H$67,7,0)</f>
        <v>#N/A</v>
      </c>
    </row>
    <row r="461" spans="1:13" s="135" customFormat="1" ht="24.95" customHeight="1" x14ac:dyDescent="0.25">
      <c r="A461" s="166"/>
      <c r="B461" s="171" t="s">
        <v>46</v>
      </c>
      <c r="C461" s="172"/>
      <c r="D461" s="172" t="s">
        <v>47</v>
      </c>
      <c r="E461" s="172"/>
      <c r="F461" s="172"/>
      <c r="G461" s="173">
        <v>102.26</v>
      </c>
      <c r="H461" s="173">
        <v>178.68</v>
      </c>
      <c r="I461" s="170">
        <f t="shared" si="26"/>
        <v>280.94</v>
      </c>
      <c r="J461" s="174">
        <f>VLOOKUP(B461,работы!$B$5:$F$19,4,0)</f>
        <v>0</v>
      </c>
      <c r="K461" s="174">
        <f t="shared" si="24"/>
        <v>0</v>
      </c>
      <c r="L461" s="172"/>
      <c r="M461" s="270" t="e">
        <f>VLOOKUP(B461,материал!$B$5:$H$67,7,0)</f>
        <v>#N/A</v>
      </c>
    </row>
    <row r="462" spans="1:13" s="135" customFormat="1" ht="24.95" customHeight="1" x14ac:dyDescent="0.25">
      <c r="A462" s="166"/>
      <c r="B462" s="171" t="s">
        <v>48</v>
      </c>
      <c r="C462" s="172"/>
      <c r="D462" s="172" t="s">
        <v>47</v>
      </c>
      <c r="E462" s="172"/>
      <c r="F462" s="172"/>
      <c r="G462" s="173">
        <v>53.68</v>
      </c>
      <c r="H462" s="173">
        <v>110.37</v>
      </c>
      <c r="I462" s="170">
        <f t="shared" si="26"/>
        <v>164.05</v>
      </c>
      <c r="J462" s="174">
        <f>VLOOKUP(B462,работы!$B$5:$F$19,4,0)</f>
        <v>0</v>
      </c>
      <c r="K462" s="174">
        <f t="shared" si="24"/>
        <v>0</v>
      </c>
      <c r="L462" s="172"/>
      <c r="M462" s="270" t="e">
        <f>VLOOKUP(B462,материал!$B$5:$H$67,7,0)</f>
        <v>#N/A</v>
      </c>
    </row>
    <row r="463" spans="1:13" s="135" customFormat="1" ht="24.95" customHeight="1" x14ac:dyDescent="0.25">
      <c r="A463" s="166"/>
      <c r="B463" s="171" t="s">
        <v>103</v>
      </c>
      <c r="C463" s="172"/>
      <c r="D463" s="172" t="s">
        <v>47</v>
      </c>
      <c r="E463" s="172"/>
      <c r="F463" s="172"/>
      <c r="G463" s="173">
        <v>114.29</v>
      </c>
      <c r="H463" s="173">
        <v>184.88</v>
      </c>
      <c r="I463" s="170">
        <f t="shared" si="26"/>
        <v>299.17</v>
      </c>
      <c r="J463" s="174">
        <f>VLOOKUP(B463,работы!$B$5:$F$19,4,0)</f>
        <v>0</v>
      </c>
      <c r="K463" s="174">
        <f t="shared" si="24"/>
        <v>0</v>
      </c>
      <c r="L463" s="172"/>
      <c r="M463" s="270" t="e">
        <f>VLOOKUP(B463,материал!$B$5:$H$67,7,0)</f>
        <v>#N/A</v>
      </c>
    </row>
    <row r="464" spans="1:13" s="135" customFormat="1" ht="24.95" customHeight="1" x14ac:dyDescent="0.25">
      <c r="A464" s="166"/>
      <c r="B464" s="171" t="s">
        <v>104</v>
      </c>
      <c r="C464" s="172"/>
      <c r="D464" s="172" t="s">
        <v>47</v>
      </c>
      <c r="E464" s="172"/>
      <c r="F464" s="172"/>
      <c r="G464" s="173">
        <v>133.18</v>
      </c>
      <c r="H464" s="173">
        <v>189.83</v>
      </c>
      <c r="I464" s="170">
        <f t="shared" si="26"/>
        <v>323.01</v>
      </c>
      <c r="J464" s="174">
        <f>VLOOKUP(B464,работы!$B$5:$F$19,4,0)</f>
        <v>0</v>
      </c>
      <c r="K464" s="174">
        <f t="shared" si="24"/>
        <v>0</v>
      </c>
      <c r="L464" s="172"/>
      <c r="M464" s="270" t="e">
        <f>VLOOKUP(B464,материал!$B$5:$H$67,7,0)</f>
        <v>#N/A</v>
      </c>
    </row>
    <row r="465" spans="1:13" s="135" customFormat="1" ht="12.75" customHeight="1" x14ac:dyDescent="0.25">
      <c r="A465" s="166"/>
      <c r="B465" s="171" t="s">
        <v>49</v>
      </c>
      <c r="C465" s="172"/>
      <c r="D465" s="172" t="s">
        <v>47</v>
      </c>
      <c r="E465" s="172"/>
      <c r="F465" s="172"/>
      <c r="G465" s="173">
        <v>52.46</v>
      </c>
      <c r="H465" s="173">
        <v>38.6</v>
      </c>
      <c r="I465" s="170">
        <f t="shared" si="26"/>
        <v>91.06</v>
      </c>
      <c r="J465" s="174">
        <f>VLOOKUP(B465,работы!$B$5:$F$19,4,0)</f>
        <v>0</v>
      </c>
      <c r="K465" s="174">
        <f t="shared" si="24"/>
        <v>0</v>
      </c>
      <c r="L465" s="172"/>
      <c r="M465" s="270" t="e">
        <f>VLOOKUP(B465,материал!$B$5:$H$67,7,0)</f>
        <v>#N/A</v>
      </c>
    </row>
    <row r="466" spans="1:13" s="135" customFormat="1" ht="12.75" customHeight="1" x14ac:dyDescent="0.25">
      <c r="A466" s="166"/>
      <c r="B466" s="171" t="s">
        <v>50</v>
      </c>
      <c r="C466" s="172"/>
      <c r="D466" s="172" t="s">
        <v>51</v>
      </c>
      <c r="E466" s="172"/>
      <c r="F466" s="172"/>
      <c r="G466" s="173">
        <v>71</v>
      </c>
      <c r="H466" s="173">
        <v>94</v>
      </c>
      <c r="I466" s="170">
        <f t="shared" si="26"/>
        <v>165</v>
      </c>
      <c r="J466" s="174">
        <f>VLOOKUP(B466,работы!$B$5:$F$19,4,0)</f>
        <v>0</v>
      </c>
      <c r="K466" s="174">
        <f t="shared" si="24"/>
        <v>0</v>
      </c>
      <c r="L466" s="172"/>
      <c r="M466" s="270" t="e">
        <f>VLOOKUP(B466,материал!$B$5:$H$67,7,0)</f>
        <v>#N/A</v>
      </c>
    </row>
    <row r="467" spans="1:13" s="135" customFormat="1" ht="12.75" customHeight="1" x14ac:dyDescent="0.25">
      <c r="A467" s="166"/>
      <c r="B467" s="171" t="s">
        <v>52</v>
      </c>
      <c r="C467" s="172" t="s">
        <v>105</v>
      </c>
      <c r="D467" s="172" t="s">
        <v>54</v>
      </c>
      <c r="E467" s="172"/>
      <c r="F467" s="172"/>
      <c r="G467" s="173">
        <v>99.09</v>
      </c>
      <c r="H467" s="173">
        <v>79.66</v>
      </c>
      <c r="I467" s="170">
        <f t="shared" si="26"/>
        <v>178.75</v>
      </c>
      <c r="J467" s="174">
        <f>VLOOKUP(B467,работы!$B$5:$F$19,4,0)</f>
        <v>0</v>
      </c>
      <c r="K467" s="174">
        <f t="shared" si="24"/>
        <v>0</v>
      </c>
      <c r="L467" s="172"/>
      <c r="M467" s="270" t="e">
        <f>VLOOKUP(B467,материал!$B$5:$H$67,7,0)</f>
        <v>#N/A</v>
      </c>
    </row>
    <row r="468" spans="1:13" s="135" customFormat="1" ht="24.95" customHeight="1" x14ac:dyDescent="0.25">
      <c r="A468" s="166"/>
      <c r="B468" s="171" t="s">
        <v>55</v>
      </c>
      <c r="C468" s="172"/>
      <c r="D468" s="172" t="s">
        <v>54</v>
      </c>
      <c r="E468" s="172"/>
      <c r="F468" s="172"/>
      <c r="G468" s="173">
        <v>31.05</v>
      </c>
      <c r="H468" s="173">
        <v>44.59</v>
      </c>
      <c r="I468" s="170">
        <f t="shared" si="26"/>
        <v>75.64</v>
      </c>
      <c r="J468" s="174">
        <f>VLOOKUP(B468,работы!$B$5:$F$19,4,0)</f>
        <v>0</v>
      </c>
      <c r="K468" s="174">
        <f t="shared" si="24"/>
        <v>0</v>
      </c>
      <c r="L468" s="172"/>
      <c r="M468" s="270" t="e">
        <f>VLOOKUP(B468,материал!$B$5:$H$67,7,0)</f>
        <v>#N/A</v>
      </c>
    </row>
    <row r="469" spans="1:13" s="135" customFormat="1" x14ac:dyDescent="0.25">
      <c r="A469" s="166"/>
      <c r="B469" s="171" t="s">
        <v>256</v>
      </c>
      <c r="C469" s="172"/>
      <c r="D469" s="172" t="s">
        <v>47</v>
      </c>
      <c r="E469" s="172"/>
      <c r="F469" s="172"/>
      <c r="G469" s="173">
        <f>11.4*2.82</f>
        <v>32.147999999999996</v>
      </c>
      <c r="H469" s="173"/>
      <c r="I469" s="170">
        <f t="shared" si="26"/>
        <v>32.147999999999996</v>
      </c>
      <c r="J469" s="174">
        <f>VLOOKUP(B469,работы!$B$5:$F$19,4,0)</f>
        <v>0</v>
      </c>
      <c r="K469" s="174">
        <f t="shared" si="24"/>
        <v>0</v>
      </c>
      <c r="L469" s="172"/>
      <c r="M469" s="270" t="e">
        <f>VLOOKUP(B469,материал!$B$5:$H$67,7,0)</f>
        <v>#N/A</v>
      </c>
    </row>
    <row r="470" spans="1:13" s="135" customFormat="1" x14ac:dyDescent="0.25">
      <c r="A470" s="166"/>
      <c r="B470" s="187" t="s">
        <v>56</v>
      </c>
      <c r="C470" s="188"/>
      <c r="D470" s="188" t="s">
        <v>45</v>
      </c>
      <c r="E470" s="188"/>
      <c r="F470" s="188"/>
      <c r="G470" s="173">
        <f>255.08*0.06*0.03</f>
        <v>0.459144</v>
      </c>
      <c r="H470" s="173">
        <f>366.31*0.06*0.03</f>
        <v>0.659358</v>
      </c>
      <c r="I470" s="170">
        <f t="shared" si="26"/>
        <v>1.1185019999999999</v>
      </c>
      <c r="J470" s="174"/>
      <c r="K470" s="174"/>
      <c r="L470" s="188"/>
      <c r="M470" s="270" t="e">
        <f>VLOOKUP(B470,материал!$B$5:$H$67,7,0)</f>
        <v>#N/A</v>
      </c>
    </row>
    <row r="471" spans="1:13" s="135" customFormat="1" x14ac:dyDescent="0.25">
      <c r="A471" s="175"/>
      <c r="B471" s="176" t="s">
        <v>38</v>
      </c>
      <c r="C471" s="177"/>
      <c r="D471" s="177"/>
      <c r="E471" s="177"/>
      <c r="F471" s="177"/>
      <c r="G471" s="178"/>
      <c r="H471" s="178"/>
      <c r="I471" s="179"/>
      <c r="J471" s="180"/>
      <c r="K471" s="179">
        <f ca="1">SUM(K472:K506)</f>
        <v>0</v>
      </c>
      <c r="L471" s="177"/>
      <c r="M471" s="271"/>
    </row>
    <row r="472" spans="1:13" s="135" customFormat="1" ht="25.5" x14ac:dyDescent="0.25">
      <c r="A472" s="181"/>
      <c r="B472" s="182" t="s">
        <v>58</v>
      </c>
      <c r="C472" s="177" t="s">
        <v>59</v>
      </c>
      <c r="D472" s="177" t="s">
        <v>60</v>
      </c>
      <c r="E472" s="178">
        <v>12.4</v>
      </c>
      <c r="F472" s="177">
        <v>0.25</v>
      </c>
      <c r="G472" s="183">
        <f>G459/F472*E472</f>
        <v>1304.9759999999999</v>
      </c>
      <c r="H472" s="183">
        <f>H459/F472*E472</f>
        <v>1735.0079999999998</v>
      </c>
      <c r="I472" s="184">
        <f t="shared" ref="I472:I505" si="27">SUM(G472:H472)</f>
        <v>3039.9839999999995</v>
      </c>
      <c r="J472" s="180">
        <f>VLOOKUP(B472,материал!$B$5:$G$67,5,0)</f>
        <v>0</v>
      </c>
      <c r="K472" s="180">
        <f t="shared" ref="K472:K534" si="28">I472*J472</f>
        <v>0</v>
      </c>
      <c r="L472" s="177"/>
      <c r="M472" s="271" t="str">
        <f>VLOOKUP(B472,материал!$B$5:$H$67,7,0)</f>
        <v>Давальческий материал</v>
      </c>
    </row>
    <row r="473" spans="1:13" s="135" customFormat="1" ht="25.5" x14ac:dyDescent="0.25">
      <c r="A473" s="181"/>
      <c r="B473" s="182" t="s">
        <v>62</v>
      </c>
      <c r="C473" s="177" t="s">
        <v>63</v>
      </c>
      <c r="D473" s="177" t="s">
        <v>60</v>
      </c>
      <c r="E473" s="178">
        <v>12.4</v>
      </c>
      <c r="F473" s="177"/>
      <c r="G473" s="183">
        <f>G461*E473</f>
        <v>1268.0240000000001</v>
      </c>
      <c r="H473" s="183">
        <f>H461*E473</f>
        <v>2215.6320000000001</v>
      </c>
      <c r="I473" s="184">
        <f t="shared" si="27"/>
        <v>3483.6559999999999</v>
      </c>
      <c r="J473" s="180">
        <f>VLOOKUP(B473,материал!$B$5:$G$67,5,0)</f>
        <v>0</v>
      </c>
      <c r="K473" s="180">
        <f t="shared" si="28"/>
        <v>0</v>
      </c>
      <c r="L473" s="177"/>
      <c r="M473" s="271" t="str">
        <f>VLOOKUP(B473,материал!$B$5:$H$67,7,0)</f>
        <v>Давальческий материал</v>
      </c>
    </row>
    <row r="474" spans="1:13" s="135" customFormat="1" ht="34.5" customHeight="1" x14ac:dyDescent="0.25">
      <c r="A474" s="181"/>
      <c r="B474" s="182" t="s">
        <v>64</v>
      </c>
      <c r="C474" s="177" t="s">
        <v>65</v>
      </c>
      <c r="D474" s="177" t="s">
        <v>60</v>
      </c>
      <c r="E474" s="178">
        <v>12.4</v>
      </c>
      <c r="F474" s="177"/>
      <c r="G474" s="183">
        <f>G462*E474</f>
        <v>665.63200000000006</v>
      </c>
      <c r="H474" s="183">
        <f>H462*E474</f>
        <v>1368.5880000000002</v>
      </c>
      <c r="I474" s="184">
        <f t="shared" si="27"/>
        <v>2034.2200000000003</v>
      </c>
      <c r="J474" s="180">
        <f>VLOOKUP(B474,материал!$B$5:$G$67,5,0)</f>
        <v>0</v>
      </c>
      <c r="K474" s="180">
        <f t="shared" si="28"/>
        <v>0</v>
      </c>
      <c r="L474" s="177"/>
      <c r="M474" s="271" t="str">
        <f>VLOOKUP(B474,материал!$B$5:$H$67,7,0)</f>
        <v>Давальческий материал</v>
      </c>
    </row>
    <row r="475" spans="1:13" s="135" customFormat="1" ht="34.5" customHeight="1" x14ac:dyDescent="0.25">
      <c r="A475" s="181"/>
      <c r="B475" s="182" t="s">
        <v>106</v>
      </c>
      <c r="C475" s="177" t="s">
        <v>107</v>
      </c>
      <c r="D475" s="177" t="s">
        <v>60</v>
      </c>
      <c r="E475" s="178">
        <v>12.4</v>
      </c>
      <c r="F475" s="177"/>
      <c r="G475" s="183">
        <f>G463*E475</f>
        <v>1417.1960000000001</v>
      </c>
      <c r="H475" s="183">
        <f>H463*E475</f>
        <v>2292.5120000000002</v>
      </c>
      <c r="I475" s="184">
        <f t="shared" si="27"/>
        <v>3709.7080000000005</v>
      </c>
      <c r="J475" s="180">
        <f>VLOOKUP(B475,материал!$B$5:$G$67,5,0)</f>
        <v>0</v>
      </c>
      <c r="K475" s="180">
        <f t="shared" si="28"/>
        <v>0</v>
      </c>
      <c r="L475" s="177"/>
      <c r="M475" s="271" t="str">
        <f>VLOOKUP(B475,материал!$B$5:$H$67,7,0)</f>
        <v>Давальческий материал</v>
      </c>
    </row>
    <row r="476" spans="1:13" s="135" customFormat="1" ht="34.5" customHeight="1" x14ac:dyDescent="0.25">
      <c r="A476" s="181"/>
      <c r="B476" s="182" t="s">
        <v>108</v>
      </c>
      <c r="C476" s="177" t="s">
        <v>109</v>
      </c>
      <c r="D476" s="177" t="s">
        <v>60</v>
      </c>
      <c r="E476" s="178">
        <v>12.4</v>
      </c>
      <c r="F476" s="177"/>
      <c r="G476" s="183">
        <f>G464*E476</f>
        <v>1651.4320000000002</v>
      </c>
      <c r="H476" s="183">
        <f>H464*E476</f>
        <v>2353.8920000000003</v>
      </c>
      <c r="I476" s="184">
        <f t="shared" si="27"/>
        <v>4005.3240000000005</v>
      </c>
      <c r="J476" s="180">
        <f>VLOOKUP(B476,материал!$B$5:$G$67,5,0)</f>
        <v>0</v>
      </c>
      <c r="K476" s="180">
        <f t="shared" si="28"/>
        <v>0</v>
      </c>
      <c r="L476" s="177"/>
      <c r="M476" s="271" t="str">
        <f>VLOOKUP(B476,материал!$B$5:$H$67,7,0)</f>
        <v>Давальческий материал</v>
      </c>
    </row>
    <row r="477" spans="1:13" s="135" customFormat="1" ht="12.75" customHeight="1" x14ac:dyDescent="0.25">
      <c r="A477" s="181"/>
      <c r="B477" s="189" t="s">
        <v>66</v>
      </c>
      <c r="C477" s="177" t="s">
        <v>67</v>
      </c>
      <c r="D477" s="177" t="s">
        <v>60</v>
      </c>
      <c r="E477" s="190">
        <v>42</v>
      </c>
      <c r="F477" s="190"/>
      <c r="G477" s="183">
        <f>G465*E477</f>
        <v>2203.3200000000002</v>
      </c>
      <c r="H477" s="183">
        <f>H465*E477</f>
        <v>1621.2</v>
      </c>
      <c r="I477" s="184">
        <f t="shared" si="27"/>
        <v>3824.5200000000004</v>
      </c>
      <c r="J477" s="180">
        <f>VLOOKUP(B477,материал!$B$5:$G$67,5,0)</f>
        <v>0</v>
      </c>
      <c r="K477" s="180">
        <f t="shared" si="28"/>
        <v>0</v>
      </c>
      <c r="L477" s="177"/>
      <c r="M477" s="271" t="str">
        <f>VLOOKUP(B477,материал!$B$5:$H$67,7,0)</f>
        <v>Давальческий материал</v>
      </c>
    </row>
    <row r="478" spans="1:13" s="135" customFormat="1" ht="12.75" customHeight="1" x14ac:dyDescent="0.25">
      <c r="A478" s="181"/>
      <c r="B478" s="189" t="s">
        <v>110</v>
      </c>
      <c r="C478" s="177" t="s">
        <v>111</v>
      </c>
      <c r="D478" s="177" t="s">
        <v>60</v>
      </c>
      <c r="E478" s="190">
        <v>42</v>
      </c>
      <c r="F478" s="190"/>
      <c r="G478" s="183">
        <f>G460/0.25*E478</f>
        <v>288.95999999999998</v>
      </c>
      <c r="H478" s="183">
        <f>H460/0.25*E478</f>
        <v>436.8</v>
      </c>
      <c r="I478" s="184">
        <f t="shared" si="27"/>
        <v>725.76</v>
      </c>
      <c r="J478" s="180">
        <f>VLOOKUP(B478,материал!$B$5:$G$67,5,0)</f>
        <v>0</v>
      </c>
      <c r="K478" s="180">
        <f t="shared" si="28"/>
        <v>0</v>
      </c>
      <c r="L478" s="177"/>
      <c r="M478" s="271" t="str">
        <f>VLOOKUP(B478,материал!$B$5:$H$67,7,0)</f>
        <v>Давальческий материал</v>
      </c>
    </row>
    <row r="479" spans="1:13" s="135" customFormat="1" ht="12.75" customHeight="1" x14ac:dyDescent="0.25">
      <c r="A479" s="181"/>
      <c r="B479" s="191" t="s">
        <v>69</v>
      </c>
      <c r="C479" s="177" t="s">
        <v>70</v>
      </c>
      <c r="D479" s="177" t="s">
        <v>45</v>
      </c>
      <c r="E479" s="177">
        <v>0.19500000000000001</v>
      </c>
      <c r="F479" s="190"/>
      <c r="G479" s="178">
        <f>G459*E479+G461*E479*0.19+G462*E479*0.19+G463*E479*0.09+G464*E479*0.09</f>
        <v>15.251125500000001</v>
      </c>
      <c r="H479" s="178">
        <f>H459*E479+H461*E479*0.19+H462*E479*0.19+H463*E479*0.09+H464*E479*0.09</f>
        <v>24.106563000000001</v>
      </c>
      <c r="I479" s="179">
        <f t="shared" si="27"/>
        <v>39.357688500000002</v>
      </c>
      <c r="J479" s="180">
        <f>VLOOKUP(B479,материал!$B$5:$G$67,5,0)</f>
        <v>0</v>
      </c>
      <c r="K479" s="180">
        <f t="shared" si="28"/>
        <v>0</v>
      </c>
      <c r="L479" s="177"/>
      <c r="M479" s="271" t="str">
        <f>VLOOKUP(B479,материал!$B$5:$H$67,7,0)</f>
        <v>Закуп подярдчика</v>
      </c>
    </row>
    <row r="480" spans="1:13" s="135" customFormat="1" ht="12.75" customHeight="1" x14ac:dyDescent="0.25">
      <c r="A480" s="192"/>
      <c r="B480" s="191" t="s">
        <v>112</v>
      </c>
      <c r="C480" s="177" t="s">
        <v>70</v>
      </c>
      <c r="D480" s="177" t="s">
        <v>45</v>
      </c>
      <c r="E480" s="177">
        <v>0.24</v>
      </c>
      <c r="F480" s="177"/>
      <c r="G480" s="178">
        <f>G460*E480</f>
        <v>0.4128</v>
      </c>
      <c r="H480" s="178">
        <f>H460*E480</f>
        <v>0.624</v>
      </c>
      <c r="I480" s="179">
        <f t="shared" si="27"/>
        <v>1.0367999999999999</v>
      </c>
      <c r="J480" s="180">
        <f>VLOOKUP(B480,материал!$B$5:$G$67,5,0)</f>
        <v>0</v>
      </c>
      <c r="K480" s="180">
        <f t="shared" si="28"/>
        <v>0</v>
      </c>
      <c r="L480" s="177"/>
      <c r="M480" s="271" t="str">
        <f>VLOOKUP(B480,материал!$B$5:$H$67,7,0)</f>
        <v>Закуп подярдчика</v>
      </c>
    </row>
    <row r="481" spans="1:13" s="135" customFormat="1" ht="12.75" customHeight="1" x14ac:dyDescent="0.25">
      <c r="A481" s="192"/>
      <c r="B481" s="191" t="s">
        <v>72</v>
      </c>
      <c r="C481" s="177" t="s">
        <v>70</v>
      </c>
      <c r="D481" s="177" t="s">
        <v>45</v>
      </c>
      <c r="E481" s="177">
        <v>4.5999999999999999E-2</v>
      </c>
      <c r="F481" s="177"/>
      <c r="G481" s="178">
        <f>G465*E481</f>
        <v>2.41316</v>
      </c>
      <c r="H481" s="178">
        <f>H465*E481</f>
        <v>1.7756000000000001</v>
      </c>
      <c r="I481" s="179">
        <f t="shared" si="27"/>
        <v>4.1887600000000003</v>
      </c>
      <c r="J481" s="180">
        <f>VLOOKUP(B481,материал!$B$5:$G$67,5,0)</f>
        <v>0</v>
      </c>
      <c r="K481" s="180">
        <f t="shared" si="28"/>
        <v>0</v>
      </c>
      <c r="L481" s="177"/>
      <c r="M481" s="271" t="str">
        <f>VLOOKUP(B481,материал!$B$5:$H$67,7,0)</f>
        <v>Закуп подярдчика</v>
      </c>
    </row>
    <row r="482" spans="1:13" s="135" customFormat="1" ht="12.75" customHeight="1" x14ac:dyDescent="0.25">
      <c r="A482" s="192"/>
      <c r="B482" s="191" t="s">
        <v>74</v>
      </c>
      <c r="C482" s="177" t="s">
        <v>70</v>
      </c>
      <c r="D482" s="177" t="s">
        <v>45</v>
      </c>
      <c r="E482" s="177">
        <v>1.01</v>
      </c>
      <c r="F482" s="177"/>
      <c r="G482" s="178">
        <f>G470*E482</f>
        <v>0.46373544</v>
      </c>
      <c r="H482" s="178">
        <f>H470*E482</f>
        <v>0.66595157999999999</v>
      </c>
      <c r="I482" s="179">
        <f t="shared" si="27"/>
        <v>1.12968702</v>
      </c>
      <c r="J482" s="180">
        <f>VLOOKUP(B482,материал!$B$5:$G$67,5,0)</f>
        <v>0</v>
      </c>
      <c r="K482" s="180">
        <f t="shared" si="28"/>
        <v>0</v>
      </c>
      <c r="L482" s="177"/>
      <c r="M482" s="271" t="str">
        <f>VLOOKUP(B482,материал!$B$5:$H$67,7,0)</f>
        <v>Закуп подярдчика</v>
      </c>
    </row>
    <row r="483" spans="1:13" s="135" customFormat="1" ht="12.75" customHeight="1" x14ac:dyDescent="0.25">
      <c r="A483" s="181"/>
      <c r="B483" s="189" t="s">
        <v>75</v>
      </c>
      <c r="C483" s="177" t="s">
        <v>70</v>
      </c>
      <c r="D483" s="177" t="s">
        <v>45</v>
      </c>
      <c r="E483" s="177">
        <v>6.0000000000000001E-3</v>
      </c>
      <c r="F483" s="177"/>
      <c r="G483" s="178">
        <f>G466*E483</f>
        <v>0.42599999999999999</v>
      </c>
      <c r="H483" s="178">
        <f>H466*E483</f>
        <v>0.56400000000000006</v>
      </c>
      <c r="I483" s="179">
        <f t="shared" si="27"/>
        <v>0.99</v>
      </c>
      <c r="J483" s="180">
        <f>VLOOKUP(B483,материал!$B$5:$G$67,5,0)</f>
        <v>0</v>
      </c>
      <c r="K483" s="180">
        <f t="shared" si="28"/>
        <v>0</v>
      </c>
      <c r="L483" s="177"/>
      <c r="M483" s="271" t="str">
        <f>VLOOKUP(B483,материал!$B$5:$H$67,7,0)</f>
        <v>Закуп подярдчика</v>
      </c>
    </row>
    <row r="484" spans="1:13" s="135" customFormat="1" ht="12.75" customHeight="1" x14ac:dyDescent="0.25">
      <c r="A484" s="181"/>
      <c r="B484" s="189" t="s">
        <v>77</v>
      </c>
      <c r="C484" s="177" t="s">
        <v>70</v>
      </c>
      <c r="D484" s="177" t="s">
        <v>45</v>
      </c>
      <c r="E484" s="177">
        <v>1.01</v>
      </c>
      <c r="F484" s="177"/>
      <c r="G484" s="193">
        <v>5.3999999999999999E-2</v>
      </c>
      <c r="H484" s="193">
        <v>8.6999999999999994E-2</v>
      </c>
      <c r="I484" s="179">
        <f t="shared" si="27"/>
        <v>0.14099999999999999</v>
      </c>
      <c r="J484" s="180">
        <f>VLOOKUP(B484,материал!$B$5:$G$67,5,0)</f>
        <v>0</v>
      </c>
      <c r="K484" s="180">
        <f t="shared" si="28"/>
        <v>0</v>
      </c>
      <c r="L484" s="194"/>
      <c r="M484" s="271" t="str">
        <f>VLOOKUP(B484,материал!$B$5:$H$67,7,0)</f>
        <v>Закуп подярдчика</v>
      </c>
    </row>
    <row r="485" spans="1:13" s="135" customFormat="1" ht="12.75" customHeight="1" x14ac:dyDescent="0.25">
      <c r="A485" s="181"/>
      <c r="B485" s="189" t="s">
        <v>78</v>
      </c>
      <c r="C485" s="177" t="s">
        <v>79</v>
      </c>
      <c r="D485" s="177" t="s">
        <v>47</v>
      </c>
      <c r="E485" s="177"/>
      <c r="F485" s="177"/>
      <c r="G485" s="178">
        <v>153.38</v>
      </c>
      <c r="H485" s="178">
        <v>226.65</v>
      </c>
      <c r="I485" s="179">
        <f t="shared" si="27"/>
        <v>380.03</v>
      </c>
      <c r="J485" s="180">
        <f>VLOOKUP(B485,материал!$B$5:$G$67,5,0)</f>
        <v>0</v>
      </c>
      <c r="K485" s="180">
        <f t="shared" si="28"/>
        <v>0</v>
      </c>
      <c r="L485" s="194"/>
      <c r="M485" s="271" t="str">
        <f>VLOOKUP(B485,материал!$B$5:$H$67,7,0)</f>
        <v>Закуп подярдчика</v>
      </c>
    </row>
    <row r="486" spans="1:13" s="135" customFormat="1" ht="27" customHeight="1" x14ac:dyDescent="0.25">
      <c r="A486" s="181"/>
      <c r="B486" s="189" t="s">
        <v>277</v>
      </c>
      <c r="C486" s="177" t="s">
        <v>114</v>
      </c>
      <c r="D486" s="177" t="s">
        <v>60</v>
      </c>
      <c r="E486" s="177"/>
      <c r="F486" s="177"/>
      <c r="G486" s="178">
        <v>18</v>
      </c>
      <c r="H486" s="178">
        <v>14</v>
      </c>
      <c r="I486" s="179">
        <f t="shared" si="27"/>
        <v>32</v>
      </c>
      <c r="J486" s="180">
        <f>VLOOKUP(B486,материал!$B$5:$G$67,5,0)</f>
        <v>0</v>
      </c>
      <c r="K486" s="180">
        <f t="shared" si="28"/>
        <v>0</v>
      </c>
      <c r="L486" s="194"/>
      <c r="M486" s="271" t="str">
        <f>VLOOKUP(B486,материал!$B$5:$H$67,7,0)</f>
        <v>Закуп подярдчика</v>
      </c>
    </row>
    <row r="487" spans="1:13" s="135" customFormat="1" ht="27" customHeight="1" x14ac:dyDescent="0.25">
      <c r="A487" s="181"/>
      <c r="B487" s="189" t="s">
        <v>278</v>
      </c>
      <c r="C487" s="177" t="s">
        <v>116</v>
      </c>
      <c r="D487" s="177" t="s">
        <v>60</v>
      </c>
      <c r="E487" s="177"/>
      <c r="F487" s="177"/>
      <c r="G487" s="178">
        <v>1</v>
      </c>
      <c r="H487" s="178">
        <v>10</v>
      </c>
      <c r="I487" s="179">
        <f t="shared" si="27"/>
        <v>11</v>
      </c>
      <c r="J487" s="180">
        <f>VLOOKUP(B487,материал!$B$5:$G$67,5,0)</f>
        <v>0</v>
      </c>
      <c r="K487" s="180">
        <f t="shared" si="28"/>
        <v>0</v>
      </c>
      <c r="L487" s="194"/>
      <c r="M487" s="271" t="str">
        <f>VLOOKUP(B487,материал!$B$5:$H$67,7,0)</f>
        <v>Закуп подярдчика</v>
      </c>
    </row>
    <row r="488" spans="1:13" s="135" customFormat="1" ht="27" customHeight="1" x14ac:dyDescent="0.25">
      <c r="A488" s="181"/>
      <c r="B488" s="189" t="s">
        <v>279</v>
      </c>
      <c r="C488" s="177" t="s">
        <v>282</v>
      </c>
      <c r="D488" s="177" t="s">
        <v>60</v>
      </c>
      <c r="E488" s="177"/>
      <c r="F488" s="177"/>
      <c r="G488" s="178"/>
      <c r="H488" s="178">
        <v>4</v>
      </c>
      <c r="I488" s="179">
        <f t="shared" si="27"/>
        <v>4</v>
      </c>
      <c r="J488" s="180">
        <f>VLOOKUP(B488,материал!$B$5:$G$67,5,0)</f>
        <v>0</v>
      </c>
      <c r="K488" s="180">
        <f t="shared" si="28"/>
        <v>0</v>
      </c>
      <c r="L488" s="194"/>
      <c r="M488" s="271" t="str">
        <f>VLOOKUP(B488,материал!$B$5:$H$67,7,0)</f>
        <v>Закуп подярдчика</v>
      </c>
    </row>
    <row r="489" spans="1:13" s="135" customFormat="1" ht="27" customHeight="1" x14ac:dyDescent="0.25">
      <c r="A489" s="181"/>
      <c r="B489" s="189" t="s">
        <v>281</v>
      </c>
      <c r="C489" s="177" t="s">
        <v>284</v>
      </c>
      <c r="D489" s="177" t="s">
        <v>60</v>
      </c>
      <c r="E489" s="177"/>
      <c r="F489" s="177"/>
      <c r="G489" s="178">
        <v>9</v>
      </c>
      <c r="H489" s="178">
        <v>4</v>
      </c>
      <c r="I489" s="179">
        <f t="shared" si="27"/>
        <v>13</v>
      </c>
      <c r="J489" s="180">
        <f>VLOOKUP(B489,материал!$B$5:$G$67,5,0)</f>
        <v>0</v>
      </c>
      <c r="K489" s="180">
        <f t="shared" si="28"/>
        <v>0</v>
      </c>
      <c r="L489" s="194"/>
      <c r="M489" s="271" t="str">
        <f>VLOOKUP(B489,материал!$B$5:$H$67,7,0)</f>
        <v>Закуп подярдчика</v>
      </c>
    </row>
    <row r="490" spans="1:13" s="135" customFormat="1" ht="27" customHeight="1" x14ac:dyDescent="0.25">
      <c r="A490" s="181"/>
      <c r="B490" s="189" t="s">
        <v>283</v>
      </c>
      <c r="C490" s="177" t="s">
        <v>286</v>
      </c>
      <c r="D490" s="177" t="s">
        <v>60</v>
      </c>
      <c r="E490" s="177"/>
      <c r="F490" s="177"/>
      <c r="G490" s="178">
        <v>1</v>
      </c>
      <c r="H490" s="178">
        <v>1</v>
      </c>
      <c r="I490" s="179">
        <f t="shared" si="27"/>
        <v>2</v>
      </c>
      <c r="J490" s="180">
        <f>VLOOKUP(B490,материал!$B$5:$G$67,5,0)</f>
        <v>0</v>
      </c>
      <c r="K490" s="180">
        <f t="shared" si="28"/>
        <v>0</v>
      </c>
      <c r="L490" s="194"/>
      <c r="M490" s="271" t="str">
        <f>VLOOKUP(B490,материал!$B$5:$H$67,7,0)</f>
        <v>Закуп подярдчика</v>
      </c>
    </row>
    <row r="491" spans="1:13" s="135" customFormat="1" ht="27" customHeight="1" x14ac:dyDescent="0.25">
      <c r="A491" s="181"/>
      <c r="B491" s="189" t="s">
        <v>285</v>
      </c>
      <c r="C491" s="177" t="s">
        <v>288</v>
      </c>
      <c r="D491" s="177" t="s">
        <v>60</v>
      </c>
      <c r="E491" s="177"/>
      <c r="F491" s="177"/>
      <c r="G491" s="178">
        <v>1</v>
      </c>
      <c r="H491" s="178">
        <v>1</v>
      </c>
      <c r="I491" s="179">
        <f t="shared" si="27"/>
        <v>2</v>
      </c>
      <c r="J491" s="180">
        <f>VLOOKUP(B491,материал!$B$5:$G$67,5,0)</f>
        <v>0</v>
      </c>
      <c r="K491" s="180">
        <f t="shared" si="28"/>
        <v>0</v>
      </c>
      <c r="L491" s="194"/>
      <c r="M491" s="271" t="str">
        <f>VLOOKUP(B491,материал!$B$5:$H$67,7,0)</f>
        <v>Закуп подярдчика</v>
      </c>
    </row>
    <row r="492" spans="1:13" s="135" customFormat="1" ht="27" customHeight="1" x14ac:dyDescent="0.25">
      <c r="A492" s="181"/>
      <c r="B492" s="189" t="s">
        <v>287</v>
      </c>
      <c r="C492" s="177" t="s">
        <v>290</v>
      </c>
      <c r="D492" s="177" t="s">
        <v>60</v>
      </c>
      <c r="E492" s="177"/>
      <c r="F492" s="177"/>
      <c r="G492" s="178">
        <v>6</v>
      </c>
      <c r="H492" s="178">
        <v>4</v>
      </c>
      <c r="I492" s="179">
        <f t="shared" si="27"/>
        <v>10</v>
      </c>
      <c r="J492" s="180">
        <f>VLOOKUP(B492,материал!$B$5:$G$67,5,0)</f>
        <v>0</v>
      </c>
      <c r="K492" s="180">
        <f t="shared" si="28"/>
        <v>0</v>
      </c>
      <c r="L492" s="194"/>
      <c r="M492" s="271" t="str">
        <f>VLOOKUP(B492,материал!$B$5:$H$67,7,0)</f>
        <v>Закуп подярдчика</v>
      </c>
    </row>
    <row r="493" spans="1:13" s="135" customFormat="1" ht="27" customHeight="1" x14ac:dyDescent="0.25">
      <c r="A493" s="181"/>
      <c r="B493" s="189" t="s">
        <v>289</v>
      </c>
      <c r="C493" s="177" t="s">
        <v>292</v>
      </c>
      <c r="D493" s="177" t="s">
        <v>60</v>
      </c>
      <c r="E493" s="177"/>
      <c r="F493" s="177"/>
      <c r="G493" s="178">
        <v>20</v>
      </c>
      <c r="H493" s="178">
        <v>26</v>
      </c>
      <c r="I493" s="179">
        <f t="shared" si="27"/>
        <v>46</v>
      </c>
      <c r="J493" s="180">
        <f>VLOOKUP(B493,материал!$B$5:$G$67,5,0)</f>
        <v>0</v>
      </c>
      <c r="K493" s="180">
        <f t="shared" si="28"/>
        <v>0</v>
      </c>
      <c r="L493" s="194"/>
      <c r="M493" s="271" t="str">
        <f>VLOOKUP(B493,материал!$B$5:$H$67,7,0)</f>
        <v>Закуп подярдчика</v>
      </c>
    </row>
    <row r="494" spans="1:13" s="135" customFormat="1" ht="27" customHeight="1" x14ac:dyDescent="0.25">
      <c r="A494" s="181"/>
      <c r="B494" s="189" t="s">
        <v>291</v>
      </c>
      <c r="C494" s="177" t="s">
        <v>294</v>
      </c>
      <c r="D494" s="177" t="s">
        <v>60</v>
      </c>
      <c r="E494" s="177"/>
      <c r="F494" s="177"/>
      <c r="G494" s="178">
        <v>2</v>
      </c>
      <c r="H494" s="178">
        <v>18</v>
      </c>
      <c r="I494" s="179">
        <f t="shared" si="27"/>
        <v>20</v>
      </c>
      <c r="J494" s="180">
        <f>VLOOKUP(B494,материал!$B$5:$G$67,5,0)</f>
        <v>0</v>
      </c>
      <c r="K494" s="180">
        <f t="shared" si="28"/>
        <v>0</v>
      </c>
      <c r="L494" s="194"/>
      <c r="M494" s="271" t="str">
        <f>VLOOKUP(B494,материал!$B$5:$H$67,7,0)</f>
        <v>Закуп подярдчика</v>
      </c>
    </row>
    <row r="495" spans="1:13" s="135" customFormat="1" ht="27" customHeight="1" x14ac:dyDescent="0.25">
      <c r="A495" s="181"/>
      <c r="B495" s="189" t="s">
        <v>313</v>
      </c>
      <c r="C495" s="177" t="s">
        <v>296</v>
      </c>
      <c r="D495" s="177" t="s">
        <v>60</v>
      </c>
      <c r="E495" s="177"/>
      <c r="F495" s="177"/>
      <c r="G495" s="178">
        <v>4</v>
      </c>
      <c r="H495" s="178"/>
      <c r="I495" s="179">
        <f t="shared" si="27"/>
        <v>4</v>
      </c>
      <c r="J495" s="180">
        <f>VLOOKUP(B495,материал!$B$5:$G$67,5,0)</f>
        <v>0</v>
      </c>
      <c r="K495" s="180">
        <f t="shared" si="28"/>
        <v>0</v>
      </c>
      <c r="L495" s="194"/>
      <c r="M495" s="271" t="str">
        <f>VLOOKUP(B495,материал!$B$5:$H$67,7,0)</f>
        <v>Закуп подярдчика</v>
      </c>
    </row>
    <row r="496" spans="1:13" s="135" customFormat="1" ht="27" customHeight="1" x14ac:dyDescent="0.25">
      <c r="A496" s="181"/>
      <c r="B496" s="189" t="s">
        <v>293</v>
      </c>
      <c r="C496" s="177" t="s">
        <v>314</v>
      </c>
      <c r="D496" s="177" t="s">
        <v>60</v>
      </c>
      <c r="E496" s="177"/>
      <c r="F496" s="177"/>
      <c r="G496" s="178">
        <v>4</v>
      </c>
      <c r="H496" s="178"/>
      <c r="I496" s="179">
        <f t="shared" si="27"/>
        <v>4</v>
      </c>
      <c r="J496" s="180">
        <f>VLOOKUP(B496,материал!$B$5:$G$67,5,0)</f>
        <v>0</v>
      </c>
      <c r="K496" s="180">
        <f t="shared" si="28"/>
        <v>0</v>
      </c>
      <c r="L496" s="194"/>
      <c r="M496" s="271" t="str">
        <f>VLOOKUP(B496,материал!$B$5:$H$67,7,0)</f>
        <v>Закуп подярдчика</v>
      </c>
    </row>
    <row r="497" spans="1:13" s="135" customFormat="1" ht="27" customHeight="1" x14ac:dyDescent="0.25">
      <c r="A497" s="181"/>
      <c r="B497" s="189" t="s">
        <v>295</v>
      </c>
      <c r="C497" s="177" t="s">
        <v>118</v>
      </c>
      <c r="D497" s="177" t="s">
        <v>60</v>
      </c>
      <c r="E497" s="177"/>
      <c r="F497" s="177"/>
      <c r="G497" s="178">
        <v>1</v>
      </c>
      <c r="H497" s="178">
        <v>2</v>
      </c>
      <c r="I497" s="179">
        <f t="shared" si="27"/>
        <v>3</v>
      </c>
      <c r="J497" s="180">
        <f>VLOOKUP(B497,материал!$B$5:$G$67,5,0)</f>
        <v>0</v>
      </c>
      <c r="K497" s="180">
        <f t="shared" si="28"/>
        <v>0</v>
      </c>
      <c r="L497" s="194"/>
      <c r="M497" s="271" t="str">
        <f>VLOOKUP(B497,материал!$B$5:$H$67,7,0)</f>
        <v>Закуп подярдчика</v>
      </c>
    </row>
    <row r="498" spans="1:13" s="135" customFormat="1" ht="27" customHeight="1" x14ac:dyDescent="0.25">
      <c r="A498" s="181"/>
      <c r="B498" s="189" t="s">
        <v>315</v>
      </c>
      <c r="C498" s="177" t="s">
        <v>120</v>
      </c>
      <c r="D498" s="177" t="s">
        <v>60</v>
      </c>
      <c r="E498" s="177"/>
      <c r="F498" s="177"/>
      <c r="G498" s="178">
        <v>4</v>
      </c>
      <c r="H498" s="178">
        <v>10</v>
      </c>
      <c r="I498" s="179">
        <f t="shared" si="27"/>
        <v>14</v>
      </c>
      <c r="J498" s="180">
        <f>VLOOKUP(B498,материал!$B$5:$G$67,5,0)</f>
        <v>0</v>
      </c>
      <c r="K498" s="180">
        <f t="shared" si="28"/>
        <v>0</v>
      </c>
      <c r="L498" s="194"/>
      <c r="M498" s="271" t="str">
        <f>VLOOKUP(B498,материал!$B$5:$H$67,7,0)</f>
        <v>Закуп подярдчика</v>
      </c>
    </row>
    <row r="499" spans="1:13" s="135" customFormat="1" ht="12.75" customHeight="1" x14ac:dyDescent="0.25">
      <c r="A499" s="181"/>
      <c r="B499" s="189" t="s">
        <v>92</v>
      </c>
      <c r="C499" s="177" t="s">
        <v>93</v>
      </c>
      <c r="D499" s="177" t="s">
        <v>54</v>
      </c>
      <c r="E499" s="177">
        <v>1.04</v>
      </c>
      <c r="F499" s="177"/>
      <c r="G499" s="178">
        <f>127.56*E499</f>
        <v>132.66240000000002</v>
      </c>
      <c r="H499" s="178">
        <f>180.66*E499</f>
        <v>187.88640000000001</v>
      </c>
      <c r="I499" s="179">
        <f t="shared" si="27"/>
        <v>320.54880000000003</v>
      </c>
      <c r="J499" s="180">
        <f>VLOOKUP(B499,материал!$B$5:$G$67,5,0)</f>
        <v>0</v>
      </c>
      <c r="K499" s="180">
        <f t="shared" si="28"/>
        <v>0</v>
      </c>
      <c r="L499" s="194"/>
      <c r="M499" s="271" t="str">
        <f>VLOOKUP(B499,материал!$B$5:$H$67,7,0)</f>
        <v>Закуп подярдчика</v>
      </c>
    </row>
    <row r="500" spans="1:13" s="135" customFormat="1" ht="12.75" customHeight="1" x14ac:dyDescent="0.25">
      <c r="A500" s="181"/>
      <c r="B500" s="189" t="s">
        <v>94</v>
      </c>
      <c r="C500" s="177" t="s">
        <v>95</v>
      </c>
      <c r="D500" s="177" t="s">
        <v>54</v>
      </c>
      <c r="E500" s="177">
        <v>1.04</v>
      </c>
      <c r="F500" s="177"/>
      <c r="G500" s="178">
        <f>G468*E500</f>
        <v>32.292000000000002</v>
      </c>
      <c r="H500" s="178">
        <f>H468*E500</f>
        <v>46.373600000000003</v>
      </c>
      <c r="I500" s="179">
        <f t="shared" si="27"/>
        <v>78.665600000000012</v>
      </c>
      <c r="J500" s="180">
        <f>VLOOKUP(B500,материал!$B$5:$G$67,5,0)</f>
        <v>0</v>
      </c>
      <c r="K500" s="180">
        <f t="shared" si="28"/>
        <v>0</v>
      </c>
      <c r="L500" s="194"/>
      <c r="M500" s="271" t="str">
        <f>VLOOKUP(B500,материал!$B$5:$H$67,7,0)</f>
        <v>Закуп подярдчика</v>
      </c>
    </row>
    <row r="501" spans="1:13" s="137" customFormat="1" ht="12.75" customHeight="1" x14ac:dyDescent="0.25">
      <c r="A501" s="181"/>
      <c r="B501" s="189" t="s">
        <v>131</v>
      </c>
      <c r="C501" s="177" t="s">
        <v>39</v>
      </c>
      <c r="D501" s="177" t="s">
        <v>54</v>
      </c>
      <c r="E501" s="177">
        <v>1.04</v>
      </c>
      <c r="F501" s="177"/>
      <c r="G501" s="178">
        <f>46.68*E501</f>
        <v>48.547200000000004</v>
      </c>
      <c r="H501" s="178">
        <f>31.12*E501</f>
        <v>32.364800000000002</v>
      </c>
      <c r="I501" s="179">
        <f t="shared" si="27"/>
        <v>80.912000000000006</v>
      </c>
      <c r="J501" s="180">
        <f>VLOOKUP(B501,материал!$B$5:$G$67,5,0)</f>
        <v>0</v>
      </c>
      <c r="K501" s="180">
        <f t="shared" si="28"/>
        <v>0</v>
      </c>
      <c r="L501" s="194"/>
      <c r="M501" s="271" t="str">
        <f>VLOOKUP(B501,материал!$B$5:$H$67,7,0)</f>
        <v>Закуп подярдчика</v>
      </c>
    </row>
    <row r="502" spans="1:13" s="135" customFormat="1" ht="12.75" customHeight="1" x14ac:dyDescent="0.25">
      <c r="A502" s="181"/>
      <c r="B502" s="189" t="s">
        <v>96</v>
      </c>
      <c r="C502" s="177" t="s">
        <v>39</v>
      </c>
      <c r="D502" s="177" t="s">
        <v>54</v>
      </c>
      <c r="E502" s="177">
        <v>1.04</v>
      </c>
      <c r="F502" s="177"/>
      <c r="G502" s="178">
        <f>25.93*E502</f>
        <v>26.967200000000002</v>
      </c>
      <c r="H502" s="178">
        <f>E502*17.2</f>
        <v>17.887999999999998</v>
      </c>
      <c r="I502" s="179">
        <f t="shared" si="27"/>
        <v>44.855199999999996</v>
      </c>
      <c r="J502" s="180">
        <f>VLOOKUP(B502,материал!$B$5:$G$67,5,0)</f>
        <v>0</v>
      </c>
      <c r="K502" s="180">
        <f t="shared" si="28"/>
        <v>0</v>
      </c>
      <c r="L502" s="194"/>
      <c r="M502" s="271" t="str">
        <f>VLOOKUP(B502,материал!$B$5:$H$67,7,0)</f>
        <v>Закуп подярдчика</v>
      </c>
    </row>
    <row r="503" spans="1:13" s="135" customFormat="1" ht="12.75" customHeight="1" x14ac:dyDescent="0.25">
      <c r="A503" s="181"/>
      <c r="B503" s="189" t="s">
        <v>97</v>
      </c>
      <c r="C503" s="177" t="s">
        <v>39</v>
      </c>
      <c r="D503" s="177" t="s">
        <v>54</v>
      </c>
      <c r="E503" s="177">
        <v>1.04</v>
      </c>
      <c r="F503" s="177"/>
      <c r="G503" s="178">
        <f>E503*10.72</f>
        <v>11.148800000000001</v>
      </c>
      <c r="H503" s="178">
        <f>E503*20.84</f>
        <v>21.6736</v>
      </c>
      <c r="I503" s="179">
        <f t="shared" si="27"/>
        <v>32.822400000000002</v>
      </c>
      <c r="J503" s="180">
        <f>VLOOKUP(B503,материал!$B$5:$G$67,5,0)</f>
        <v>0</v>
      </c>
      <c r="K503" s="180">
        <f t="shared" si="28"/>
        <v>0</v>
      </c>
      <c r="L503" s="194"/>
      <c r="M503" s="271" t="str">
        <f>VLOOKUP(B503,материал!$B$5:$H$67,7,0)</f>
        <v>Закуп подярдчика</v>
      </c>
    </row>
    <row r="504" spans="1:13" s="135" customFormat="1" ht="12.75" customHeight="1" x14ac:dyDescent="0.25">
      <c r="A504" s="181"/>
      <c r="B504" s="189" t="s">
        <v>132</v>
      </c>
      <c r="C504" s="177" t="s">
        <v>39</v>
      </c>
      <c r="D504" s="177" t="s">
        <v>54</v>
      </c>
      <c r="E504" s="177">
        <v>1.04</v>
      </c>
      <c r="F504" s="177"/>
      <c r="G504" s="178">
        <f>15.75*E504</f>
        <v>16.38</v>
      </c>
      <c r="H504" s="178">
        <f>10.5*E504</f>
        <v>10.92</v>
      </c>
      <c r="I504" s="179">
        <f t="shared" si="27"/>
        <v>27.299999999999997</v>
      </c>
      <c r="J504" s="180">
        <f>VLOOKUP(B504,материал!$B$5:$G$67,5,0)</f>
        <v>0</v>
      </c>
      <c r="K504" s="180">
        <f t="shared" si="28"/>
        <v>0</v>
      </c>
      <c r="L504" s="194"/>
      <c r="M504" s="271" t="str">
        <f>VLOOKUP(B504,материал!$B$5:$H$67,7,0)</f>
        <v>Закуп подярдчика</v>
      </c>
    </row>
    <row r="505" spans="1:13" s="135" customFormat="1" ht="26.25" customHeight="1" x14ac:dyDescent="0.25">
      <c r="A505" s="181"/>
      <c r="B505" s="189" t="s">
        <v>275</v>
      </c>
      <c r="C505" s="177" t="s">
        <v>276</v>
      </c>
      <c r="D505" s="177" t="s">
        <v>45</v>
      </c>
      <c r="E505" s="177">
        <v>1.04</v>
      </c>
      <c r="F505" s="177"/>
      <c r="G505" s="178">
        <f>G469*0.05*E505</f>
        <v>1.6716960000000001</v>
      </c>
      <c r="H505" s="178">
        <f>H469*0.05*E505</f>
        <v>0</v>
      </c>
      <c r="I505" s="179">
        <f t="shared" si="27"/>
        <v>1.6716960000000001</v>
      </c>
      <c r="J505" s="180">
        <f>VLOOKUP(B505,материал!$B$5:$G$67,5,0)</f>
        <v>0</v>
      </c>
      <c r="K505" s="180">
        <f t="shared" si="28"/>
        <v>0</v>
      </c>
      <c r="L505" s="194"/>
      <c r="M505" s="271" t="str">
        <f>VLOOKUP(B505,материал!$B$5:$H$67,7,0)</f>
        <v>Закуп подярдчика</v>
      </c>
    </row>
    <row r="506" spans="1:13" s="135" customFormat="1" ht="25.5" x14ac:dyDescent="0.25">
      <c r="A506" s="195"/>
      <c r="B506" s="196" t="s">
        <v>133</v>
      </c>
      <c r="C506" s="197" t="s">
        <v>39</v>
      </c>
      <c r="D506" s="197" t="s">
        <v>99</v>
      </c>
      <c r="E506" s="197"/>
      <c r="F506" s="197"/>
      <c r="G506" s="198"/>
      <c r="H506" s="198"/>
      <c r="I506" s="199">
        <f ca="1">SUMIF(материал!$B$5:$G$67,B506,материал!$E$5:$E$67)</f>
        <v>0</v>
      </c>
      <c r="J506" s="179"/>
      <c r="K506" s="180">
        <f ca="1">SUM(K472:K505)*I506%</f>
        <v>0</v>
      </c>
      <c r="L506" s="200"/>
      <c r="M506" s="274" t="str">
        <f>VLOOKUP(B506,материал!$B$5:$H$67,7,0)</f>
        <v>Закуп подярдчика</v>
      </c>
    </row>
    <row r="507" spans="1:13" s="135" customFormat="1" ht="12.75" customHeight="1" x14ac:dyDescent="0.25">
      <c r="A507" s="160" t="s">
        <v>150</v>
      </c>
      <c r="B507" s="161" t="s">
        <v>151</v>
      </c>
      <c r="C507" s="162"/>
      <c r="D507" s="163"/>
      <c r="E507" s="162"/>
      <c r="F507" s="162"/>
      <c r="G507" s="164"/>
      <c r="H507" s="164"/>
      <c r="I507" s="165"/>
      <c r="J507" s="165"/>
      <c r="K507" s="165">
        <f ca="1">K508+K521</f>
        <v>0</v>
      </c>
      <c r="L507" s="186"/>
      <c r="M507" s="273" t="e">
        <f>VLOOKUP(B507,материал!$B$5:$H$67,7,0)</f>
        <v>#N/A</v>
      </c>
    </row>
    <row r="508" spans="1:13" s="135" customFormat="1" ht="12.75" customHeight="1" x14ac:dyDescent="0.25">
      <c r="A508" s="166"/>
      <c r="B508" s="167" t="s">
        <v>34</v>
      </c>
      <c r="C508" s="168"/>
      <c r="D508" s="168"/>
      <c r="E508" s="168"/>
      <c r="F508" s="168"/>
      <c r="G508" s="169"/>
      <c r="H508" s="169"/>
      <c r="I508" s="170"/>
      <c r="J508" s="170"/>
      <c r="K508" s="170">
        <f>SUM(K509:K519)</f>
        <v>0</v>
      </c>
      <c r="L508" s="172"/>
      <c r="M508" s="270" t="e">
        <f>VLOOKUP(B508,материал!$B$5:$H$67,7,0)</f>
        <v>#N/A</v>
      </c>
    </row>
    <row r="509" spans="1:13" s="135" customFormat="1" ht="12.75" customHeight="1" x14ac:dyDescent="0.25">
      <c r="A509" s="166"/>
      <c r="B509" s="171" t="s">
        <v>44</v>
      </c>
      <c r="C509" s="172"/>
      <c r="D509" s="172" t="s">
        <v>45</v>
      </c>
      <c r="E509" s="172"/>
      <c r="F509" s="172"/>
      <c r="G509" s="173">
        <v>26.31</v>
      </c>
      <c r="H509" s="173">
        <v>34.979999999999997</v>
      </c>
      <c r="I509" s="170">
        <f t="shared" ref="I509:I520" si="29">SUM(G509:H509)</f>
        <v>61.289999999999992</v>
      </c>
      <c r="J509" s="174">
        <f>VLOOKUP(B509,работы!$B$5:$F$19,4,0)</f>
        <v>0</v>
      </c>
      <c r="K509" s="174">
        <f t="shared" si="28"/>
        <v>0</v>
      </c>
      <c r="L509" s="172"/>
      <c r="M509" s="270" t="e">
        <f>VLOOKUP(B509,материал!$B$5:$H$67,7,0)</f>
        <v>#N/A</v>
      </c>
    </row>
    <row r="510" spans="1:13" s="135" customFormat="1" ht="12.75" customHeight="1" x14ac:dyDescent="0.25">
      <c r="A510" s="166"/>
      <c r="B510" s="171" t="s">
        <v>102</v>
      </c>
      <c r="C510" s="172"/>
      <c r="D510" s="172" t="s">
        <v>45</v>
      </c>
      <c r="E510" s="172"/>
      <c r="F510" s="172"/>
      <c r="G510" s="173">
        <v>1.72</v>
      </c>
      <c r="H510" s="173">
        <v>2.6</v>
      </c>
      <c r="I510" s="170">
        <f t="shared" si="29"/>
        <v>4.32</v>
      </c>
      <c r="J510" s="174">
        <f>VLOOKUP(B510,работы!$B$5:$F$19,4,0)</f>
        <v>0</v>
      </c>
      <c r="K510" s="174">
        <f t="shared" si="28"/>
        <v>0</v>
      </c>
      <c r="L510" s="172"/>
      <c r="M510" s="270" t="e">
        <f>VLOOKUP(B510,материал!$B$5:$H$67,7,0)</f>
        <v>#N/A</v>
      </c>
    </row>
    <row r="511" spans="1:13" s="135" customFormat="1" ht="24.95" customHeight="1" x14ac:dyDescent="0.25">
      <c r="A511" s="166"/>
      <c r="B511" s="171" t="s">
        <v>46</v>
      </c>
      <c r="C511" s="172"/>
      <c r="D511" s="172" t="s">
        <v>47</v>
      </c>
      <c r="E511" s="172"/>
      <c r="F511" s="172"/>
      <c r="G511" s="173">
        <v>102.26</v>
      </c>
      <c r="H511" s="173">
        <v>178.68</v>
      </c>
      <c r="I511" s="170">
        <f t="shared" si="29"/>
        <v>280.94</v>
      </c>
      <c r="J511" s="174">
        <f>VLOOKUP(B511,работы!$B$5:$F$19,4,0)</f>
        <v>0</v>
      </c>
      <c r="K511" s="174">
        <f t="shared" si="28"/>
        <v>0</v>
      </c>
      <c r="L511" s="172"/>
      <c r="M511" s="270" t="e">
        <f>VLOOKUP(B511,материал!$B$5:$H$67,7,0)</f>
        <v>#N/A</v>
      </c>
    </row>
    <row r="512" spans="1:13" s="135" customFormat="1" ht="24.95" customHeight="1" x14ac:dyDescent="0.25">
      <c r="A512" s="166"/>
      <c r="B512" s="171" t="s">
        <v>48</v>
      </c>
      <c r="C512" s="172"/>
      <c r="D512" s="172" t="s">
        <v>47</v>
      </c>
      <c r="E512" s="172"/>
      <c r="F512" s="172"/>
      <c r="G512" s="173">
        <v>53.68</v>
      </c>
      <c r="H512" s="173">
        <v>110.37</v>
      </c>
      <c r="I512" s="170">
        <f t="shared" si="29"/>
        <v>164.05</v>
      </c>
      <c r="J512" s="174">
        <f>VLOOKUP(B512,работы!$B$5:$F$19,4,0)</f>
        <v>0</v>
      </c>
      <c r="K512" s="174">
        <f t="shared" si="28"/>
        <v>0</v>
      </c>
      <c r="L512" s="172"/>
      <c r="M512" s="270" t="e">
        <f>VLOOKUP(B512,материал!$B$5:$H$67,7,0)</f>
        <v>#N/A</v>
      </c>
    </row>
    <row r="513" spans="1:13" s="135" customFormat="1" ht="24.95" customHeight="1" x14ac:dyDescent="0.25">
      <c r="A513" s="166"/>
      <c r="B513" s="171" t="s">
        <v>103</v>
      </c>
      <c r="C513" s="172"/>
      <c r="D513" s="172" t="s">
        <v>47</v>
      </c>
      <c r="E513" s="172"/>
      <c r="F513" s="172"/>
      <c r="G513" s="173">
        <v>114.29</v>
      </c>
      <c r="H513" s="173">
        <v>184.88</v>
      </c>
      <c r="I513" s="170">
        <f t="shared" si="29"/>
        <v>299.17</v>
      </c>
      <c r="J513" s="174">
        <f>VLOOKUP(B513,работы!$B$5:$F$19,4,0)</f>
        <v>0</v>
      </c>
      <c r="K513" s="174">
        <f t="shared" si="28"/>
        <v>0</v>
      </c>
      <c r="L513" s="172"/>
      <c r="M513" s="270" t="e">
        <f>VLOOKUP(B513,материал!$B$5:$H$67,7,0)</f>
        <v>#N/A</v>
      </c>
    </row>
    <row r="514" spans="1:13" s="135" customFormat="1" ht="24.95" customHeight="1" x14ac:dyDescent="0.25">
      <c r="A514" s="166"/>
      <c r="B514" s="171" t="s">
        <v>104</v>
      </c>
      <c r="C514" s="172"/>
      <c r="D514" s="172" t="s">
        <v>47</v>
      </c>
      <c r="E514" s="172"/>
      <c r="F514" s="172"/>
      <c r="G514" s="173">
        <v>133.18</v>
      </c>
      <c r="H514" s="173">
        <v>189.83</v>
      </c>
      <c r="I514" s="170">
        <f t="shared" si="29"/>
        <v>323.01</v>
      </c>
      <c r="J514" s="174">
        <f>VLOOKUP(B514,работы!$B$5:$F$19,4,0)</f>
        <v>0</v>
      </c>
      <c r="K514" s="174">
        <f t="shared" si="28"/>
        <v>0</v>
      </c>
      <c r="L514" s="172"/>
      <c r="M514" s="270" t="e">
        <f>VLOOKUP(B514,материал!$B$5:$H$67,7,0)</f>
        <v>#N/A</v>
      </c>
    </row>
    <row r="515" spans="1:13" s="135" customFormat="1" ht="12.75" customHeight="1" x14ac:dyDescent="0.25">
      <c r="A515" s="166"/>
      <c r="B515" s="171" t="s">
        <v>49</v>
      </c>
      <c r="C515" s="172"/>
      <c r="D515" s="172" t="s">
        <v>47</v>
      </c>
      <c r="E515" s="172"/>
      <c r="F515" s="172"/>
      <c r="G515" s="173">
        <v>52.46</v>
      </c>
      <c r="H515" s="173">
        <v>38.6</v>
      </c>
      <c r="I515" s="170">
        <f t="shared" si="29"/>
        <v>91.06</v>
      </c>
      <c r="J515" s="174">
        <f>VLOOKUP(B515,работы!$B$5:$F$19,4,0)</f>
        <v>0</v>
      </c>
      <c r="K515" s="174">
        <f t="shared" si="28"/>
        <v>0</v>
      </c>
      <c r="L515" s="172"/>
      <c r="M515" s="270" t="e">
        <f>VLOOKUP(B515,материал!$B$5:$H$67,7,0)</f>
        <v>#N/A</v>
      </c>
    </row>
    <row r="516" spans="1:13" s="135" customFormat="1" ht="12.75" customHeight="1" x14ac:dyDescent="0.25">
      <c r="A516" s="166"/>
      <c r="B516" s="171" t="s">
        <v>50</v>
      </c>
      <c r="C516" s="172"/>
      <c r="D516" s="172" t="s">
        <v>51</v>
      </c>
      <c r="E516" s="172"/>
      <c r="F516" s="172"/>
      <c r="G516" s="173">
        <v>71</v>
      </c>
      <c r="H516" s="173">
        <v>94</v>
      </c>
      <c r="I516" s="170">
        <f t="shared" si="29"/>
        <v>165</v>
      </c>
      <c r="J516" s="174">
        <f>VLOOKUP(B516,работы!$B$5:$F$19,4,0)</f>
        <v>0</v>
      </c>
      <c r="K516" s="174">
        <f t="shared" si="28"/>
        <v>0</v>
      </c>
      <c r="L516" s="172"/>
      <c r="M516" s="270" t="e">
        <f>VLOOKUP(B516,материал!$B$5:$H$67,7,0)</f>
        <v>#N/A</v>
      </c>
    </row>
    <row r="517" spans="1:13" s="135" customFormat="1" ht="12.75" customHeight="1" x14ac:dyDescent="0.25">
      <c r="A517" s="166"/>
      <c r="B517" s="171" t="s">
        <v>52</v>
      </c>
      <c r="C517" s="172" t="s">
        <v>105</v>
      </c>
      <c r="D517" s="172" t="s">
        <v>54</v>
      </c>
      <c r="E517" s="172"/>
      <c r="F517" s="172"/>
      <c r="G517" s="173">
        <v>99.09</v>
      </c>
      <c r="H517" s="173">
        <v>79.66</v>
      </c>
      <c r="I517" s="170">
        <f t="shared" si="29"/>
        <v>178.75</v>
      </c>
      <c r="J517" s="174">
        <f>VLOOKUP(B517,работы!$B$5:$F$19,4,0)</f>
        <v>0</v>
      </c>
      <c r="K517" s="174">
        <f t="shared" si="28"/>
        <v>0</v>
      </c>
      <c r="L517" s="172"/>
      <c r="M517" s="270" t="e">
        <f>VLOOKUP(B517,материал!$B$5:$H$67,7,0)</f>
        <v>#N/A</v>
      </c>
    </row>
    <row r="518" spans="1:13" s="135" customFormat="1" ht="25.5" x14ac:dyDescent="0.25">
      <c r="A518" s="166"/>
      <c r="B518" s="171" t="s">
        <v>55</v>
      </c>
      <c r="C518" s="172"/>
      <c r="D518" s="172" t="s">
        <v>54</v>
      </c>
      <c r="E518" s="172"/>
      <c r="F518" s="172"/>
      <c r="G518" s="173">
        <v>31.05</v>
      </c>
      <c r="H518" s="173">
        <v>44.59</v>
      </c>
      <c r="I518" s="170">
        <f t="shared" si="29"/>
        <v>75.64</v>
      </c>
      <c r="J518" s="174">
        <f>VLOOKUP(B518,работы!$B$5:$F$19,4,0)</f>
        <v>0</v>
      </c>
      <c r="K518" s="174">
        <f t="shared" si="28"/>
        <v>0</v>
      </c>
      <c r="L518" s="172"/>
      <c r="M518" s="270" t="e">
        <f>VLOOKUP(B518,материал!$B$5:$H$67,7,0)</f>
        <v>#N/A</v>
      </c>
    </row>
    <row r="519" spans="1:13" s="135" customFormat="1" x14ac:dyDescent="0.25">
      <c r="A519" s="166"/>
      <c r="B519" s="171" t="s">
        <v>256</v>
      </c>
      <c r="C519" s="172"/>
      <c r="D519" s="172" t="s">
        <v>47</v>
      </c>
      <c r="E519" s="172"/>
      <c r="F519" s="172"/>
      <c r="G519" s="173">
        <f>11.4*2.82</f>
        <v>32.147999999999996</v>
      </c>
      <c r="H519" s="173"/>
      <c r="I519" s="170">
        <f t="shared" si="29"/>
        <v>32.147999999999996</v>
      </c>
      <c r="J519" s="174">
        <f>VLOOKUP(B519,работы!$B$5:$F$19,4,0)</f>
        <v>0</v>
      </c>
      <c r="K519" s="174">
        <f t="shared" si="28"/>
        <v>0</v>
      </c>
      <c r="L519" s="172"/>
      <c r="M519" s="270" t="e">
        <f>VLOOKUP(B519,материал!$B$5:$H$67,7,0)</f>
        <v>#N/A</v>
      </c>
    </row>
    <row r="520" spans="1:13" s="135" customFormat="1" x14ac:dyDescent="0.25">
      <c r="A520" s="166"/>
      <c r="B520" s="187" t="s">
        <v>56</v>
      </c>
      <c r="C520" s="188"/>
      <c r="D520" s="188" t="s">
        <v>45</v>
      </c>
      <c r="E520" s="188"/>
      <c r="F520" s="188"/>
      <c r="G520" s="173">
        <f>255.08*0.06*0.03</f>
        <v>0.459144</v>
      </c>
      <c r="H520" s="173">
        <f>366.31*0.06*0.03</f>
        <v>0.659358</v>
      </c>
      <c r="I520" s="170">
        <f t="shared" si="29"/>
        <v>1.1185019999999999</v>
      </c>
      <c r="J520" s="174"/>
      <c r="K520" s="174"/>
      <c r="L520" s="188"/>
      <c r="M520" s="270" t="e">
        <f>VLOOKUP(B520,материал!$B$5:$H$67,7,0)</f>
        <v>#N/A</v>
      </c>
    </row>
    <row r="521" spans="1:13" s="135" customFormat="1" x14ac:dyDescent="0.25">
      <c r="A521" s="175"/>
      <c r="B521" s="176" t="s">
        <v>38</v>
      </c>
      <c r="C521" s="177"/>
      <c r="D521" s="177"/>
      <c r="E521" s="177"/>
      <c r="F521" s="177"/>
      <c r="G521" s="178"/>
      <c r="H521" s="178"/>
      <c r="I521" s="179"/>
      <c r="J521" s="180"/>
      <c r="K521" s="179">
        <f ca="1">SUM(K522:K556)</f>
        <v>0</v>
      </c>
      <c r="L521" s="177"/>
      <c r="M521" s="271"/>
    </row>
    <row r="522" spans="1:13" s="135" customFormat="1" ht="25.5" x14ac:dyDescent="0.25">
      <c r="A522" s="181"/>
      <c r="B522" s="182" t="s">
        <v>58</v>
      </c>
      <c r="C522" s="177" t="s">
        <v>59</v>
      </c>
      <c r="D522" s="177" t="s">
        <v>60</v>
      </c>
      <c r="E522" s="178">
        <v>12.4</v>
      </c>
      <c r="F522" s="177">
        <v>0.25</v>
      </c>
      <c r="G522" s="183">
        <f>G509/F522*E522</f>
        <v>1304.9759999999999</v>
      </c>
      <c r="H522" s="183">
        <f>H509/F522*E522</f>
        <v>1735.0079999999998</v>
      </c>
      <c r="I522" s="184">
        <f t="shared" ref="I522:I555" si="30">SUM(G522:H522)</f>
        <v>3039.9839999999995</v>
      </c>
      <c r="J522" s="180">
        <f>VLOOKUP(B522,материал!$B$5:$G$67,5,0)</f>
        <v>0</v>
      </c>
      <c r="K522" s="180">
        <f t="shared" si="28"/>
        <v>0</v>
      </c>
      <c r="L522" s="177"/>
      <c r="M522" s="271" t="str">
        <f>VLOOKUP(B522,материал!$B$5:$H$67,7,0)</f>
        <v>Давальческий материал</v>
      </c>
    </row>
    <row r="523" spans="1:13" s="135" customFormat="1" ht="25.5" x14ac:dyDescent="0.25">
      <c r="A523" s="181"/>
      <c r="B523" s="182" t="s">
        <v>62</v>
      </c>
      <c r="C523" s="177" t="s">
        <v>63</v>
      </c>
      <c r="D523" s="177" t="s">
        <v>60</v>
      </c>
      <c r="E523" s="178">
        <v>12.4</v>
      </c>
      <c r="F523" s="177"/>
      <c r="G523" s="183">
        <f>G511*E523</f>
        <v>1268.0240000000001</v>
      </c>
      <c r="H523" s="183">
        <f>H511*E523</f>
        <v>2215.6320000000001</v>
      </c>
      <c r="I523" s="184">
        <f t="shared" si="30"/>
        <v>3483.6559999999999</v>
      </c>
      <c r="J523" s="180">
        <f>VLOOKUP(B523,материал!$B$5:$G$67,5,0)</f>
        <v>0</v>
      </c>
      <c r="K523" s="180">
        <f t="shared" si="28"/>
        <v>0</v>
      </c>
      <c r="L523" s="177"/>
      <c r="M523" s="271" t="str">
        <f>VLOOKUP(B523,материал!$B$5:$H$67,7,0)</f>
        <v>Давальческий материал</v>
      </c>
    </row>
    <row r="524" spans="1:13" s="135" customFormat="1" ht="30.75" customHeight="1" x14ac:dyDescent="0.25">
      <c r="A524" s="181"/>
      <c r="B524" s="182" t="s">
        <v>64</v>
      </c>
      <c r="C524" s="177" t="s">
        <v>65</v>
      </c>
      <c r="D524" s="177" t="s">
        <v>60</v>
      </c>
      <c r="E524" s="178">
        <v>12.4</v>
      </c>
      <c r="F524" s="177"/>
      <c r="G524" s="183">
        <f>G512*E524</f>
        <v>665.63200000000006</v>
      </c>
      <c r="H524" s="183">
        <f>H512*E524</f>
        <v>1368.5880000000002</v>
      </c>
      <c r="I524" s="184">
        <f t="shared" si="30"/>
        <v>2034.2200000000003</v>
      </c>
      <c r="J524" s="180">
        <f>VLOOKUP(B524,материал!$B$5:$G$67,5,0)</f>
        <v>0</v>
      </c>
      <c r="K524" s="180">
        <f t="shared" si="28"/>
        <v>0</v>
      </c>
      <c r="L524" s="177"/>
      <c r="M524" s="271" t="str">
        <f>VLOOKUP(B524,материал!$B$5:$H$67,7,0)</f>
        <v>Давальческий материал</v>
      </c>
    </row>
    <row r="525" spans="1:13" s="135" customFormat="1" ht="30.75" customHeight="1" x14ac:dyDescent="0.25">
      <c r="A525" s="181"/>
      <c r="B525" s="182" t="s">
        <v>106</v>
      </c>
      <c r="C525" s="177" t="s">
        <v>107</v>
      </c>
      <c r="D525" s="177" t="s">
        <v>60</v>
      </c>
      <c r="E525" s="178">
        <v>12.4</v>
      </c>
      <c r="F525" s="177"/>
      <c r="G525" s="183">
        <f>G513*E525</f>
        <v>1417.1960000000001</v>
      </c>
      <c r="H525" s="183">
        <f>H513*E525</f>
        <v>2292.5120000000002</v>
      </c>
      <c r="I525" s="184">
        <f t="shared" si="30"/>
        <v>3709.7080000000005</v>
      </c>
      <c r="J525" s="180">
        <f>VLOOKUP(B525,материал!$B$5:$G$67,5,0)</f>
        <v>0</v>
      </c>
      <c r="K525" s="180">
        <f t="shared" si="28"/>
        <v>0</v>
      </c>
      <c r="L525" s="177"/>
      <c r="M525" s="271" t="str">
        <f>VLOOKUP(B525,материал!$B$5:$H$67,7,0)</f>
        <v>Давальческий материал</v>
      </c>
    </row>
    <row r="526" spans="1:13" s="135" customFormat="1" ht="30.75" customHeight="1" x14ac:dyDescent="0.25">
      <c r="A526" s="181"/>
      <c r="B526" s="182" t="s">
        <v>108</v>
      </c>
      <c r="C526" s="177" t="s">
        <v>109</v>
      </c>
      <c r="D526" s="177" t="s">
        <v>60</v>
      </c>
      <c r="E526" s="178">
        <v>12.4</v>
      </c>
      <c r="F526" s="177"/>
      <c r="G526" s="183">
        <f>G514*E526</f>
        <v>1651.4320000000002</v>
      </c>
      <c r="H526" s="183">
        <f>H514*E526</f>
        <v>2353.8920000000003</v>
      </c>
      <c r="I526" s="184">
        <f t="shared" si="30"/>
        <v>4005.3240000000005</v>
      </c>
      <c r="J526" s="180">
        <f>VLOOKUP(B526,материал!$B$5:$G$67,5,0)</f>
        <v>0</v>
      </c>
      <c r="K526" s="180">
        <f t="shared" si="28"/>
        <v>0</v>
      </c>
      <c r="L526" s="177"/>
      <c r="M526" s="271" t="str">
        <f>VLOOKUP(B526,материал!$B$5:$H$67,7,0)</f>
        <v>Давальческий материал</v>
      </c>
    </row>
    <row r="527" spans="1:13" s="135" customFormat="1" ht="30.75" customHeight="1" x14ac:dyDescent="0.25">
      <c r="A527" s="181"/>
      <c r="B527" s="189" t="s">
        <v>66</v>
      </c>
      <c r="C527" s="177" t="s">
        <v>67</v>
      </c>
      <c r="D527" s="177" t="s">
        <v>60</v>
      </c>
      <c r="E527" s="190">
        <v>42</v>
      </c>
      <c r="F527" s="190"/>
      <c r="G527" s="183">
        <f>G515*E527</f>
        <v>2203.3200000000002</v>
      </c>
      <c r="H527" s="183">
        <f>H515*E527</f>
        <v>1621.2</v>
      </c>
      <c r="I527" s="184">
        <f t="shared" si="30"/>
        <v>3824.5200000000004</v>
      </c>
      <c r="J527" s="180">
        <f>VLOOKUP(B527,материал!$B$5:$G$67,5,0)</f>
        <v>0</v>
      </c>
      <c r="K527" s="180">
        <f t="shared" si="28"/>
        <v>0</v>
      </c>
      <c r="L527" s="177"/>
      <c r="M527" s="271" t="str">
        <f>VLOOKUP(B527,материал!$B$5:$H$67,7,0)</f>
        <v>Давальческий материал</v>
      </c>
    </row>
    <row r="528" spans="1:13" s="135" customFormat="1" ht="30.75" customHeight="1" x14ac:dyDescent="0.25">
      <c r="A528" s="181"/>
      <c r="B528" s="189" t="s">
        <v>110</v>
      </c>
      <c r="C528" s="177" t="s">
        <v>111</v>
      </c>
      <c r="D528" s="177" t="s">
        <v>60</v>
      </c>
      <c r="E528" s="190">
        <v>42</v>
      </c>
      <c r="F528" s="190"/>
      <c r="G528" s="183">
        <f>G510/0.25*E528</f>
        <v>288.95999999999998</v>
      </c>
      <c r="H528" s="183">
        <f>H510/0.25*E528</f>
        <v>436.8</v>
      </c>
      <c r="I528" s="184">
        <f t="shared" si="30"/>
        <v>725.76</v>
      </c>
      <c r="J528" s="180">
        <f>VLOOKUP(B528,материал!$B$5:$G$67,5,0)</f>
        <v>0</v>
      </c>
      <c r="K528" s="180">
        <f t="shared" si="28"/>
        <v>0</v>
      </c>
      <c r="L528" s="177"/>
      <c r="M528" s="271" t="str">
        <f>VLOOKUP(B528,материал!$B$5:$H$67,7,0)</f>
        <v>Давальческий материал</v>
      </c>
    </row>
    <row r="529" spans="1:13" s="135" customFormat="1" ht="12.75" customHeight="1" x14ac:dyDescent="0.25">
      <c r="A529" s="181"/>
      <c r="B529" s="191" t="s">
        <v>69</v>
      </c>
      <c r="C529" s="177" t="s">
        <v>70</v>
      </c>
      <c r="D529" s="177" t="s">
        <v>45</v>
      </c>
      <c r="E529" s="177">
        <v>0.19500000000000001</v>
      </c>
      <c r="F529" s="190"/>
      <c r="G529" s="178">
        <f>G509*E529+G511*E529*0.19+G512*E529*0.19+G513*E529*0.09+G514*E529*0.09</f>
        <v>15.251125500000001</v>
      </c>
      <c r="H529" s="178">
        <f>H509*E529+H511*E529*0.19+H512*E529*0.19+H513*E529*0.09+H514*E529*0.09</f>
        <v>24.106563000000001</v>
      </c>
      <c r="I529" s="179">
        <f t="shared" si="30"/>
        <v>39.357688500000002</v>
      </c>
      <c r="J529" s="180">
        <f>VLOOKUP(B529,материал!$B$5:$G$67,5,0)</f>
        <v>0</v>
      </c>
      <c r="K529" s="180">
        <f t="shared" si="28"/>
        <v>0</v>
      </c>
      <c r="L529" s="177"/>
      <c r="M529" s="271" t="str">
        <f>VLOOKUP(B529,материал!$B$5:$H$67,7,0)</f>
        <v>Закуп подярдчика</v>
      </c>
    </row>
    <row r="530" spans="1:13" s="135" customFormat="1" ht="12.75" customHeight="1" x14ac:dyDescent="0.25">
      <c r="A530" s="192"/>
      <c r="B530" s="191" t="s">
        <v>112</v>
      </c>
      <c r="C530" s="177" t="s">
        <v>70</v>
      </c>
      <c r="D530" s="177" t="s">
        <v>45</v>
      </c>
      <c r="E530" s="177">
        <v>0.24</v>
      </c>
      <c r="F530" s="177"/>
      <c r="G530" s="178">
        <f>G510*E530</f>
        <v>0.4128</v>
      </c>
      <c r="H530" s="178">
        <f>H510*E530</f>
        <v>0.624</v>
      </c>
      <c r="I530" s="179">
        <f t="shared" si="30"/>
        <v>1.0367999999999999</v>
      </c>
      <c r="J530" s="180">
        <f>VLOOKUP(B530,материал!$B$5:$G$67,5,0)</f>
        <v>0</v>
      </c>
      <c r="K530" s="180">
        <f t="shared" si="28"/>
        <v>0</v>
      </c>
      <c r="L530" s="177"/>
      <c r="M530" s="271" t="str">
        <f>VLOOKUP(B530,материал!$B$5:$H$67,7,0)</f>
        <v>Закуп подярдчика</v>
      </c>
    </row>
    <row r="531" spans="1:13" s="135" customFormat="1" ht="12.75" customHeight="1" x14ac:dyDescent="0.25">
      <c r="A531" s="192"/>
      <c r="B531" s="191" t="s">
        <v>72</v>
      </c>
      <c r="C531" s="177" t="s">
        <v>70</v>
      </c>
      <c r="D531" s="177" t="s">
        <v>45</v>
      </c>
      <c r="E531" s="177">
        <v>4.5999999999999999E-2</v>
      </c>
      <c r="F531" s="177"/>
      <c r="G531" s="178">
        <f>G515*E531</f>
        <v>2.41316</v>
      </c>
      <c r="H531" s="178">
        <f>H515*E531</f>
        <v>1.7756000000000001</v>
      </c>
      <c r="I531" s="179">
        <f t="shared" si="30"/>
        <v>4.1887600000000003</v>
      </c>
      <c r="J531" s="180">
        <f>VLOOKUP(B531,материал!$B$5:$G$67,5,0)</f>
        <v>0</v>
      </c>
      <c r="K531" s="180">
        <f t="shared" si="28"/>
        <v>0</v>
      </c>
      <c r="L531" s="177"/>
      <c r="M531" s="271" t="str">
        <f>VLOOKUP(B531,материал!$B$5:$H$67,7,0)</f>
        <v>Закуп подярдчика</v>
      </c>
    </row>
    <row r="532" spans="1:13" s="135" customFormat="1" ht="12.75" customHeight="1" x14ac:dyDescent="0.25">
      <c r="A532" s="192"/>
      <c r="B532" s="191" t="s">
        <v>74</v>
      </c>
      <c r="C532" s="177" t="s">
        <v>70</v>
      </c>
      <c r="D532" s="177" t="s">
        <v>45</v>
      </c>
      <c r="E532" s="177">
        <v>1.01</v>
      </c>
      <c r="F532" s="177"/>
      <c r="G532" s="178">
        <f>G520*E532</f>
        <v>0.46373544</v>
      </c>
      <c r="H532" s="178">
        <f>H520*E532</f>
        <v>0.66595157999999999</v>
      </c>
      <c r="I532" s="179">
        <f t="shared" si="30"/>
        <v>1.12968702</v>
      </c>
      <c r="J532" s="180">
        <f>VLOOKUP(B532,материал!$B$5:$G$67,5,0)</f>
        <v>0</v>
      </c>
      <c r="K532" s="180">
        <f t="shared" si="28"/>
        <v>0</v>
      </c>
      <c r="L532" s="177"/>
      <c r="M532" s="271" t="str">
        <f>VLOOKUP(B532,материал!$B$5:$H$67,7,0)</f>
        <v>Закуп подярдчика</v>
      </c>
    </row>
    <row r="533" spans="1:13" s="135" customFormat="1" ht="12.75" customHeight="1" x14ac:dyDescent="0.25">
      <c r="A533" s="181"/>
      <c r="B533" s="189" t="s">
        <v>75</v>
      </c>
      <c r="C533" s="177" t="s">
        <v>70</v>
      </c>
      <c r="D533" s="177" t="s">
        <v>45</v>
      </c>
      <c r="E533" s="177">
        <v>6.0000000000000001E-3</v>
      </c>
      <c r="F533" s="177"/>
      <c r="G533" s="178">
        <f>G516*E533</f>
        <v>0.42599999999999999</v>
      </c>
      <c r="H533" s="178">
        <f>H516*E533</f>
        <v>0.56400000000000006</v>
      </c>
      <c r="I533" s="179">
        <f t="shared" si="30"/>
        <v>0.99</v>
      </c>
      <c r="J533" s="180">
        <f>VLOOKUP(B533,материал!$B$5:$G$67,5,0)</f>
        <v>0</v>
      </c>
      <c r="K533" s="180">
        <f t="shared" si="28"/>
        <v>0</v>
      </c>
      <c r="L533" s="177"/>
      <c r="M533" s="271" t="str">
        <f>VLOOKUP(B533,материал!$B$5:$H$67,7,0)</f>
        <v>Закуп подярдчика</v>
      </c>
    </row>
    <row r="534" spans="1:13" s="135" customFormat="1" ht="12.75" customHeight="1" x14ac:dyDescent="0.25">
      <c r="A534" s="181"/>
      <c r="B534" s="189" t="s">
        <v>77</v>
      </c>
      <c r="C534" s="177" t="s">
        <v>70</v>
      </c>
      <c r="D534" s="177" t="s">
        <v>45</v>
      </c>
      <c r="E534" s="177">
        <v>1.01</v>
      </c>
      <c r="F534" s="177"/>
      <c r="G534" s="193">
        <v>5.3999999999999999E-2</v>
      </c>
      <c r="H534" s="193">
        <v>8.6999999999999994E-2</v>
      </c>
      <c r="I534" s="179">
        <f t="shared" si="30"/>
        <v>0.14099999999999999</v>
      </c>
      <c r="J534" s="180">
        <f>VLOOKUP(B534,материал!$B$5:$G$67,5,0)</f>
        <v>0</v>
      </c>
      <c r="K534" s="180">
        <f t="shared" si="28"/>
        <v>0</v>
      </c>
      <c r="L534" s="194"/>
      <c r="M534" s="271" t="str">
        <f>VLOOKUP(B534,материал!$B$5:$H$67,7,0)</f>
        <v>Закуп подярдчика</v>
      </c>
    </row>
    <row r="535" spans="1:13" s="135" customFormat="1" ht="12.75" customHeight="1" x14ac:dyDescent="0.25">
      <c r="A535" s="181"/>
      <c r="B535" s="189" t="s">
        <v>78</v>
      </c>
      <c r="C535" s="177" t="s">
        <v>79</v>
      </c>
      <c r="D535" s="177" t="s">
        <v>47</v>
      </c>
      <c r="E535" s="177"/>
      <c r="F535" s="177"/>
      <c r="G535" s="178">
        <v>153.38</v>
      </c>
      <c r="H535" s="178">
        <v>226.65</v>
      </c>
      <c r="I535" s="179">
        <f t="shared" si="30"/>
        <v>380.03</v>
      </c>
      <c r="J535" s="180">
        <f>VLOOKUP(B535,материал!$B$5:$G$67,5,0)</f>
        <v>0</v>
      </c>
      <c r="K535" s="180">
        <f t="shared" ref="K535:K598" si="31">I535*J535</f>
        <v>0</v>
      </c>
      <c r="L535" s="194"/>
      <c r="M535" s="271" t="str">
        <f>VLOOKUP(B535,материал!$B$5:$H$67,7,0)</f>
        <v>Закуп подярдчика</v>
      </c>
    </row>
    <row r="536" spans="1:13" s="135" customFormat="1" ht="30.75" customHeight="1" x14ac:dyDescent="0.25">
      <c r="A536" s="181"/>
      <c r="B536" s="189" t="s">
        <v>277</v>
      </c>
      <c r="C536" s="177" t="s">
        <v>114</v>
      </c>
      <c r="D536" s="177" t="s">
        <v>60</v>
      </c>
      <c r="E536" s="177"/>
      <c r="F536" s="177"/>
      <c r="G536" s="178">
        <v>18</v>
      </c>
      <c r="H536" s="178">
        <v>14</v>
      </c>
      <c r="I536" s="179">
        <f t="shared" si="30"/>
        <v>32</v>
      </c>
      <c r="J536" s="180">
        <f>VLOOKUP(B536,материал!$B$5:$G$67,5,0)</f>
        <v>0</v>
      </c>
      <c r="K536" s="180">
        <f t="shared" si="31"/>
        <v>0</v>
      </c>
      <c r="L536" s="194"/>
      <c r="M536" s="271" t="str">
        <f>VLOOKUP(B536,материал!$B$5:$H$67,7,0)</f>
        <v>Закуп подярдчика</v>
      </c>
    </row>
    <row r="537" spans="1:13" s="135" customFormat="1" ht="30.75" customHeight="1" x14ac:dyDescent="0.25">
      <c r="A537" s="181"/>
      <c r="B537" s="189" t="s">
        <v>278</v>
      </c>
      <c r="C537" s="177" t="s">
        <v>116</v>
      </c>
      <c r="D537" s="177" t="s">
        <v>60</v>
      </c>
      <c r="E537" s="177"/>
      <c r="F537" s="177"/>
      <c r="G537" s="178">
        <v>1</v>
      </c>
      <c r="H537" s="178">
        <v>10</v>
      </c>
      <c r="I537" s="179">
        <f t="shared" si="30"/>
        <v>11</v>
      </c>
      <c r="J537" s="180">
        <f>VLOOKUP(B537,материал!$B$5:$G$67,5,0)</f>
        <v>0</v>
      </c>
      <c r="K537" s="180">
        <f t="shared" si="31"/>
        <v>0</v>
      </c>
      <c r="L537" s="194"/>
      <c r="M537" s="271" t="str">
        <f>VLOOKUP(B537,материал!$B$5:$H$67,7,0)</f>
        <v>Закуп подярдчика</v>
      </c>
    </row>
    <row r="538" spans="1:13" s="135" customFormat="1" ht="30.75" customHeight="1" x14ac:dyDescent="0.25">
      <c r="A538" s="181"/>
      <c r="B538" s="189" t="s">
        <v>279</v>
      </c>
      <c r="C538" s="177" t="s">
        <v>282</v>
      </c>
      <c r="D538" s="177" t="s">
        <v>60</v>
      </c>
      <c r="E538" s="177"/>
      <c r="F538" s="177"/>
      <c r="G538" s="178"/>
      <c r="H538" s="178">
        <v>4</v>
      </c>
      <c r="I538" s="179">
        <f t="shared" si="30"/>
        <v>4</v>
      </c>
      <c r="J538" s="180">
        <f>VLOOKUP(B538,материал!$B$5:$G$67,5,0)</f>
        <v>0</v>
      </c>
      <c r="K538" s="180">
        <f t="shared" si="31"/>
        <v>0</v>
      </c>
      <c r="L538" s="194"/>
      <c r="M538" s="271" t="str">
        <f>VLOOKUP(B538,материал!$B$5:$H$67,7,0)</f>
        <v>Закуп подярдчика</v>
      </c>
    </row>
    <row r="539" spans="1:13" s="135" customFormat="1" ht="30.75" customHeight="1" x14ac:dyDescent="0.25">
      <c r="A539" s="181"/>
      <c r="B539" s="189" t="s">
        <v>281</v>
      </c>
      <c r="C539" s="177" t="s">
        <v>284</v>
      </c>
      <c r="D539" s="177" t="s">
        <v>60</v>
      </c>
      <c r="E539" s="177"/>
      <c r="F539" s="177"/>
      <c r="G539" s="178">
        <v>9</v>
      </c>
      <c r="H539" s="178">
        <v>4</v>
      </c>
      <c r="I539" s="179">
        <f t="shared" si="30"/>
        <v>13</v>
      </c>
      <c r="J539" s="180">
        <f>VLOOKUP(B539,материал!$B$5:$G$67,5,0)</f>
        <v>0</v>
      </c>
      <c r="K539" s="180">
        <f t="shared" si="31"/>
        <v>0</v>
      </c>
      <c r="L539" s="194"/>
      <c r="M539" s="271" t="str">
        <f>VLOOKUP(B539,материал!$B$5:$H$67,7,0)</f>
        <v>Закуп подярдчика</v>
      </c>
    </row>
    <row r="540" spans="1:13" s="135" customFormat="1" ht="30.75" customHeight="1" x14ac:dyDescent="0.25">
      <c r="A540" s="181"/>
      <c r="B540" s="189" t="s">
        <v>283</v>
      </c>
      <c r="C540" s="177" t="s">
        <v>286</v>
      </c>
      <c r="D540" s="177" t="s">
        <v>60</v>
      </c>
      <c r="E540" s="177"/>
      <c r="F540" s="177"/>
      <c r="G540" s="178">
        <v>1</v>
      </c>
      <c r="H540" s="178">
        <v>1</v>
      </c>
      <c r="I540" s="179">
        <f t="shared" si="30"/>
        <v>2</v>
      </c>
      <c r="J540" s="180">
        <f>VLOOKUP(B540,материал!$B$5:$G$67,5,0)</f>
        <v>0</v>
      </c>
      <c r="K540" s="180">
        <f t="shared" si="31"/>
        <v>0</v>
      </c>
      <c r="L540" s="194"/>
      <c r="M540" s="271" t="str">
        <f>VLOOKUP(B540,материал!$B$5:$H$67,7,0)</f>
        <v>Закуп подярдчика</v>
      </c>
    </row>
    <row r="541" spans="1:13" s="135" customFormat="1" ht="30.75" customHeight="1" x14ac:dyDescent="0.25">
      <c r="A541" s="181"/>
      <c r="B541" s="189" t="s">
        <v>285</v>
      </c>
      <c r="C541" s="177" t="s">
        <v>288</v>
      </c>
      <c r="D541" s="177" t="s">
        <v>60</v>
      </c>
      <c r="E541" s="177"/>
      <c r="F541" s="177"/>
      <c r="G541" s="178">
        <v>1</v>
      </c>
      <c r="H541" s="178">
        <v>1</v>
      </c>
      <c r="I541" s="179">
        <f t="shared" si="30"/>
        <v>2</v>
      </c>
      <c r="J541" s="180">
        <f>VLOOKUP(B541,материал!$B$5:$G$67,5,0)</f>
        <v>0</v>
      </c>
      <c r="K541" s="180">
        <f t="shared" si="31"/>
        <v>0</v>
      </c>
      <c r="L541" s="194"/>
      <c r="M541" s="271" t="str">
        <f>VLOOKUP(B541,материал!$B$5:$H$67,7,0)</f>
        <v>Закуп подярдчика</v>
      </c>
    </row>
    <row r="542" spans="1:13" s="135" customFormat="1" ht="30.75" customHeight="1" x14ac:dyDescent="0.25">
      <c r="A542" s="181"/>
      <c r="B542" s="189" t="s">
        <v>287</v>
      </c>
      <c r="C542" s="177" t="s">
        <v>290</v>
      </c>
      <c r="D542" s="177" t="s">
        <v>60</v>
      </c>
      <c r="E542" s="177"/>
      <c r="F542" s="177"/>
      <c r="G542" s="178">
        <v>6</v>
      </c>
      <c r="H542" s="178">
        <v>4</v>
      </c>
      <c r="I542" s="179">
        <f t="shared" si="30"/>
        <v>10</v>
      </c>
      <c r="J542" s="180">
        <f>VLOOKUP(B542,материал!$B$5:$G$67,5,0)</f>
        <v>0</v>
      </c>
      <c r="K542" s="180">
        <f t="shared" si="31"/>
        <v>0</v>
      </c>
      <c r="L542" s="194"/>
      <c r="M542" s="271" t="str">
        <f>VLOOKUP(B542,материал!$B$5:$H$67,7,0)</f>
        <v>Закуп подярдчика</v>
      </c>
    </row>
    <row r="543" spans="1:13" s="135" customFormat="1" ht="30.75" customHeight="1" x14ac:dyDescent="0.25">
      <c r="A543" s="181"/>
      <c r="B543" s="189" t="s">
        <v>289</v>
      </c>
      <c r="C543" s="177" t="s">
        <v>292</v>
      </c>
      <c r="D543" s="177" t="s">
        <v>60</v>
      </c>
      <c r="E543" s="177"/>
      <c r="F543" s="177"/>
      <c r="G543" s="178">
        <v>20</v>
      </c>
      <c r="H543" s="178">
        <v>26</v>
      </c>
      <c r="I543" s="179">
        <f t="shared" si="30"/>
        <v>46</v>
      </c>
      <c r="J543" s="180">
        <f>VLOOKUP(B543,материал!$B$5:$G$67,5,0)</f>
        <v>0</v>
      </c>
      <c r="K543" s="180">
        <f t="shared" si="31"/>
        <v>0</v>
      </c>
      <c r="L543" s="194"/>
      <c r="M543" s="271" t="str">
        <f>VLOOKUP(B543,материал!$B$5:$H$67,7,0)</f>
        <v>Закуп подярдчика</v>
      </c>
    </row>
    <row r="544" spans="1:13" s="135" customFormat="1" ht="30.75" customHeight="1" x14ac:dyDescent="0.25">
      <c r="A544" s="181"/>
      <c r="B544" s="189" t="s">
        <v>291</v>
      </c>
      <c r="C544" s="177" t="s">
        <v>294</v>
      </c>
      <c r="D544" s="177" t="s">
        <v>60</v>
      </c>
      <c r="E544" s="177"/>
      <c r="F544" s="177"/>
      <c r="G544" s="178">
        <v>2</v>
      </c>
      <c r="H544" s="178">
        <v>18</v>
      </c>
      <c r="I544" s="179">
        <f t="shared" si="30"/>
        <v>20</v>
      </c>
      <c r="J544" s="180">
        <f>VLOOKUP(B544,материал!$B$5:$G$67,5,0)</f>
        <v>0</v>
      </c>
      <c r="K544" s="180">
        <f t="shared" si="31"/>
        <v>0</v>
      </c>
      <c r="L544" s="194"/>
      <c r="M544" s="271" t="str">
        <f>VLOOKUP(B544,материал!$B$5:$H$67,7,0)</f>
        <v>Закуп подярдчика</v>
      </c>
    </row>
    <row r="545" spans="1:13" s="135" customFormat="1" ht="30.75" customHeight="1" x14ac:dyDescent="0.25">
      <c r="A545" s="181"/>
      <c r="B545" s="189" t="s">
        <v>313</v>
      </c>
      <c r="C545" s="177" t="s">
        <v>296</v>
      </c>
      <c r="D545" s="177" t="s">
        <v>60</v>
      </c>
      <c r="E545" s="177"/>
      <c r="F545" s="177"/>
      <c r="G545" s="178">
        <v>4</v>
      </c>
      <c r="H545" s="178"/>
      <c r="I545" s="179">
        <f t="shared" si="30"/>
        <v>4</v>
      </c>
      <c r="J545" s="180">
        <f>VLOOKUP(B545,материал!$B$5:$G$67,5,0)</f>
        <v>0</v>
      </c>
      <c r="K545" s="180">
        <f t="shared" si="31"/>
        <v>0</v>
      </c>
      <c r="L545" s="194"/>
      <c r="M545" s="271" t="str">
        <f>VLOOKUP(B545,материал!$B$5:$H$67,7,0)</f>
        <v>Закуп подярдчика</v>
      </c>
    </row>
    <row r="546" spans="1:13" s="135" customFormat="1" ht="30.75" customHeight="1" x14ac:dyDescent="0.25">
      <c r="A546" s="181"/>
      <c r="B546" s="189" t="s">
        <v>293</v>
      </c>
      <c r="C546" s="177" t="s">
        <v>314</v>
      </c>
      <c r="D546" s="177" t="s">
        <v>60</v>
      </c>
      <c r="E546" s="177"/>
      <c r="F546" s="177"/>
      <c r="G546" s="178">
        <v>4</v>
      </c>
      <c r="H546" s="178"/>
      <c r="I546" s="179">
        <f t="shared" si="30"/>
        <v>4</v>
      </c>
      <c r="J546" s="180">
        <f>VLOOKUP(B546,материал!$B$5:$G$67,5,0)</f>
        <v>0</v>
      </c>
      <c r="K546" s="180">
        <f t="shared" si="31"/>
        <v>0</v>
      </c>
      <c r="L546" s="194"/>
      <c r="M546" s="271" t="str">
        <f>VLOOKUP(B546,материал!$B$5:$H$67,7,0)</f>
        <v>Закуп подярдчика</v>
      </c>
    </row>
    <row r="547" spans="1:13" s="135" customFormat="1" ht="30.75" customHeight="1" x14ac:dyDescent="0.25">
      <c r="A547" s="181"/>
      <c r="B547" s="189" t="s">
        <v>295</v>
      </c>
      <c r="C547" s="177" t="s">
        <v>118</v>
      </c>
      <c r="D547" s="177" t="s">
        <v>60</v>
      </c>
      <c r="E547" s="177"/>
      <c r="F547" s="177"/>
      <c r="G547" s="178">
        <v>1</v>
      </c>
      <c r="H547" s="178">
        <v>2</v>
      </c>
      <c r="I547" s="179">
        <f t="shared" si="30"/>
        <v>3</v>
      </c>
      <c r="J547" s="180">
        <f>VLOOKUP(B547,материал!$B$5:$G$67,5,0)</f>
        <v>0</v>
      </c>
      <c r="K547" s="180">
        <f t="shared" si="31"/>
        <v>0</v>
      </c>
      <c r="L547" s="194"/>
      <c r="M547" s="271" t="str">
        <f>VLOOKUP(B547,материал!$B$5:$H$67,7,0)</f>
        <v>Закуп подярдчика</v>
      </c>
    </row>
    <row r="548" spans="1:13" s="135" customFormat="1" ht="30.75" customHeight="1" x14ac:dyDescent="0.25">
      <c r="A548" s="181"/>
      <c r="B548" s="189" t="s">
        <v>315</v>
      </c>
      <c r="C548" s="177" t="s">
        <v>120</v>
      </c>
      <c r="D548" s="177" t="s">
        <v>60</v>
      </c>
      <c r="E548" s="177"/>
      <c r="F548" s="177"/>
      <c r="G548" s="178">
        <v>4</v>
      </c>
      <c r="H548" s="178">
        <v>10</v>
      </c>
      <c r="I548" s="179">
        <f t="shared" si="30"/>
        <v>14</v>
      </c>
      <c r="J548" s="180">
        <f>VLOOKUP(B548,материал!$B$5:$G$67,5,0)</f>
        <v>0</v>
      </c>
      <c r="K548" s="180">
        <f t="shared" si="31"/>
        <v>0</v>
      </c>
      <c r="L548" s="194"/>
      <c r="M548" s="271" t="str">
        <f>VLOOKUP(B548,материал!$B$5:$H$67,7,0)</f>
        <v>Закуп подярдчика</v>
      </c>
    </row>
    <row r="549" spans="1:13" s="135" customFormat="1" ht="12.75" customHeight="1" x14ac:dyDescent="0.25">
      <c r="A549" s="181"/>
      <c r="B549" s="189" t="s">
        <v>92</v>
      </c>
      <c r="C549" s="177" t="s">
        <v>93</v>
      </c>
      <c r="D549" s="177" t="s">
        <v>54</v>
      </c>
      <c r="E549" s="177">
        <v>1.04</v>
      </c>
      <c r="F549" s="177"/>
      <c r="G549" s="178">
        <f>127.56*E549</f>
        <v>132.66240000000002</v>
      </c>
      <c r="H549" s="178">
        <f>180.66*E549</f>
        <v>187.88640000000001</v>
      </c>
      <c r="I549" s="179">
        <f t="shared" si="30"/>
        <v>320.54880000000003</v>
      </c>
      <c r="J549" s="180">
        <f>VLOOKUP(B549,материал!$B$5:$G$67,5,0)</f>
        <v>0</v>
      </c>
      <c r="K549" s="180">
        <f t="shared" si="31"/>
        <v>0</v>
      </c>
      <c r="L549" s="194"/>
      <c r="M549" s="271" t="str">
        <f>VLOOKUP(B549,материал!$B$5:$H$67,7,0)</f>
        <v>Закуп подярдчика</v>
      </c>
    </row>
    <row r="550" spans="1:13" s="137" customFormat="1" ht="12.75" customHeight="1" x14ac:dyDescent="0.25">
      <c r="A550" s="181"/>
      <c r="B550" s="189" t="s">
        <v>94</v>
      </c>
      <c r="C550" s="177" t="s">
        <v>95</v>
      </c>
      <c r="D550" s="177" t="s">
        <v>54</v>
      </c>
      <c r="E550" s="177">
        <v>1.04</v>
      </c>
      <c r="F550" s="177"/>
      <c r="G550" s="178">
        <f>G518*E550</f>
        <v>32.292000000000002</v>
      </c>
      <c r="H550" s="178">
        <f>H518*E550</f>
        <v>46.373600000000003</v>
      </c>
      <c r="I550" s="179">
        <f t="shared" si="30"/>
        <v>78.665600000000012</v>
      </c>
      <c r="J550" s="180">
        <f>VLOOKUP(B550,материал!$B$5:$G$67,5,0)</f>
        <v>0</v>
      </c>
      <c r="K550" s="180">
        <f t="shared" si="31"/>
        <v>0</v>
      </c>
      <c r="L550" s="194"/>
      <c r="M550" s="271" t="str">
        <f>VLOOKUP(B550,материал!$B$5:$H$67,7,0)</f>
        <v>Закуп подярдчика</v>
      </c>
    </row>
    <row r="551" spans="1:13" s="135" customFormat="1" ht="12.75" customHeight="1" x14ac:dyDescent="0.25">
      <c r="A551" s="181"/>
      <c r="B551" s="189" t="s">
        <v>131</v>
      </c>
      <c r="C551" s="177" t="s">
        <v>39</v>
      </c>
      <c r="D551" s="177" t="s">
        <v>54</v>
      </c>
      <c r="E551" s="177">
        <v>1.04</v>
      </c>
      <c r="F551" s="177"/>
      <c r="G551" s="178">
        <f>46.68*E551</f>
        <v>48.547200000000004</v>
      </c>
      <c r="H551" s="178">
        <f>31.12*E551</f>
        <v>32.364800000000002</v>
      </c>
      <c r="I551" s="179">
        <f t="shared" si="30"/>
        <v>80.912000000000006</v>
      </c>
      <c r="J551" s="180">
        <f>VLOOKUP(B551,материал!$B$5:$G$67,5,0)</f>
        <v>0</v>
      </c>
      <c r="K551" s="180">
        <f t="shared" si="31"/>
        <v>0</v>
      </c>
      <c r="L551" s="194"/>
      <c r="M551" s="271" t="str">
        <f>VLOOKUP(B551,материал!$B$5:$H$67,7,0)</f>
        <v>Закуп подярдчика</v>
      </c>
    </row>
    <row r="552" spans="1:13" s="135" customFormat="1" ht="12.75" customHeight="1" x14ac:dyDescent="0.25">
      <c r="A552" s="181"/>
      <c r="B552" s="189" t="s">
        <v>96</v>
      </c>
      <c r="C552" s="177" t="s">
        <v>39</v>
      </c>
      <c r="D552" s="177" t="s">
        <v>54</v>
      </c>
      <c r="E552" s="177">
        <v>1.04</v>
      </c>
      <c r="F552" s="177"/>
      <c r="G552" s="178">
        <f>25.93*E552</f>
        <v>26.967200000000002</v>
      </c>
      <c r="H552" s="178">
        <f>E552*17.2</f>
        <v>17.887999999999998</v>
      </c>
      <c r="I552" s="179">
        <f t="shared" si="30"/>
        <v>44.855199999999996</v>
      </c>
      <c r="J552" s="180">
        <f>VLOOKUP(B552,материал!$B$5:$G$67,5,0)</f>
        <v>0</v>
      </c>
      <c r="K552" s="180">
        <f t="shared" si="31"/>
        <v>0</v>
      </c>
      <c r="L552" s="194"/>
      <c r="M552" s="271" t="str">
        <f>VLOOKUP(B552,материал!$B$5:$H$67,7,0)</f>
        <v>Закуп подярдчика</v>
      </c>
    </row>
    <row r="553" spans="1:13" s="135" customFormat="1" ht="12.75" customHeight="1" x14ac:dyDescent="0.25">
      <c r="A553" s="181"/>
      <c r="B553" s="189" t="s">
        <v>97</v>
      </c>
      <c r="C553" s="177" t="s">
        <v>39</v>
      </c>
      <c r="D553" s="177" t="s">
        <v>54</v>
      </c>
      <c r="E553" s="177">
        <v>1.04</v>
      </c>
      <c r="F553" s="177"/>
      <c r="G553" s="178">
        <f>E553*10.72</f>
        <v>11.148800000000001</v>
      </c>
      <c r="H553" s="178">
        <f>E553*20.84</f>
        <v>21.6736</v>
      </c>
      <c r="I553" s="179">
        <f t="shared" si="30"/>
        <v>32.822400000000002</v>
      </c>
      <c r="J553" s="180">
        <f>VLOOKUP(B553,материал!$B$5:$G$67,5,0)</f>
        <v>0</v>
      </c>
      <c r="K553" s="180">
        <f t="shared" si="31"/>
        <v>0</v>
      </c>
      <c r="L553" s="194"/>
      <c r="M553" s="271" t="str">
        <f>VLOOKUP(B553,материал!$B$5:$H$67,7,0)</f>
        <v>Закуп подярдчика</v>
      </c>
    </row>
    <row r="554" spans="1:13" s="135" customFormat="1" ht="12.75" customHeight="1" x14ac:dyDescent="0.25">
      <c r="A554" s="181"/>
      <c r="B554" s="189" t="s">
        <v>132</v>
      </c>
      <c r="C554" s="177" t="s">
        <v>39</v>
      </c>
      <c r="D554" s="177" t="s">
        <v>54</v>
      </c>
      <c r="E554" s="177">
        <v>1.04</v>
      </c>
      <c r="F554" s="177"/>
      <c r="G554" s="178">
        <f>15.75*E554</f>
        <v>16.38</v>
      </c>
      <c r="H554" s="178">
        <f>10.5*E554</f>
        <v>10.92</v>
      </c>
      <c r="I554" s="179">
        <f t="shared" si="30"/>
        <v>27.299999999999997</v>
      </c>
      <c r="J554" s="180">
        <f>VLOOKUP(B554,материал!$B$5:$G$67,5,0)</f>
        <v>0</v>
      </c>
      <c r="K554" s="180">
        <f t="shared" si="31"/>
        <v>0</v>
      </c>
      <c r="L554" s="194"/>
      <c r="M554" s="271" t="str">
        <f>VLOOKUP(B554,материал!$B$5:$H$67,7,0)</f>
        <v>Закуп подярдчика</v>
      </c>
    </row>
    <row r="555" spans="1:13" s="135" customFormat="1" ht="24" customHeight="1" x14ac:dyDescent="0.25">
      <c r="A555" s="181"/>
      <c r="B555" s="189" t="s">
        <v>275</v>
      </c>
      <c r="C555" s="177" t="s">
        <v>276</v>
      </c>
      <c r="D555" s="177" t="s">
        <v>45</v>
      </c>
      <c r="E555" s="177">
        <v>1.04</v>
      </c>
      <c r="F555" s="177"/>
      <c r="G555" s="178">
        <f>G519*0.05*E555</f>
        <v>1.6716960000000001</v>
      </c>
      <c r="H555" s="178">
        <f>H519*0.05*E555</f>
        <v>0</v>
      </c>
      <c r="I555" s="179">
        <f t="shared" si="30"/>
        <v>1.6716960000000001</v>
      </c>
      <c r="J555" s="180">
        <f>VLOOKUP(B555,материал!$B$5:$G$67,5,0)</f>
        <v>0</v>
      </c>
      <c r="K555" s="180">
        <f t="shared" si="31"/>
        <v>0</v>
      </c>
      <c r="L555" s="194"/>
      <c r="M555" s="271" t="str">
        <f>VLOOKUP(B555,материал!$B$5:$H$67,7,0)</f>
        <v>Закуп подярдчика</v>
      </c>
    </row>
    <row r="556" spans="1:13" s="135" customFormat="1" ht="25.5" x14ac:dyDescent="0.25">
      <c r="A556" s="195"/>
      <c r="B556" s="196" t="s">
        <v>133</v>
      </c>
      <c r="C556" s="197" t="s">
        <v>39</v>
      </c>
      <c r="D556" s="197" t="s">
        <v>99</v>
      </c>
      <c r="E556" s="197"/>
      <c r="F556" s="197"/>
      <c r="G556" s="198"/>
      <c r="H556" s="198"/>
      <c r="I556" s="199">
        <f ca="1">SUMIF(материал!$B$5:$G$67,B556,материал!$E$5:$E$67)</f>
        <v>0</v>
      </c>
      <c r="J556" s="179"/>
      <c r="K556" s="180">
        <f ca="1">SUM(K522:K555)*I556%</f>
        <v>0</v>
      </c>
      <c r="L556" s="200"/>
      <c r="M556" s="274" t="str">
        <f>VLOOKUP(B556,материал!$B$5:$H$67,7,0)</f>
        <v>Закуп подярдчика</v>
      </c>
    </row>
    <row r="557" spans="1:13" s="135" customFormat="1" ht="12.75" customHeight="1" x14ac:dyDescent="0.25">
      <c r="A557" s="160" t="s">
        <v>152</v>
      </c>
      <c r="B557" s="161" t="s">
        <v>153</v>
      </c>
      <c r="C557" s="162"/>
      <c r="D557" s="163"/>
      <c r="E557" s="162"/>
      <c r="F557" s="162"/>
      <c r="G557" s="164"/>
      <c r="H557" s="164"/>
      <c r="I557" s="165"/>
      <c r="J557" s="165"/>
      <c r="K557" s="165">
        <f ca="1">K558+K571</f>
        <v>0</v>
      </c>
      <c r="L557" s="186"/>
      <c r="M557" s="273" t="e">
        <f>VLOOKUP(B557,материал!$B$5:$H$67,7,0)</f>
        <v>#N/A</v>
      </c>
    </row>
    <row r="558" spans="1:13" s="135" customFormat="1" ht="12.75" customHeight="1" x14ac:dyDescent="0.25">
      <c r="A558" s="166"/>
      <c r="B558" s="167" t="s">
        <v>34</v>
      </c>
      <c r="C558" s="168"/>
      <c r="D558" s="168"/>
      <c r="E558" s="168"/>
      <c r="F558" s="168"/>
      <c r="G558" s="169"/>
      <c r="H558" s="169"/>
      <c r="I558" s="170"/>
      <c r="J558" s="170"/>
      <c r="K558" s="170">
        <f>SUM(K559:K569)</f>
        <v>0</v>
      </c>
      <c r="L558" s="172"/>
      <c r="M558" s="270" t="e">
        <f>VLOOKUP(B558,материал!$B$5:$H$67,7,0)</f>
        <v>#N/A</v>
      </c>
    </row>
    <row r="559" spans="1:13" s="135" customFormat="1" ht="24.95" customHeight="1" x14ac:dyDescent="0.25">
      <c r="A559" s="166"/>
      <c r="B559" s="171" t="s">
        <v>44</v>
      </c>
      <c r="C559" s="172"/>
      <c r="D559" s="172" t="s">
        <v>45</v>
      </c>
      <c r="E559" s="172"/>
      <c r="F559" s="172"/>
      <c r="G559" s="173">
        <v>26.31</v>
      </c>
      <c r="H559" s="173">
        <v>34.979999999999997</v>
      </c>
      <c r="I559" s="170">
        <f t="shared" ref="I559:I570" si="32">SUM(G559:H559)</f>
        <v>61.289999999999992</v>
      </c>
      <c r="J559" s="174">
        <f>VLOOKUP(B559,работы!$B$5:$F$19,4,0)</f>
        <v>0</v>
      </c>
      <c r="K559" s="174">
        <f t="shared" si="31"/>
        <v>0</v>
      </c>
      <c r="L559" s="172"/>
      <c r="M559" s="270" t="e">
        <f>VLOOKUP(B559,материал!$B$5:$H$67,7,0)</f>
        <v>#N/A</v>
      </c>
    </row>
    <row r="560" spans="1:13" s="135" customFormat="1" ht="12.75" customHeight="1" x14ac:dyDescent="0.25">
      <c r="A560" s="166"/>
      <c r="B560" s="171" t="s">
        <v>102</v>
      </c>
      <c r="C560" s="172"/>
      <c r="D560" s="172" t="s">
        <v>45</v>
      </c>
      <c r="E560" s="172"/>
      <c r="F560" s="172"/>
      <c r="G560" s="173">
        <v>1.72</v>
      </c>
      <c r="H560" s="173">
        <v>2.6</v>
      </c>
      <c r="I560" s="170">
        <f t="shared" si="32"/>
        <v>4.32</v>
      </c>
      <c r="J560" s="174">
        <f>VLOOKUP(B560,работы!$B$5:$F$19,4,0)</f>
        <v>0</v>
      </c>
      <c r="K560" s="174">
        <f t="shared" si="31"/>
        <v>0</v>
      </c>
      <c r="L560" s="172"/>
      <c r="M560" s="270" t="e">
        <f>VLOOKUP(B560,материал!$B$5:$H$67,7,0)</f>
        <v>#N/A</v>
      </c>
    </row>
    <row r="561" spans="1:13" s="135" customFormat="1" ht="12.75" customHeight="1" x14ac:dyDescent="0.25">
      <c r="A561" s="166"/>
      <c r="B561" s="171" t="s">
        <v>46</v>
      </c>
      <c r="C561" s="172"/>
      <c r="D561" s="172" t="s">
        <v>47</v>
      </c>
      <c r="E561" s="172"/>
      <c r="F561" s="172"/>
      <c r="G561" s="173">
        <v>102.26</v>
      </c>
      <c r="H561" s="173">
        <v>178.68</v>
      </c>
      <c r="I561" s="170">
        <f t="shared" si="32"/>
        <v>280.94</v>
      </c>
      <c r="J561" s="174">
        <f>VLOOKUP(B561,работы!$B$5:$F$19,4,0)</f>
        <v>0</v>
      </c>
      <c r="K561" s="174">
        <f t="shared" si="31"/>
        <v>0</v>
      </c>
      <c r="L561" s="172"/>
      <c r="M561" s="270" t="e">
        <f>VLOOKUP(B561,материал!$B$5:$H$67,7,0)</f>
        <v>#N/A</v>
      </c>
    </row>
    <row r="562" spans="1:13" s="135" customFormat="1" ht="24.95" customHeight="1" x14ac:dyDescent="0.25">
      <c r="A562" s="166"/>
      <c r="B562" s="171" t="s">
        <v>48</v>
      </c>
      <c r="C562" s="172"/>
      <c r="D562" s="172" t="s">
        <v>47</v>
      </c>
      <c r="E562" s="172"/>
      <c r="F562" s="172"/>
      <c r="G562" s="173">
        <v>53.68</v>
      </c>
      <c r="H562" s="173">
        <v>110.37</v>
      </c>
      <c r="I562" s="170">
        <f t="shared" si="32"/>
        <v>164.05</v>
      </c>
      <c r="J562" s="174">
        <f>VLOOKUP(B562,работы!$B$5:$F$19,4,0)</f>
        <v>0</v>
      </c>
      <c r="K562" s="174">
        <f t="shared" si="31"/>
        <v>0</v>
      </c>
      <c r="L562" s="172"/>
      <c r="M562" s="270" t="e">
        <f>VLOOKUP(B562,материал!$B$5:$H$67,7,0)</f>
        <v>#N/A</v>
      </c>
    </row>
    <row r="563" spans="1:13" s="135" customFormat="1" ht="24.95" customHeight="1" x14ac:dyDescent="0.25">
      <c r="A563" s="166"/>
      <c r="B563" s="171" t="s">
        <v>103</v>
      </c>
      <c r="C563" s="172"/>
      <c r="D563" s="172" t="s">
        <v>47</v>
      </c>
      <c r="E563" s="172"/>
      <c r="F563" s="172"/>
      <c r="G563" s="173">
        <v>114.29</v>
      </c>
      <c r="H563" s="173">
        <v>184.88</v>
      </c>
      <c r="I563" s="170">
        <f t="shared" si="32"/>
        <v>299.17</v>
      </c>
      <c r="J563" s="174">
        <f>VLOOKUP(B563,работы!$B$5:$F$19,4,0)</f>
        <v>0</v>
      </c>
      <c r="K563" s="174">
        <f t="shared" si="31"/>
        <v>0</v>
      </c>
      <c r="L563" s="172"/>
      <c r="M563" s="270" t="e">
        <f>VLOOKUP(B563,материал!$B$5:$H$67,7,0)</f>
        <v>#N/A</v>
      </c>
    </row>
    <row r="564" spans="1:13" s="135" customFormat="1" ht="24.95" customHeight="1" x14ac:dyDescent="0.25">
      <c r="A564" s="166"/>
      <c r="B564" s="171" t="s">
        <v>104</v>
      </c>
      <c r="C564" s="172"/>
      <c r="D564" s="172" t="s">
        <v>47</v>
      </c>
      <c r="E564" s="172"/>
      <c r="F564" s="172"/>
      <c r="G564" s="173">
        <v>133.18</v>
      </c>
      <c r="H564" s="173">
        <v>189.83</v>
      </c>
      <c r="I564" s="170">
        <f t="shared" si="32"/>
        <v>323.01</v>
      </c>
      <c r="J564" s="174">
        <f>VLOOKUP(B564,работы!$B$5:$F$19,4,0)</f>
        <v>0</v>
      </c>
      <c r="K564" s="174">
        <f t="shared" si="31"/>
        <v>0</v>
      </c>
      <c r="L564" s="172"/>
      <c r="M564" s="270" t="e">
        <f>VLOOKUP(B564,материал!$B$5:$H$67,7,0)</f>
        <v>#N/A</v>
      </c>
    </row>
    <row r="565" spans="1:13" s="135" customFormat="1" ht="12.75" customHeight="1" x14ac:dyDescent="0.25">
      <c r="A565" s="166"/>
      <c r="B565" s="171" t="s">
        <v>49</v>
      </c>
      <c r="C565" s="172"/>
      <c r="D565" s="172" t="s">
        <v>47</v>
      </c>
      <c r="E565" s="172"/>
      <c r="F565" s="172"/>
      <c r="G565" s="173">
        <v>52.46</v>
      </c>
      <c r="H565" s="173">
        <v>38.6</v>
      </c>
      <c r="I565" s="170">
        <f t="shared" si="32"/>
        <v>91.06</v>
      </c>
      <c r="J565" s="174">
        <f>VLOOKUP(B565,работы!$B$5:$F$19,4,0)</f>
        <v>0</v>
      </c>
      <c r="K565" s="174">
        <f t="shared" si="31"/>
        <v>0</v>
      </c>
      <c r="L565" s="172"/>
      <c r="M565" s="270" t="e">
        <f>VLOOKUP(B565,материал!$B$5:$H$67,7,0)</f>
        <v>#N/A</v>
      </c>
    </row>
    <row r="566" spans="1:13" s="135" customFormat="1" ht="12.75" customHeight="1" x14ac:dyDescent="0.25">
      <c r="A566" s="166"/>
      <c r="B566" s="171" t="s">
        <v>50</v>
      </c>
      <c r="C566" s="172"/>
      <c r="D566" s="172" t="s">
        <v>51</v>
      </c>
      <c r="E566" s="172"/>
      <c r="F566" s="172"/>
      <c r="G566" s="173">
        <v>71</v>
      </c>
      <c r="H566" s="173">
        <v>94</v>
      </c>
      <c r="I566" s="170">
        <f t="shared" si="32"/>
        <v>165</v>
      </c>
      <c r="J566" s="174">
        <f>VLOOKUP(B566,работы!$B$5:$F$19,4,0)</f>
        <v>0</v>
      </c>
      <c r="K566" s="174">
        <f t="shared" si="31"/>
        <v>0</v>
      </c>
      <c r="L566" s="172"/>
      <c r="M566" s="270" t="e">
        <f>VLOOKUP(B566,материал!$B$5:$H$67,7,0)</f>
        <v>#N/A</v>
      </c>
    </row>
    <row r="567" spans="1:13" s="135" customFormat="1" ht="12.75" customHeight="1" x14ac:dyDescent="0.25">
      <c r="A567" s="166"/>
      <c r="B567" s="171" t="s">
        <v>52</v>
      </c>
      <c r="C567" s="172" t="s">
        <v>105</v>
      </c>
      <c r="D567" s="172" t="s">
        <v>54</v>
      </c>
      <c r="E567" s="172"/>
      <c r="F567" s="172"/>
      <c r="G567" s="173">
        <v>99.09</v>
      </c>
      <c r="H567" s="173">
        <v>79.66</v>
      </c>
      <c r="I567" s="170">
        <f t="shared" si="32"/>
        <v>178.75</v>
      </c>
      <c r="J567" s="174">
        <f>VLOOKUP(B567,работы!$B$5:$F$19,4,0)</f>
        <v>0</v>
      </c>
      <c r="K567" s="174">
        <f t="shared" si="31"/>
        <v>0</v>
      </c>
      <c r="L567" s="172"/>
      <c r="M567" s="270" t="e">
        <f>VLOOKUP(B567,материал!$B$5:$H$67,7,0)</f>
        <v>#N/A</v>
      </c>
    </row>
    <row r="568" spans="1:13" s="135" customFormat="1" ht="24.95" customHeight="1" x14ac:dyDescent="0.25">
      <c r="A568" s="166"/>
      <c r="B568" s="171" t="s">
        <v>55</v>
      </c>
      <c r="C568" s="172"/>
      <c r="D568" s="172" t="s">
        <v>54</v>
      </c>
      <c r="E568" s="172"/>
      <c r="F568" s="172"/>
      <c r="G568" s="173">
        <v>31.05</v>
      </c>
      <c r="H568" s="173">
        <v>44.59</v>
      </c>
      <c r="I568" s="170">
        <f t="shared" si="32"/>
        <v>75.64</v>
      </c>
      <c r="J568" s="174">
        <f>VLOOKUP(B568,работы!$B$5:$F$19,4,0)</f>
        <v>0</v>
      </c>
      <c r="K568" s="174">
        <f t="shared" si="31"/>
        <v>0</v>
      </c>
      <c r="L568" s="172"/>
      <c r="M568" s="270" t="e">
        <f>VLOOKUP(B568,материал!$B$5:$H$67,7,0)</f>
        <v>#N/A</v>
      </c>
    </row>
    <row r="569" spans="1:13" s="135" customFormat="1" ht="12.75" customHeight="1" x14ac:dyDescent="0.25">
      <c r="A569" s="166"/>
      <c r="B569" s="171" t="s">
        <v>256</v>
      </c>
      <c r="C569" s="172"/>
      <c r="D569" s="172" t="s">
        <v>47</v>
      </c>
      <c r="E569" s="172"/>
      <c r="F569" s="172"/>
      <c r="G569" s="173">
        <f>11.4*2.82</f>
        <v>32.147999999999996</v>
      </c>
      <c r="H569" s="173"/>
      <c r="I569" s="170">
        <f t="shared" si="32"/>
        <v>32.147999999999996</v>
      </c>
      <c r="J569" s="174">
        <f>VLOOKUP(B569,работы!$B$5:$F$19,4,0)</f>
        <v>0</v>
      </c>
      <c r="K569" s="174">
        <f t="shared" si="31"/>
        <v>0</v>
      </c>
      <c r="L569" s="172"/>
      <c r="M569" s="270" t="e">
        <f>VLOOKUP(B569,материал!$B$5:$H$67,7,0)</f>
        <v>#N/A</v>
      </c>
    </row>
    <row r="570" spans="1:13" s="135" customFormat="1" ht="12.75" customHeight="1" x14ac:dyDescent="0.25">
      <c r="A570" s="166"/>
      <c r="B570" s="187" t="s">
        <v>56</v>
      </c>
      <c r="C570" s="188"/>
      <c r="D570" s="188" t="s">
        <v>45</v>
      </c>
      <c r="E570" s="188"/>
      <c r="F570" s="188"/>
      <c r="G570" s="173">
        <f>255.08*0.06*0.03</f>
        <v>0.459144</v>
      </c>
      <c r="H570" s="173">
        <f>366.31*0.06*0.03</f>
        <v>0.659358</v>
      </c>
      <c r="I570" s="170">
        <f t="shared" si="32"/>
        <v>1.1185019999999999</v>
      </c>
      <c r="J570" s="174"/>
      <c r="K570" s="174"/>
      <c r="L570" s="188"/>
      <c r="M570" s="270" t="e">
        <f>VLOOKUP(B570,материал!$B$5:$H$67,7,0)</f>
        <v>#N/A</v>
      </c>
    </row>
    <row r="571" spans="1:13" s="135" customFormat="1" x14ac:dyDescent="0.25">
      <c r="A571" s="175"/>
      <c r="B571" s="176" t="s">
        <v>38</v>
      </c>
      <c r="C571" s="177"/>
      <c r="D571" s="177"/>
      <c r="E571" s="177"/>
      <c r="F571" s="177"/>
      <c r="G571" s="178"/>
      <c r="H571" s="178"/>
      <c r="I571" s="179"/>
      <c r="J571" s="180"/>
      <c r="K571" s="179">
        <f ca="1">SUM(K572:K606)</f>
        <v>0</v>
      </c>
      <c r="L571" s="177"/>
      <c r="M571" s="271"/>
    </row>
    <row r="572" spans="1:13" s="135" customFormat="1" ht="25.5" x14ac:dyDescent="0.25">
      <c r="A572" s="181"/>
      <c r="B572" s="182" t="s">
        <v>58</v>
      </c>
      <c r="C572" s="177" t="s">
        <v>59</v>
      </c>
      <c r="D572" s="177" t="s">
        <v>60</v>
      </c>
      <c r="E572" s="178">
        <v>12.4</v>
      </c>
      <c r="F572" s="177">
        <v>0.25</v>
      </c>
      <c r="G572" s="183">
        <f>G559/F572*E572</f>
        <v>1304.9759999999999</v>
      </c>
      <c r="H572" s="183">
        <f>H559/F572*E572</f>
        <v>1735.0079999999998</v>
      </c>
      <c r="I572" s="184">
        <f t="shared" ref="I572:I605" si="33">SUM(G572:H572)</f>
        <v>3039.9839999999995</v>
      </c>
      <c r="J572" s="180">
        <f>VLOOKUP(B572,материал!$B$5:$G$67,5,0)</f>
        <v>0</v>
      </c>
      <c r="K572" s="180">
        <f t="shared" si="31"/>
        <v>0</v>
      </c>
      <c r="L572" s="177"/>
      <c r="M572" s="271" t="str">
        <f>VLOOKUP(B572,материал!$B$5:$H$67,7,0)</f>
        <v>Давальческий материал</v>
      </c>
    </row>
    <row r="573" spans="1:13" s="135" customFormat="1" ht="32.25" customHeight="1" x14ac:dyDescent="0.25">
      <c r="A573" s="181"/>
      <c r="B573" s="182" t="s">
        <v>62</v>
      </c>
      <c r="C573" s="177" t="s">
        <v>63</v>
      </c>
      <c r="D573" s="177" t="s">
        <v>60</v>
      </c>
      <c r="E573" s="178">
        <v>12.4</v>
      </c>
      <c r="F573" s="177"/>
      <c r="G573" s="183">
        <f>G561*E573</f>
        <v>1268.0240000000001</v>
      </c>
      <c r="H573" s="183">
        <f>H561*E573</f>
        <v>2215.6320000000001</v>
      </c>
      <c r="I573" s="184">
        <f t="shared" si="33"/>
        <v>3483.6559999999999</v>
      </c>
      <c r="J573" s="180">
        <f>VLOOKUP(B573,материал!$B$5:$G$67,5,0)</f>
        <v>0</v>
      </c>
      <c r="K573" s="180">
        <f t="shared" si="31"/>
        <v>0</v>
      </c>
      <c r="L573" s="177"/>
      <c r="M573" s="271" t="str">
        <f>VLOOKUP(B573,материал!$B$5:$H$67,7,0)</f>
        <v>Давальческий материал</v>
      </c>
    </row>
    <row r="574" spans="1:13" s="135" customFormat="1" ht="32.25" customHeight="1" x14ac:dyDescent="0.25">
      <c r="A574" s="181"/>
      <c r="B574" s="182" t="s">
        <v>64</v>
      </c>
      <c r="C574" s="177" t="s">
        <v>65</v>
      </c>
      <c r="D574" s="177" t="s">
        <v>60</v>
      </c>
      <c r="E574" s="178">
        <v>12.4</v>
      </c>
      <c r="F574" s="177"/>
      <c r="G574" s="183">
        <f>G562*E574</f>
        <v>665.63200000000006</v>
      </c>
      <c r="H574" s="183">
        <f>H562*E574</f>
        <v>1368.5880000000002</v>
      </c>
      <c r="I574" s="184">
        <f t="shared" si="33"/>
        <v>2034.2200000000003</v>
      </c>
      <c r="J574" s="180">
        <f>VLOOKUP(B574,материал!$B$5:$G$67,5,0)</f>
        <v>0</v>
      </c>
      <c r="K574" s="180">
        <f t="shared" si="31"/>
        <v>0</v>
      </c>
      <c r="L574" s="177"/>
      <c r="M574" s="271" t="str">
        <f>VLOOKUP(B574,материал!$B$5:$H$67,7,0)</f>
        <v>Давальческий материал</v>
      </c>
    </row>
    <row r="575" spans="1:13" s="135" customFormat="1" ht="32.25" customHeight="1" x14ac:dyDescent="0.25">
      <c r="A575" s="181"/>
      <c r="B575" s="182" t="s">
        <v>106</v>
      </c>
      <c r="C575" s="177" t="s">
        <v>107</v>
      </c>
      <c r="D575" s="177" t="s">
        <v>60</v>
      </c>
      <c r="E575" s="178">
        <v>12.4</v>
      </c>
      <c r="F575" s="177"/>
      <c r="G575" s="183">
        <f>G563*E575</f>
        <v>1417.1960000000001</v>
      </c>
      <c r="H575" s="183">
        <f>H563*E575</f>
        <v>2292.5120000000002</v>
      </c>
      <c r="I575" s="184">
        <f t="shared" si="33"/>
        <v>3709.7080000000005</v>
      </c>
      <c r="J575" s="180">
        <f>VLOOKUP(B575,материал!$B$5:$G$67,5,0)</f>
        <v>0</v>
      </c>
      <c r="K575" s="180">
        <f t="shared" si="31"/>
        <v>0</v>
      </c>
      <c r="L575" s="177"/>
      <c r="M575" s="271" t="str">
        <f>VLOOKUP(B575,материал!$B$5:$H$67,7,0)</f>
        <v>Давальческий материал</v>
      </c>
    </row>
    <row r="576" spans="1:13" s="135" customFormat="1" ht="32.25" customHeight="1" x14ac:dyDescent="0.25">
      <c r="A576" s="181"/>
      <c r="B576" s="182" t="s">
        <v>108</v>
      </c>
      <c r="C576" s="177" t="s">
        <v>109</v>
      </c>
      <c r="D576" s="177" t="s">
        <v>60</v>
      </c>
      <c r="E576" s="178">
        <v>12.4</v>
      </c>
      <c r="F576" s="177"/>
      <c r="G576" s="183">
        <f>G564*E576</f>
        <v>1651.4320000000002</v>
      </c>
      <c r="H576" s="183">
        <f>H564*E576</f>
        <v>2353.8920000000003</v>
      </c>
      <c r="I576" s="184">
        <f t="shared" si="33"/>
        <v>4005.3240000000005</v>
      </c>
      <c r="J576" s="180">
        <f>VLOOKUP(B576,материал!$B$5:$G$67,5,0)</f>
        <v>0</v>
      </c>
      <c r="K576" s="180">
        <f t="shared" si="31"/>
        <v>0</v>
      </c>
      <c r="L576" s="177"/>
      <c r="M576" s="271" t="str">
        <f>VLOOKUP(B576,материал!$B$5:$H$67,7,0)</f>
        <v>Давальческий материал</v>
      </c>
    </row>
    <row r="577" spans="1:13" s="135" customFormat="1" ht="12.75" customHeight="1" x14ac:dyDescent="0.25">
      <c r="A577" s="181"/>
      <c r="B577" s="189" t="s">
        <v>66</v>
      </c>
      <c r="C577" s="177" t="s">
        <v>67</v>
      </c>
      <c r="D577" s="177" t="s">
        <v>60</v>
      </c>
      <c r="E577" s="190">
        <v>42</v>
      </c>
      <c r="F577" s="190"/>
      <c r="G577" s="183">
        <f>G565*E577</f>
        <v>2203.3200000000002</v>
      </c>
      <c r="H577" s="183">
        <f>H565*E577</f>
        <v>1621.2</v>
      </c>
      <c r="I577" s="184">
        <f t="shared" si="33"/>
        <v>3824.5200000000004</v>
      </c>
      <c r="J577" s="180">
        <f>VLOOKUP(B577,материал!$B$5:$G$67,5,0)</f>
        <v>0</v>
      </c>
      <c r="K577" s="180">
        <f t="shared" si="31"/>
        <v>0</v>
      </c>
      <c r="L577" s="177"/>
      <c r="M577" s="271" t="str">
        <f>VLOOKUP(B577,материал!$B$5:$H$67,7,0)</f>
        <v>Давальческий материал</v>
      </c>
    </row>
    <row r="578" spans="1:13" s="135" customFormat="1" ht="12.75" customHeight="1" x14ac:dyDescent="0.25">
      <c r="A578" s="181"/>
      <c r="B578" s="189" t="s">
        <v>110</v>
      </c>
      <c r="C578" s="177" t="s">
        <v>111</v>
      </c>
      <c r="D578" s="177" t="s">
        <v>60</v>
      </c>
      <c r="E578" s="190">
        <v>42</v>
      </c>
      <c r="F578" s="190"/>
      <c r="G578" s="183">
        <f>G560/0.25*E578</f>
        <v>288.95999999999998</v>
      </c>
      <c r="H578" s="183">
        <f>H560/0.25*E578</f>
        <v>436.8</v>
      </c>
      <c r="I578" s="184">
        <f t="shared" si="33"/>
        <v>725.76</v>
      </c>
      <c r="J578" s="180">
        <f>VLOOKUP(B578,материал!$B$5:$G$67,5,0)</f>
        <v>0</v>
      </c>
      <c r="K578" s="180">
        <f t="shared" si="31"/>
        <v>0</v>
      </c>
      <c r="L578" s="177"/>
      <c r="M578" s="271" t="str">
        <f>VLOOKUP(B578,материал!$B$5:$H$67,7,0)</f>
        <v>Давальческий материал</v>
      </c>
    </row>
    <row r="579" spans="1:13" s="135" customFormat="1" ht="12.75" customHeight="1" x14ac:dyDescent="0.25">
      <c r="A579" s="181"/>
      <c r="B579" s="191" t="s">
        <v>69</v>
      </c>
      <c r="C579" s="177" t="s">
        <v>70</v>
      </c>
      <c r="D579" s="177" t="s">
        <v>45</v>
      </c>
      <c r="E579" s="177">
        <v>0.19500000000000001</v>
      </c>
      <c r="F579" s="190"/>
      <c r="G579" s="178">
        <f>G559*E579+G561*E579*0.19+G562*E579*0.19+G563*E579*0.09+G564*E579*0.09</f>
        <v>15.251125500000001</v>
      </c>
      <c r="H579" s="178">
        <f>H559*E579+H561*E579*0.19+H562*E579*0.19+H563*E579*0.09+H564*E579*0.09</f>
        <v>24.106563000000001</v>
      </c>
      <c r="I579" s="179">
        <f t="shared" si="33"/>
        <v>39.357688500000002</v>
      </c>
      <c r="J579" s="180">
        <f>VLOOKUP(B579,материал!$B$5:$G$67,5,0)</f>
        <v>0</v>
      </c>
      <c r="K579" s="180">
        <f t="shared" si="31"/>
        <v>0</v>
      </c>
      <c r="L579" s="177"/>
      <c r="M579" s="271" t="str">
        <f>VLOOKUP(B579,материал!$B$5:$H$67,7,0)</f>
        <v>Закуп подярдчика</v>
      </c>
    </row>
    <row r="580" spans="1:13" s="135" customFormat="1" ht="12.75" customHeight="1" x14ac:dyDescent="0.25">
      <c r="A580" s="192"/>
      <c r="B580" s="191" t="s">
        <v>112</v>
      </c>
      <c r="C580" s="177" t="s">
        <v>70</v>
      </c>
      <c r="D580" s="177" t="s">
        <v>45</v>
      </c>
      <c r="E580" s="177">
        <v>0.24</v>
      </c>
      <c r="F580" s="177"/>
      <c r="G580" s="178">
        <f>G560*E580</f>
        <v>0.4128</v>
      </c>
      <c r="H580" s="178">
        <f>H560*E580</f>
        <v>0.624</v>
      </c>
      <c r="I580" s="179">
        <f t="shared" si="33"/>
        <v>1.0367999999999999</v>
      </c>
      <c r="J580" s="180">
        <f>VLOOKUP(B580,материал!$B$5:$G$67,5,0)</f>
        <v>0</v>
      </c>
      <c r="K580" s="180">
        <f t="shared" si="31"/>
        <v>0</v>
      </c>
      <c r="L580" s="177"/>
      <c r="M580" s="271" t="str">
        <f>VLOOKUP(B580,материал!$B$5:$H$67,7,0)</f>
        <v>Закуп подярдчика</v>
      </c>
    </row>
    <row r="581" spans="1:13" s="135" customFormat="1" ht="12.75" customHeight="1" x14ac:dyDescent="0.25">
      <c r="A581" s="192"/>
      <c r="B581" s="191" t="s">
        <v>72</v>
      </c>
      <c r="C581" s="177" t="s">
        <v>70</v>
      </c>
      <c r="D581" s="177" t="s">
        <v>45</v>
      </c>
      <c r="E581" s="177">
        <v>4.5999999999999999E-2</v>
      </c>
      <c r="F581" s="177"/>
      <c r="G581" s="178">
        <f>G565*E581</f>
        <v>2.41316</v>
      </c>
      <c r="H581" s="178">
        <f>H565*E581</f>
        <v>1.7756000000000001</v>
      </c>
      <c r="I581" s="179">
        <f t="shared" si="33"/>
        <v>4.1887600000000003</v>
      </c>
      <c r="J581" s="180">
        <f>VLOOKUP(B581,материал!$B$5:$G$67,5,0)</f>
        <v>0</v>
      </c>
      <c r="K581" s="180">
        <f t="shared" si="31"/>
        <v>0</v>
      </c>
      <c r="L581" s="177"/>
      <c r="M581" s="271" t="str">
        <f>VLOOKUP(B581,материал!$B$5:$H$67,7,0)</f>
        <v>Закуп подярдчика</v>
      </c>
    </row>
    <row r="582" spans="1:13" s="135" customFormat="1" ht="12.75" customHeight="1" x14ac:dyDescent="0.25">
      <c r="A582" s="192"/>
      <c r="B582" s="191" t="s">
        <v>74</v>
      </c>
      <c r="C582" s="177" t="s">
        <v>70</v>
      </c>
      <c r="D582" s="177" t="s">
        <v>45</v>
      </c>
      <c r="E582" s="177">
        <v>1.01</v>
      </c>
      <c r="F582" s="177"/>
      <c r="G582" s="178">
        <f>G570*E582</f>
        <v>0.46373544</v>
      </c>
      <c r="H582" s="178">
        <f>H570*E582</f>
        <v>0.66595157999999999</v>
      </c>
      <c r="I582" s="179">
        <f t="shared" si="33"/>
        <v>1.12968702</v>
      </c>
      <c r="J582" s="180">
        <f>VLOOKUP(B582,материал!$B$5:$G$67,5,0)</f>
        <v>0</v>
      </c>
      <c r="K582" s="180">
        <f t="shared" si="31"/>
        <v>0</v>
      </c>
      <c r="L582" s="177"/>
      <c r="M582" s="271" t="str">
        <f>VLOOKUP(B582,материал!$B$5:$H$67,7,0)</f>
        <v>Закуп подярдчика</v>
      </c>
    </row>
    <row r="583" spans="1:13" s="135" customFormat="1" ht="12.75" customHeight="1" x14ac:dyDescent="0.25">
      <c r="A583" s="181"/>
      <c r="B583" s="189" t="s">
        <v>75</v>
      </c>
      <c r="C583" s="177" t="s">
        <v>70</v>
      </c>
      <c r="D583" s="177" t="s">
        <v>45</v>
      </c>
      <c r="E583" s="177">
        <v>6.0000000000000001E-3</v>
      </c>
      <c r="F583" s="177"/>
      <c r="G583" s="178">
        <f>G566*E583</f>
        <v>0.42599999999999999</v>
      </c>
      <c r="H583" s="178">
        <f>H566*E583</f>
        <v>0.56400000000000006</v>
      </c>
      <c r="I583" s="179">
        <f t="shared" si="33"/>
        <v>0.99</v>
      </c>
      <c r="J583" s="180">
        <f>VLOOKUP(B583,материал!$B$5:$G$67,5,0)</f>
        <v>0</v>
      </c>
      <c r="K583" s="180">
        <f t="shared" si="31"/>
        <v>0</v>
      </c>
      <c r="L583" s="177"/>
      <c r="M583" s="271" t="str">
        <f>VLOOKUP(B583,материал!$B$5:$H$67,7,0)</f>
        <v>Закуп подярдчика</v>
      </c>
    </row>
    <row r="584" spans="1:13" s="135" customFormat="1" ht="12.75" customHeight="1" x14ac:dyDescent="0.25">
      <c r="A584" s="181"/>
      <c r="B584" s="189" t="s">
        <v>77</v>
      </c>
      <c r="C584" s="177" t="s">
        <v>70</v>
      </c>
      <c r="D584" s="177" t="s">
        <v>45</v>
      </c>
      <c r="E584" s="177">
        <v>1.01</v>
      </c>
      <c r="F584" s="177"/>
      <c r="G584" s="193">
        <v>5.3999999999999999E-2</v>
      </c>
      <c r="H584" s="193">
        <v>8.6999999999999994E-2</v>
      </c>
      <c r="I584" s="179">
        <f t="shared" si="33"/>
        <v>0.14099999999999999</v>
      </c>
      <c r="J584" s="180">
        <f>VLOOKUP(B584,материал!$B$5:$G$67,5,0)</f>
        <v>0</v>
      </c>
      <c r="K584" s="180">
        <f t="shared" si="31"/>
        <v>0</v>
      </c>
      <c r="L584" s="194"/>
      <c r="M584" s="271" t="str">
        <f>VLOOKUP(B584,материал!$B$5:$H$67,7,0)</f>
        <v>Закуп подярдчика</v>
      </c>
    </row>
    <row r="585" spans="1:13" s="135" customFormat="1" ht="12.75" customHeight="1" x14ac:dyDescent="0.25">
      <c r="A585" s="181"/>
      <c r="B585" s="189" t="s">
        <v>78</v>
      </c>
      <c r="C585" s="177" t="s">
        <v>79</v>
      </c>
      <c r="D585" s="177" t="s">
        <v>47</v>
      </c>
      <c r="E585" s="177"/>
      <c r="F585" s="177"/>
      <c r="G585" s="178">
        <v>153.38</v>
      </c>
      <c r="H585" s="178">
        <v>226.65</v>
      </c>
      <c r="I585" s="179">
        <f t="shared" si="33"/>
        <v>380.03</v>
      </c>
      <c r="J585" s="180">
        <f>VLOOKUP(B585,материал!$B$5:$G$67,5,0)</f>
        <v>0</v>
      </c>
      <c r="K585" s="180">
        <f t="shared" si="31"/>
        <v>0</v>
      </c>
      <c r="L585" s="194"/>
      <c r="M585" s="271" t="str">
        <f>VLOOKUP(B585,материал!$B$5:$H$67,7,0)</f>
        <v>Закуп подярдчика</v>
      </c>
    </row>
    <row r="586" spans="1:13" s="135" customFormat="1" ht="24" customHeight="1" x14ac:dyDescent="0.25">
      <c r="A586" s="181"/>
      <c r="B586" s="189" t="s">
        <v>277</v>
      </c>
      <c r="C586" s="177" t="s">
        <v>114</v>
      </c>
      <c r="D586" s="177" t="s">
        <v>60</v>
      </c>
      <c r="E586" s="177"/>
      <c r="F586" s="177"/>
      <c r="G586" s="178">
        <v>18</v>
      </c>
      <c r="H586" s="178">
        <v>14</v>
      </c>
      <c r="I586" s="179">
        <f t="shared" si="33"/>
        <v>32</v>
      </c>
      <c r="J586" s="180">
        <f>VLOOKUP(B586,материал!$B$5:$G$67,5,0)</f>
        <v>0</v>
      </c>
      <c r="K586" s="180">
        <f t="shared" si="31"/>
        <v>0</v>
      </c>
      <c r="L586" s="194"/>
      <c r="M586" s="271" t="str">
        <f>VLOOKUP(B586,материал!$B$5:$H$67,7,0)</f>
        <v>Закуп подярдчика</v>
      </c>
    </row>
    <row r="587" spans="1:13" s="135" customFormat="1" ht="24" customHeight="1" x14ac:dyDescent="0.25">
      <c r="A587" s="181"/>
      <c r="B587" s="189" t="s">
        <v>278</v>
      </c>
      <c r="C587" s="177" t="s">
        <v>116</v>
      </c>
      <c r="D587" s="177" t="s">
        <v>60</v>
      </c>
      <c r="E587" s="177"/>
      <c r="F587" s="177"/>
      <c r="G587" s="178">
        <v>1</v>
      </c>
      <c r="H587" s="178">
        <v>10</v>
      </c>
      <c r="I587" s="179">
        <f t="shared" si="33"/>
        <v>11</v>
      </c>
      <c r="J587" s="180">
        <f>VLOOKUP(B587,материал!$B$5:$G$67,5,0)</f>
        <v>0</v>
      </c>
      <c r="K587" s="180">
        <f t="shared" si="31"/>
        <v>0</v>
      </c>
      <c r="L587" s="194"/>
      <c r="M587" s="271" t="str">
        <f>VLOOKUP(B587,материал!$B$5:$H$67,7,0)</f>
        <v>Закуп подярдчика</v>
      </c>
    </row>
    <row r="588" spans="1:13" s="135" customFormat="1" ht="24" customHeight="1" x14ac:dyDescent="0.25">
      <c r="A588" s="181"/>
      <c r="B588" s="189" t="s">
        <v>279</v>
      </c>
      <c r="C588" s="177" t="s">
        <v>282</v>
      </c>
      <c r="D588" s="177" t="s">
        <v>60</v>
      </c>
      <c r="E588" s="177"/>
      <c r="F588" s="177"/>
      <c r="G588" s="178"/>
      <c r="H588" s="178">
        <v>4</v>
      </c>
      <c r="I588" s="179">
        <f t="shared" si="33"/>
        <v>4</v>
      </c>
      <c r="J588" s="180">
        <f>VLOOKUP(B588,материал!$B$5:$G$67,5,0)</f>
        <v>0</v>
      </c>
      <c r="K588" s="180">
        <f t="shared" si="31"/>
        <v>0</v>
      </c>
      <c r="L588" s="194"/>
      <c r="M588" s="271" t="str">
        <f>VLOOKUP(B588,материал!$B$5:$H$67,7,0)</f>
        <v>Закуп подярдчика</v>
      </c>
    </row>
    <row r="589" spans="1:13" s="135" customFormat="1" ht="24" customHeight="1" x14ac:dyDescent="0.25">
      <c r="A589" s="181"/>
      <c r="B589" s="189" t="s">
        <v>281</v>
      </c>
      <c r="C589" s="177" t="s">
        <v>284</v>
      </c>
      <c r="D589" s="177" t="s">
        <v>60</v>
      </c>
      <c r="E589" s="177"/>
      <c r="F589" s="177"/>
      <c r="G589" s="178">
        <v>9</v>
      </c>
      <c r="H589" s="178">
        <v>4</v>
      </c>
      <c r="I589" s="179">
        <f t="shared" si="33"/>
        <v>13</v>
      </c>
      <c r="J589" s="180">
        <f>VLOOKUP(B589,материал!$B$5:$G$67,5,0)</f>
        <v>0</v>
      </c>
      <c r="K589" s="180">
        <f t="shared" si="31"/>
        <v>0</v>
      </c>
      <c r="L589" s="194"/>
      <c r="M589" s="271" t="str">
        <f>VLOOKUP(B589,материал!$B$5:$H$67,7,0)</f>
        <v>Закуп подярдчика</v>
      </c>
    </row>
    <row r="590" spans="1:13" s="135" customFormat="1" ht="24" customHeight="1" x14ac:dyDescent="0.25">
      <c r="A590" s="181"/>
      <c r="B590" s="189" t="s">
        <v>283</v>
      </c>
      <c r="C590" s="177" t="s">
        <v>286</v>
      </c>
      <c r="D590" s="177" t="s">
        <v>60</v>
      </c>
      <c r="E590" s="177"/>
      <c r="F590" s="177"/>
      <c r="G590" s="178">
        <v>1</v>
      </c>
      <c r="H590" s="178">
        <v>1</v>
      </c>
      <c r="I590" s="179">
        <f t="shared" si="33"/>
        <v>2</v>
      </c>
      <c r="J590" s="180">
        <f>VLOOKUP(B590,материал!$B$5:$G$67,5,0)</f>
        <v>0</v>
      </c>
      <c r="K590" s="180">
        <f t="shared" si="31"/>
        <v>0</v>
      </c>
      <c r="L590" s="194"/>
      <c r="M590" s="271" t="str">
        <f>VLOOKUP(B590,материал!$B$5:$H$67,7,0)</f>
        <v>Закуп подярдчика</v>
      </c>
    </row>
    <row r="591" spans="1:13" s="135" customFormat="1" ht="24" customHeight="1" x14ac:dyDescent="0.25">
      <c r="A591" s="181"/>
      <c r="B591" s="189" t="s">
        <v>285</v>
      </c>
      <c r="C591" s="177" t="s">
        <v>288</v>
      </c>
      <c r="D591" s="177" t="s">
        <v>60</v>
      </c>
      <c r="E591" s="177"/>
      <c r="F591" s="177"/>
      <c r="G591" s="178">
        <v>1</v>
      </c>
      <c r="H591" s="178">
        <v>1</v>
      </c>
      <c r="I591" s="179">
        <f t="shared" si="33"/>
        <v>2</v>
      </c>
      <c r="J591" s="180">
        <f>VLOOKUP(B591,материал!$B$5:$G$67,5,0)</f>
        <v>0</v>
      </c>
      <c r="K591" s="180">
        <f t="shared" si="31"/>
        <v>0</v>
      </c>
      <c r="L591" s="194"/>
      <c r="M591" s="271" t="str">
        <f>VLOOKUP(B591,материал!$B$5:$H$67,7,0)</f>
        <v>Закуп подярдчика</v>
      </c>
    </row>
    <row r="592" spans="1:13" s="135" customFormat="1" ht="24" customHeight="1" x14ac:dyDescent="0.25">
      <c r="A592" s="181"/>
      <c r="B592" s="189" t="s">
        <v>287</v>
      </c>
      <c r="C592" s="177" t="s">
        <v>290</v>
      </c>
      <c r="D592" s="177" t="s">
        <v>60</v>
      </c>
      <c r="E592" s="177"/>
      <c r="F592" s="177"/>
      <c r="G592" s="178">
        <v>6</v>
      </c>
      <c r="H592" s="178">
        <v>4</v>
      </c>
      <c r="I592" s="179">
        <f t="shared" si="33"/>
        <v>10</v>
      </c>
      <c r="J592" s="180">
        <f>VLOOKUP(B592,материал!$B$5:$G$67,5,0)</f>
        <v>0</v>
      </c>
      <c r="K592" s="180">
        <f t="shared" si="31"/>
        <v>0</v>
      </c>
      <c r="L592" s="194"/>
      <c r="M592" s="271" t="str">
        <f>VLOOKUP(B592,материал!$B$5:$H$67,7,0)</f>
        <v>Закуп подярдчика</v>
      </c>
    </row>
    <row r="593" spans="1:13" s="135" customFormat="1" ht="24" customHeight="1" x14ac:dyDescent="0.25">
      <c r="A593" s="181"/>
      <c r="B593" s="189" t="s">
        <v>289</v>
      </c>
      <c r="C593" s="177" t="s">
        <v>292</v>
      </c>
      <c r="D593" s="177" t="s">
        <v>60</v>
      </c>
      <c r="E593" s="177"/>
      <c r="F593" s="177"/>
      <c r="G593" s="178">
        <v>20</v>
      </c>
      <c r="H593" s="178">
        <v>26</v>
      </c>
      <c r="I593" s="179">
        <f t="shared" si="33"/>
        <v>46</v>
      </c>
      <c r="J593" s="180">
        <f>VLOOKUP(B593,материал!$B$5:$G$67,5,0)</f>
        <v>0</v>
      </c>
      <c r="K593" s="180">
        <f t="shared" si="31"/>
        <v>0</v>
      </c>
      <c r="L593" s="194"/>
      <c r="M593" s="271" t="str">
        <f>VLOOKUP(B593,материал!$B$5:$H$67,7,0)</f>
        <v>Закуп подярдчика</v>
      </c>
    </row>
    <row r="594" spans="1:13" s="135" customFormat="1" ht="24" customHeight="1" x14ac:dyDescent="0.25">
      <c r="A594" s="181"/>
      <c r="B594" s="189" t="s">
        <v>291</v>
      </c>
      <c r="C594" s="177" t="s">
        <v>294</v>
      </c>
      <c r="D594" s="177" t="s">
        <v>60</v>
      </c>
      <c r="E594" s="177"/>
      <c r="F594" s="177"/>
      <c r="G594" s="178">
        <v>2</v>
      </c>
      <c r="H594" s="178">
        <v>18</v>
      </c>
      <c r="I594" s="179">
        <f t="shared" si="33"/>
        <v>20</v>
      </c>
      <c r="J594" s="180">
        <f>VLOOKUP(B594,материал!$B$5:$G$67,5,0)</f>
        <v>0</v>
      </c>
      <c r="K594" s="180">
        <f t="shared" si="31"/>
        <v>0</v>
      </c>
      <c r="L594" s="194"/>
      <c r="M594" s="271" t="str">
        <f>VLOOKUP(B594,материал!$B$5:$H$67,7,0)</f>
        <v>Закуп подярдчика</v>
      </c>
    </row>
    <row r="595" spans="1:13" s="135" customFormat="1" ht="24" customHeight="1" x14ac:dyDescent="0.25">
      <c r="A595" s="181"/>
      <c r="B595" s="189" t="s">
        <v>313</v>
      </c>
      <c r="C595" s="177" t="s">
        <v>296</v>
      </c>
      <c r="D595" s="177" t="s">
        <v>60</v>
      </c>
      <c r="E595" s="177"/>
      <c r="F595" s="177"/>
      <c r="G595" s="178">
        <v>4</v>
      </c>
      <c r="H595" s="178"/>
      <c r="I595" s="179">
        <f t="shared" si="33"/>
        <v>4</v>
      </c>
      <c r="J595" s="180">
        <f>VLOOKUP(B595,материал!$B$5:$G$67,5,0)</f>
        <v>0</v>
      </c>
      <c r="K595" s="180">
        <f t="shared" si="31"/>
        <v>0</v>
      </c>
      <c r="L595" s="194"/>
      <c r="M595" s="271" t="str">
        <f>VLOOKUP(B595,материал!$B$5:$H$67,7,0)</f>
        <v>Закуп подярдчика</v>
      </c>
    </row>
    <row r="596" spans="1:13" s="135" customFormat="1" ht="24" customHeight="1" x14ac:dyDescent="0.25">
      <c r="A596" s="181"/>
      <c r="B596" s="189" t="s">
        <v>293</v>
      </c>
      <c r="C596" s="177" t="s">
        <v>314</v>
      </c>
      <c r="D596" s="177" t="s">
        <v>60</v>
      </c>
      <c r="E596" s="177"/>
      <c r="F596" s="177"/>
      <c r="G596" s="178">
        <v>4</v>
      </c>
      <c r="H596" s="178"/>
      <c r="I596" s="179">
        <f t="shared" si="33"/>
        <v>4</v>
      </c>
      <c r="J596" s="180">
        <f>VLOOKUP(B596,материал!$B$5:$G$67,5,0)</f>
        <v>0</v>
      </c>
      <c r="K596" s="180">
        <f t="shared" si="31"/>
        <v>0</v>
      </c>
      <c r="L596" s="194"/>
      <c r="M596" s="271" t="str">
        <f>VLOOKUP(B596,материал!$B$5:$H$67,7,0)</f>
        <v>Закуп подярдчика</v>
      </c>
    </row>
    <row r="597" spans="1:13" s="135" customFormat="1" ht="24" customHeight="1" x14ac:dyDescent="0.25">
      <c r="A597" s="181"/>
      <c r="B597" s="189" t="s">
        <v>295</v>
      </c>
      <c r="C597" s="177" t="s">
        <v>118</v>
      </c>
      <c r="D597" s="177" t="s">
        <v>60</v>
      </c>
      <c r="E597" s="177"/>
      <c r="F597" s="177"/>
      <c r="G597" s="178">
        <v>1</v>
      </c>
      <c r="H597" s="178">
        <v>2</v>
      </c>
      <c r="I597" s="179">
        <f t="shared" si="33"/>
        <v>3</v>
      </c>
      <c r="J597" s="180">
        <f>VLOOKUP(B597,материал!$B$5:$G$67,5,0)</f>
        <v>0</v>
      </c>
      <c r="K597" s="180">
        <f t="shared" si="31"/>
        <v>0</v>
      </c>
      <c r="L597" s="194"/>
      <c r="M597" s="271" t="str">
        <f>VLOOKUP(B597,материал!$B$5:$H$67,7,0)</f>
        <v>Закуп подярдчика</v>
      </c>
    </row>
    <row r="598" spans="1:13" s="135" customFormat="1" ht="24" customHeight="1" x14ac:dyDescent="0.25">
      <c r="A598" s="181"/>
      <c r="B598" s="189" t="s">
        <v>315</v>
      </c>
      <c r="C598" s="177" t="s">
        <v>120</v>
      </c>
      <c r="D598" s="177" t="s">
        <v>60</v>
      </c>
      <c r="E598" s="177"/>
      <c r="F598" s="177"/>
      <c r="G598" s="178">
        <v>4</v>
      </c>
      <c r="H598" s="178">
        <v>10</v>
      </c>
      <c r="I598" s="179">
        <f t="shared" si="33"/>
        <v>14</v>
      </c>
      <c r="J598" s="180">
        <f>VLOOKUP(B598,материал!$B$5:$G$67,5,0)</f>
        <v>0</v>
      </c>
      <c r="K598" s="180">
        <f t="shared" si="31"/>
        <v>0</v>
      </c>
      <c r="L598" s="194"/>
      <c r="M598" s="271" t="str">
        <f>VLOOKUP(B598,материал!$B$5:$H$67,7,0)</f>
        <v>Закуп подярдчика</v>
      </c>
    </row>
    <row r="599" spans="1:13" s="135" customFormat="1" ht="12.75" customHeight="1" x14ac:dyDescent="0.25">
      <c r="A599" s="181"/>
      <c r="B599" s="189" t="s">
        <v>92</v>
      </c>
      <c r="C599" s="177" t="s">
        <v>93</v>
      </c>
      <c r="D599" s="177" t="s">
        <v>54</v>
      </c>
      <c r="E599" s="177">
        <v>1.04</v>
      </c>
      <c r="F599" s="177"/>
      <c r="G599" s="178">
        <f>127.56*E599</f>
        <v>132.66240000000002</v>
      </c>
      <c r="H599" s="178">
        <f>180.66*E599</f>
        <v>187.88640000000001</v>
      </c>
      <c r="I599" s="179">
        <f t="shared" si="33"/>
        <v>320.54880000000003</v>
      </c>
      <c r="J599" s="180">
        <f>VLOOKUP(B599,материал!$B$5:$G$67,5,0)</f>
        <v>0</v>
      </c>
      <c r="K599" s="180">
        <f t="shared" ref="K599:K662" si="34">I599*J599</f>
        <v>0</v>
      </c>
      <c r="L599" s="194"/>
      <c r="M599" s="271" t="str">
        <f>VLOOKUP(B599,материал!$B$5:$H$67,7,0)</f>
        <v>Закуп подярдчика</v>
      </c>
    </row>
    <row r="600" spans="1:13" s="137" customFormat="1" ht="12.75" customHeight="1" x14ac:dyDescent="0.25">
      <c r="A600" s="181"/>
      <c r="B600" s="189" t="s">
        <v>94</v>
      </c>
      <c r="C600" s="177" t="s">
        <v>95</v>
      </c>
      <c r="D600" s="177" t="s">
        <v>54</v>
      </c>
      <c r="E600" s="177">
        <v>1.04</v>
      </c>
      <c r="F600" s="177"/>
      <c r="G600" s="178">
        <f>G568*E600</f>
        <v>32.292000000000002</v>
      </c>
      <c r="H600" s="178">
        <f>H568*E600</f>
        <v>46.373600000000003</v>
      </c>
      <c r="I600" s="179">
        <f t="shared" si="33"/>
        <v>78.665600000000012</v>
      </c>
      <c r="J600" s="180">
        <f>VLOOKUP(B600,материал!$B$5:$G$67,5,0)</f>
        <v>0</v>
      </c>
      <c r="K600" s="180">
        <f t="shared" si="34"/>
        <v>0</v>
      </c>
      <c r="L600" s="194"/>
      <c r="M600" s="271" t="str">
        <f>VLOOKUP(B600,материал!$B$5:$H$67,7,0)</f>
        <v>Закуп подярдчика</v>
      </c>
    </row>
    <row r="601" spans="1:13" s="135" customFormat="1" ht="12.75" customHeight="1" x14ac:dyDescent="0.25">
      <c r="A601" s="181"/>
      <c r="B601" s="189" t="s">
        <v>131</v>
      </c>
      <c r="C601" s="177" t="s">
        <v>39</v>
      </c>
      <c r="D601" s="177" t="s">
        <v>54</v>
      </c>
      <c r="E601" s="177">
        <v>1.04</v>
      </c>
      <c r="F601" s="177"/>
      <c r="G601" s="178">
        <f>46.68*E601</f>
        <v>48.547200000000004</v>
      </c>
      <c r="H601" s="178">
        <f>31.12*E601</f>
        <v>32.364800000000002</v>
      </c>
      <c r="I601" s="179">
        <f t="shared" si="33"/>
        <v>80.912000000000006</v>
      </c>
      <c r="J601" s="180">
        <f>VLOOKUP(B601,материал!$B$5:$G$67,5,0)</f>
        <v>0</v>
      </c>
      <c r="K601" s="180">
        <f t="shared" si="34"/>
        <v>0</v>
      </c>
      <c r="L601" s="194"/>
      <c r="M601" s="271" t="str">
        <f>VLOOKUP(B601,материал!$B$5:$H$67,7,0)</f>
        <v>Закуп подярдчика</v>
      </c>
    </row>
    <row r="602" spans="1:13" s="135" customFormat="1" ht="12.75" customHeight="1" x14ac:dyDescent="0.25">
      <c r="A602" s="181"/>
      <c r="B602" s="189" t="s">
        <v>96</v>
      </c>
      <c r="C602" s="177" t="s">
        <v>39</v>
      </c>
      <c r="D602" s="177" t="s">
        <v>54</v>
      </c>
      <c r="E602" s="177">
        <v>1.04</v>
      </c>
      <c r="F602" s="177"/>
      <c r="G602" s="178">
        <f>25.93*E602</f>
        <v>26.967200000000002</v>
      </c>
      <c r="H602" s="178">
        <f>E602*17.2</f>
        <v>17.887999999999998</v>
      </c>
      <c r="I602" s="179">
        <f t="shared" si="33"/>
        <v>44.855199999999996</v>
      </c>
      <c r="J602" s="180">
        <f>VLOOKUP(B602,материал!$B$5:$G$67,5,0)</f>
        <v>0</v>
      </c>
      <c r="K602" s="180">
        <f t="shared" si="34"/>
        <v>0</v>
      </c>
      <c r="L602" s="194"/>
      <c r="M602" s="271" t="str">
        <f>VLOOKUP(B602,материал!$B$5:$H$67,7,0)</f>
        <v>Закуп подярдчика</v>
      </c>
    </row>
    <row r="603" spans="1:13" s="135" customFormat="1" ht="12.75" customHeight="1" x14ac:dyDescent="0.25">
      <c r="A603" s="181"/>
      <c r="B603" s="189" t="s">
        <v>97</v>
      </c>
      <c r="C603" s="177" t="s">
        <v>39</v>
      </c>
      <c r="D603" s="177" t="s">
        <v>54</v>
      </c>
      <c r="E603" s="177">
        <v>1.04</v>
      </c>
      <c r="F603" s="177"/>
      <c r="G603" s="178">
        <f>E603*10.72</f>
        <v>11.148800000000001</v>
      </c>
      <c r="H603" s="178">
        <f>E603*20.84</f>
        <v>21.6736</v>
      </c>
      <c r="I603" s="179">
        <f t="shared" si="33"/>
        <v>32.822400000000002</v>
      </c>
      <c r="J603" s="180">
        <f>VLOOKUP(B603,материал!$B$5:$G$67,5,0)</f>
        <v>0</v>
      </c>
      <c r="K603" s="180">
        <f t="shared" si="34"/>
        <v>0</v>
      </c>
      <c r="L603" s="194"/>
      <c r="M603" s="271" t="str">
        <f>VLOOKUP(B603,материал!$B$5:$H$67,7,0)</f>
        <v>Закуп подярдчика</v>
      </c>
    </row>
    <row r="604" spans="1:13" s="135" customFormat="1" ht="12.75" customHeight="1" x14ac:dyDescent="0.25">
      <c r="A604" s="181"/>
      <c r="B604" s="189" t="s">
        <v>132</v>
      </c>
      <c r="C604" s="177" t="s">
        <v>39</v>
      </c>
      <c r="D604" s="177" t="s">
        <v>54</v>
      </c>
      <c r="E604" s="177">
        <v>1.04</v>
      </c>
      <c r="F604" s="177"/>
      <c r="G604" s="178">
        <f>15.75*E604</f>
        <v>16.38</v>
      </c>
      <c r="H604" s="178">
        <f>10.5*E604</f>
        <v>10.92</v>
      </c>
      <c r="I604" s="179">
        <f t="shared" si="33"/>
        <v>27.299999999999997</v>
      </c>
      <c r="J604" s="180">
        <f>VLOOKUP(B604,материал!$B$5:$G$67,5,0)</f>
        <v>0</v>
      </c>
      <c r="K604" s="180">
        <f t="shared" si="34"/>
        <v>0</v>
      </c>
      <c r="L604" s="194"/>
      <c r="M604" s="271" t="str">
        <f>VLOOKUP(B604,материал!$B$5:$H$67,7,0)</f>
        <v>Закуп подярдчика</v>
      </c>
    </row>
    <row r="605" spans="1:13" s="135" customFormat="1" ht="24" customHeight="1" x14ac:dyDescent="0.25">
      <c r="A605" s="181"/>
      <c r="B605" s="189" t="s">
        <v>275</v>
      </c>
      <c r="C605" s="177" t="s">
        <v>276</v>
      </c>
      <c r="D605" s="177" t="s">
        <v>45</v>
      </c>
      <c r="E605" s="177">
        <v>1.04</v>
      </c>
      <c r="F605" s="177"/>
      <c r="G605" s="178">
        <f>G569*0.05*E605</f>
        <v>1.6716960000000001</v>
      </c>
      <c r="H605" s="178">
        <f>H569*0.05*E605</f>
        <v>0</v>
      </c>
      <c r="I605" s="179">
        <f t="shared" si="33"/>
        <v>1.6716960000000001</v>
      </c>
      <c r="J605" s="180">
        <f>VLOOKUP(B605,материал!$B$5:$G$67,5,0)</f>
        <v>0</v>
      </c>
      <c r="K605" s="180">
        <f t="shared" si="34"/>
        <v>0</v>
      </c>
      <c r="L605" s="194"/>
      <c r="M605" s="271" t="str">
        <f>VLOOKUP(B605,материал!$B$5:$H$67,7,0)</f>
        <v>Закуп подярдчика</v>
      </c>
    </row>
    <row r="606" spans="1:13" s="135" customFormat="1" ht="25.5" x14ac:dyDescent="0.25">
      <c r="A606" s="195"/>
      <c r="B606" s="196" t="s">
        <v>133</v>
      </c>
      <c r="C606" s="197" t="s">
        <v>39</v>
      </c>
      <c r="D606" s="197" t="s">
        <v>99</v>
      </c>
      <c r="E606" s="197"/>
      <c r="F606" s="197"/>
      <c r="G606" s="198"/>
      <c r="H606" s="198"/>
      <c r="I606" s="199">
        <f ca="1">SUMIF(материал!$B$5:$G$67,B606,материал!$E$5:$E$67)</f>
        <v>0</v>
      </c>
      <c r="J606" s="179"/>
      <c r="K606" s="180">
        <f ca="1">SUM(K572:K605)*I606%</f>
        <v>0</v>
      </c>
      <c r="L606" s="200"/>
      <c r="M606" s="274" t="str">
        <f>VLOOKUP(B606,материал!$B$5:$H$67,7,0)</f>
        <v>Закуп подярдчика</v>
      </c>
    </row>
    <row r="607" spans="1:13" s="135" customFormat="1" ht="12.75" customHeight="1" x14ac:dyDescent="0.25">
      <c r="A607" s="160" t="s">
        <v>154</v>
      </c>
      <c r="B607" s="161" t="s">
        <v>155</v>
      </c>
      <c r="C607" s="162"/>
      <c r="D607" s="163"/>
      <c r="E607" s="162"/>
      <c r="F607" s="162"/>
      <c r="G607" s="164"/>
      <c r="H607" s="164"/>
      <c r="I607" s="165"/>
      <c r="J607" s="165"/>
      <c r="K607" s="165">
        <f ca="1">K608+K621</f>
        <v>0</v>
      </c>
      <c r="L607" s="186"/>
      <c r="M607" s="273" t="e">
        <f>VLOOKUP(B607,материал!$B$5:$H$67,7,0)</f>
        <v>#N/A</v>
      </c>
    </row>
    <row r="608" spans="1:13" s="135" customFormat="1" ht="12.75" customHeight="1" x14ac:dyDescent="0.25">
      <c r="A608" s="166"/>
      <c r="B608" s="167" t="s">
        <v>34</v>
      </c>
      <c r="C608" s="168"/>
      <c r="D608" s="168"/>
      <c r="E608" s="168"/>
      <c r="F608" s="168"/>
      <c r="G608" s="169"/>
      <c r="H608" s="169"/>
      <c r="I608" s="170"/>
      <c r="J608" s="170"/>
      <c r="K608" s="170">
        <f>SUM(K609:K619)</f>
        <v>0</v>
      </c>
      <c r="L608" s="172"/>
      <c r="M608" s="270" t="e">
        <f>VLOOKUP(B608,материал!$B$5:$H$67,7,0)</f>
        <v>#N/A</v>
      </c>
    </row>
    <row r="609" spans="1:13" s="135" customFormat="1" ht="24.95" customHeight="1" x14ac:dyDescent="0.25">
      <c r="A609" s="166"/>
      <c r="B609" s="171" t="s">
        <v>44</v>
      </c>
      <c r="C609" s="172"/>
      <c r="D609" s="172" t="s">
        <v>45</v>
      </c>
      <c r="E609" s="172"/>
      <c r="F609" s="172"/>
      <c r="G609" s="173">
        <v>26.31</v>
      </c>
      <c r="H609" s="173">
        <v>34.979999999999997</v>
      </c>
      <c r="I609" s="170">
        <f t="shared" ref="I609:I620" si="35">SUM(G609:H609)</f>
        <v>61.289999999999992</v>
      </c>
      <c r="J609" s="174">
        <f>VLOOKUP(B609,работы!$B$5:$F$19,4,0)</f>
        <v>0</v>
      </c>
      <c r="K609" s="174">
        <f t="shared" si="34"/>
        <v>0</v>
      </c>
      <c r="L609" s="172"/>
      <c r="M609" s="270" t="e">
        <f>VLOOKUP(B609,материал!$B$5:$H$67,7,0)</f>
        <v>#N/A</v>
      </c>
    </row>
    <row r="610" spans="1:13" s="135" customFormat="1" ht="12.75" customHeight="1" x14ac:dyDescent="0.25">
      <c r="A610" s="166"/>
      <c r="B610" s="171" t="s">
        <v>102</v>
      </c>
      <c r="C610" s="172"/>
      <c r="D610" s="172" t="s">
        <v>45</v>
      </c>
      <c r="E610" s="172"/>
      <c r="F610" s="172"/>
      <c r="G610" s="173">
        <v>1.72</v>
      </c>
      <c r="H610" s="173">
        <v>2.6</v>
      </c>
      <c r="I610" s="170">
        <f t="shared" si="35"/>
        <v>4.32</v>
      </c>
      <c r="J610" s="174">
        <f>VLOOKUP(B610,работы!$B$5:$F$19,4,0)</f>
        <v>0</v>
      </c>
      <c r="K610" s="174">
        <f t="shared" si="34"/>
        <v>0</v>
      </c>
      <c r="L610" s="172"/>
      <c r="M610" s="270" t="e">
        <f>VLOOKUP(B610,материал!$B$5:$H$67,7,0)</f>
        <v>#N/A</v>
      </c>
    </row>
    <row r="611" spans="1:13" s="135" customFormat="1" ht="24.95" customHeight="1" x14ac:dyDescent="0.25">
      <c r="A611" s="166"/>
      <c r="B611" s="171" t="s">
        <v>46</v>
      </c>
      <c r="C611" s="172"/>
      <c r="D611" s="172" t="s">
        <v>47</v>
      </c>
      <c r="E611" s="172"/>
      <c r="F611" s="172"/>
      <c r="G611" s="173">
        <v>102.26</v>
      </c>
      <c r="H611" s="173">
        <v>178.68</v>
      </c>
      <c r="I611" s="170">
        <f t="shared" si="35"/>
        <v>280.94</v>
      </c>
      <c r="J611" s="174">
        <f>VLOOKUP(B611,работы!$B$5:$F$19,4,0)</f>
        <v>0</v>
      </c>
      <c r="K611" s="174">
        <f t="shared" si="34"/>
        <v>0</v>
      </c>
      <c r="L611" s="172"/>
      <c r="M611" s="270" t="e">
        <f>VLOOKUP(B611,материал!$B$5:$H$67,7,0)</f>
        <v>#N/A</v>
      </c>
    </row>
    <row r="612" spans="1:13" s="135" customFormat="1" ht="24.95" customHeight="1" x14ac:dyDescent="0.25">
      <c r="A612" s="166"/>
      <c r="B612" s="171" t="s">
        <v>48</v>
      </c>
      <c r="C612" s="172"/>
      <c r="D612" s="172" t="s">
        <v>47</v>
      </c>
      <c r="E612" s="172"/>
      <c r="F612" s="172"/>
      <c r="G612" s="173">
        <v>53.68</v>
      </c>
      <c r="H612" s="173">
        <v>110.37</v>
      </c>
      <c r="I612" s="170">
        <f t="shared" si="35"/>
        <v>164.05</v>
      </c>
      <c r="J612" s="174">
        <f>VLOOKUP(B612,работы!$B$5:$F$19,4,0)</f>
        <v>0</v>
      </c>
      <c r="K612" s="174">
        <f t="shared" si="34"/>
        <v>0</v>
      </c>
      <c r="L612" s="172"/>
      <c r="M612" s="270" t="e">
        <f>VLOOKUP(B612,материал!$B$5:$H$67,7,0)</f>
        <v>#N/A</v>
      </c>
    </row>
    <row r="613" spans="1:13" s="135" customFormat="1" ht="24.95" customHeight="1" x14ac:dyDescent="0.25">
      <c r="A613" s="166"/>
      <c r="B613" s="171" t="s">
        <v>103</v>
      </c>
      <c r="C613" s="172"/>
      <c r="D613" s="172" t="s">
        <v>47</v>
      </c>
      <c r="E613" s="172"/>
      <c r="F613" s="172"/>
      <c r="G613" s="173">
        <v>114.29</v>
      </c>
      <c r="H613" s="173">
        <v>184.88</v>
      </c>
      <c r="I613" s="170">
        <f t="shared" si="35"/>
        <v>299.17</v>
      </c>
      <c r="J613" s="174">
        <f>VLOOKUP(B613,работы!$B$5:$F$19,4,0)</f>
        <v>0</v>
      </c>
      <c r="K613" s="174">
        <f t="shared" si="34"/>
        <v>0</v>
      </c>
      <c r="L613" s="172"/>
      <c r="M613" s="270" t="e">
        <f>VLOOKUP(B613,материал!$B$5:$H$67,7,0)</f>
        <v>#N/A</v>
      </c>
    </row>
    <row r="614" spans="1:13" s="135" customFormat="1" ht="24.95" customHeight="1" x14ac:dyDescent="0.25">
      <c r="A614" s="166"/>
      <c r="B614" s="171" t="s">
        <v>104</v>
      </c>
      <c r="C614" s="172"/>
      <c r="D614" s="172" t="s">
        <v>47</v>
      </c>
      <c r="E614" s="172"/>
      <c r="F614" s="172"/>
      <c r="G614" s="173">
        <v>133.18</v>
      </c>
      <c r="H614" s="173">
        <v>189.83</v>
      </c>
      <c r="I614" s="170">
        <f t="shared" si="35"/>
        <v>323.01</v>
      </c>
      <c r="J614" s="174">
        <f>VLOOKUP(B614,работы!$B$5:$F$19,4,0)</f>
        <v>0</v>
      </c>
      <c r="K614" s="174">
        <f t="shared" si="34"/>
        <v>0</v>
      </c>
      <c r="L614" s="172"/>
      <c r="M614" s="270" t="e">
        <f>VLOOKUP(B614,материал!$B$5:$H$67,7,0)</f>
        <v>#N/A</v>
      </c>
    </row>
    <row r="615" spans="1:13" s="135" customFormat="1" ht="12.75" customHeight="1" x14ac:dyDescent="0.25">
      <c r="A615" s="166"/>
      <c r="B615" s="171" t="s">
        <v>49</v>
      </c>
      <c r="C615" s="172"/>
      <c r="D615" s="172" t="s">
        <v>47</v>
      </c>
      <c r="E615" s="172"/>
      <c r="F615" s="172"/>
      <c r="G615" s="173">
        <v>52.46</v>
      </c>
      <c r="H615" s="173">
        <v>38.6</v>
      </c>
      <c r="I615" s="170">
        <f t="shared" si="35"/>
        <v>91.06</v>
      </c>
      <c r="J615" s="174">
        <f>VLOOKUP(B615,работы!$B$5:$F$19,4,0)</f>
        <v>0</v>
      </c>
      <c r="K615" s="174">
        <f t="shared" si="34"/>
        <v>0</v>
      </c>
      <c r="L615" s="172"/>
      <c r="M615" s="270" t="e">
        <f>VLOOKUP(B615,материал!$B$5:$H$67,7,0)</f>
        <v>#N/A</v>
      </c>
    </row>
    <row r="616" spans="1:13" s="135" customFormat="1" ht="12.75" customHeight="1" x14ac:dyDescent="0.25">
      <c r="A616" s="166"/>
      <c r="B616" s="171" t="s">
        <v>50</v>
      </c>
      <c r="C616" s="172"/>
      <c r="D616" s="172" t="s">
        <v>51</v>
      </c>
      <c r="E616" s="172"/>
      <c r="F616" s="172"/>
      <c r="G616" s="173">
        <v>71</v>
      </c>
      <c r="H616" s="173">
        <v>94</v>
      </c>
      <c r="I616" s="170">
        <f t="shared" si="35"/>
        <v>165</v>
      </c>
      <c r="J616" s="174">
        <f>VLOOKUP(B616,работы!$B$5:$F$19,4,0)</f>
        <v>0</v>
      </c>
      <c r="K616" s="174">
        <f t="shared" si="34"/>
        <v>0</v>
      </c>
      <c r="L616" s="172"/>
      <c r="M616" s="270" t="e">
        <f>VLOOKUP(B616,материал!$B$5:$H$67,7,0)</f>
        <v>#N/A</v>
      </c>
    </row>
    <row r="617" spans="1:13" s="135" customFormat="1" ht="12.75" customHeight="1" x14ac:dyDescent="0.25">
      <c r="A617" s="166"/>
      <c r="B617" s="171" t="s">
        <v>52</v>
      </c>
      <c r="C617" s="172" t="s">
        <v>105</v>
      </c>
      <c r="D617" s="172" t="s">
        <v>54</v>
      </c>
      <c r="E617" s="172"/>
      <c r="F617" s="172"/>
      <c r="G617" s="173">
        <v>99.09</v>
      </c>
      <c r="H617" s="173">
        <v>79.66</v>
      </c>
      <c r="I617" s="170">
        <f t="shared" si="35"/>
        <v>178.75</v>
      </c>
      <c r="J617" s="174">
        <f>VLOOKUP(B617,работы!$B$5:$F$19,4,0)</f>
        <v>0</v>
      </c>
      <c r="K617" s="174">
        <f t="shared" si="34"/>
        <v>0</v>
      </c>
      <c r="L617" s="172"/>
      <c r="M617" s="270" t="e">
        <f>VLOOKUP(B617,материал!$B$5:$H$67,7,0)</f>
        <v>#N/A</v>
      </c>
    </row>
    <row r="618" spans="1:13" s="135" customFormat="1" ht="24.95" customHeight="1" x14ac:dyDescent="0.25">
      <c r="A618" s="166"/>
      <c r="B618" s="171" t="s">
        <v>55</v>
      </c>
      <c r="C618" s="172"/>
      <c r="D618" s="172" t="s">
        <v>54</v>
      </c>
      <c r="E618" s="172"/>
      <c r="F618" s="172"/>
      <c r="G618" s="173">
        <v>31.05</v>
      </c>
      <c r="H618" s="173">
        <v>44.59</v>
      </c>
      <c r="I618" s="170">
        <f t="shared" si="35"/>
        <v>75.64</v>
      </c>
      <c r="J618" s="174">
        <f>VLOOKUP(B618,работы!$B$5:$F$19,4,0)</f>
        <v>0</v>
      </c>
      <c r="K618" s="174">
        <f t="shared" si="34"/>
        <v>0</v>
      </c>
      <c r="L618" s="172"/>
      <c r="M618" s="270" t="e">
        <f>VLOOKUP(B618,материал!$B$5:$H$67,7,0)</f>
        <v>#N/A</v>
      </c>
    </row>
    <row r="619" spans="1:13" s="135" customFormat="1" ht="12.75" customHeight="1" x14ac:dyDescent="0.25">
      <c r="A619" s="166"/>
      <c r="B619" s="171" t="s">
        <v>256</v>
      </c>
      <c r="C619" s="172"/>
      <c r="D619" s="172" t="s">
        <v>47</v>
      </c>
      <c r="E619" s="172"/>
      <c r="F619" s="172"/>
      <c r="G619" s="173">
        <f>11.4*2.82</f>
        <v>32.147999999999996</v>
      </c>
      <c r="H619" s="173"/>
      <c r="I619" s="170">
        <f t="shared" si="35"/>
        <v>32.147999999999996</v>
      </c>
      <c r="J619" s="174">
        <f>VLOOKUP(B619,работы!$B$5:$F$19,4,0)</f>
        <v>0</v>
      </c>
      <c r="K619" s="174">
        <f t="shared" si="34"/>
        <v>0</v>
      </c>
      <c r="L619" s="172"/>
      <c r="M619" s="270" t="e">
        <f>VLOOKUP(B619,материал!$B$5:$H$67,7,0)</f>
        <v>#N/A</v>
      </c>
    </row>
    <row r="620" spans="1:13" s="135" customFormat="1" ht="12.75" customHeight="1" x14ac:dyDescent="0.25">
      <c r="A620" s="166"/>
      <c r="B620" s="187" t="s">
        <v>56</v>
      </c>
      <c r="C620" s="188"/>
      <c r="D620" s="188" t="s">
        <v>45</v>
      </c>
      <c r="E620" s="188"/>
      <c r="F620" s="188"/>
      <c r="G620" s="173">
        <f>255.08*0.06*0.03</f>
        <v>0.459144</v>
      </c>
      <c r="H620" s="173">
        <f>366.31*0.06*0.03</f>
        <v>0.659358</v>
      </c>
      <c r="I620" s="170">
        <f t="shared" si="35"/>
        <v>1.1185019999999999</v>
      </c>
      <c r="J620" s="174"/>
      <c r="K620" s="174"/>
      <c r="L620" s="188"/>
      <c r="M620" s="270" t="e">
        <f>VLOOKUP(B620,материал!$B$5:$H$67,7,0)</f>
        <v>#N/A</v>
      </c>
    </row>
    <row r="621" spans="1:13" s="135" customFormat="1" x14ac:dyDescent="0.25">
      <c r="A621" s="175"/>
      <c r="B621" s="176" t="s">
        <v>38</v>
      </c>
      <c r="C621" s="177"/>
      <c r="D621" s="177"/>
      <c r="E621" s="177"/>
      <c r="F621" s="177"/>
      <c r="G621" s="178"/>
      <c r="H621" s="178"/>
      <c r="I621" s="179"/>
      <c r="J621" s="180"/>
      <c r="K621" s="179">
        <f ca="1">SUM(K622:K656)</f>
        <v>0</v>
      </c>
      <c r="L621" s="177"/>
      <c r="M621" s="271"/>
    </row>
    <row r="622" spans="1:13" s="135" customFormat="1" ht="25.5" x14ac:dyDescent="0.25">
      <c r="A622" s="181"/>
      <c r="B622" s="182" t="s">
        <v>58</v>
      </c>
      <c r="C622" s="177" t="s">
        <v>59</v>
      </c>
      <c r="D622" s="177" t="s">
        <v>60</v>
      </c>
      <c r="E622" s="178">
        <v>12.4</v>
      </c>
      <c r="F622" s="177">
        <v>0.25</v>
      </c>
      <c r="G622" s="183">
        <f>G609/F622*E622</f>
        <v>1304.9759999999999</v>
      </c>
      <c r="H622" s="183">
        <f>H609/F622*E622</f>
        <v>1735.0079999999998</v>
      </c>
      <c r="I622" s="184">
        <f t="shared" ref="I622:I655" si="36">SUM(G622:H622)</f>
        <v>3039.9839999999995</v>
      </c>
      <c r="J622" s="180">
        <f>VLOOKUP(B622,материал!$B$5:$G$67,5,0)</f>
        <v>0</v>
      </c>
      <c r="K622" s="180">
        <f t="shared" si="34"/>
        <v>0</v>
      </c>
      <c r="L622" s="177"/>
      <c r="M622" s="271" t="str">
        <f>VLOOKUP(B622,материал!$B$5:$H$67,7,0)</f>
        <v>Давальческий материал</v>
      </c>
    </row>
    <row r="623" spans="1:13" s="135" customFormat="1" ht="36.75" customHeight="1" x14ac:dyDescent="0.25">
      <c r="A623" s="181"/>
      <c r="B623" s="182" t="s">
        <v>62</v>
      </c>
      <c r="C623" s="177" t="s">
        <v>63</v>
      </c>
      <c r="D623" s="177" t="s">
        <v>60</v>
      </c>
      <c r="E623" s="178">
        <v>12.4</v>
      </c>
      <c r="F623" s="177"/>
      <c r="G623" s="183">
        <f>G611*E623</f>
        <v>1268.0240000000001</v>
      </c>
      <c r="H623" s="183">
        <f>H611*E623</f>
        <v>2215.6320000000001</v>
      </c>
      <c r="I623" s="184">
        <f t="shared" si="36"/>
        <v>3483.6559999999999</v>
      </c>
      <c r="J623" s="180">
        <f>VLOOKUP(B623,материал!$B$5:$G$67,5,0)</f>
        <v>0</v>
      </c>
      <c r="K623" s="180">
        <f t="shared" si="34"/>
        <v>0</v>
      </c>
      <c r="L623" s="177"/>
      <c r="M623" s="271" t="str">
        <f>VLOOKUP(B623,материал!$B$5:$H$67,7,0)</f>
        <v>Давальческий материал</v>
      </c>
    </row>
    <row r="624" spans="1:13" s="135" customFormat="1" ht="36.75" customHeight="1" x14ac:dyDescent="0.25">
      <c r="A624" s="181"/>
      <c r="B624" s="182" t="s">
        <v>64</v>
      </c>
      <c r="C624" s="177" t="s">
        <v>65</v>
      </c>
      <c r="D624" s="177" t="s">
        <v>60</v>
      </c>
      <c r="E624" s="178">
        <v>12.4</v>
      </c>
      <c r="F624" s="177"/>
      <c r="G624" s="183">
        <f>G612*E624</f>
        <v>665.63200000000006</v>
      </c>
      <c r="H624" s="183">
        <f>H612*E624</f>
        <v>1368.5880000000002</v>
      </c>
      <c r="I624" s="184">
        <f t="shared" si="36"/>
        <v>2034.2200000000003</v>
      </c>
      <c r="J624" s="180">
        <f>VLOOKUP(B624,материал!$B$5:$G$67,5,0)</f>
        <v>0</v>
      </c>
      <c r="K624" s="180">
        <f t="shared" si="34"/>
        <v>0</v>
      </c>
      <c r="L624" s="177"/>
      <c r="M624" s="271" t="str">
        <f>VLOOKUP(B624,материал!$B$5:$H$67,7,0)</f>
        <v>Давальческий материал</v>
      </c>
    </row>
    <row r="625" spans="1:13" s="135" customFormat="1" ht="36.75" customHeight="1" x14ac:dyDescent="0.25">
      <c r="A625" s="181"/>
      <c r="B625" s="182" t="s">
        <v>106</v>
      </c>
      <c r="C625" s="177" t="s">
        <v>107</v>
      </c>
      <c r="D625" s="177" t="s">
        <v>60</v>
      </c>
      <c r="E625" s="178">
        <v>12.4</v>
      </c>
      <c r="F625" s="177"/>
      <c r="G625" s="183">
        <f>G613*E625</f>
        <v>1417.1960000000001</v>
      </c>
      <c r="H625" s="183">
        <f>H613*E625</f>
        <v>2292.5120000000002</v>
      </c>
      <c r="I625" s="184">
        <f t="shared" si="36"/>
        <v>3709.7080000000005</v>
      </c>
      <c r="J625" s="180">
        <f>VLOOKUP(B625,материал!$B$5:$G$67,5,0)</f>
        <v>0</v>
      </c>
      <c r="K625" s="180">
        <f t="shared" si="34"/>
        <v>0</v>
      </c>
      <c r="L625" s="177"/>
      <c r="M625" s="271" t="str">
        <f>VLOOKUP(B625,материал!$B$5:$H$67,7,0)</f>
        <v>Давальческий материал</v>
      </c>
    </row>
    <row r="626" spans="1:13" s="135" customFormat="1" ht="36.75" customHeight="1" x14ac:dyDescent="0.25">
      <c r="A626" s="181"/>
      <c r="B626" s="182" t="s">
        <v>108</v>
      </c>
      <c r="C626" s="177" t="s">
        <v>109</v>
      </c>
      <c r="D626" s="177" t="s">
        <v>60</v>
      </c>
      <c r="E626" s="178">
        <v>12.4</v>
      </c>
      <c r="F626" s="177"/>
      <c r="G626" s="183">
        <f>G614*E626</f>
        <v>1651.4320000000002</v>
      </c>
      <c r="H626" s="183">
        <f>H614*E626</f>
        <v>2353.8920000000003</v>
      </c>
      <c r="I626" s="184">
        <f t="shared" si="36"/>
        <v>4005.3240000000005</v>
      </c>
      <c r="J626" s="180">
        <f>VLOOKUP(B626,материал!$B$5:$G$67,5,0)</f>
        <v>0</v>
      </c>
      <c r="K626" s="180">
        <f t="shared" si="34"/>
        <v>0</v>
      </c>
      <c r="L626" s="177"/>
      <c r="M626" s="271" t="str">
        <f>VLOOKUP(B626,материал!$B$5:$H$67,7,0)</f>
        <v>Давальческий материал</v>
      </c>
    </row>
    <row r="627" spans="1:13" s="135" customFormat="1" ht="12.75" customHeight="1" x14ac:dyDescent="0.25">
      <c r="A627" s="181"/>
      <c r="B627" s="189" t="s">
        <v>66</v>
      </c>
      <c r="C627" s="177" t="s">
        <v>67</v>
      </c>
      <c r="D627" s="177" t="s">
        <v>60</v>
      </c>
      <c r="E627" s="190">
        <v>42</v>
      </c>
      <c r="F627" s="190"/>
      <c r="G627" s="183">
        <f>G615*E627</f>
        <v>2203.3200000000002</v>
      </c>
      <c r="H627" s="183">
        <f>H615*E627</f>
        <v>1621.2</v>
      </c>
      <c r="I627" s="184">
        <f t="shared" si="36"/>
        <v>3824.5200000000004</v>
      </c>
      <c r="J627" s="180">
        <f>VLOOKUP(B627,материал!$B$5:$G$67,5,0)</f>
        <v>0</v>
      </c>
      <c r="K627" s="180">
        <f t="shared" si="34"/>
        <v>0</v>
      </c>
      <c r="L627" s="177"/>
      <c r="M627" s="271" t="str">
        <f>VLOOKUP(B627,материал!$B$5:$H$67,7,0)</f>
        <v>Давальческий материал</v>
      </c>
    </row>
    <row r="628" spans="1:13" s="135" customFormat="1" ht="12.75" customHeight="1" x14ac:dyDescent="0.25">
      <c r="A628" s="181"/>
      <c r="B628" s="189" t="s">
        <v>110</v>
      </c>
      <c r="C628" s="177" t="s">
        <v>111</v>
      </c>
      <c r="D628" s="177" t="s">
        <v>60</v>
      </c>
      <c r="E628" s="190">
        <v>42</v>
      </c>
      <c r="F628" s="190"/>
      <c r="G628" s="183">
        <f>G610/0.25*E628</f>
        <v>288.95999999999998</v>
      </c>
      <c r="H628" s="183">
        <f>H610/0.25*E628</f>
        <v>436.8</v>
      </c>
      <c r="I628" s="184">
        <f t="shared" si="36"/>
        <v>725.76</v>
      </c>
      <c r="J628" s="180">
        <f>VLOOKUP(B628,материал!$B$5:$G$67,5,0)</f>
        <v>0</v>
      </c>
      <c r="K628" s="180">
        <f t="shared" si="34"/>
        <v>0</v>
      </c>
      <c r="L628" s="177"/>
      <c r="M628" s="271" t="str">
        <f>VLOOKUP(B628,материал!$B$5:$H$67,7,0)</f>
        <v>Давальческий материал</v>
      </c>
    </row>
    <row r="629" spans="1:13" s="135" customFormat="1" ht="12.75" customHeight="1" x14ac:dyDescent="0.25">
      <c r="A629" s="181"/>
      <c r="B629" s="191" t="s">
        <v>69</v>
      </c>
      <c r="C629" s="177" t="s">
        <v>70</v>
      </c>
      <c r="D629" s="177" t="s">
        <v>45</v>
      </c>
      <c r="E629" s="177">
        <v>0.19500000000000001</v>
      </c>
      <c r="F629" s="190"/>
      <c r="G629" s="178">
        <f>G609*E629+G611*E629*0.19+G612*E629*0.19+G613*E629*0.09+G614*E629*0.09</f>
        <v>15.251125500000001</v>
      </c>
      <c r="H629" s="178">
        <f>H609*E629+H611*E629*0.19+H612*E629*0.19+H613*E629*0.09+H614*E629*0.09</f>
        <v>24.106563000000001</v>
      </c>
      <c r="I629" s="179">
        <f t="shared" si="36"/>
        <v>39.357688500000002</v>
      </c>
      <c r="J629" s="180">
        <f>VLOOKUP(B629,материал!$B$5:$G$67,5,0)</f>
        <v>0</v>
      </c>
      <c r="K629" s="180">
        <f t="shared" si="34"/>
        <v>0</v>
      </c>
      <c r="L629" s="177"/>
      <c r="M629" s="271" t="str">
        <f>VLOOKUP(B629,материал!$B$5:$H$67,7,0)</f>
        <v>Закуп подярдчика</v>
      </c>
    </row>
    <row r="630" spans="1:13" s="135" customFormat="1" ht="12.75" customHeight="1" x14ac:dyDescent="0.25">
      <c r="A630" s="192"/>
      <c r="B630" s="191" t="s">
        <v>112</v>
      </c>
      <c r="C630" s="177" t="s">
        <v>70</v>
      </c>
      <c r="D630" s="177" t="s">
        <v>45</v>
      </c>
      <c r="E630" s="177">
        <v>0.24</v>
      </c>
      <c r="F630" s="177"/>
      <c r="G630" s="178">
        <f>G610*E630</f>
        <v>0.4128</v>
      </c>
      <c r="H630" s="178">
        <f>H610*E630</f>
        <v>0.624</v>
      </c>
      <c r="I630" s="179">
        <f t="shared" si="36"/>
        <v>1.0367999999999999</v>
      </c>
      <c r="J630" s="180">
        <f>VLOOKUP(B630,материал!$B$5:$G$67,5,0)</f>
        <v>0</v>
      </c>
      <c r="K630" s="180">
        <f t="shared" si="34"/>
        <v>0</v>
      </c>
      <c r="L630" s="177"/>
      <c r="M630" s="271" t="str">
        <f>VLOOKUP(B630,материал!$B$5:$H$67,7,0)</f>
        <v>Закуп подярдчика</v>
      </c>
    </row>
    <row r="631" spans="1:13" s="135" customFormat="1" ht="12.75" customHeight="1" x14ac:dyDescent="0.25">
      <c r="A631" s="192"/>
      <c r="B631" s="191" t="s">
        <v>72</v>
      </c>
      <c r="C631" s="177" t="s">
        <v>70</v>
      </c>
      <c r="D631" s="177" t="s">
        <v>45</v>
      </c>
      <c r="E631" s="177">
        <v>4.5999999999999999E-2</v>
      </c>
      <c r="F631" s="177"/>
      <c r="G631" s="178">
        <f>G615*E631</f>
        <v>2.41316</v>
      </c>
      <c r="H631" s="178">
        <f>H615*E631</f>
        <v>1.7756000000000001</v>
      </c>
      <c r="I631" s="179">
        <f t="shared" si="36"/>
        <v>4.1887600000000003</v>
      </c>
      <c r="J631" s="180">
        <f>VLOOKUP(B631,материал!$B$5:$G$67,5,0)</f>
        <v>0</v>
      </c>
      <c r="K631" s="180">
        <f t="shared" si="34"/>
        <v>0</v>
      </c>
      <c r="L631" s="177"/>
      <c r="M631" s="271" t="str">
        <f>VLOOKUP(B631,материал!$B$5:$H$67,7,0)</f>
        <v>Закуп подярдчика</v>
      </c>
    </row>
    <row r="632" spans="1:13" s="135" customFormat="1" ht="12.75" customHeight="1" x14ac:dyDescent="0.25">
      <c r="A632" s="192"/>
      <c r="B632" s="191" t="s">
        <v>74</v>
      </c>
      <c r="C632" s="177" t="s">
        <v>70</v>
      </c>
      <c r="D632" s="177" t="s">
        <v>45</v>
      </c>
      <c r="E632" s="177">
        <v>1.01</v>
      </c>
      <c r="F632" s="177"/>
      <c r="G632" s="178">
        <f>G620*E632</f>
        <v>0.46373544</v>
      </c>
      <c r="H632" s="178">
        <f>H620*E632</f>
        <v>0.66595157999999999</v>
      </c>
      <c r="I632" s="179">
        <f t="shared" si="36"/>
        <v>1.12968702</v>
      </c>
      <c r="J632" s="180">
        <f>VLOOKUP(B632,материал!$B$5:$G$67,5,0)</f>
        <v>0</v>
      </c>
      <c r="K632" s="180">
        <f t="shared" si="34"/>
        <v>0</v>
      </c>
      <c r="L632" s="177"/>
      <c r="M632" s="271" t="str">
        <f>VLOOKUP(B632,материал!$B$5:$H$67,7,0)</f>
        <v>Закуп подярдчика</v>
      </c>
    </row>
    <row r="633" spans="1:13" s="135" customFormat="1" ht="12.75" customHeight="1" x14ac:dyDescent="0.25">
      <c r="A633" s="181"/>
      <c r="B633" s="189" t="s">
        <v>75</v>
      </c>
      <c r="C633" s="177" t="s">
        <v>70</v>
      </c>
      <c r="D633" s="177" t="s">
        <v>45</v>
      </c>
      <c r="E633" s="177">
        <v>6.0000000000000001E-3</v>
      </c>
      <c r="F633" s="177"/>
      <c r="G633" s="178">
        <f>G616*E633</f>
        <v>0.42599999999999999</v>
      </c>
      <c r="H633" s="178">
        <f>H616*E633</f>
        <v>0.56400000000000006</v>
      </c>
      <c r="I633" s="179">
        <f t="shared" si="36"/>
        <v>0.99</v>
      </c>
      <c r="J633" s="180">
        <f>VLOOKUP(B633,материал!$B$5:$G$67,5,0)</f>
        <v>0</v>
      </c>
      <c r="K633" s="180">
        <f t="shared" si="34"/>
        <v>0</v>
      </c>
      <c r="L633" s="177"/>
      <c r="M633" s="271" t="str">
        <f>VLOOKUP(B633,материал!$B$5:$H$67,7,0)</f>
        <v>Закуп подярдчика</v>
      </c>
    </row>
    <row r="634" spans="1:13" s="135" customFormat="1" ht="12.75" customHeight="1" x14ac:dyDescent="0.25">
      <c r="A634" s="181"/>
      <c r="B634" s="189" t="s">
        <v>77</v>
      </c>
      <c r="C634" s="177" t="s">
        <v>70</v>
      </c>
      <c r="D634" s="177" t="s">
        <v>45</v>
      </c>
      <c r="E634" s="177">
        <v>1.01</v>
      </c>
      <c r="F634" s="177"/>
      <c r="G634" s="193">
        <v>5.3999999999999999E-2</v>
      </c>
      <c r="H634" s="193">
        <v>8.6999999999999994E-2</v>
      </c>
      <c r="I634" s="179">
        <f t="shared" si="36"/>
        <v>0.14099999999999999</v>
      </c>
      <c r="J634" s="180">
        <f>VLOOKUP(B634,материал!$B$5:$G$67,5,0)</f>
        <v>0</v>
      </c>
      <c r="K634" s="180">
        <f t="shared" si="34"/>
        <v>0</v>
      </c>
      <c r="L634" s="194"/>
      <c r="M634" s="271" t="str">
        <f>VLOOKUP(B634,материал!$B$5:$H$67,7,0)</f>
        <v>Закуп подярдчика</v>
      </c>
    </row>
    <row r="635" spans="1:13" s="135" customFormat="1" ht="12.75" customHeight="1" x14ac:dyDescent="0.25">
      <c r="A635" s="181"/>
      <c r="B635" s="189" t="s">
        <v>78</v>
      </c>
      <c r="C635" s="177" t="s">
        <v>79</v>
      </c>
      <c r="D635" s="177" t="s">
        <v>47</v>
      </c>
      <c r="E635" s="177"/>
      <c r="F635" s="177"/>
      <c r="G635" s="178">
        <v>153.38</v>
      </c>
      <c r="H635" s="178">
        <v>226.65</v>
      </c>
      <c r="I635" s="179">
        <f t="shared" si="36"/>
        <v>380.03</v>
      </c>
      <c r="J635" s="180">
        <f>VLOOKUP(B635,материал!$B$5:$G$67,5,0)</f>
        <v>0</v>
      </c>
      <c r="K635" s="180">
        <f t="shared" si="34"/>
        <v>0</v>
      </c>
      <c r="L635" s="194"/>
      <c r="M635" s="271" t="str">
        <f>VLOOKUP(B635,материал!$B$5:$H$67,7,0)</f>
        <v>Закуп подярдчика</v>
      </c>
    </row>
    <row r="636" spans="1:13" s="135" customFormat="1" ht="27" customHeight="1" x14ac:dyDescent="0.25">
      <c r="A636" s="181"/>
      <c r="B636" s="189" t="s">
        <v>277</v>
      </c>
      <c r="C636" s="177" t="s">
        <v>114</v>
      </c>
      <c r="D636" s="177" t="s">
        <v>60</v>
      </c>
      <c r="E636" s="177"/>
      <c r="F636" s="177"/>
      <c r="G636" s="178">
        <v>18</v>
      </c>
      <c r="H636" s="178">
        <v>14</v>
      </c>
      <c r="I636" s="179">
        <f t="shared" si="36"/>
        <v>32</v>
      </c>
      <c r="J636" s="180">
        <f>VLOOKUP(B636,материал!$B$5:$G$67,5,0)</f>
        <v>0</v>
      </c>
      <c r="K636" s="180">
        <f t="shared" si="34"/>
        <v>0</v>
      </c>
      <c r="L636" s="194"/>
      <c r="M636" s="271" t="str">
        <f>VLOOKUP(B636,материал!$B$5:$H$67,7,0)</f>
        <v>Закуп подярдчика</v>
      </c>
    </row>
    <row r="637" spans="1:13" s="135" customFormat="1" ht="27" customHeight="1" x14ac:dyDescent="0.25">
      <c r="A637" s="181"/>
      <c r="B637" s="189" t="s">
        <v>278</v>
      </c>
      <c r="C637" s="177" t="s">
        <v>116</v>
      </c>
      <c r="D637" s="177" t="s">
        <v>60</v>
      </c>
      <c r="E637" s="177"/>
      <c r="F637" s="177"/>
      <c r="G637" s="178">
        <v>1</v>
      </c>
      <c r="H637" s="178">
        <v>10</v>
      </c>
      <c r="I637" s="179">
        <f t="shared" si="36"/>
        <v>11</v>
      </c>
      <c r="J637" s="180">
        <f>VLOOKUP(B637,материал!$B$5:$G$67,5,0)</f>
        <v>0</v>
      </c>
      <c r="K637" s="180">
        <f t="shared" si="34"/>
        <v>0</v>
      </c>
      <c r="L637" s="194"/>
      <c r="M637" s="271" t="str">
        <f>VLOOKUP(B637,материал!$B$5:$H$67,7,0)</f>
        <v>Закуп подярдчика</v>
      </c>
    </row>
    <row r="638" spans="1:13" s="135" customFormat="1" ht="27" customHeight="1" x14ac:dyDescent="0.25">
      <c r="A638" s="181"/>
      <c r="B638" s="189" t="s">
        <v>279</v>
      </c>
      <c r="C638" s="177" t="s">
        <v>282</v>
      </c>
      <c r="D638" s="177" t="s">
        <v>60</v>
      </c>
      <c r="E638" s="177"/>
      <c r="F638" s="177"/>
      <c r="G638" s="178"/>
      <c r="H638" s="178">
        <v>4</v>
      </c>
      <c r="I638" s="179">
        <f t="shared" si="36"/>
        <v>4</v>
      </c>
      <c r="J638" s="180">
        <f>VLOOKUP(B638,материал!$B$5:$G$67,5,0)</f>
        <v>0</v>
      </c>
      <c r="K638" s="180">
        <f t="shared" si="34"/>
        <v>0</v>
      </c>
      <c r="L638" s="194"/>
      <c r="M638" s="271" t="str">
        <f>VLOOKUP(B638,материал!$B$5:$H$67,7,0)</f>
        <v>Закуп подярдчика</v>
      </c>
    </row>
    <row r="639" spans="1:13" s="135" customFormat="1" ht="27" customHeight="1" x14ac:dyDescent="0.25">
      <c r="A639" s="181"/>
      <c r="B639" s="189" t="s">
        <v>281</v>
      </c>
      <c r="C639" s="177" t="s">
        <v>284</v>
      </c>
      <c r="D639" s="177" t="s">
        <v>60</v>
      </c>
      <c r="E639" s="177"/>
      <c r="F639" s="177"/>
      <c r="G639" s="178">
        <v>9</v>
      </c>
      <c r="H639" s="178">
        <v>4</v>
      </c>
      <c r="I639" s="179">
        <f t="shared" si="36"/>
        <v>13</v>
      </c>
      <c r="J639" s="180">
        <f>VLOOKUP(B639,материал!$B$5:$G$67,5,0)</f>
        <v>0</v>
      </c>
      <c r="K639" s="180">
        <f t="shared" si="34"/>
        <v>0</v>
      </c>
      <c r="L639" s="194"/>
      <c r="M639" s="271" t="str">
        <f>VLOOKUP(B639,материал!$B$5:$H$67,7,0)</f>
        <v>Закуп подярдчика</v>
      </c>
    </row>
    <row r="640" spans="1:13" s="135" customFormat="1" ht="27" customHeight="1" x14ac:dyDescent="0.25">
      <c r="A640" s="181"/>
      <c r="B640" s="189" t="s">
        <v>283</v>
      </c>
      <c r="C640" s="177" t="s">
        <v>286</v>
      </c>
      <c r="D640" s="177" t="s">
        <v>60</v>
      </c>
      <c r="E640" s="177"/>
      <c r="F640" s="177"/>
      <c r="G640" s="178">
        <v>1</v>
      </c>
      <c r="H640" s="178">
        <v>1</v>
      </c>
      <c r="I640" s="179">
        <f t="shared" si="36"/>
        <v>2</v>
      </c>
      <c r="J640" s="180">
        <f>VLOOKUP(B640,материал!$B$5:$G$67,5,0)</f>
        <v>0</v>
      </c>
      <c r="K640" s="180">
        <f t="shared" si="34"/>
        <v>0</v>
      </c>
      <c r="L640" s="194"/>
      <c r="M640" s="271" t="str">
        <f>VLOOKUP(B640,материал!$B$5:$H$67,7,0)</f>
        <v>Закуп подярдчика</v>
      </c>
    </row>
    <row r="641" spans="1:13" s="135" customFormat="1" ht="27" customHeight="1" x14ac:dyDescent="0.25">
      <c r="A641" s="181"/>
      <c r="B641" s="189" t="s">
        <v>285</v>
      </c>
      <c r="C641" s="177" t="s">
        <v>288</v>
      </c>
      <c r="D641" s="177" t="s">
        <v>60</v>
      </c>
      <c r="E641" s="177"/>
      <c r="F641" s="177"/>
      <c r="G641" s="178">
        <v>1</v>
      </c>
      <c r="H641" s="178">
        <v>1</v>
      </c>
      <c r="I641" s="179">
        <f t="shared" si="36"/>
        <v>2</v>
      </c>
      <c r="J641" s="180">
        <f>VLOOKUP(B641,материал!$B$5:$G$67,5,0)</f>
        <v>0</v>
      </c>
      <c r="K641" s="180">
        <f t="shared" si="34"/>
        <v>0</v>
      </c>
      <c r="L641" s="194"/>
      <c r="M641" s="271" t="str">
        <f>VLOOKUP(B641,материал!$B$5:$H$67,7,0)</f>
        <v>Закуп подярдчика</v>
      </c>
    </row>
    <row r="642" spans="1:13" s="135" customFormat="1" ht="27" customHeight="1" x14ac:dyDescent="0.25">
      <c r="A642" s="181"/>
      <c r="B642" s="189" t="s">
        <v>287</v>
      </c>
      <c r="C642" s="177" t="s">
        <v>290</v>
      </c>
      <c r="D642" s="177" t="s">
        <v>60</v>
      </c>
      <c r="E642" s="177"/>
      <c r="F642" s="177"/>
      <c r="G642" s="178">
        <v>6</v>
      </c>
      <c r="H642" s="178">
        <v>4</v>
      </c>
      <c r="I642" s="179">
        <f t="shared" si="36"/>
        <v>10</v>
      </c>
      <c r="J642" s="180">
        <f>VLOOKUP(B642,материал!$B$5:$G$67,5,0)</f>
        <v>0</v>
      </c>
      <c r="K642" s="180">
        <f t="shared" si="34"/>
        <v>0</v>
      </c>
      <c r="L642" s="194"/>
      <c r="M642" s="271" t="str">
        <f>VLOOKUP(B642,материал!$B$5:$H$67,7,0)</f>
        <v>Закуп подярдчика</v>
      </c>
    </row>
    <row r="643" spans="1:13" s="135" customFormat="1" ht="27" customHeight="1" x14ac:dyDescent="0.25">
      <c r="A643" s="181"/>
      <c r="B643" s="189" t="s">
        <v>289</v>
      </c>
      <c r="C643" s="177" t="s">
        <v>292</v>
      </c>
      <c r="D643" s="177" t="s">
        <v>60</v>
      </c>
      <c r="E643" s="177"/>
      <c r="F643" s="177"/>
      <c r="G643" s="178">
        <v>20</v>
      </c>
      <c r="H643" s="178">
        <v>26</v>
      </c>
      <c r="I643" s="179">
        <f t="shared" si="36"/>
        <v>46</v>
      </c>
      <c r="J643" s="180">
        <f>VLOOKUP(B643,материал!$B$5:$G$67,5,0)</f>
        <v>0</v>
      </c>
      <c r="K643" s="180">
        <f t="shared" si="34"/>
        <v>0</v>
      </c>
      <c r="L643" s="194"/>
      <c r="M643" s="271" t="str">
        <f>VLOOKUP(B643,материал!$B$5:$H$67,7,0)</f>
        <v>Закуп подярдчика</v>
      </c>
    </row>
    <row r="644" spans="1:13" s="135" customFormat="1" ht="27" customHeight="1" x14ac:dyDescent="0.25">
      <c r="A644" s="181"/>
      <c r="B644" s="189" t="s">
        <v>291</v>
      </c>
      <c r="C644" s="177" t="s">
        <v>294</v>
      </c>
      <c r="D644" s="177" t="s">
        <v>60</v>
      </c>
      <c r="E644" s="177"/>
      <c r="F644" s="177"/>
      <c r="G644" s="178">
        <v>2</v>
      </c>
      <c r="H644" s="178">
        <v>18</v>
      </c>
      <c r="I644" s="179">
        <f t="shared" si="36"/>
        <v>20</v>
      </c>
      <c r="J644" s="180">
        <f>VLOOKUP(B644,материал!$B$5:$G$67,5,0)</f>
        <v>0</v>
      </c>
      <c r="K644" s="180">
        <f t="shared" si="34"/>
        <v>0</v>
      </c>
      <c r="L644" s="194"/>
      <c r="M644" s="271" t="str">
        <f>VLOOKUP(B644,материал!$B$5:$H$67,7,0)</f>
        <v>Закуп подярдчика</v>
      </c>
    </row>
    <row r="645" spans="1:13" s="135" customFormat="1" ht="27" customHeight="1" x14ac:dyDescent="0.25">
      <c r="A645" s="181"/>
      <c r="B645" s="189" t="s">
        <v>313</v>
      </c>
      <c r="C645" s="177" t="s">
        <v>296</v>
      </c>
      <c r="D645" s="177" t="s">
        <v>60</v>
      </c>
      <c r="E645" s="177"/>
      <c r="F645" s="177"/>
      <c r="G645" s="178">
        <v>4</v>
      </c>
      <c r="H645" s="178"/>
      <c r="I645" s="179">
        <f t="shared" si="36"/>
        <v>4</v>
      </c>
      <c r="J645" s="180">
        <f>VLOOKUP(B645,материал!$B$5:$G$67,5,0)</f>
        <v>0</v>
      </c>
      <c r="K645" s="180">
        <f t="shared" si="34"/>
        <v>0</v>
      </c>
      <c r="L645" s="194"/>
      <c r="M645" s="271" t="str">
        <f>VLOOKUP(B645,материал!$B$5:$H$67,7,0)</f>
        <v>Закуп подярдчика</v>
      </c>
    </row>
    <row r="646" spans="1:13" s="135" customFormat="1" ht="27" customHeight="1" x14ac:dyDescent="0.25">
      <c r="A646" s="181"/>
      <c r="B646" s="189" t="s">
        <v>293</v>
      </c>
      <c r="C646" s="177" t="s">
        <v>314</v>
      </c>
      <c r="D646" s="177" t="s">
        <v>60</v>
      </c>
      <c r="E646" s="177"/>
      <c r="F646" s="177"/>
      <c r="G646" s="178">
        <v>4</v>
      </c>
      <c r="H646" s="178"/>
      <c r="I646" s="179">
        <f t="shared" si="36"/>
        <v>4</v>
      </c>
      <c r="J646" s="180">
        <f>VLOOKUP(B646,материал!$B$5:$G$67,5,0)</f>
        <v>0</v>
      </c>
      <c r="K646" s="180">
        <f t="shared" si="34"/>
        <v>0</v>
      </c>
      <c r="L646" s="194"/>
      <c r="M646" s="271" t="str">
        <f>VLOOKUP(B646,материал!$B$5:$H$67,7,0)</f>
        <v>Закуп подярдчика</v>
      </c>
    </row>
    <row r="647" spans="1:13" s="135" customFormat="1" ht="27" customHeight="1" x14ac:dyDescent="0.25">
      <c r="A647" s="181"/>
      <c r="B647" s="189" t="s">
        <v>295</v>
      </c>
      <c r="C647" s="177" t="s">
        <v>118</v>
      </c>
      <c r="D647" s="177" t="s">
        <v>60</v>
      </c>
      <c r="E647" s="177"/>
      <c r="F647" s="177"/>
      <c r="G647" s="178">
        <v>1</v>
      </c>
      <c r="H647" s="178">
        <v>2</v>
      </c>
      <c r="I647" s="179">
        <f t="shared" si="36"/>
        <v>3</v>
      </c>
      <c r="J647" s="180">
        <f>VLOOKUP(B647,материал!$B$5:$G$67,5,0)</f>
        <v>0</v>
      </c>
      <c r="K647" s="180">
        <f t="shared" si="34"/>
        <v>0</v>
      </c>
      <c r="L647" s="194"/>
      <c r="M647" s="271" t="str">
        <f>VLOOKUP(B647,материал!$B$5:$H$67,7,0)</f>
        <v>Закуп подярдчика</v>
      </c>
    </row>
    <row r="648" spans="1:13" s="135" customFormat="1" ht="27" customHeight="1" x14ac:dyDescent="0.25">
      <c r="A648" s="181"/>
      <c r="B648" s="189" t="s">
        <v>315</v>
      </c>
      <c r="C648" s="177" t="s">
        <v>120</v>
      </c>
      <c r="D648" s="177" t="s">
        <v>60</v>
      </c>
      <c r="E648" s="177"/>
      <c r="F648" s="177"/>
      <c r="G648" s="178">
        <v>4</v>
      </c>
      <c r="H648" s="178">
        <v>10</v>
      </c>
      <c r="I648" s="179">
        <f t="shared" si="36"/>
        <v>14</v>
      </c>
      <c r="J648" s="180">
        <f>VLOOKUP(B648,материал!$B$5:$G$67,5,0)</f>
        <v>0</v>
      </c>
      <c r="K648" s="180">
        <f t="shared" si="34"/>
        <v>0</v>
      </c>
      <c r="L648" s="194"/>
      <c r="M648" s="271" t="str">
        <f>VLOOKUP(B648,материал!$B$5:$H$67,7,0)</f>
        <v>Закуп подярдчика</v>
      </c>
    </row>
    <row r="649" spans="1:13" s="137" customFormat="1" ht="12.75" customHeight="1" x14ac:dyDescent="0.25">
      <c r="A649" s="181"/>
      <c r="B649" s="189" t="s">
        <v>92</v>
      </c>
      <c r="C649" s="177" t="s">
        <v>93</v>
      </c>
      <c r="D649" s="177" t="s">
        <v>54</v>
      </c>
      <c r="E649" s="177">
        <v>1.04</v>
      </c>
      <c r="F649" s="177"/>
      <c r="G649" s="178">
        <f>127.56*E649</f>
        <v>132.66240000000002</v>
      </c>
      <c r="H649" s="178">
        <f>180.66*E649</f>
        <v>187.88640000000001</v>
      </c>
      <c r="I649" s="179">
        <f t="shared" si="36"/>
        <v>320.54880000000003</v>
      </c>
      <c r="J649" s="180">
        <f>VLOOKUP(B649,материал!$B$5:$G$67,5,0)</f>
        <v>0</v>
      </c>
      <c r="K649" s="180">
        <f t="shared" si="34"/>
        <v>0</v>
      </c>
      <c r="L649" s="194"/>
      <c r="M649" s="271" t="str">
        <f>VLOOKUP(B649,материал!$B$5:$H$67,7,0)</f>
        <v>Закуп подярдчика</v>
      </c>
    </row>
    <row r="650" spans="1:13" s="135" customFormat="1" ht="12.75" customHeight="1" x14ac:dyDescent="0.25">
      <c r="A650" s="181"/>
      <c r="B650" s="189" t="s">
        <v>94</v>
      </c>
      <c r="C650" s="177" t="s">
        <v>95</v>
      </c>
      <c r="D650" s="177" t="s">
        <v>54</v>
      </c>
      <c r="E650" s="177">
        <v>1.04</v>
      </c>
      <c r="F650" s="177"/>
      <c r="G650" s="178">
        <f>G618*E650</f>
        <v>32.292000000000002</v>
      </c>
      <c r="H650" s="178">
        <f>H618*E650</f>
        <v>46.373600000000003</v>
      </c>
      <c r="I650" s="179">
        <f t="shared" si="36"/>
        <v>78.665600000000012</v>
      </c>
      <c r="J650" s="180">
        <f>VLOOKUP(B650,материал!$B$5:$G$67,5,0)</f>
        <v>0</v>
      </c>
      <c r="K650" s="180">
        <f t="shared" si="34"/>
        <v>0</v>
      </c>
      <c r="L650" s="194"/>
      <c r="M650" s="271" t="str">
        <f>VLOOKUP(B650,материал!$B$5:$H$67,7,0)</f>
        <v>Закуп подярдчика</v>
      </c>
    </row>
    <row r="651" spans="1:13" s="135" customFormat="1" ht="12.75" customHeight="1" x14ac:dyDescent="0.25">
      <c r="A651" s="181"/>
      <c r="B651" s="189" t="s">
        <v>131</v>
      </c>
      <c r="C651" s="177" t="s">
        <v>39</v>
      </c>
      <c r="D651" s="177" t="s">
        <v>54</v>
      </c>
      <c r="E651" s="177">
        <v>1.04</v>
      </c>
      <c r="F651" s="177"/>
      <c r="G651" s="178">
        <f>46.68*E651</f>
        <v>48.547200000000004</v>
      </c>
      <c r="H651" s="178">
        <f>31.12*E651</f>
        <v>32.364800000000002</v>
      </c>
      <c r="I651" s="179">
        <f t="shared" si="36"/>
        <v>80.912000000000006</v>
      </c>
      <c r="J651" s="180">
        <f>VLOOKUP(B651,материал!$B$5:$G$67,5,0)</f>
        <v>0</v>
      </c>
      <c r="K651" s="180">
        <f t="shared" si="34"/>
        <v>0</v>
      </c>
      <c r="L651" s="194"/>
      <c r="M651" s="271" t="str">
        <f>VLOOKUP(B651,материал!$B$5:$H$67,7,0)</f>
        <v>Закуп подярдчика</v>
      </c>
    </row>
    <row r="652" spans="1:13" s="135" customFormat="1" ht="12.75" customHeight="1" x14ac:dyDescent="0.25">
      <c r="A652" s="181"/>
      <c r="B652" s="189" t="s">
        <v>96</v>
      </c>
      <c r="C652" s="177" t="s">
        <v>39</v>
      </c>
      <c r="D652" s="177" t="s">
        <v>54</v>
      </c>
      <c r="E652" s="177">
        <v>1.04</v>
      </c>
      <c r="F652" s="177"/>
      <c r="G652" s="178">
        <f>25.93*E652</f>
        <v>26.967200000000002</v>
      </c>
      <c r="H652" s="178">
        <f>E652*17.2</f>
        <v>17.887999999999998</v>
      </c>
      <c r="I652" s="179">
        <f t="shared" si="36"/>
        <v>44.855199999999996</v>
      </c>
      <c r="J652" s="180">
        <f>VLOOKUP(B652,материал!$B$5:$G$67,5,0)</f>
        <v>0</v>
      </c>
      <c r="K652" s="180">
        <f t="shared" si="34"/>
        <v>0</v>
      </c>
      <c r="L652" s="194"/>
      <c r="M652" s="271" t="str">
        <f>VLOOKUP(B652,материал!$B$5:$H$67,7,0)</f>
        <v>Закуп подярдчика</v>
      </c>
    </row>
    <row r="653" spans="1:13" s="135" customFormat="1" ht="12.75" customHeight="1" x14ac:dyDescent="0.25">
      <c r="A653" s="181"/>
      <c r="B653" s="189" t="s">
        <v>97</v>
      </c>
      <c r="C653" s="177" t="s">
        <v>39</v>
      </c>
      <c r="D653" s="177" t="s">
        <v>54</v>
      </c>
      <c r="E653" s="177">
        <v>1.04</v>
      </c>
      <c r="F653" s="177"/>
      <c r="G653" s="178">
        <f>E653*10.72</f>
        <v>11.148800000000001</v>
      </c>
      <c r="H653" s="178">
        <f>E653*20.84</f>
        <v>21.6736</v>
      </c>
      <c r="I653" s="179">
        <f t="shared" si="36"/>
        <v>32.822400000000002</v>
      </c>
      <c r="J653" s="180">
        <f>VLOOKUP(B653,материал!$B$5:$G$67,5,0)</f>
        <v>0</v>
      </c>
      <c r="K653" s="180">
        <f t="shared" si="34"/>
        <v>0</v>
      </c>
      <c r="L653" s="194"/>
      <c r="M653" s="271" t="str">
        <f>VLOOKUP(B653,материал!$B$5:$H$67,7,0)</f>
        <v>Закуп подярдчика</v>
      </c>
    </row>
    <row r="654" spans="1:13" s="135" customFormat="1" ht="12.75" customHeight="1" x14ac:dyDescent="0.25">
      <c r="A654" s="181"/>
      <c r="B654" s="189" t="s">
        <v>132</v>
      </c>
      <c r="C654" s="177" t="s">
        <v>39</v>
      </c>
      <c r="D654" s="177" t="s">
        <v>54</v>
      </c>
      <c r="E654" s="177">
        <v>1.04</v>
      </c>
      <c r="F654" s="177"/>
      <c r="G654" s="178">
        <f>15.75*E654</f>
        <v>16.38</v>
      </c>
      <c r="H654" s="178">
        <f>10.5*E654</f>
        <v>10.92</v>
      </c>
      <c r="I654" s="179">
        <f t="shared" si="36"/>
        <v>27.299999999999997</v>
      </c>
      <c r="J654" s="180">
        <f>VLOOKUP(B654,материал!$B$5:$G$67,5,0)</f>
        <v>0</v>
      </c>
      <c r="K654" s="180">
        <f t="shared" si="34"/>
        <v>0</v>
      </c>
      <c r="L654" s="194"/>
      <c r="M654" s="271" t="str">
        <f>VLOOKUP(B654,материал!$B$5:$H$67,7,0)</f>
        <v>Закуп подярдчика</v>
      </c>
    </row>
    <row r="655" spans="1:13" s="135" customFormat="1" ht="24" customHeight="1" x14ac:dyDescent="0.25">
      <c r="A655" s="181"/>
      <c r="B655" s="189" t="s">
        <v>275</v>
      </c>
      <c r="C655" s="177" t="s">
        <v>276</v>
      </c>
      <c r="D655" s="177" t="s">
        <v>45</v>
      </c>
      <c r="E655" s="177">
        <v>1.04</v>
      </c>
      <c r="F655" s="177"/>
      <c r="G655" s="178">
        <f>G619*0.05*E655</f>
        <v>1.6716960000000001</v>
      </c>
      <c r="H655" s="178">
        <f>H619*0.05*E655</f>
        <v>0</v>
      </c>
      <c r="I655" s="179">
        <f t="shared" si="36"/>
        <v>1.6716960000000001</v>
      </c>
      <c r="J655" s="180">
        <f>VLOOKUP(B655,материал!$B$5:$G$67,5,0)</f>
        <v>0</v>
      </c>
      <c r="K655" s="180">
        <f t="shared" si="34"/>
        <v>0</v>
      </c>
      <c r="L655" s="194"/>
      <c r="M655" s="271" t="str">
        <f>VLOOKUP(B655,материал!$B$5:$H$67,7,0)</f>
        <v>Закуп подярдчика</v>
      </c>
    </row>
    <row r="656" spans="1:13" s="135" customFormat="1" ht="25.5" x14ac:dyDescent="0.25">
      <c r="A656" s="195"/>
      <c r="B656" s="196" t="s">
        <v>133</v>
      </c>
      <c r="C656" s="197" t="s">
        <v>39</v>
      </c>
      <c r="D656" s="197" t="s">
        <v>99</v>
      </c>
      <c r="E656" s="197"/>
      <c r="F656" s="197"/>
      <c r="G656" s="198"/>
      <c r="H656" s="198"/>
      <c r="I656" s="199">
        <f ca="1">SUMIF(материал!$B$5:$G$67,B656,материал!$E$5:$E$67)</f>
        <v>0</v>
      </c>
      <c r="J656" s="179"/>
      <c r="K656" s="180">
        <f ca="1">SUM(K622:K655)*I656%</f>
        <v>0</v>
      </c>
      <c r="L656" s="200"/>
      <c r="M656" s="274" t="str">
        <f>VLOOKUP(B656,материал!$B$5:$H$67,7,0)</f>
        <v>Закуп подярдчика</v>
      </c>
    </row>
    <row r="657" spans="1:13" s="135" customFormat="1" ht="12.75" customHeight="1" x14ac:dyDescent="0.25">
      <c r="A657" s="160" t="s">
        <v>156</v>
      </c>
      <c r="B657" s="161" t="s">
        <v>157</v>
      </c>
      <c r="C657" s="162"/>
      <c r="D657" s="163"/>
      <c r="E657" s="162"/>
      <c r="F657" s="162"/>
      <c r="G657" s="164"/>
      <c r="H657" s="164"/>
      <c r="I657" s="165"/>
      <c r="J657" s="165"/>
      <c r="K657" s="165">
        <f ca="1">K658+K671</f>
        <v>0</v>
      </c>
      <c r="L657" s="186"/>
      <c r="M657" s="273" t="e">
        <f>VLOOKUP(B657,материал!$B$5:$H$67,7,0)</f>
        <v>#N/A</v>
      </c>
    </row>
    <row r="658" spans="1:13" s="135" customFormat="1" ht="12.75" customHeight="1" x14ac:dyDescent="0.25">
      <c r="A658" s="166"/>
      <c r="B658" s="167" t="s">
        <v>34</v>
      </c>
      <c r="C658" s="168"/>
      <c r="D658" s="168"/>
      <c r="E658" s="168"/>
      <c r="F658" s="168"/>
      <c r="G658" s="169"/>
      <c r="H658" s="169"/>
      <c r="I658" s="170"/>
      <c r="J658" s="170"/>
      <c r="K658" s="170">
        <f>SUM(K659:K669)</f>
        <v>0</v>
      </c>
      <c r="L658" s="172"/>
      <c r="M658" s="270" t="e">
        <f>VLOOKUP(B658,материал!$B$5:$H$67,7,0)</f>
        <v>#N/A</v>
      </c>
    </row>
    <row r="659" spans="1:13" s="135" customFormat="1" ht="24.95" customHeight="1" x14ac:dyDescent="0.25">
      <c r="A659" s="166"/>
      <c r="B659" s="171" t="s">
        <v>44</v>
      </c>
      <c r="C659" s="172"/>
      <c r="D659" s="172" t="s">
        <v>45</v>
      </c>
      <c r="E659" s="172"/>
      <c r="F659" s="172"/>
      <c r="G659" s="173">
        <v>28.88</v>
      </c>
      <c r="H659" s="173">
        <v>30.38</v>
      </c>
      <c r="I659" s="170">
        <f t="shared" ref="I659:I670" si="37">SUM(G659:H659)</f>
        <v>59.26</v>
      </c>
      <c r="J659" s="174">
        <f>VLOOKUP(B659,работы!$B$5:$F$19,4,0)</f>
        <v>0</v>
      </c>
      <c r="K659" s="174">
        <f t="shared" si="34"/>
        <v>0</v>
      </c>
      <c r="L659" s="172"/>
      <c r="M659" s="270" t="e">
        <f>VLOOKUP(B659,материал!$B$5:$H$67,7,0)</f>
        <v>#N/A</v>
      </c>
    </row>
    <row r="660" spans="1:13" s="135" customFormat="1" ht="12.75" customHeight="1" x14ac:dyDescent="0.25">
      <c r="A660" s="166"/>
      <c r="B660" s="171" t="s">
        <v>102</v>
      </c>
      <c r="C660" s="172"/>
      <c r="D660" s="172" t="s">
        <v>45</v>
      </c>
      <c r="E660" s="172"/>
      <c r="F660" s="172"/>
      <c r="G660" s="173">
        <v>1.72</v>
      </c>
      <c r="H660" s="173">
        <v>2.35</v>
      </c>
      <c r="I660" s="170">
        <f t="shared" si="37"/>
        <v>4.07</v>
      </c>
      <c r="J660" s="174">
        <f>VLOOKUP(B660,работы!$B$5:$F$19,4,0)</f>
        <v>0</v>
      </c>
      <c r="K660" s="174">
        <f t="shared" si="34"/>
        <v>0</v>
      </c>
      <c r="L660" s="172"/>
      <c r="M660" s="270" t="e">
        <f>VLOOKUP(B660,материал!$B$5:$H$67,7,0)</f>
        <v>#N/A</v>
      </c>
    </row>
    <row r="661" spans="1:13" s="135" customFormat="1" ht="24.95" customHeight="1" x14ac:dyDescent="0.25">
      <c r="A661" s="166"/>
      <c r="B661" s="171" t="s">
        <v>46</v>
      </c>
      <c r="C661" s="172"/>
      <c r="D661" s="172" t="s">
        <v>47</v>
      </c>
      <c r="E661" s="172"/>
      <c r="F661" s="172"/>
      <c r="G661" s="173">
        <v>121.26</v>
      </c>
      <c r="H661" s="173">
        <v>181.95</v>
      </c>
      <c r="I661" s="170">
        <f t="shared" si="37"/>
        <v>303.20999999999998</v>
      </c>
      <c r="J661" s="174">
        <f>VLOOKUP(B661,работы!$B$5:$F$19,4,0)</f>
        <v>0</v>
      </c>
      <c r="K661" s="174">
        <f t="shared" si="34"/>
        <v>0</v>
      </c>
      <c r="L661" s="172"/>
      <c r="M661" s="270" t="e">
        <f>VLOOKUP(B661,материал!$B$5:$H$67,7,0)</f>
        <v>#N/A</v>
      </c>
    </row>
    <row r="662" spans="1:13" s="135" customFormat="1" ht="24.95" customHeight="1" x14ac:dyDescent="0.25">
      <c r="A662" s="166"/>
      <c r="B662" s="171" t="s">
        <v>48</v>
      </c>
      <c r="C662" s="172"/>
      <c r="D662" s="172" t="s">
        <v>47</v>
      </c>
      <c r="E662" s="172"/>
      <c r="F662" s="172"/>
      <c r="G662" s="173">
        <v>61.68</v>
      </c>
      <c r="H662" s="173">
        <v>89.32</v>
      </c>
      <c r="I662" s="170">
        <f t="shared" si="37"/>
        <v>151</v>
      </c>
      <c r="J662" s="174">
        <f>VLOOKUP(B662,работы!$B$5:$F$19,4,0)</f>
        <v>0</v>
      </c>
      <c r="K662" s="174">
        <f t="shared" si="34"/>
        <v>0</v>
      </c>
      <c r="L662" s="172"/>
      <c r="M662" s="270" t="e">
        <f>VLOOKUP(B662,материал!$B$5:$H$67,7,0)</f>
        <v>#N/A</v>
      </c>
    </row>
    <row r="663" spans="1:13" s="135" customFormat="1" ht="24.95" customHeight="1" x14ac:dyDescent="0.25">
      <c r="A663" s="166"/>
      <c r="B663" s="171" t="s">
        <v>103</v>
      </c>
      <c r="C663" s="172"/>
      <c r="D663" s="172" t="s">
        <v>47</v>
      </c>
      <c r="E663" s="172"/>
      <c r="F663" s="172"/>
      <c r="G663" s="173">
        <v>104.42</v>
      </c>
      <c r="H663" s="173">
        <v>217.47</v>
      </c>
      <c r="I663" s="170">
        <f t="shared" si="37"/>
        <v>321.89</v>
      </c>
      <c r="J663" s="174">
        <f>VLOOKUP(B663,работы!$B$5:$F$19,4,0)</f>
        <v>0</v>
      </c>
      <c r="K663" s="174">
        <f t="shared" ref="K663:K726" si="38">I663*J663</f>
        <v>0</v>
      </c>
      <c r="L663" s="172"/>
      <c r="M663" s="270" t="e">
        <f>VLOOKUP(B663,материал!$B$5:$H$67,7,0)</f>
        <v>#N/A</v>
      </c>
    </row>
    <row r="664" spans="1:13" s="135" customFormat="1" ht="24.95" customHeight="1" x14ac:dyDescent="0.25">
      <c r="A664" s="166"/>
      <c r="B664" s="171" t="s">
        <v>104</v>
      </c>
      <c r="C664" s="172"/>
      <c r="D664" s="172" t="s">
        <v>47</v>
      </c>
      <c r="E664" s="172"/>
      <c r="F664" s="172"/>
      <c r="G664" s="173">
        <v>143.52000000000001</v>
      </c>
      <c r="H664" s="173">
        <v>191.19</v>
      </c>
      <c r="I664" s="170">
        <f t="shared" si="37"/>
        <v>334.71000000000004</v>
      </c>
      <c r="J664" s="174">
        <f>VLOOKUP(B664,работы!$B$5:$F$19,4,0)</f>
        <v>0</v>
      </c>
      <c r="K664" s="174">
        <f t="shared" si="38"/>
        <v>0</v>
      </c>
      <c r="L664" s="172"/>
      <c r="M664" s="270" t="e">
        <f>VLOOKUP(B664,материал!$B$5:$H$67,7,0)</f>
        <v>#N/A</v>
      </c>
    </row>
    <row r="665" spans="1:13" s="135" customFormat="1" ht="12.75" customHeight="1" x14ac:dyDescent="0.25">
      <c r="A665" s="166"/>
      <c r="B665" s="171" t="s">
        <v>49</v>
      </c>
      <c r="C665" s="172"/>
      <c r="D665" s="172" t="s">
        <v>47</v>
      </c>
      <c r="E665" s="172"/>
      <c r="F665" s="172"/>
      <c r="G665" s="173">
        <v>22.84</v>
      </c>
      <c r="H665" s="173">
        <v>59.56</v>
      </c>
      <c r="I665" s="170">
        <f t="shared" si="37"/>
        <v>82.4</v>
      </c>
      <c r="J665" s="174">
        <f>VLOOKUP(B665,работы!$B$5:$F$19,4,0)</f>
        <v>0</v>
      </c>
      <c r="K665" s="174">
        <f t="shared" si="38"/>
        <v>0</v>
      </c>
      <c r="L665" s="172"/>
      <c r="M665" s="270" t="e">
        <f>VLOOKUP(B665,материал!$B$5:$H$67,7,0)</f>
        <v>#N/A</v>
      </c>
    </row>
    <row r="666" spans="1:13" s="135" customFormat="1" ht="12.75" customHeight="1" x14ac:dyDescent="0.25">
      <c r="A666" s="166"/>
      <c r="B666" s="171" t="s">
        <v>50</v>
      </c>
      <c r="C666" s="172"/>
      <c r="D666" s="172" t="s">
        <v>51</v>
      </c>
      <c r="E666" s="172"/>
      <c r="F666" s="172"/>
      <c r="G666" s="173">
        <v>49</v>
      </c>
      <c r="H666" s="173">
        <v>66</v>
      </c>
      <c r="I666" s="170">
        <f t="shared" si="37"/>
        <v>115</v>
      </c>
      <c r="J666" s="174">
        <f>VLOOKUP(B666,работы!$B$5:$F$19,4,0)</f>
        <v>0</v>
      </c>
      <c r="K666" s="174">
        <f t="shared" si="38"/>
        <v>0</v>
      </c>
      <c r="L666" s="172"/>
      <c r="M666" s="270" t="e">
        <f>VLOOKUP(B666,материал!$B$5:$H$67,7,0)</f>
        <v>#N/A</v>
      </c>
    </row>
    <row r="667" spans="1:13" s="135" customFormat="1" ht="12.75" customHeight="1" x14ac:dyDescent="0.25">
      <c r="A667" s="166"/>
      <c r="B667" s="171" t="s">
        <v>52</v>
      </c>
      <c r="C667" s="172" t="s">
        <v>105</v>
      </c>
      <c r="D667" s="172" t="s">
        <v>54</v>
      </c>
      <c r="E667" s="172"/>
      <c r="F667" s="172"/>
      <c r="G667" s="173">
        <v>38.159999999999997</v>
      </c>
      <c r="H667" s="173">
        <v>58.4</v>
      </c>
      <c r="I667" s="170">
        <f t="shared" si="37"/>
        <v>96.56</v>
      </c>
      <c r="J667" s="174">
        <f>VLOOKUP(B667,работы!$B$5:$F$19,4,0)</f>
        <v>0</v>
      </c>
      <c r="K667" s="174">
        <f t="shared" si="38"/>
        <v>0</v>
      </c>
      <c r="L667" s="172"/>
      <c r="M667" s="270" t="e">
        <f>VLOOKUP(B667,материал!$B$5:$H$67,7,0)</f>
        <v>#N/A</v>
      </c>
    </row>
    <row r="668" spans="1:13" s="135" customFormat="1" ht="24.95" customHeight="1" x14ac:dyDescent="0.25">
      <c r="A668" s="166"/>
      <c r="B668" s="171" t="s">
        <v>55</v>
      </c>
      <c r="C668" s="172"/>
      <c r="D668" s="172" t="s">
        <v>54</v>
      </c>
      <c r="E668" s="172"/>
      <c r="F668" s="172"/>
      <c r="G668" s="173">
        <v>33.630000000000003</v>
      </c>
      <c r="H668" s="173">
        <v>32.950000000000003</v>
      </c>
      <c r="I668" s="170">
        <f t="shared" si="37"/>
        <v>66.580000000000013</v>
      </c>
      <c r="J668" s="174">
        <f>VLOOKUP(B668,работы!$B$5:$F$19,4,0)</f>
        <v>0</v>
      </c>
      <c r="K668" s="174">
        <f t="shared" si="38"/>
        <v>0</v>
      </c>
      <c r="L668" s="172"/>
      <c r="M668" s="270" t="e">
        <f>VLOOKUP(B668,материал!$B$5:$H$67,7,0)</f>
        <v>#N/A</v>
      </c>
    </row>
    <row r="669" spans="1:13" s="135" customFormat="1" ht="12.75" customHeight="1" x14ac:dyDescent="0.25">
      <c r="A669" s="166"/>
      <c r="B669" s="171" t="s">
        <v>256</v>
      </c>
      <c r="C669" s="172"/>
      <c r="D669" s="172" t="s">
        <v>47</v>
      </c>
      <c r="E669" s="172"/>
      <c r="F669" s="172"/>
      <c r="G669" s="173">
        <v>32.147999999999996</v>
      </c>
      <c r="H669" s="173"/>
      <c r="I669" s="170"/>
      <c r="J669" s="174">
        <f>VLOOKUP(B669,работы!$B$5:$F$19,4,0)</f>
        <v>0</v>
      </c>
      <c r="K669" s="174">
        <f t="shared" si="38"/>
        <v>0</v>
      </c>
      <c r="L669" s="172"/>
      <c r="M669" s="270" t="e">
        <f>VLOOKUP(B669,материал!$B$5:$H$67,7,0)</f>
        <v>#N/A</v>
      </c>
    </row>
    <row r="670" spans="1:13" s="135" customFormat="1" ht="12.75" customHeight="1" x14ac:dyDescent="0.25">
      <c r="A670" s="166"/>
      <c r="B670" s="187" t="s">
        <v>56</v>
      </c>
      <c r="C670" s="188"/>
      <c r="D670" s="188" t="s">
        <v>45</v>
      </c>
      <c r="E670" s="188"/>
      <c r="F670" s="188"/>
      <c r="G670" s="173">
        <f>233.15*0.06*0.03</f>
        <v>0.41966999999999993</v>
      </c>
      <c r="H670" s="173">
        <v>0.64002599999999998</v>
      </c>
      <c r="I670" s="170">
        <f t="shared" si="37"/>
        <v>1.059696</v>
      </c>
      <c r="J670" s="174"/>
      <c r="K670" s="174"/>
      <c r="L670" s="188"/>
      <c r="M670" s="270" t="e">
        <f>VLOOKUP(B670,материал!$B$5:$H$67,7,0)</f>
        <v>#N/A</v>
      </c>
    </row>
    <row r="671" spans="1:13" s="135" customFormat="1" ht="12.75" customHeight="1" x14ac:dyDescent="0.25">
      <c r="A671" s="175"/>
      <c r="B671" s="176" t="s">
        <v>38</v>
      </c>
      <c r="C671" s="177"/>
      <c r="D671" s="177"/>
      <c r="E671" s="177"/>
      <c r="F671" s="177"/>
      <c r="G671" s="178"/>
      <c r="H671" s="178"/>
      <c r="I671" s="179"/>
      <c r="J671" s="180"/>
      <c r="K671" s="179">
        <f ca="1">SUM(K672:K706)</f>
        <v>0</v>
      </c>
      <c r="L671" s="177"/>
      <c r="M671" s="271"/>
    </row>
    <row r="672" spans="1:13" s="135" customFormat="1" ht="25.5" x14ac:dyDescent="0.25">
      <c r="A672" s="181"/>
      <c r="B672" s="182" t="s">
        <v>58</v>
      </c>
      <c r="C672" s="177" t="s">
        <v>59</v>
      </c>
      <c r="D672" s="177" t="s">
        <v>60</v>
      </c>
      <c r="E672" s="178">
        <v>12.4</v>
      </c>
      <c r="F672" s="177">
        <v>0.25</v>
      </c>
      <c r="G672" s="183">
        <f>G659/F672*E672</f>
        <v>1432.4480000000001</v>
      </c>
      <c r="H672" s="183">
        <f>H659/F672*E672</f>
        <v>1506.848</v>
      </c>
      <c r="I672" s="184">
        <f t="shared" ref="I672:I705" si="39">SUM(G672:H672)</f>
        <v>2939.2960000000003</v>
      </c>
      <c r="J672" s="180">
        <f>VLOOKUP(B672,материал!$B$5:$G$67,5,0)</f>
        <v>0</v>
      </c>
      <c r="K672" s="180">
        <f t="shared" si="38"/>
        <v>0</v>
      </c>
      <c r="L672" s="177"/>
      <c r="M672" s="271" t="str">
        <f>VLOOKUP(B672,материал!$B$5:$H$67,7,0)</f>
        <v>Давальческий материал</v>
      </c>
    </row>
    <row r="673" spans="1:13" s="135" customFormat="1" ht="33.75" customHeight="1" x14ac:dyDescent="0.25">
      <c r="A673" s="181"/>
      <c r="B673" s="182" t="s">
        <v>62</v>
      </c>
      <c r="C673" s="177" t="s">
        <v>63</v>
      </c>
      <c r="D673" s="177" t="s">
        <v>60</v>
      </c>
      <c r="E673" s="178">
        <v>12.4</v>
      </c>
      <c r="F673" s="177"/>
      <c r="G673" s="183">
        <f>G661*E673</f>
        <v>1503.624</v>
      </c>
      <c r="H673" s="183">
        <f>H661*E673</f>
        <v>2256.1799999999998</v>
      </c>
      <c r="I673" s="184">
        <f t="shared" si="39"/>
        <v>3759.8040000000001</v>
      </c>
      <c r="J673" s="180">
        <f>VLOOKUP(B673,материал!$B$5:$G$67,5,0)</f>
        <v>0</v>
      </c>
      <c r="K673" s="180">
        <f t="shared" si="38"/>
        <v>0</v>
      </c>
      <c r="L673" s="177"/>
      <c r="M673" s="271" t="str">
        <f>VLOOKUP(B673,материал!$B$5:$H$67,7,0)</f>
        <v>Давальческий материал</v>
      </c>
    </row>
    <row r="674" spans="1:13" s="135" customFormat="1" ht="33.75" customHeight="1" x14ac:dyDescent="0.25">
      <c r="A674" s="181"/>
      <c r="B674" s="182" t="s">
        <v>64</v>
      </c>
      <c r="C674" s="177" t="s">
        <v>65</v>
      </c>
      <c r="D674" s="177" t="s">
        <v>60</v>
      </c>
      <c r="E674" s="178">
        <v>12.4</v>
      </c>
      <c r="F674" s="177"/>
      <c r="G674" s="183">
        <f>G662*E674</f>
        <v>764.83199999999999</v>
      </c>
      <c r="H674" s="183">
        <f>H662*E674</f>
        <v>1107.568</v>
      </c>
      <c r="I674" s="184">
        <f t="shared" si="39"/>
        <v>1872.4</v>
      </c>
      <c r="J674" s="180">
        <f>VLOOKUP(B674,материал!$B$5:$G$67,5,0)</f>
        <v>0</v>
      </c>
      <c r="K674" s="180">
        <f t="shared" si="38"/>
        <v>0</v>
      </c>
      <c r="L674" s="177"/>
      <c r="M674" s="271" t="str">
        <f>VLOOKUP(B674,материал!$B$5:$H$67,7,0)</f>
        <v>Давальческий материал</v>
      </c>
    </row>
    <row r="675" spans="1:13" s="135" customFormat="1" ht="33.75" customHeight="1" x14ac:dyDescent="0.25">
      <c r="A675" s="181"/>
      <c r="B675" s="182" t="s">
        <v>106</v>
      </c>
      <c r="C675" s="177" t="s">
        <v>107</v>
      </c>
      <c r="D675" s="177" t="s">
        <v>60</v>
      </c>
      <c r="E675" s="178">
        <v>12.4</v>
      </c>
      <c r="F675" s="177"/>
      <c r="G675" s="183">
        <f>G663*E675</f>
        <v>1294.808</v>
      </c>
      <c r="H675" s="183">
        <f>H663*E675</f>
        <v>2696.6280000000002</v>
      </c>
      <c r="I675" s="184">
        <f t="shared" si="39"/>
        <v>3991.4360000000001</v>
      </c>
      <c r="J675" s="180">
        <f>VLOOKUP(B675,материал!$B$5:$G$67,5,0)</f>
        <v>0</v>
      </c>
      <c r="K675" s="180">
        <f t="shared" si="38"/>
        <v>0</v>
      </c>
      <c r="L675" s="177"/>
      <c r="M675" s="271" t="str">
        <f>VLOOKUP(B675,материал!$B$5:$H$67,7,0)</f>
        <v>Давальческий материал</v>
      </c>
    </row>
    <row r="676" spans="1:13" s="135" customFormat="1" ht="33.75" customHeight="1" x14ac:dyDescent="0.25">
      <c r="A676" s="181"/>
      <c r="B676" s="182" t="s">
        <v>108</v>
      </c>
      <c r="C676" s="177" t="s">
        <v>109</v>
      </c>
      <c r="D676" s="177" t="s">
        <v>60</v>
      </c>
      <c r="E676" s="178">
        <v>12.4</v>
      </c>
      <c r="F676" s="177"/>
      <c r="G676" s="183">
        <f>G664*E676</f>
        <v>1779.6480000000001</v>
      </c>
      <c r="H676" s="183">
        <f>H664*E676</f>
        <v>2370.7559999999999</v>
      </c>
      <c r="I676" s="184">
        <f t="shared" si="39"/>
        <v>4150.4040000000005</v>
      </c>
      <c r="J676" s="180">
        <f>VLOOKUP(B676,материал!$B$5:$G$67,5,0)</f>
        <v>0</v>
      </c>
      <c r="K676" s="180">
        <f t="shared" si="38"/>
        <v>0</v>
      </c>
      <c r="L676" s="177"/>
      <c r="M676" s="271" t="str">
        <f>VLOOKUP(B676,материал!$B$5:$H$67,7,0)</f>
        <v>Давальческий материал</v>
      </c>
    </row>
    <row r="677" spans="1:13" s="135" customFormat="1" ht="12.75" customHeight="1" x14ac:dyDescent="0.25">
      <c r="A677" s="181"/>
      <c r="B677" s="189" t="s">
        <v>66</v>
      </c>
      <c r="C677" s="177" t="s">
        <v>67</v>
      </c>
      <c r="D677" s="177" t="s">
        <v>60</v>
      </c>
      <c r="E677" s="190">
        <v>42</v>
      </c>
      <c r="F677" s="190"/>
      <c r="G677" s="183">
        <f>G665*E677</f>
        <v>959.28</v>
      </c>
      <c r="H677" s="183">
        <f>H665*E677</f>
        <v>2501.52</v>
      </c>
      <c r="I677" s="184">
        <f t="shared" si="39"/>
        <v>3460.8</v>
      </c>
      <c r="J677" s="180">
        <f>VLOOKUP(B677,материал!$B$5:$G$67,5,0)</f>
        <v>0</v>
      </c>
      <c r="K677" s="180">
        <f t="shared" si="38"/>
        <v>0</v>
      </c>
      <c r="L677" s="177"/>
      <c r="M677" s="271" t="str">
        <f>VLOOKUP(B677,материал!$B$5:$H$67,7,0)</f>
        <v>Давальческий материал</v>
      </c>
    </row>
    <row r="678" spans="1:13" s="135" customFormat="1" ht="12.75" customHeight="1" x14ac:dyDescent="0.25">
      <c r="A678" s="181"/>
      <c r="B678" s="189" t="s">
        <v>110</v>
      </c>
      <c r="C678" s="177" t="s">
        <v>111</v>
      </c>
      <c r="D678" s="177" t="s">
        <v>60</v>
      </c>
      <c r="E678" s="190">
        <v>42</v>
      </c>
      <c r="F678" s="190"/>
      <c r="G678" s="183">
        <f>G660/0.25*E678</f>
        <v>288.95999999999998</v>
      </c>
      <c r="H678" s="183">
        <f>H660/0.25*E678</f>
        <v>394.8</v>
      </c>
      <c r="I678" s="184">
        <f t="shared" si="39"/>
        <v>683.76</v>
      </c>
      <c r="J678" s="180">
        <f>VLOOKUP(B678,материал!$B$5:$G$67,5,0)</f>
        <v>0</v>
      </c>
      <c r="K678" s="180">
        <f t="shared" si="38"/>
        <v>0</v>
      </c>
      <c r="L678" s="177"/>
      <c r="M678" s="271" t="str">
        <f>VLOOKUP(B678,материал!$B$5:$H$67,7,0)</f>
        <v>Давальческий материал</v>
      </c>
    </row>
    <row r="679" spans="1:13" s="135" customFormat="1" ht="12.75" customHeight="1" x14ac:dyDescent="0.25">
      <c r="A679" s="181"/>
      <c r="B679" s="191" t="s">
        <v>69</v>
      </c>
      <c r="C679" s="177" t="s">
        <v>70</v>
      </c>
      <c r="D679" s="177" t="s">
        <v>45</v>
      </c>
      <c r="E679" s="177">
        <v>0.19500000000000001</v>
      </c>
      <c r="F679" s="190"/>
      <c r="G679" s="178">
        <f>G659*E679+G661*E679*0.19+G662*E679*0.19+G663*E679*0.09+G664*E679*0.09</f>
        <v>16.760874000000001</v>
      </c>
      <c r="H679" s="178">
        <f>H659*E679+H661*E679*0.19+H662*E679*0.19+H663*E679*0.09+H664*E679*0.09</f>
        <v>23.1466365</v>
      </c>
      <c r="I679" s="179">
        <f t="shared" si="39"/>
        <v>39.907510500000001</v>
      </c>
      <c r="J679" s="180">
        <f>VLOOKUP(B679,материал!$B$5:$G$67,5,0)</f>
        <v>0</v>
      </c>
      <c r="K679" s="180">
        <f t="shared" si="38"/>
        <v>0</v>
      </c>
      <c r="L679" s="177"/>
      <c r="M679" s="271" t="str">
        <f>VLOOKUP(B679,материал!$B$5:$H$67,7,0)</f>
        <v>Закуп подярдчика</v>
      </c>
    </row>
    <row r="680" spans="1:13" s="135" customFormat="1" ht="12.75" customHeight="1" x14ac:dyDescent="0.25">
      <c r="A680" s="192"/>
      <c r="B680" s="191" t="s">
        <v>112</v>
      </c>
      <c r="C680" s="177" t="s">
        <v>70</v>
      </c>
      <c r="D680" s="177" t="s">
        <v>45</v>
      </c>
      <c r="E680" s="177">
        <v>0.24</v>
      </c>
      <c r="F680" s="177"/>
      <c r="G680" s="178">
        <f>G660*E680</f>
        <v>0.4128</v>
      </c>
      <c r="H680" s="178">
        <f>H660*E680</f>
        <v>0.56399999999999995</v>
      </c>
      <c r="I680" s="179">
        <f t="shared" si="39"/>
        <v>0.97679999999999989</v>
      </c>
      <c r="J680" s="180">
        <f>VLOOKUP(B680,материал!$B$5:$G$67,5,0)</f>
        <v>0</v>
      </c>
      <c r="K680" s="180">
        <f t="shared" si="38"/>
        <v>0</v>
      </c>
      <c r="L680" s="177"/>
      <c r="M680" s="271" t="str">
        <f>VLOOKUP(B680,материал!$B$5:$H$67,7,0)</f>
        <v>Закуп подярдчика</v>
      </c>
    </row>
    <row r="681" spans="1:13" s="135" customFormat="1" ht="12.75" customHeight="1" x14ac:dyDescent="0.25">
      <c r="A681" s="192"/>
      <c r="B681" s="191" t="s">
        <v>72</v>
      </c>
      <c r="C681" s="177" t="s">
        <v>70</v>
      </c>
      <c r="D681" s="177" t="s">
        <v>45</v>
      </c>
      <c r="E681" s="177">
        <v>4.5999999999999999E-2</v>
      </c>
      <c r="F681" s="177"/>
      <c r="G681" s="178">
        <f>G665*E681</f>
        <v>1.05064</v>
      </c>
      <c r="H681" s="178">
        <f>H665*E681</f>
        <v>2.73976</v>
      </c>
      <c r="I681" s="179">
        <f t="shared" si="39"/>
        <v>3.7904</v>
      </c>
      <c r="J681" s="180">
        <f>VLOOKUP(B681,материал!$B$5:$G$67,5,0)</f>
        <v>0</v>
      </c>
      <c r="K681" s="180">
        <f t="shared" si="38"/>
        <v>0</v>
      </c>
      <c r="L681" s="177"/>
      <c r="M681" s="271" t="str">
        <f>VLOOKUP(B681,материал!$B$5:$H$67,7,0)</f>
        <v>Закуп подярдчика</v>
      </c>
    </row>
    <row r="682" spans="1:13" s="135" customFormat="1" ht="12.75" customHeight="1" x14ac:dyDescent="0.25">
      <c r="A682" s="192"/>
      <c r="B682" s="191" t="s">
        <v>74</v>
      </c>
      <c r="C682" s="177" t="s">
        <v>70</v>
      </c>
      <c r="D682" s="177" t="s">
        <v>45</v>
      </c>
      <c r="E682" s="177">
        <v>1.01</v>
      </c>
      <c r="F682" s="177"/>
      <c r="G682" s="178">
        <f>G670*E682</f>
        <v>0.42386669999999993</v>
      </c>
      <c r="H682" s="178">
        <f>H670*E682</f>
        <v>0.64642626000000003</v>
      </c>
      <c r="I682" s="179">
        <f t="shared" si="39"/>
        <v>1.07029296</v>
      </c>
      <c r="J682" s="180">
        <f>VLOOKUP(B682,материал!$B$5:$G$67,5,0)</f>
        <v>0</v>
      </c>
      <c r="K682" s="180">
        <f t="shared" si="38"/>
        <v>0</v>
      </c>
      <c r="L682" s="177"/>
      <c r="M682" s="271" t="str">
        <f>VLOOKUP(B682,материал!$B$5:$H$67,7,0)</f>
        <v>Закуп подярдчика</v>
      </c>
    </row>
    <row r="683" spans="1:13" s="135" customFormat="1" ht="12.75" customHeight="1" x14ac:dyDescent="0.25">
      <c r="A683" s="181"/>
      <c r="B683" s="189" t="s">
        <v>75</v>
      </c>
      <c r="C683" s="177" t="s">
        <v>70</v>
      </c>
      <c r="D683" s="177" t="s">
        <v>45</v>
      </c>
      <c r="E683" s="177">
        <v>6.0000000000000001E-3</v>
      </c>
      <c r="F683" s="177"/>
      <c r="G683" s="178">
        <f>G666*E683</f>
        <v>0.29399999999999998</v>
      </c>
      <c r="H683" s="178">
        <f>H666*E683</f>
        <v>0.39600000000000002</v>
      </c>
      <c r="I683" s="179">
        <f t="shared" si="39"/>
        <v>0.69</v>
      </c>
      <c r="J683" s="180">
        <f>VLOOKUP(B683,материал!$B$5:$G$67,5,0)</f>
        <v>0</v>
      </c>
      <c r="K683" s="180">
        <f t="shared" si="38"/>
        <v>0</v>
      </c>
      <c r="L683" s="177"/>
      <c r="M683" s="271" t="str">
        <f>VLOOKUP(B683,материал!$B$5:$H$67,7,0)</f>
        <v>Закуп подярдчика</v>
      </c>
    </row>
    <row r="684" spans="1:13" s="135" customFormat="1" ht="12.75" customHeight="1" x14ac:dyDescent="0.25">
      <c r="A684" s="181"/>
      <c r="B684" s="189" t="s">
        <v>77</v>
      </c>
      <c r="C684" s="177" t="s">
        <v>70</v>
      </c>
      <c r="D684" s="177" t="s">
        <v>45</v>
      </c>
      <c r="E684" s="177">
        <v>1.01</v>
      </c>
      <c r="F684" s="177"/>
      <c r="G684" s="193">
        <f>17.2*0.12*0.03</f>
        <v>6.1920000000000003E-2</v>
      </c>
      <c r="H684" s="193">
        <v>6.4000000000000001E-2</v>
      </c>
      <c r="I684" s="179">
        <f t="shared" si="39"/>
        <v>0.12592</v>
      </c>
      <c r="J684" s="180">
        <f>VLOOKUP(B684,материал!$B$5:$G$67,5,0)</f>
        <v>0</v>
      </c>
      <c r="K684" s="180">
        <f t="shared" si="38"/>
        <v>0</v>
      </c>
      <c r="L684" s="177"/>
      <c r="M684" s="271" t="str">
        <f>VLOOKUP(B684,материал!$B$5:$H$67,7,0)</f>
        <v>Закуп подярдчика</v>
      </c>
    </row>
    <row r="685" spans="1:13" s="135" customFormat="1" ht="12.75" customHeight="1" x14ac:dyDescent="0.25">
      <c r="A685" s="181"/>
      <c r="B685" s="189" t="s">
        <v>78</v>
      </c>
      <c r="C685" s="177" t="s">
        <v>79</v>
      </c>
      <c r="D685" s="177" t="s">
        <v>47</v>
      </c>
      <c r="E685" s="177"/>
      <c r="F685" s="177"/>
      <c r="G685" s="178">
        <v>160.44</v>
      </c>
      <c r="H685" s="178">
        <v>222.96</v>
      </c>
      <c r="I685" s="179">
        <f t="shared" si="39"/>
        <v>383.4</v>
      </c>
      <c r="J685" s="180">
        <f>VLOOKUP(B685,материал!$B$5:$G$67,5,0)</f>
        <v>0</v>
      </c>
      <c r="K685" s="180">
        <f t="shared" si="38"/>
        <v>0</v>
      </c>
      <c r="L685" s="194"/>
      <c r="M685" s="271" t="str">
        <f>VLOOKUP(B685,материал!$B$5:$H$67,7,0)</f>
        <v>Закуп подярдчика</v>
      </c>
    </row>
    <row r="686" spans="1:13" s="135" customFormat="1" ht="25.5" customHeight="1" x14ac:dyDescent="0.25">
      <c r="A686" s="181"/>
      <c r="B686" s="189" t="s">
        <v>277</v>
      </c>
      <c r="C686" s="177" t="s">
        <v>114</v>
      </c>
      <c r="D686" s="177" t="s">
        <v>60</v>
      </c>
      <c r="E686" s="177"/>
      <c r="F686" s="177"/>
      <c r="G686" s="178">
        <v>17</v>
      </c>
      <c r="H686" s="178">
        <v>16</v>
      </c>
      <c r="I686" s="179">
        <f t="shared" si="39"/>
        <v>33</v>
      </c>
      <c r="J686" s="180">
        <f>VLOOKUP(B686,материал!$B$5:$G$67,5,0)</f>
        <v>0</v>
      </c>
      <c r="K686" s="180">
        <f t="shared" si="38"/>
        <v>0</v>
      </c>
      <c r="L686" s="194"/>
      <c r="M686" s="271" t="str">
        <f>VLOOKUP(B686,материал!$B$5:$H$67,7,0)</f>
        <v>Закуп подярдчика</v>
      </c>
    </row>
    <row r="687" spans="1:13" s="135" customFormat="1" ht="25.5" customHeight="1" x14ac:dyDescent="0.25">
      <c r="A687" s="181"/>
      <c r="B687" s="189" t="s">
        <v>278</v>
      </c>
      <c r="C687" s="177" t="s">
        <v>116</v>
      </c>
      <c r="D687" s="177" t="s">
        <v>60</v>
      </c>
      <c r="E687" s="177"/>
      <c r="F687" s="177"/>
      <c r="G687" s="178"/>
      <c r="H687" s="178">
        <v>13</v>
      </c>
      <c r="I687" s="179">
        <f t="shared" si="39"/>
        <v>13</v>
      </c>
      <c r="J687" s="180">
        <f>VLOOKUP(B687,материал!$B$5:$G$67,5,0)</f>
        <v>0</v>
      </c>
      <c r="K687" s="180">
        <f t="shared" si="38"/>
        <v>0</v>
      </c>
      <c r="L687" s="194"/>
      <c r="M687" s="271" t="str">
        <f>VLOOKUP(B687,материал!$B$5:$H$67,7,0)</f>
        <v>Закуп подярдчика</v>
      </c>
    </row>
    <row r="688" spans="1:13" s="135" customFormat="1" ht="25.5" customHeight="1" x14ac:dyDescent="0.25">
      <c r="A688" s="181"/>
      <c r="B688" s="189" t="s">
        <v>283</v>
      </c>
      <c r="C688" s="177" t="s">
        <v>286</v>
      </c>
      <c r="D688" s="177" t="s">
        <v>60</v>
      </c>
      <c r="E688" s="177"/>
      <c r="F688" s="177"/>
      <c r="G688" s="178">
        <v>1</v>
      </c>
      <c r="H688" s="178"/>
      <c r="I688" s="179">
        <f t="shared" si="39"/>
        <v>1</v>
      </c>
      <c r="J688" s="180">
        <f>VLOOKUP(B688,материал!$B$5:$G$67,5,0)</f>
        <v>0</v>
      </c>
      <c r="K688" s="180">
        <f t="shared" si="38"/>
        <v>0</v>
      </c>
      <c r="L688" s="194"/>
      <c r="M688" s="271" t="str">
        <f>VLOOKUP(B688,материал!$B$5:$H$67,7,0)</f>
        <v>Закуп подярдчика</v>
      </c>
    </row>
    <row r="689" spans="1:13" s="135" customFormat="1" ht="25.5" customHeight="1" x14ac:dyDescent="0.25">
      <c r="A689" s="181"/>
      <c r="B689" s="189" t="s">
        <v>285</v>
      </c>
      <c r="C689" s="177" t="s">
        <v>288</v>
      </c>
      <c r="D689" s="177" t="s">
        <v>60</v>
      </c>
      <c r="E689" s="177"/>
      <c r="F689" s="177"/>
      <c r="G689" s="178">
        <v>1</v>
      </c>
      <c r="H689" s="178"/>
      <c r="I689" s="179">
        <f t="shared" si="39"/>
        <v>1</v>
      </c>
      <c r="J689" s="180">
        <f>VLOOKUP(B689,материал!$B$5:$G$67,5,0)</f>
        <v>0</v>
      </c>
      <c r="K689" s="180">
        <f t="shared" si="38"/>
        <v>0</v>
      </c>
      <c r="L689" s="194"/>
      <c r="M689" s="271" t="str">
        <f>VLOOKUP(B689,материал!$B$5:$H$67,7,0)</f>
        <v>Закуп подярдчика</v>
      </c>
    </row>
    <row r="690" spans="1:13" s="135" customFormat="1" ht="25.5" customHeight="1" x14ac:dyDescent="0.25">
      <c r="A690" s="181"/>
      <c r="B690" s="189" t="s">
        <v>295</v>
      </c>
      <c r="C690" s="177" t="s">
        <v>118</v>
      </c>
      <c r="D690" s="177" t="s">
        <v>60</v>
      </c>
      <c r="E690" s="177"/>
      <c r="F690" s="177"/>
      <c r="G690" s="178">
        <v>2</v>
      </c>
      <c r="H690" s="178"/>
      <c r="I690" s="179">
        <f t="shared" si="39"/>
        <v>2</v>
      </c>
      <c r="J690" s="180">
        <f>VLOOKUP(B690,материал!$B$5:$G$67,5,0)</f>
        <v>0</v>
      </c>
      <c r="K690" s="180">
        <f t="shared" si="38"/>
        <v>0</v>
      </c>
      <c r="L690" s="194"/>
      <c r="M690" s="271" t="str">
        <f>VLOOKUP(B690,материал!$B$5:$H$67,7,0)</f>
        <v>Закуп подярдчика</v>
      </c>
    </row>
    <row r="691" spans="1:13" s="135" customFormat="1" ht="25.5" customHeight="1" x14ac:dyDescent="0.25">
      <c r="A691" s="181"/>
      <c r="B691" s="189" t="s">
        <v>315</v>
      </c>
      <c r="C691" s="177" t="s">
        <v>120</v>
      </c>
      <c r="D691" s="177" t="s">
        <v>60</v>
      </c>
      <c r="E691" s="177"/>
      <c r="F691" s="177"/>
      <c r="G691" s="178">
        <v>4</v>
      </c>
      <c r="H691" s="178"/>
      <c r="I691" s="179">
        <f t="shared" si="39"/>
        <v>4</v>
      </c>
      <c r="J691" s="180">
        <f>VLOOKUP(B691,материал!$B$5:$G$67,5,0)</f>
        <v>0</v>
      </c>
      <c r="K691" s="180">
        <f t="shared" si="38"/>
        <v>0</v>
      </c>
      <c r="L691" s="194"/>
      <c r="M691" s="271" t="str">
        <f>VLOOKUP(B691,материал!$B$5:$H$67,7,0)</f>
        <v>Закуп подярдчика</v>
      </c>
    </row>
    <row r="692" spans="1:13" s="135" customFormat="1" ht="25.5" customHeight="1" x14ac:dyDescent="0.25">
      <c r="A692" s="181"/>
      <c r="B692" s="189" t="s">
        <v>318</v>
      </c>
      <c r="C692" s="177" t="s">
        <v>319</v>
      </c>
      <c r="D692" s="177" t="s">
        <v>60</v>
      </c>
      <c r="E692" s="177"/>
      <c r="F692" s="177"/>
      <c r="G692" s="178"/>
      <c r="H692" s="178">
        <v>2</v>
      </c>
      <c r="I692" s="179">
        <f t="shared" si="39"/>
        <v>2</v>
      </c>
      <c r="J692" s="180">
        <f>VLOOKUP(B692,материал!$B$5:$G$67,5,0)</f>
        <v>0</v>
      </c>
      <c r="K692" s="180">
        <f t="shared" si="38"/>
        <v>0</v>
      </c>
      <c r="L692" s="194"/>
      <c r="M692" s="271" t="str">
        <f>VLOOKUP(B692,материал!$B$5:$H$67,7,0)</f>
        <v>Закуп подярдчика</v>
      </c>
    </row>
    <row r="693" spans="1:13" s="135" customFormat="1" ht="25.5" customHeight="1" x14ac:dyDescent="0.25">
      <c r="A693" s="181"/>
      <c r="B693" s="189" t="s">
        <v>297</v>
      </c>
      <c r="C693" s="177" t="s">
        <v>122</v>
      </c>
      <c r="D693" s="177" t="s">
        <v>60</v>
      </c>
      <c r="E693" s="177"/>
      <c r="F693" s="177"/>
      <c r="G693" s="178">
        <v>4</v>
      </c>
      <c r="H693" s="178"/>
      <c r="I693" s="179">
        <f t="shared" si="39"/>
        <v>4</v>
      </c>
      <c r="J693" s="180">
        <f>VLOOKUP(B693,материал!$B$5:$G$67,5,0)</f>
        <v>0</v>
      </c>
      <c r="K693" s="180">
        <f t="shared" si="38"/>
        <v>0</v>
      </c>
      <c r="L693" s="194"/>
      <c r="M693" s="271" t="str">
        <f>VLOOKUP(B693,материал!$B$5:$H$67,7,0)</f>
        <v>Закуп подярдчика</v>
      </c>
    </row>
    <row r="694" spans="1:13" s="135" customFormat="1" ht="25.5" customHeight="1" x14ac:dyDescent="0.25">
      <c r="A694" s="181"/>
      <c r="B694" s="189" t="s">
        <v>316</v>
      </c>
      <c r="C694" s="177" t="s">
        <v>124</v>
      </c>
      <c r="D694" s="177" t="s">
        <v>60</v>
      </c>
      <c r="E694" s="177"/>
      <c r="F694" s="177"/>
      <c r="G694" s="178">
        <v>5</v>
      </c>
      <c r="H694" s="178"/>
      <c r="I694" s="179">
        <f t="shared" si="39"/>
        <v>5</v>
      </c>
      <c r="J694" s="180">
        <f>VLOOKUP(B694,материал!$B$5:$G$67,5,0)</f>
        <v>0</v>
      </c>
      <c r="K694" s="180">
        <f t="shared" si="38"/>
        <v>0</v>
      </c>
      <c r="L694" s="194"/>
      <c r="M694" s="271" t="str">
        <f>VLOOKUP(B694,материал!$B$5:$H$67,7,0)</f>
        <v>Закуп подярдчика</v>
      </c>
    </row>
    <row r="695" spans="1:13" s="135" customFormat="1" ht="25.5" customHeight="1" x14ac:dyDescent="0.25">
      <c r="A695" s="181"/>
      <c r="B695" s="189" t="s">
        <v>299</v>
      </c>
      <c r="C695" s="177" t="s">
        <v>126</v>
      </c>
      <c r="D695" s="177" t="s">
        <v>60</v>
      </c>
      <c r="E695" s="177"/>
      <c r="F695" s="177"/>
      <c r="G695" s="178">
        <v>11</v>
      </c>
      <c r="H695" s="178"/>
      <c r="I695" s="179">
        <f>SUM(G695:H695)</f>
        <v>11</v>
      </c>
      <c r="J695" s="180">
        <f>VLOOKUP(B695,материал!$B$5:$G$67,5,0)</f>
        <v>0</v>
      </c>
      <c r="K695" s="180">
        <f t="shared" si="38"/>
        <v>0</v>
      </c>
      <c r="L695" s="194"/>
      <c r="M695" s="271" t="str">
        <f>VLOOKUP(B695,материал!$B$5:$H$67,7,0)</f>
        <v>Закуп подярдчика</v>
      </c>
    </row>
    <row r="696" spans="1:13" s="135" customFormat="1" ht="25.5" customHeight="1" x14ac:dyDescent="0.25">
      <c r="A696" s="181"/>
      <c r="B696" s="189" t="s">
        <v>301</v>
      </c>
      <c r="C696" s="177" t="s">
        <v>128</v>
      </c>
      <c r="D696" s="177" t="s">
        <v>60</v>
      </c>
      <c r="E696" s="177"/>
      <c r="F696" s="177"/>
      <c r="G696" s="178">
        <v>1</v>
      </c>
      <c r="H696" s="178">
        <v>9</v>
      </c>
      <c r="I696" s="179">
        <f t="shared" si="39"/>
        <v>10</v>
      </c>
      <c r="J696" s="180">
        <f>VLOOKUP(B696,материал!$B$5:$G$67,5,0)</f>
        <v>0</v>
      </c>
      <c r="K696" s="180">
        <f t="shared" si="38"/>
        <v>0</v>
      </c>
      <c r="L696" s="194"/>
      <c r="M696" s="271" t="str">
        <f>VLOOKUP(B696,материал!$B$5:$H$67,7,0)</f>
        <v>Закуп подярдчика</v>
      </c>
    </row>
    <row r="697" spans="1:13" s="135" customFormat="1" ht="25.5" customHeight="1" x14ac:dyDescent="0.25">
      <c r="A697" s="181"/>
      <c r="B697" s="189" t="s">
        <v>306</v>
      </c>
      <c r="C697" s="177" t="s">
        <v>130</v>
      </c>
      <c r="D697" s="177" t="s">
        <v>60</v>
      </c>
      <c r="E697" s="177"/>
      <c r="F697" s="177"/>
      <c r="G697" s="178">
        <v>2</v>
      </c>
      <c r="H697" s="178"/>
      <c r="I697" s="179">
        <f t="shared" si="39"/>
        <v>2</v>
      </c>
      <c r="J697" s="180">
        <f>VLOOKUP(B697,материал!$B$5:$G$67,5,0)</f>
        <v>0</v>
      </c>
      <c r="K697" s="180">
        <f t="shared" si="38"/>
        <v>0</v>
      </c>
      <c r="L697" s="194"/>
      <c r="M697" s="271" t="str">
        <f>VLOOKUP(B697,материал!$B$5:$H$67,7,0)</f>
        <v>Закуп подярдчика</v>
      </c>
    </row>
    <row r="698" spans="1:13" s="135" customFormat="1" ht="25.5" customHeight="1" x14ac:dyDescent="0.25">
      <c r="A698" s="181"/>
      <c r="B698" s="189" t="s">
        <v>302</v>
      </c>
      <c r="C698" s="177" t="s">
        <v>317</v>
      </c>
      <c r="D698" s="177" t="s">
        <v>60</v>
      </c>
      <c r="E698" s="177"/>
      <c r="F698" s="177"/>
      <c r="G698" s="178">
        <v>2</v>
      </c>
      <c r="H698" s="178"/>
      <c r="I698" s="179">
        <f t="shared" si="39"/>
        <v>2</v>
      </c>
      <c r="J698" s="180">
        <f>VLOOKUP(B698,материал!$B$5:$G$67,5,0)</f>
        <v>0</v>
      </c>
      <c r="K698" s="180">
        <f t="shared" si="38"/>
        <v>0</v>
      </c>
      <c r="L698" s="194"/>
      <c r="M698" s="271" t="str">
        <f>VLOOKUP(B698,материал!$B$5:$H$67,7,0)</f>
        <v>Закуп подярдчика</v>
      </c>
    </row>
    <row r="699" spans="1:13" s="135" customFormat="1" ht="12.75" customHeight="1" x14ac:dyDescent="0.25">
      <c r="A699" s="181"/>
      <c r="B699" s="189" t="s">
        <v>92</v>
      </c>
      <c r="C699" s="177" t="s">
        <v>93</v>
      </c>
      <c r="D699" s="177" t="s">
        <v>54</v>
      </c>
      <c r="E699" s="177">
        <v>1.04</v>
      </c>
      <c r="F699" s="177"/>
      <c r="G699" s="178">
        <f>151.51*E699</f>
        <v>157.57040000000001</v>
      </c>
      <c r="H699" s="178">
        <f>161.78*E699</f>
        <v>168.25120000000001</v>
      </c>
      <c r="I699" s="179">
        <f t="shared" si="39"/>
        <v>325.82159999999999</v>
      </c>
      <c r="J699" s="180">
        <f>VLOOKUP(B699,материал!$B$5:$G$67,5,0)</f>
        <v>0</v>
      </c>
      <c r="K699" s="180">
        <f t="shared" si="38"/>
        <v>0</v>
      </c>
      <c r="L699" s="194"/>
      <c r="M699" s="271" t="str">
        <f>VLOOKUP(B699,материал!$B$5:$H$67,7,0)</f>
        <v>Закуп подярдчика</v>
      </c>
    </row>
    <row r="700" spans="1:13" s="135" customFormat="1" ht="12.75" customHeight="1" x14ac:dyDescent="0.25">
      <c r="A700" s="181"/>
      <c r="B700" s="189" t="s">
        <v>94</v>
      </c>
      <c r="C700" s="177" t="s">
        <v>95</v>
      </c>
      <c r="D700" s="177" t="s">
        <v>54</v>
      </c>
      <c r="E700" s="177">
        <v>1.04</v>
      </c>
      <c r="F700" s="177"/>
      <c r="G700" s="178">
        <f>G668*E700</f>
        <v>34.975200000000001</v>
      </c>
      <c r="H700" s="178">
        <f>H668*E700</f>
        <v>34.268000000000001</v>
      </c>
      <c r="I700" s="179">
        <f t="shared" si="39"/>
        <v>69.243200000000002</v>
      </c>
      <c r="J700" s="180">
        <f>VLOOKUP(B700,материал!$B$5:$G$67,5,0)</f>
        <v>0</v>
      </c>
      <c r="K700" s="180">
        <f t="shared" si="38"/>
        <v>0</v>
      </c>
      <c r="L700" s="194"/>
      <c r="M700" s="271" t="str">
        <f>VLOOKUP(B700,материал!$B$5:$H$67,7,0)</f>
        <v>Закуп подярдчика</v>
      </c>
    </row>
    <row r="701" spans="1:13" s="135" customFormat="1" ht="12.75" customHeight="1" x14ac:dyDescent="0.25">
      <c r="A701" s="181"/>
      <c r="B701" s="189" t="s">
        <v>131</v>
      </c>
      <c r="C701" s="177" t="s">
        <v>39</v>
      </c>
      <c r="D701" s="177" t="s">
        <v>54</v>
      </c>
      <c r="E701" s="177">
        <v>1.04</v>
      </c>
      <c r="F701" s="177"/>
      <c r="G701" s="178"/>
      <c r="H701" s="178">
        <f>22.23*E701</f>
        <v>23.119200000000003</v>
      </c>
      <c r="I701" s="179">
        <f t="shared" si="39"/>
        <v>23.119200000000003</v>
      </c>
      <c r="J701" s="180">
        <f>VLOOKUP(B701,материал!$B$5:$G$67,5,0)</f>
        <v>0</v>
      </c>
      <c r="K701" s="180">
        <f t="shared" si="38"/>
        <v>0</v>
      </c>
      <c r="L701" s="194"/>
      <c r="M701" s="271" t="str">
        <f>VLOOKUP(B701,материал!$B$5:$H$67,7,0)</f>
        <v>Закуп подярдчика</v>
      </c>
    </row>
    <row r="702" spans="1:13" s="135" customFormat="1" ht="12.75" customHeight="1" x14ac:dyDescent="0.25">
      <c r="A702" s="181"/>
      <c r="B702" s="189" t="s">
        <v>96</v>
      </c>
      <c r="C702" s="177" t="s">
        <v>39</v>
      </c>
      <c r="D702" s="177" t="s">
        <v>54</v>
      </c>
      <c r="E702" s="177">
        <v>1.04</v>
      </c>
      <c r="F702" s="177"/>
      <c r="G702" s="178">
        <f>25.93*E702</f>
        <v>26.967200000000002</v>
      </c>
      <c r="H702" s="178"/>
      <c r="I702" s="179">
        <f t="shared" si="39"/>
        <v>26.967200000000002</v>
      </c>
      <c r="J702" s="180">
        <f>VLOOKUP(B702,материал!$B$5:$G$67,5,0)</f>
        <v>0</v>
      </c>
      <c r="K702" s="180">
        <f t="shared" si="38"/>
        <v>0</v>
      </c>
      <c r="L702" s="194"/>
      <c r="M702" s="271" t="str">
        <f>VLOOKUP(B702,материал!$B$5:$H$67,7,0)</f>
        <v>Закуп подярдчика</v>
      </c>
    </row>
    <row r="703" spans="1:13" s="137" customFormat="1" ht="12.75" customHeight="1" x14ac:dyDescent="0.25">
      <c r="A703" s="181"/>
      <c r="B703" s="189" t="s">
        <v>97</v>
      </c>
      <c r="C703" s="177" t="s">
        <v>39</v>
      </c>
      <c r="D703" s="177" t="s">
        <v>54</v>
      </c>
      <c r="E703" s="177">
        <v>1.04</v>
      </c>
      <c r="F703" s="177"/>
      <c r="G703" s="178">
        <f>E703*12.23</f>
        <v>12.719200000000001</v>
      </c>
      <c r="H703" s="178"/>
      <c r="I703" s="179">
        <f t="shared" si="39"/>
        <v>12.719200000000001</v>
      </c>
      <c r="J703" s="180">
        <f>VLOOKUP(B703,материал!$B$5:$G$67,5,0)</f>
        <v>0</v>
      </c>
      <c r="K703" s="180">
        <f t="shared" si="38"/>
        <v>0</v>
      </c>
      <c r="L703" s="194"/>
      <c r="M703" s="271" t="str">
        <f>VLOOKUP(B703,материал!$B$5:$H$67,7,0)</f>
        <v>Закуп подярдчика</v>
      </c>
    </row>
    <row r="704" spans="1:13" s="137" customFormat="1" ht="12.75" customHeight="1" x14ac:dyDescent="0.25">
      <c r="A704" s="181"/>
      <c r="B704" s="189" t="s">
        <v>132</v>
      </c>
      <c r="C704" s="177" t="s">
        <v>39</v>
      </c>
      <c r="D704" s="177" t="s">
        <v>54</v>
      </c>
      <c r="E704" s="177">
        <v>1.04</v>
      </c>
      <c r="F704" s="177"/>
      <c r="G704" s="178"/>
      <c r="H704" s="178">
        <f>7.5*E704</f>
        <v>7.8000000000000007</v>
      </c>
      <c r="I704" s="179">
        <f t="shared" si="39"/>
        <v>7.8000000000000007</v>
      </c>
      <c r="J704" s="180">
        <f>VLOOKUP(B704,материал!$B$5:$G$67,5,0)</f>
        <v>0</v>
      </c>
      <c r="K704" s="180">
        <f t="shared" si="38"/>
        <v>0</v>
      </c>
      <c r="L704" s="194"/>
      <c r="M704" s="271" t="str">
        <f>VLOOKUP(B704,материал!$B$5:$H$67,7,0)</f>
        <v>Закуп подярдчика</v>
      </c>
    </row>
    <row r="705" spans="1:13" s="137" customFormat="1" ht="39" customHeight="1" x14ac:dyDescent="0.25">
      <c r="A705" s="181"/>
      <c r="B705" s="189" t="s">
        <v>275</v>
      </c>
      <c r="C705" s="177" t="s">
        <v>276</v>
      </c>
      <c r="D705" s="177" t="s">
        <v>45</v>
      </c>
      <c r="E705" s="177">
        <v>1.04</v>
      </c>
      <c r="F705" s="177"/>
      <c r="G705" s="178">
        <f>G669*0.05*E705</f>
        <v>1.6716960000000001</v>
      </c>
      <c r="H705" s="178"/>
      <c r="I705" s="179">
        <f t="shared" si="39"/>
        <v>1.6716960000000001</v>
      </c>
      <c r="J705" s="180">
        <f>VLOOKUP(B705,материал!$B$5:$G$67,5,0)</f>
        <v>0</v>
      </c>
      <c r="K705" s="180">
        <f t="shared" si="38"/>
        <v>0</v>
      </c>
      <c r="L705" s="194"/>
      <c r="M705" s="271" t="str">
        <f>VLOOKUP(B705,материал!$B$5:$H$67,7,0)</f>
        <v>Закуп подярдчика</v>
      </c>
    </row>
    <row r="706" spans="1:13" s="135" customFormat="1" ht="25.5" x14ac:dyDescent="0.25">
      <c r="A706" s="195"/>
      <c r="B706" s="196" t="s">
        <v>133</v>
      </c>
      <c r="C706" s="197" t="s">
        <v>39</v>
      </c>
      <c r="D706" s="197" t="s">
        <v>99</v>
      </c>
      <c r="E706" s="197"/>
      <c r="F706" s="197"/>
      <c r="G706" s="198"/>
      <c r="H706" s="198"/>
      <c r="I706" s="199">
        <f ca="1">SUMIF(материал!$B$5:$G$67,B706,материал!$E$5:$E$67)</f>
        <v>0</v>
      </c>
      <c r="J706" s="180"/>
      <c r="K706" s="180">
        <f ca="1">SUM(K672:K705)*I706%</f>
        <v>0</v>
      </c>
      <c r="L706" s="194"/>
      <c r="M706" s="271" t="str">
        <f>VLOOKUP(B706,материал!$B$5:$H$67,7,0)</f>
        <v>Закуп подярдчика</v>
      </c>
    </row>
    <row r="707" spans="1:13" s="135" customFormat="1" ht="12.75" customHeight="1" x14ac:dyDescent="0.25">
      <c r="A707" s="160" t="s">
        <v>158</v>
      </c>
      <c r="B707" s="161" t="s">
        <v>159</v>
      </c>
      <c r="C707" s="165"/>
      <c r="D707" s="165"/>
      <c r="E707" s="165"/>
      <c r="F707" s="165"/>
      <c r="G707" s="165"/>
      <c r="H707" s="165"/>
      <c r="I707" s="165"/>
      <c r="J707" s="165"/>
      <c r="K707" s="165">
        <f ca="1">K708+K721</f>
        <v>0</v>
      </c>
      <c r="L707" s="186"/>
      <c r="M707" s="273" t="e">
        <f>VLOOKUP(B707,материал!$B$5:$H$67,7,0)</f>
        <v>#N/A</v>
      </c>
    </row>
    <row r="708" spans="1:13" s="135" customFormat="1" ht="12.75" customHeight="1" x14ac:dyDescent="0.25">
      <c r="A708" s="166"/>
      <c r="B708" s="167" t="s">
        <v>34</v>
      </c>
      <c r="C708" s="168"/>
      <c r="D708" s="168"/>
      <c r="E708" s="168"/>
      <c r="F708" s="168"/>
      <c r="G708" s="169"/>
      <c r="H708" s="169"/>
      <c r="I708" s="170"/>
      <c r="J708" s="170"/>
      <c r="K708" s="170">
        <f>SUM(K709:K719)</f>
        <v>0</v>
      </c>
      <c r="L708" s="172"/>
      <c r="M708" s="270" t="e">
        <f>VLOOKUP(B708,материал!$B$5:$H$67,7,0)</f>
        <v>#N/A</v>
      </c>
    </row>
    <row r="709" spans="1:13" s="135" customFormat="1" ht="24.95" customHeight="1" x14ac:dyDescent="0.25">
      <c r="A709" s="166"/>
      <c r="B709" s="171" t="s">
        <v>44</v>
      </c>
      <c r="C709" s="172"/>
      <c r="D709" s="172" t="s">
        <v>45</v>
      </c>
      <c r="E709" s="172"/>
      <c r="F709" s="172"/>
      <c r="G709" s="173"/>
      <c r="H709" s="173">
        <v>30.38</v>
      </c>
      <c r="I709" s="170">
        <f t="shared" ref="I709:I718" si="40">SUM(G709:H709)</f>
        <v>30.38</v>
      </c>
      <c r="J709" s="174">
        <f>VLOOKUP(B709,работы!$B$5:$F$19,4,0)</f>
        <v>0</v>
      </c>
      <c r="K709" s="174">
        <f t="shared" si="38"/>
        <v>0</v>
      </c>
      <c r="L709" s="172"/>
      <c r="M709" s="270" t="e">
        <f>VLOOKUP(B709,материал!$B$5:$H$67,7,0)</f>
        <v>#N/A</v>
      </c>
    </row>
    <row r="710" spans="1:13" s="135" customFormat="1" ht="12.75" customHeight="1" x14ac:dyDescent="0.25">
      <c r="A710" s="166"/>
      <c r="B710" s="171" t="s">
        <v>102</v>
      </c>
      <c r="C710" s="172"/>
      <c r="D710" s="172" t="s">
        <v>45</v>
      </c>
      <c r="E710" s="172"/>
      <c r="F710" s="172"/>
      <c r="G710" s="173"/>
      <c r="H710" s="173">
        <v>2.35</v>
      </c>
      <c r="I710" s="170">
        <f t="shared" si="40"/>
        <v>2.35</v>
      </c>
      <c r="J710" s="174">
        <f>VLOOKUP(B710,работы!$B$5:$F$19,4,0)</f>
        <v>0</v>
      </c>
      <c r="K710" s="174">
        <f t="shared" si="38"/>
        <v>0</v>
      </c>
      <c r="L710" s="172"/>
      <c r="M710" s="270" t="e">
        <f>VLOOKUP(B710,материал!$B$5:$H$67,7,0)</f>
        <v>#N/A</v>
      </c>
    </row>
    <row r="711" spans="1:13" s="135" customFormat="1" ht="24.95" customHeight="1" x14ac:dyDescent="0.25">
      <c r="A711" s="166"/>
      <c r="B711" s="171" t="s">
        <v>46</v>
      </c>
      <c r="C711" s="172"/>
      <c r="D711" s="172" t="s">
        <v>47</v>
      </c>
      <c r="E711" s="172"/>
      <c r="F711" s="172"/>
      <c r="G711" s="173"/>
      <c r="H711" s="173">
        <v>181.95</v>
      </c>
      <c r="I711" s="170">
        <f t="shared" si="40"/>
        <v>181.95</v>
      </c>
      <c r="J711" s="174">
        <f>VLOOKUP(B711,работы!$B$5:$F$19,4,0)</f>
        <v>0</v>
      </c>
      <c r="K711" s="174">
        <f t="shared" si="38"/>
        <v>0</v>
      </c>
      <c r="L711" s="172"/>
      <c r="M711" s="270" t="e">
        <f>VLOOKUP(B711,материал!$B$5:$H$67,7,0)</f>
        <v>#N/A</v>
      </c>
    </row>
    <row r="712" spans="1:13" s="135" customFormat="1" ht="24.95" customHeight="1" x14ac:dyDescent="0.25">
      <c r="A712" s="166"/>
      <c r="B712" s="171" t="s">
        <v>48</v>
      </c>
      <c r="C712" s="172"/>
      <c r="D712" s="172" t="s">
        <v>47</v>
      </c>
      <c r="E712" s="172"/>
      <c r="F712" s="172"/>
      <c r="G712" s="173"/>
      <c r="H712" s="173">
        <v>89.32</v>
      </c>
      <c r="I712" s="170">
        <f t="shared" si="40"/>
        <v>89.32</v>
      </c>
      <c r="J712" s="174">
        <f>VLOOKUP(B712,работы!$B$5:$F$19,4,0)</f>
        <v>0</v>
      </c>
      <c r="K712" s="174">
        <f t="shared" si="38"/>
        <v>0</v>
      </c>
      <c r="L712" s="172"/>
      <c r="M712" s="270" t="e">
        <f>VLOOKUP(B712,материал!$B$5:$H$67,7,0)</f>
        <v>#N/A</v>
      </c>
    </row>
    <row r="713" spans="1:13" s="135" customFormat="1" ht="24.95" customHeight="1" x14ac:dyDescent="0.25">
      <c r="A713" s="166"/>
      <c r="B713" s="171" t="s">
        <v>103</v>
      </c>
      <c r="C713" s="172"/>
      <c r="D713" s="172" t="s">
        <v>47</v>
      </c>
      <c r="E713" s="172"/>
      <c r="F713" s="172"/>
      <c r="G713" s="173"/>
      <c r="H713" s="173">
        <v>217.47</v>
      </c>
      <c r="I713" s="170">
        <f t="shared" si="40"/>
        <v>217.47</v>
      </c>
      <c r="J713" s="174">
        <f>VLOOKUP(B713,работы!$B$5:$F$19,4,0)</f>
        <v>0</v>
      </c>
      <c r="K713" s="174">
        <f t="shared" si="38"/>
        <v>0</v>
      </c>
      <c r="L713" s="172"/>
      <c r="M713" s="270" t="e">
        <f>VLOOKUP(B713,материал!$B$5:$H$67,7,0)</f>
        <v>#N/A</v>
      </c>
    </row>
    <row r="714" spans="1:13" s="135" customFormat="1" ht="24.95" customHeight="1" x14ac:dyDescent="0.25">
      <c r="A714" s="166"/>
      <c r="B714" s="171" t="s">
        <v>104</v>
      </c>
      <c r="C714" s="172"/>
      <c r="D714" s="172" t="s">
        <v>47</v>
      </c>
      <c r="E714" s="172"/>
      <c r="F714" s="172"/>
      <c r="G714" s="173"/>
      <c r="H714" s="173">
        <v>191.19</v>
      </c>
      <c r="I714" s="170">
        <f t="shared" si="40"/>
        <v>191.19</v>
      </c>
      <c r="J714" s="174">
        <f>VLOOKUP(B714,работы!$B$5:$F$19,4,0)</f>
        <v>0</v>
      </c>
      <c r="K714" s="174">
        <f t="shared" si="38"/>
        <v>0</v>
      </c>
      <c r="L714" s="172"/>
      <c r="M714" s="270" t="e">
        <f>VLOOKUP(B714,материал!$B$5:$H$67,7,0)</f>
        <v>#N/A</v>
      </c>
    </row>
    <row r="715" spans="1:13" s="135" customFormat="1" ht="12.75" customHeight="1" x14ac:dyDescent="0.25">
      <c r="A715" s="166"/>
      <c r="B715" s="171" t="s">
        <v>49</v>
      </c>
      <c r="C715" s="172"/>
      <c r="D715" s="172" t="s">
        <v>47</v>
      </c>
      <c r="E715" s="172"/>
      <c r="F715" s="172"/>
      <c r="G715" s="173"/>
      <c r="H715" s="173">
        <v>59.56</v>
      </c>
      <c r="I715" s="170">
        <f t="shared" si="40"/>
        <v>59.56</v>
      </c>
      <c r="J715" s="174">
        <f>VLOOKUP(B715,работы!$B$5:$F$19,4,0)</f>
        <v>0</v>
      </c>
      <c r="K715" s="174">
        <f t="shared" si="38"/>
        <v>0</v>
      </c>
      <c r="L715" s="172"/>
      <c r="M715" s="270" t="e">
        <f>VLOOKUP(B715,материал!$B$5:$H$67,7,0)</f>
        <v>#N/A</v>
      </c>
    </row>
    <row r="716" spans="1:13" s="135" customFormat="1" ht="12.75" customHeight="1" x14ac:dyDescent="0.25">
      <c r="A716" s="166"/>
      <c r="B716" s="171" t="s">
        <v>50</v>
      </c>
      <c r="C716" s="172"/>
      <c r="D716" s="172" t="s">
        <v>51</v>
      </c>
      <c r="E716" s="172"/>
      <c r="F716" s="172"/>
      <c r="G716" s="173"/>
      <c r="H716" s="173">
        <v>66</v>
      </c>
      <c r="I716" s="170">
        <f t="shared" si="40"/>
        <v>66</v>
      </c>
      <c r="J716" s="174">
        <f>VLOOKUP(B716,работы!$B$5:$F$19,4,0)</f>
        <v>0</v>
      </c>
      <c r="K716" s="174">
        <f t="shared" si="38"/>
        <v>0</v>
      </c>
      <c r="L716" s="172"/>
      <c r="M716" s="270" t="e">
        <f>VLOOKUP(B716,материал!$B$5:$H$67,7,0)</f>
        <v>#N/A</v>
      </c>
    </row>
    <row r="717" spans="1:13" s="135" customFormat="1" ht="12.75" customHeight="1" x14ac:dyDescent="0.25">
      <c r="A717" s="166"/>
      <c r="B717" s="171" t="s">
        <v>52</v>
      </c>
      <c r="C717" s="172" t="s">
        <v>105</v>
      </c>
      <c r="D717" s="172" t="s">
        <v>54</v>
      </c>
      <c r="E717" s="172"/>
      <c r="F717" s="172"/>
      <c r="G717" s="173"/>
      <c r="H717" s="173">
        <v>58.4</v>
      </c>
      <c r="I717" s="170">
        <f t="shared" si="40"/>
        <v>58.4</v>
      </c>
      <c r="J717" s="174">
        <f>VLOOKUP(B717,работы!$B$5:$F$19,4,0)</f>
        <v>0</v>
      </c>
      <c r="K717" s="174">
        <f t="shared" si="38"/>
        <v>0</v>
      </c>
      <c r="L717" s="172"/>
      <c r="M717" s="270" t="e">
        <f>VLOOKUP(B717,материал!$B$5:$H$67,7,0)</f>
        <v>#N/A</v>
      </c>
    </row>
    <row r="718" spans="1:13" s="135" customFormat="1" ht="24.95" customHeight="1" x14ac:dyDescent="0.25">
      <c r="A718" s="166"/>
      <c r="B718" s="171" t="s">
        <v>55</v>
      </c>
      <c r="C718" s="172"/>
      <c r="D718" s="172" t="s">
        <v>54</v>
      </c>
      <c r="E718" s="172"/>
      <c r="F718" s="172"/>
      <c r="G718" s="173"/>
      <c r="H718" s="173">
        <v>32.950000000000003</v>
      </c>
      <c r="I718" s="170">
        <f t="shared" si="40"/>
        <v>32.950000000000003</v>
      </c>
      <c r="J718" s="174">
        <f>VLOOKUP(B718,работы!$B$5:$F$19,4,0)</f>
        <v>0</v>
      </c>
      <c r="K718" s="174">
        <f t="shared" si="38"/>
        <v>0</v>
      </c>
      <c r="L718" s="172"/>
      <c r="M718" s="270" t="e">
        <f>VLOOKUP(B718,материал!$B$5:$H$67,7,0)</f>
        <v>#N/A</v>
      </c>
    </row>
    <row r="719" spans="1:13" s="135" customFormat="1" x14ac:dyDescent="0.25">
      <c r="A719" s="166"/>
      <c r="B719" s="171" t="s">
        <v>256</v>
      </c>
      <c r="C719" s="172"/>
      <c r="D719" s="172" t="s">
        <v>47</v>
      </c>
      <c r="E719" s="172"/>
      <c r="F719" s="172"/>
      <c r="G719" s="173"/>
      <c r="H719" s="173"/>
      <c r="I719" s="170"/>
      <c r="J719" s="174">
        <f>VLOOKUP(B719,работы!$B$5:$F$19,4,0)</f>
        <v>0</v>
      </c>
      <c r="K719" s="174">
        <f t="shared" si="38"/>
        <v>0</v>
      </c>
      <c r="L719" s="172"/>
      <c r="M719" s="270" t="e">
        <f>VLOOKUP(B719,материал!$B$5:$H$67,7,0)</f>
        <v>#N/A</v>
      </c>
    </row>
    <row r="720" spans="1:13" s="135" customFormat="1" x14ac:dyDescent="0.25">
      <c r="A720" s="166"/>
      <c r="B720" s="187" t="s">
        <v>56</v>
      </c>
      <c r="C720" s="188"/>
      <c r="D720" s="188" t="s">
        <v>45</v>
      </c>
      <c r="E720" s="188"/>
      <c r="F720" s="188"/>
      <c r="G720" s="173"/>
      <c r="H720" s="173">
        <v>0.64002599999999998</v>
      </c>
      <c r="I720" s="170">
        <f t="shared" ref="I720" si="41">SUM(G720:H720)</f>
        <v>0.64002599999999998</v>
      </c>
      <c r="J720" s="174"/>
      <c r="K720" s="174"/>
      <c r="L720" s="172"/>
      <c r="M720" s="270" t="e">
        <f>VLOOKUP(B720,материал!$B$5:$H$67,7,0)</f>
        <v>#N/A</v>
      </c>
    </row>
    <row r="721" spans="1:13" s="135" customFormat="1" x14ac:dyDescent="0.25">
      <c r="A721" s="175"/>
      <c r="B721" s="176" t="s">
        <v>38</v>
      </c>
      <c r="C721" s="177"/>
      <c r="D721" s="177"/>
      <c r="E721" s="177"/>
      <c r="F721" s="177"/>
      <c r="G721" s="178"/>
      <c r="H721" s="178"/>
      <c r="I721" s="179"/>
      <c r="J721" s="180"/>
      <c r="K721" s="179">
        <f ca="1">SUM(K722:K744)</f>
        <v>0</v>
      </c>
      <c r="L721" s="200"/>
      <c r="M721" s="271"/>
    </row>
    <row r="722" spans="1:13" s="135" customFormat="1" ht="25.5" x14ac:dyDescent="0.25">
      <c r="A722" s="181"/>
      <c r="B722" s="182" t="s">
        <v>58</v>
      </c>
      <c r="C722" s="177" t="s">
        <v>59</v>
      </c>
      <c r="D722" s="177" t="s">
        <v>60</v>
      </c>
      <c r="E722" s="178">
        <v>12.4</v>
      </c>
      <c r="F722" s="177">
        <v>0.25</v>
      </c>
      <c r="G722" s="183"/>
      <c r="H722" s="183">
        <f>H709/F722*E722</f>
        <v>1506.848</v>
      </c>
      <c r="I722" s="184">
        <f t="shared" ref="I722:I743" si="42">SUM(G722:H722)</f>
        <v>1506.848</v>
      </c>
      <c r="J722" s="180">
        <f>VLOOKUP(B722,материал!$B$5:$G$67,5,0)</f>
        <v>0</v>
      </c>
      <c r="K722" s="180">
        <f t="shared" si="38"/>
        <v>0</v>
      </c>
      <c r="L722" s="177"/>
      <c r="M722" s="271" t="str">
        <f>VLOOKUP(B722,материал!$B$5:$H$67,7,0)</f>
        <v>Давальческий материал</v>
      </c>
    </row>
    <row r="723" spans="1:13" s="135" customFormat="1" ht="25.5" x14ac:dyDescent="0.25">
      <c r="A723" s="181"/>
      <c r="B723" s="182" t="s">
        <v>62</v>
      </c>
      <c r="C723" s="177" t="s">
        <v>63</v>
      </c>
      <c r="D723" s="177" t="s">
        <v>60</v>
      </c>
      <c r="E723" s="178">
        <v>12.4</v>
      </c>
      <c r="F723" s="177"/>
      <c r="G723" s="183"/>
      <c r="H723" s="183">
        <f>H711*E723</f>
        <v>2256.1799999999998</v>
      </c>
      <c r="I723" s="184">
        <f t="shared" si="42"/>
        <v>2256.1799999999998</v>
      </c>
      <c r="J723" s="180">
        <f>VLOOKUP(B723,материал!$B$5:$G$67,5,0)</f>
        <v>0</v>
      </c>
      <c r="K723" s="180">
        <f t="shared" si="38"/>
        <v>0</v>
      </c>
      <c r="L723" s="177"/>
      <c r="M723" s="271" t="str">
        <f>VLOOKUP(B723,материал!$B$5:$H$67,7,0)</f>
        <v>Давальческий материал</v>
      </c>
    </row>
    <row r="724" spans="1:13" s="135" customFormat="1" ht="25.5" x14ac:dyDescent="0.25">
      <c r="A724" s="181"/>
      <c r="B724" s="182" t="s">
        <v>64</v>
      </c>
      <c r="C724" s="177" t="s">
        <v>65</v>
      </c>
      <c r="D724" s="177" t="s">
        <v>60</v>
      </c>
      <c r="E724" s="178">
        <v>12.4</v>
      </c>
      <c r="F724" s="177"/>
      <c r="G724" s="183"/>
      <c r="H724" s="183">
        <f>H712*E724</f>
        <v>1107.568</v>
      </c>
      <c r="I724" s="184">
        <f t="shared" si="42"/>
        <v>1107.568</v>
      </c>
      <c r="J724" s="180">
        <f>VLOOKUP(B724,материал!$B$5:$G$67,5,0)</f>
        <v>0</v>
      </c>
      <c r="K724" s="180">
        <f t="shared" si="38"/>
        <v>0</v>
      </c>
      <c r="L724" s="177"/>
      <c r="M724" s="271" t="str">
        <f>VLOOKUP(B724,материал!$B$5:$H$67,7,0)</f>
        <v>Давальческий материал</v>
      </c>
    </row>
    <row r="725" spans="1:13" s="135" customFormat="1" ht="25.5" x14ac:dyDescent="0.25">
      <c r="A725" s="181"/>
      <c r="B725" s="182" t="s">
        <v>106</v>
      </c>
      <c r="C725" s="177" t="s">
        <v>107</v>
      </c>
      <c r="D725" s="177" t="s">
        <v>60</v>
      </c>
      <c r="E725" s="178">
        <v>12.4</v>
      </c>
      <c r="F725" s="177"/>
      <c r="G725" s="183"/>
      <c r="H725" s="183">
        <f>H713*E725</f>
        <v>2696.6280000000002</v>
      </c>
      <c r="I725" s="184">
        <f t="shared" si="42"/>
        <v>2696.6280000000002</v>
      </c>
      <c r="J725" s="180">
        <f>VLOOKUP(B725,материал!$B$5:$G$67,5,0)</f>
        <v>0</v>
      </c>
      <c r="K725" s="180">
        <f t="shared" si="38"/>
        <v>0</v>
      </c>
      <c r="L725" s="177"/>
      <c r="M725" s="271" t="str">
        <f>VLOOKUP(B725,материал!$B$5:$H$67,7,0)</f>
        <v>Давальческий материал</v>
      </c>
    </row>
    <row r="726" spans="1:13" s="135" customFormat="1" ht="25.5" x14ac:dyDescent="0.25">
      <c r="A726" s="181"/>
      <c r="B726" s="182" t="s">
        <v>108</v>
      </c>
      <c r="C726" s="177" t="s">
        <v>109</v>
      </c>
      <c r="D726" s="177" t="s">
        <v>60</v>
      </c>
      <c r="E726" s="178">
        <v>12.4</v>
      </c>
      <c r="F726" s="177"/>
      <c r="G726" s="183"/>
      <c r="H726" s="183">
        <f>H714*E726</f>
        <v>2370.7559999999999</v>
      </c>
      <c r="I726" s="184">
        <f t="shared" si="42"/>
        <v>2370.7559999999999</v>
      </c>
      <c r="J726" s="180">
        <f>VLOOKUP(B726,материал!$B$5:$G$67,5,0)</f>
        <v>0</v>
      </c>
      <c r="K726" s="180">
        <f t="shared" si="38"/>
        <v>0</v>
      </c>
      <c r="L726" s="177"/>
      <c r="M726" s="271" t="str">
        <f>VLOOKUP(B726,материал!$B$5:$H$67,7,0)</f>
        <v>Давальческий материал</v>
      </c>
    </row>
    <row r="727" spans="1:13" s="135" customFormat="1" ht="12.75" customHeight="1" x14ac:dyDescent="0.25">
      <c r="A727" s="181"/>
      <c r="B727" s="189" t="s">
        <v>66</v>
      </c>
      <c r="C727" s="177" t="s">
        <v>67</v>
      </c>
      <c r="D727" s="177" t="s">
        <v>60</v>
      </c>
      <c r="E727" s="190">
        <v>42</v>
      </c>
      <c r="F727" s="190"/>
      <c r="G727" s="183"/>
      <c r="H727" s="183">
        <f>H715*E727</f>
        <v>2501.52</v>
      </c>
      <c r="I727" s="184">
        <f t="shared" si="42"/>
        <v>2501.52</v>
      </c>
      <c r="J727" s="180">
        <f>VLOOKUP(B727,материал!$B$5:$G$67,5,0)</f>
        <v>0</v>
      </c>
      <c r="K727" s="180">
        <f t="shared" ref="K727:K790" si="43">I727*J727</f>
        <v>0</v>
      </c>
      <c r="L727" s="177"/>
      <c r="M727" s="271" t="str">
        <f>VLOOKUP(B727,материал!$B$5:$H$67,7,0)</f>
        <v>Давальческий материал</v>
      </c>
    </row>
    <row r="728" spans="1:13" s="135" customFormat="1" ht="12.75" customHeight="1" x14ac:dyDescent="0.25">
      <c r="A728" s="181"/>
      <c r="B728" s="189" t="s">
        <v>110</v>
      </c>
      <c r="C728" s="177" t="s">
        <v>111</v>
      </c>
      <c r="D728" s="177" t="s">
        <v>60</v>
      </c>
      <c r="E728" s="190">
        <v>42</v>
      </c>
      <c r="F728" s="190"/>
      <c r="G728" s="183"/>
      <c r="H728" s="183">
        <f>H710/0.25*E728</f>
        <v>394.8</v>
      </c>
      <c r="I728" s="184">
        <f t="shared" si="42"/>
        <v>394.8</v>
      </c>
      <c r="J728" s="180">
        <f>VLOOKUP(B728,материал!$B$5:$G$67,5,0)</f>
        <v>0</v>
      </c>
      <c r="K728" s="180">
        <f t="shared" si="43"/>
        <v>0</v>
      </c>
      <c r="L728" s="177"/>
      <c r="M728" s="271" t="str">
        <f>VLOOKUP(B728,материал!$B$5:$H$67,7,0)</f>
        <v>Давальческий материал</v>
      </c>
    </row>
    <row r="729" spans="1:13" s="135" customFormat="1" ht="12.75" customHeight="1" x14ac:dyDescent="0.25">
      <c r="A729" s="181"/>
      <c r="B729" s="191" t="s">
        <v>69</v>
      </c>
      <c r="C729" s="177" t="s">
        <v>70</v>
      </c>
      <c r="D729" s="177" t="s">
        <v>45</v>
      </c>
      <c r="E729" s="177">
        <v>0.19500000000000001</v>
      </c>
      <c r="F729" s="190"/>
      <c r="G729" s="178"/>
      <c r="H729" s="178">
        <f>H709*E729+H711*E729*0.19+H712*E729*0.19+H713*E729*0.09+H714*E729*0.09</f>
        <v>23.1466365</v>
      </c>
      <c r="I729" s="179">
        <f t="shared" si="42"/>
        <v>23.1466365</v>
      </c>
      <c r="J729" s="180">
        <f>VLOOKUP(B729,материал!$B$5:$G$67,5,0)</f>
        <v>0</v>
      </c>
      <c r="K729" s="180">
        <f t="shared" si="43"/>
        <v>0</v>
      </c>
      <c r="L729" s="177"/>
      <c r="M729" s="271" t="str">
        <f>VLOOKUP(B729,материал!$B$5:$H$67,7,0)</f>
        <v>Закуп подярдчика</v>
      </c>
    </row>
    <row r="730" spans="1:13" s="135" customFormat="1" ht="12.75" customHeight="1" x14ac:dyDescent="0.25">
      <c r="A730" s="192"/>
      <c r="B730" s="191" t="s">
        <v>112</v>
      </c>
      <c r="C730" s="177" t="s">
        <v>70</v>
      </c>
      <c r="D730" s="177" t="s">
        <v>45</v>
      </c>
      <c r="E730" s="177">
        <v>0.24</v>
      </c>
      <c r="F730" s="177"/>
      <c r="G730" s="178"/>
      <c r="H730" s="178">
        <f>H710*E730</f>
        <v>0.56399999999999995</v>
      </c>
      <c r="I730" s="179">
        <f t="shared" si="42"/>
        <v>0.56399999999999995</v>
      </c>
      <c r="J730" s="180">
        <f>VLOOKUP(B730,материал!$B$5:$G$67,5,0)</f>
        <v>0</v>
      </c>
      <c r="K730" s="180">
        <f t="shared" si="43"/>
        <v>0</v>
      </c>
      <c r="L730" s="177"/>
      <c r="M730" s="271" t="str">
        <f>VLOOKUP(B730,материал!$B$5:$H$67,7,0)</f>
        <v>Закуп подярдчика</v>
      </c>
    </row>
    <row r="731" spans="1:13" s="135" customFormat="1" ht="12.75" customHeight="1" x14ac:dyDescent="0.25">
      <c r="A731" s="192"/>
      <c r="B731" s="191" t="s">
        <v>72</v>
      </c>
      <c r="C731" s="177" t="s">
        <v>70</v>
      </c>
      <c r="D731" s="177" t="s">
        <v>45</v>
      </c>
      <c r="E731" s="177">
        <v>4.5999999999999999E-2</v>
      </c>
      <c r="F731" s="177"/>
      <c r="G731" s="178"/>
      <c r="H731" s="178">
        <f>H715*E731</f>
        <v>2.73976</v>
      </c>
      <c r="I731" s="179">
        <f t="shared" si="42"/>
        <v>2.73976</v>
      </c>
      <c r="J731" s="180">
        <f>VLOOKUP(B731,материал!$B$5:$G$67,5,0)</f>
        <v>0</v>
      </c>
      <c r="K731" s="180">
        <f t="shared" si="43"/>
        <v>0</v>
      </c>
      <c r="L731" s="177"/>
      <c r="M731" s="271" t="str">
        <f>VLOOKUP(B731,материал!$B$5:$H$67,7,0)</f>
        <v>Закуп подярдчика</v>
      </c>
    </row>
    <row r="732" spans="1:13" s="135" customFormat="1" ht="12.75" customHeight="1" x14ac:dyDescent="0.25">
      <c r="A732" s="192"/>
      <c r="B732" s="191" t="s">
        <v>74</v>
      </c>
      <c r="C732" s="177" t="s">
        <v>70</v>
      </c>
      <c r="D732" s="177" t="s">
        <v>45</v>
      </c>
      <c r="E732" s="177">
        <v>1.01</v>
      </c>
      <c r="F732" s="177"/>
      <c r="G732" s="178"/>
      <c r="H732" s="178">
        <f>H720*E732</f>
        <v>0.64642626000000003</v>
      </c>
      <c r="I732" s="179">
        <f t="shared" si="42"/>
        <v>0.64642626000000003</v>
      </c>
      <c r="J732" s="180">
        <f>VLOOKUP(B732,материал!$B$5:$G$67,5,0)</f>
        <v>0</v>
      </c>
      <c r="K732" s="180">
        <f t="shared" si="43"/>
        <v>0</v>
      </c>
      <c r="L732" s="177"/>
      <c r="M732" s="271" t="str">
        <f>VLOOKUP(B732,материал!$B$5:$H$67,7,0)</f>
        <v>Закуп подярдчика</v>
      </c>
    </row>
    <row r="733" spans="1:13" s="135" customFormat="1" ht="12.75" customHeight="1" x14ac:dyDescent="0.25">
      <c r="A733" s="181"/>
      <c r="B733" s="189" t="s">
        <v>75</v>
      </c>
      <c r="C733" s="177" t="s">
        <v>70</v>
      </c>
      <c r="D733" s="177" t="s">
        <v>45</v>
      </c>
      <c r="E733" s="177">
        <v>6.0000000000000001E-3</v>
      </c>
      <c r="F733" s="177"/>
      <c r="G733" s="178"/>
      <c r="H733" s="178">
        <f>H716*E733</f>
        <v>0.39600000000000002</v>
      </c>
      <c r="I733" s="179">
        <f t="shared" si="42"/>
        <v>0.39600000000000002</v>
      </c>
      <c r="J733" s="180">
        <f>VLOOKUP(B733,материал!$B$5:$G$67,5,0)</f>
        <v>0</v>
      </c>
      <c r="K733" s="180">
        <f t="shared" si="43"/>
        <v>0</v>
      </c>
      <c r="L733" s="177"/>
      <c r="M733" s="271" t="str">
        <f>VLOOKUP(B733,материал!$B$5:$H$67,7,0)</f>
        <v>Закуп подярдчика</v>
      </c>
    </row>
    <row r="734" spans="1:13" s="135" customFormat="1" ht="12.75" customHeight="1" x14ac:dyDescent="0.25">
      <c r="A734" s="181"/>
      <c r="B734" s="189" t="s">
        <v>77</v>
      </c>
      <c r="C734" s="177" t="s">
        <v>70</v>
      </c>
      <c r="D734" s="177" t="s">
        <v>45</v>
      </c>
      <c r="E734" s="177">
        <v>1.01</v>
      </c>
      <c r="F734" s="177"/>
      <c r="G734" s="193"/>
      <c r="H734" s="193">
        <v>6.4000000000000001E-2</v>
      </c>
      <c r="I734" s="179">
        <f t="shared" si="42"/>
        <v>6.4000000000000001E-2</v>
      </c>
      <c r="J734" s="180">
        <f>VLOOKUP(B734,материал!$B$5:$G$67,5,0)</f>
        <v>0</v>
      </c>
      <c r="K734" s="180">
        <f t="shared" si="43"/>
        <v>0</v>
      </c>
      <c r="L734" s="177"/>
      <c r="M734" s="271" t="str">
        <f>VLOOKUP(B734,материал!$B$5:$H$67,7,0)</f>
        <v>Закуп подярдчика</v>
      </c>
    </row>
    <row r="735" spans="1:13" s="135" customFormat="1" ht="12.75" customHeight="1" x14ac:dyDescent="0.25">
      <c r="A735" s="181"/>
      <c r="B735" s="189" t="s">
        <v>78</v>
      </c>
      <c r="C735" s="177" t="s">
        <v>79</v>
      </c>
      <c r="D735" s="177" t="s">
        <v>47</v>
      </c>
      <c r="E735" s="177"/>
      <c r="F735" s="177"/>
      <c r="G735" s="178"/>
      <c r="H735" s="178">
        <v>222.96</v>
      </c>
      <c r="I735" s="179">
        <f t="shared" si="42"/>
        <v>222.96</v>
      </c>
      <c r="J735" s="180">
        <f>VLOOKUP(B735,материал!$B$5:$G$67,5,0)</f>
        <v>0</v>
      </c>
      <c r="K735" s="180">
        <f t="shared" si="43"/>
        <v>0</v>
      </c>
      <c r="L735" s="177"/>
      <c r="M735" s="271" t="str">
        <f>VLOOKUP(B735,материал!$B$5:$H$67,7,0)</f>
        <v>Закуп подярдчика</v>
      </c>
    </row>
    <row r="736" spans="1:13" s="135" customFormat="1" ht="33" customHeight="1" x14ac:dyDescent="0.25">
      <c r="A736" s="181"/>
      <c r="B736" s="189" t="s">
        <v>277</v>
      </c>
      <c r="C736" s="177" t="s">
        <v>114</v>
      </c>
      <c r="D736" s="177" t="s">
        <v>60</v>
      </c>
      <c r="E736" s="177"/>
      <c r="F736" s="177"/>
      <c r="G736" s="178"/>
      <c r="H736" s="178">
        <v>16</v>
      </c>
      <c r="I736" s="179">
        <f t="shared" si="42"/>
        <v>16</v>
      </c>
      <c r="J736" s="180">
        <f>VLOOKUP(B736,материал!$B$5:$G$67,5,0)</f>
        <v>0</v>
      </c>
      <c r="K736" s="180">
        <f t="shared" si="43"/>
        <v>0</v>
      </c>
      <c r="L736" s="177"/>
      <c r="M736" s="271" t="str">
        <f>VLOOKUP(B736,материал!$B$5:$H$67,7,0)</f>
        <v>Закуп подярдчика</v>
      </c>
    </row>
    <row r="737" spans="1:13" s="135" customFormat="1" ht="33" customHeight="1" x14ac:dyDescent="0.25">
      <c r="A737" s="181"/>
      <c r="B737" s="189" t="s">
        <v>278</v>
      </c>
      <c r="C737" s="177" t="s">
        <v>116</v>
      </c>
      <c r="D737" s="177" t="s">
        <v>60</v>
      </c>
      <c r="E737" s="177"/>
      <c r="F737" s="177"/>
      <c r="G737" s="178"/>
      <c r="H737" s="178">
        <v>13</v>
      </c>
      <c r="I737" s="179">
        <f t="shared" si="42"/>
        <v>13</v>
      </c>
      <c r="J737" s="180">
        <f>VLOOKUP(B737,материал!$B$5:$G$67,5,0)</f>
        <v>0</v>
      </c>
      <c r="K737" s="180">
        <f t="shared" si="43"/>
        <v>0</v>
      </c>
      <c r="L737" s="177"/>
      <c r="M737" s="271" t="str">
        <f>VLOOKUP(B737,материал!$B$5:$H$67,7,0)</f>
        <v>Закуп подярдчика</v>
      </c>
    </row>
    <row r="738" spans="1:13" s="135" customFormat="1" ht="30.75" customHeight="1" x14ac:dyDescent="0.25">
      <c r="A738" s="181"/>
      <c r="B738" s="189" t="s">
        <v>318</v>
      </c>
      <c r="C738" s="177" t="s">
        <v>319</v>
      </c>
      <c r="D738" s="177" t="s">
        <v>60</v>
      </c>
      <c r="E738" s="177"/>
      <c r="F738" s="177"/>
      <c r="G738" s="178"/>
      <c r="H738" s="178">
        <v>2</v>
      </c>
      <c r="I738" s="179">
        <f t="shared" si="42"/>
        <v>2</v>
      </c>
      <c r="J738" s="180">
        <f>VLOOKUP(B738,материал!$B$5:$G$67,5,0)</f>
        <v>0</v>
      </c>
      <c r="K738" s="180">
        <f t="shared" si="43"/>
        <v>0</v>
      </c>
      <c r="L738" s="177"/>
      <c r="M738" s="271" t="str">
        <f>VLOOKUP(B738,материал!$B$5:$H$67,7,0)</f>
        <v>Закуп подярдчика</v>
      </c>
    </row>
    <row r="739" spans="1:13" s="135" customFormat="1" ht="30.75" customHeight="1" x14ac:dyDescent="0.25">
      <c r="A739" s="181"/>
      <c r="B739" s="189" t="s">
        <v>301</v>
      </c>
      <c r="C739" s="177" t="s">
        <v>128</v>
      </c>
      <c r="D739" s="177" t="s">
        <v>60</v>
      </c>
      <c r="E739" s="177"/>
      <c r="F739" s="177"/>
      <c r="G739" s="178"/>
      <c r="H739" s="178">
        <v>9</v>
      </c>
      <c r="I739" s="179">
        <f t="shared" si="42"/>
        <v>9</v>
      </c>
      <c r="J739" s="180">
        <f>VLOOKUP(B739,материал!$B$5:$G$67,5,0)</f>
        <v>0</v>
      </c>
      <c r="K739" s="180">
        <f t="shared" si="43"/>
        <v>0</v>
      </c>
      <c r="L739" s="177"/>
      <c r="M739" s="271" t="str">
        <f>VLOOKUP(B739,материал!$B$5:$H$67,7,0)</f>
        <v>Закуп подярдчика</v>
      </c>
    </row>
    <row r="740" spans="1:13" s="135" customFormat="1" ht="12.75" customHeight="1" x14ac:dyDescent="0.25">
      <c r="A740" s="181"/>
      <c r="B740" s="189" t="s">
        <v>92</v>
      </c>
      <c r="C740" s="177" t="s">
        <v>93</v>
      </c>
      <c r="D740" s="177" t="s">
        <v>54</v>
      </c>
      <c r="E740" s="177">
        <v>1.04</v>
      </c>
      <c r="F740" s="177"/>
      <c r="G740" s="178"/>
      <c r="H740" s="178">
        <f>161.78*E740</f>
        <v>168.25120000000001</v>
      </c>
      <c r="I740" s="179">
        <f t="shared" si="42"/>
        <v>168.25120000000001</v>
      </c>
      <c r="J740" s="180">
        <f>VLOOKUP(B740,материал!$B$5:$G$67,5,0)</f>
        <v>0</v>
      </c>
      <c r="K740" s="180">
        <f t="shared" si="43"/>
        <v>0</v>
      </c>
      <c r="L740" s="177"/>
      <c r="M740" s="271" t="str">
        <f>VLOOKUP(B740,материал!$B$5:$H$67,7,0)</f>
        <v>Закуп подярдчика</v>
      </c>
    </row>
    <row r="741" spans="1:13" s="135" customFormat="1" ht="12.75" customHeight="1" x14ac:dyDescent="0.25">
      <c r="A741" s="181"/>
      <c r="B741" s="189" t="s">
        <v>94</v>
      </c>
      <c r="C741" s="177" t="s">
        <v>95</v>
      </c>
      <c r="D741" s="177" t="s">
        <v>54</v>
      </c>
      <c r="E741" s="177">
        <v>1.04</v>
      </c>
      <c r="F741" s="177"/>
      <c r="G741" s="178"/>
      <c r="H741" s="178">
        <f>H709*E741</f>
        <v>31.595199999999998</v>
      </c>
      <c r="I741" s="179">
        <f t="shared" si="42"/>
        <v>31.595199999999998</v>
      </c>
      <c r="J741" s="180">
        <f>VLOOKUP(B741,материал!$B$5:$G$67,5,0)</f>
        <v>0</v>
      </c>
      <c r="K741" s="180">
        <f t="shared" si="43"/>
        <v>0</v>
      </c>
      <c r="L741" s="194"/>
      <c r="M741" s="271" t="str">
        <f>VLOOKUP(B741,материал!$B$5:$H$67,7,0)</f>
        <v>Закуп подярдчика</v>
      </c>
    </row>
    <row r="742" spans="1:13" s="135" customFormat="1" ht="12.75" customHeight="1" x14ac:dyDescent="0.25">
      <c r="A742" s="181"/>
      <c r="B742" s="189" t="s">
        <v>131</v>
      </c>
      <c r="C742" s="177" t="s">
        <v>39</v>
      </c>
      <c r="D742" s="177" t="s">
        <v>54</v>
      </c>
      <c r="E742" s="177">
        <v>1.04</v>
      </c>
      <c r="F742" s="177"/>
      <c r="G742" s="178"/>
      <c r="H742" s="178">
        <f>22.23*E742</f>
        <v>23.119200000000003</v>
      </c>
      <c r="I742" s="179">
        <f t="shared" si="42"/>
        <v>23.119200000000003</v>
      </c>
      <c r="J742" s="180">
        <f>VLOOKUP(B742,материал!$B$5:$G$67,5,0)</f>
        <v>0</v>
      </c>
      <c r="K742" s="180">
        <f t="shared" si="43"/>
        <v>0</v>
      </c>
      <c r="L742" s="194"/>
      <c r="M742" s="271" t="str">
        <f>VLOOKUP(B742,материал!$B$5:$H$67,7,0)</f>
        <v>Закуп подярдчика</v>
      </c>
    </row>
    <row r="743" spans="1:13" s="135" customFormat="1" ht="12.75" customHeight="1" x14ac:dyDescent="0.25">
      <c r="A743" s="181"/>
      <c r="B743" s="189" t="s">
        <v>132</v>
      </c>
      <c r="C743" s="177" t="s">
        <v>39</v>
      </c>
      <c r="D743" s="177" t="s">
        <v>54</v>
      </c>
      <c r="E743" s="177">
        <v>1.04</v>
      </c>
      <c r="F743" s="177"/>
      <c r="G743" s="178"/>
      <c r="H743" s="178">
        <f>7.5*E743</f>
        <v>7.8000000000000007</v>
      </c>
      <c r="I743" s="179">
        <f t="shared" si="42"/>
        <v>7.8000000000000007</v>
      </c>
      <c r="J743" s="180">
        <f>VLOOKUP(B743,материал!$B$5:$G$67,5,0)</f>
        <v>0</v>
      </c>
      <c r="K743" s="180">
        <f t="shared" si="43"/>
        <v>0</v>
      </c>
      <c r="L743" s="194"/>
      <c r="M743" s="271" t="str">
        <f>VLOOKUP(B743,материал!$B$5:$H$67,7,0)</f>
        <v>Закуп подярдчика</v>
      </c>
    </row>
    <row r="744" spans="1:13" s="135" customFormat="1" ht="30.75" customHeight="1" x14ac:dyDescent="0.25">
      <c r="A744" s="195"/>
      <c r="B744" s="196" t="s">
        <v>133</v>
      </c>
      <c r="C744" s="197" t="s">
        <v>39</v>
      </c>
      <c r="D744" s="197" t="s">
        <v>99</v>
      </c>
      <c r="E744" s="197"/>
      <c r="F744" s="197"/>
      <c r="G744" s="198"/>
      <c r="H744" s="198"/>
      <c r="I744" s="199">
        <f ca="1">SUMIF(материал!$B$5:$G$67,B744,материал!$E$5:$E$67)</f>
        <v>0</v>
      </c>
      <c r="J744" s="180"/>
      <c r="K744" s="180">
        <f ca="1">SUM(K722:K743)*I744%</f>
        <v>0</v>
      </c>
      <c r="L744" s="194"/>
      <c r="M744" s="271" t="str">
        <f>VLOOKUP(B744,материал!$B$5:$H$67,7,0)</f>
        <v>Закуп подярдчика</v>
      </c>
    </row>
    <row r="745" spans="1:13" s="135" customFormat="1" ht="12.75" customHeight="1" x14ac:dyDescent="0.25">
      <c r="A745" s="160" t="s">
        <v>160</v>
      </c>
      <c r="B745" s="161" t="s">
        <v>161</v>
      </c>
      <c r="C745" s="162"/>
      <c r="D745" s="163"/>
      <c r="E745" s="162"/>
      <c r="F745" s="162"/>
      <c r="G745" s="164"/>
      <c r="H745" s="164"/>
      <c r="I745" s="165"/>
      <c r="J745" s="165"/>
      <c r="K745" s="165">
        <f ca="1">K746+K759</f>
        <v>0</v>
      </c>
      <c r="L745" s="186"/>
      <c r="M745" s="273" t="e">
        <f>VLOOKUP(B745,материал!$B$5:$H$67,7,0)</f>
        <v>#N/A</v>
      </c>
    </row>
    <row r="746" spans="1:13" s="135" customFormat="1" ht="12.75" customHeight="1" x14ac:dyDescent="0.25">
      <c r="A746" s="166"/>
      <c r="B746" s="167" t="s">
        <v>34</v>
      </c>
      <c r="C746" s="168"/>
      <c r="D746" s="168"/>
      <c r="E746" s="168"/>
      <c r="F746" s="168"/>
      <c r="G746" s="169"/>
      <c r="H746" s="169"/>
      <c r="I746" s="170"/>
      <c r="J746" s="170"/>
      <c r="K746" s="170">
        <f>SUM(K747:K757)</f>
        <v>0</v>
      </c>
      <c r="L746" s="172"/>
      <c r="M746" s="270" t="e">
        <f>VLOOKUP(B746,материал!$B$5:$H$67,7,0)</f>
        <v>#N/A</v>
      </c>
    </row>
    <row r="747" spans="1:13" s="135" customFormat="1" ht="24.95" customHeight="1" x14ac:dyDescent="0.25">
      <c r="A747" s="166"/>
      <c r="B747" s="171" t="s">
        <v>44</v>
      </c>
      <c r="C747" s="172"/>
      <c r="D747" s="172" t="s">
        <v>45</v>
      </c>
      <c r="E747" s="172"/>
      <c r="F747" s="172"/>
      <c r="G747" s="173"/>
      <c r="H747" s="173">
        <f>30.38/2.82*3.12</f>
        <v>33.611914893617019</v>
      </c>
      <c r="I747" s="170">
        <f t="shared" ref="I747:I756" si="44">SUM(G747:H747)</f>
        <v>33.611914893617019</v>
      </c>
      <c r="J747" s="174">
        <f>VLOOKUP(B747,работы!$B$5:$F$19,4,0)</f>
        <v>0</v>
      </c>
      <c r="K747" s="174">
        <f t="shared" si="43"/>
        <v>0</v>
      </c>
      <c r="L747" s="172"/>
      <c r="M747" s="270" t="e">
        <f>VLOOKUP(B747,материал!$B$5:$H$67,7,0)</f>
        <v>#N/A</v>
      </c>
    </row>
    <row r="748" spans="1:13" s="135" customFormat="1" ht="12.75" customHeight="1" x14ac:dyDescent="0.25">
      <c r="A748" s="166"/>
      <c r="B748" s="171" t="s">
        <v>102</v>
      </c>
      <c r="C748" s="172"/>
      <c r="D748" s="172" t="s">
        <v>45</v>
      </c>
      <c r="E748" s="172"/>
      <c r="F748" s="172"/>
      <c r="G748" s="173"/>
      <c r="H748" s="173">
        <v>2.35</v>
      </c>
      <c r="I748" s="170">
        <f t="shared" si="44"/>
        <v>2.35</v>
      </c>
      <c r="J748" s="174">
        <f>VLOOKUP(B748,работы!$B$5:$F$19,4,0)</f>
        <v>0</v>
      </c>
      <c r="K748" s="174">
        <f t="shared" si="43"/>
        <v>0</v>
      </c>
      <c r="L748" s="172"/>
      <c r="M748" s="270" t="e">
        <f>VLOOKUP(B748,материал!$B$5:$H$67,7,0)</f>
        <v>#N/A</v>
      </c>
    </row>
    <row r="749" spans="1:13" s="135" customFormat="1" ht="24.95" customHeight="1" x14ac:dyDescent="0.25">
      <c r="A749" s="166"/>
      <c r="B749" s="171" t="s">
        <v>46</v>
      </c>
      <c r="C749" s="172"/>
      <c r="D749" s="172" t="s">
        <v>47</v>
      </c>
      <c r="E749" s="172"/>
      <c r="F749" s="172"/>
      <c r="G749" s="173"/>
      <c r="H749" s="173">
        <f>181.95/2.82*3.12</f>
        <v>201.30638297872341</v>
      </c>
      <c r="I749" s="170">
        <f t="shared" si="44"/>
        <v>201.30638297872341</v>
      </c>
      <c r="J749" s="174">
        <f>VLOOKUP(B749,работы!$B$5:$F$19,4,0)</f>
        <v>0</v>
      </c>
      <c r="K749" s="174">
        <f t="shared" si="43"/>
        <v>0</v>
      </c>
      <c r="L749" s="172"/>
      <c r="M749" s="270" t="e">
        <f>VLOOKUP(B749,материал!$B$5:$H$67,7,0)</f>
        <v>#N/A</v>
      </c>
    </row>
    <row r="750" spans="1:13" s="135" customFormat="1" ht="24.95" customHeight="1" x14ac:dyDescent="0.25">
      <c r="A750" s="166"/>
      <c r="B750" s="171" t="s">
        <v>48</v>
      </c>
      <c r="C750" s="172"/>
      <c r="D750" s="172" t="s">
        <v>47</v>
      </c>
      <c r="E750" s="172"/>
      <c r="F750" s="172"/>
      <c r="G750" s="173"/>
      <c r="H750" s="173">
        <f>89.32/2.82*3.12</f>
        <v>98.822127659574477</v>
      </c>
      <c r="I750" s="170">
        <f t="shared" si="44"/>
        <v>98.822127659574477</v>
      </c>
      <c r="J750" s="174">
        <f>VLOOKUP(B750,работы!$B$5:$F$19,4,0)</f>
        <v>0</v>
      </c>
      <c r="K750" s="174">
        <f t="shared" si="43"/>
        <v>0</v>
      </c>
      <c r="L750" s="172"/>
      <c r="M750" s="270" t="e">
        <f>VLOOKUP(B750,материал!$B$5:$H$67,7,0)</f>
        <v>#N/A</v>
      </c>
    </row>
    <row r="751" spans="1:13" s="135" customFormat="1" ht="24.95" customHeight="1" x14ac:dyDescent="0.25">
      <c r="A751" s="166"/>
      <c r="B751" s="171" t="s">
        <v>103</v>
      </c>
      <c r="C751" s="172"/>
      <c r="D751" s="172" t="s">
        <v>47</v>
      </c>
      <c r="E751" s="172"/>
      <c r="F751" s="172"/>
      <c r="G751" s="173"/>
      <c r="H751" s="173">
        <v>217.47</v>
      </c>
      <c r="I751" s="170">
        <f t="shared" si="44"/>
        <v>217.47</v>
      </c>
      <c r="J751" s="174">
        <f>VLOOKUP(B751,работы!$B$5:$F$19,4,0)</f>
        <v>0</v>
      </c>
      <c r="K751" s="174">
        <f t="shared" si="43"/>
        <v>0</v>
      </c>
      <c r="L751" s="172"/>
      <c r="M751" s="270" t="e">
        <f>VLOOKUP(B751,материал!$B$5:$H$67,7,0)</f>
        <v>#N/A</v>
      </c>
    </row>
    <row r="752" spans="1:13" s="135" customFormat="1" ht="24.95" customHeight="1" x14ac:dyDescent="0.25">
      <c r="A752" s="166"/>
      <c r="B752" s="171" t="s">
        <v>104</v>
      </c>
      <c r="C752" s="172"/>
      <c r="D752" s="172" t="s">
        <v>47</v>
      </c>
      <c r="E752" s="172"/>
      <c r="F752" s="172"/>
      <c r="G752" s="173"/>
      <c r="H752" s="173">
        <f>191.19/2.82*3.12</f>
        <v>211.52936170212769</v>
      </c>
      <c r="I752" s="170">
        <f t="shared" si="44"/>
        <v>211.52936170212769</v>
      </c>
      <c r="J752" s="174">
        <f>VLOOKUP(B752,работы!$B$5:$F$19,4,0)</f>
        <v>0</v>
      </c>
      <c r="K752" s="174">
        <f t="shared" si="43"/>
        <v>0</v>
      </c>
      <c r="L752" s="172"/>
      <c r="M752" s="270" t="e">
        <f>VLOOKUP(B752,материал!$B$5:$H$67,7,0)</f>
        <v>#N/A</v>
      </c>
    </row>
    <row r="753" spans="1:13" s="135" customFormat="1" ht="12.75" customHeight="1" x14ac:dyDescent="0.25">
      <c r="A753" s="166"/>
      <c r="B753" s="171" t="s">
        <v>49</v>
      </c>
      <c r="C753" s="172"/>
      <c r="D753" s="172" t="s">
        <v>47</v>
      </c>
      <c r="E753" s="172"/>
      <c r="F753" s="172"/>
      <c r="G753" s="173"/>
      <c r="H753" s="173">
        <v>59.56</v>
      </c>
      <c r="I753" s="170">
        <f t="shared" si="44"/>
        <v>59.56</v>
      </c>
      <c r="J753" s="174">
        <f>VLOOKUP(B753,работы!$B$5:$F$19,4,0)</f>
        <v>0</v>
      </c>
      <c r="K753" s="174">
        <f t="shared" si="43"/>
        <v>0</v>
      </c>
      <c r="L753" s="172"/>
      <c r="M753" s="270" t="e">
        <f>VLOOKUP(B753,материал!$B$5:$H$67,7,0)</f>
        <v>#N/A</v>
      </c>
    </row>
    <row r="754" spans="1:13" s="135" customFormat="1" ht="12.75" customHeight="1" x14ac:dyDescent="0.25">
      <c r="A754" s="166"/>
      <c r="B754" s="171" t="s">
        <v>50</v>
      </c>
      <c r="C754" s="172"/>
      <c r="D754" s="172" t="s">
        <v>51</v>
      </c>
      <c r="E754" s="172"/>
      <c r="F754" s="172"/>
      <c r="G754" s="173"/>
      <c r="H754" s="173">
        <v>66</v>
      </c>
      <c r="I754" s="170">
        <f t="shared" si="44"/>
        <v>66</v>
      </c>
      <c r="J754" s="174">
        <f>VLOOKUP(B754,работы!$B$5:$F$19,4,0)</f>
        <v>0</v>
      </c>
      <c r="K754" s="174">
        <f t="shared" si="43"/>
        <v>0</v>
      </c>
      <c r="L754" s="172"/>
      <c r="M754" s="270" t="e">
        <f>VLOOKUP(B754,материал!$B$5:$H$67,7,0)</f>
        <v>#N/A</v>
      </c>
    </row>
    <row r="755" spans="1:13" s="135" customFormat="1" ht="12.75" customHeight="1" x14ac:dyDescent="0.25">
      <c r="A755" s="166"/>
      <c r="B755" s="171" t="s">
        <v>52</v>
      </c>
      <c r="C755" s="172" t="s">
        <v>105</v>
      </c>
      <c r="D755" s="172" t="s">
        <v>54</v>
      </c>
      <c r="E755" s="172"/>
      <c r="F755" s="172"/>
      <c r="G755" s="173"/>
      <c r="H755" s="173">
        <v>58.4</v>
      </c>
      <c r="I755" s="170">
        <f t="shared" si="44"/>
        <v>58.4</v>
      </c>
      <c r="J755" s="174">
        <f>VLOOKUP(B755,работы!$B$5:$F$19,4,0)</f>
        <v>0</v>
      </c>
      <c r="K755" s="174">
        <f t="shared" si="43"/>
        <v>0</v>
      </c>
      <c r="L755" s="172"/>
      <c r="M755" s="270" t="e">
        <f>VLOOKUP(B755,материал!$B$5:$H$67,7,0)</f>
        <v>#N/A</v>
      </c>
    </row>
    <row r="756" spans="1:13" s="135" customFormat="1" ht="24.95" customHeight="1" x14ac:dyDescent="0.25">
      <c r="A756" s="166"/>
      <c r="B756" s="171" t="s">
        <v>55</v>
      </c>
      <c r="C756" s="172"/>
      <c r="D756" s="172" t="s">
        <v>54</v>
      </c>
      <c r="E756" s="172"/>
      <c r="F756" s="172"/>
      <c r="G756" s="173"/>
      <c r="H756" s="173">
        <v>32.950000000000003</v>
      </c>
      <c r="I756" s="170">
        <f t="shared" si="44"/>
        <v>32.950000000000003</v>
      </c>
      <c r="J756" s="174">
        <f>VLOOKUP(B756,работы!$B$5:$F$19,4,0)</f>
        <v>0</v>
      </c>
      <c r="K756" s="174">
        <f t="shared" si="43"/>
        <v>0</v>
      </c>
      <c r="L756" s="172"/>
      <c r="M756" s="270" t="e">
        <f>VLOOKUP(B756,материал!$B$5:$H$67,7,0)</f>
        <v>#N/A</v>
      </c>
    </row>
    <row r="757" spans="1:13" s="135" customFormat="1" x14ac:dyDescent="0.25">
      <c r="A757" s="166"/>
      <c r="B757" s="171" t="s">
        <v>256</v>
      </c>
      <c r="C757" s="172"/>
      <c r="D757" s="172" t="s">
        <v>47</v>
      </c>
      <c r="E757" s="172"/>
      <c r="F757" s="172"/>
      <c r="G757" s="173"/>
      <c r="H757" s="173"/>
      <c r="I757" s="170"/>
      <c r="J757" s="174">
        <f>VLOOKUP(B757,работы!$B$5:$F$19,4,0)</f>
        <v>0</v>
      </c>
      <c r="K757" s="174">
        <f t="shared" si="43"/>
        <v>0</v>
      </c>
      <c r="L757" s="172"/>
      <c r="M757" s="270" t="e">
        <f>VLOOKUP(B757,материал!$B$5:$H$67,7,0)</f>
        <v>#N/A</v>
      </c>
    </row>
    <row r="758" spans="1:13" s="135" customFormat="1" ht="12.75" customHeight="1" x14ac:dyDescent="0.25">
      <c r="A758" s="166"/>
      <c r="B758" s="187" t="s">
        <v>56</v>
      </c>
      <c r="C758" s="188"/>
      <c r="D758" s="188" t="s">
        <v>45</v>
      </c>
      <c r="E758" s="188"/>
      <c r="F758" s="188"/>
      <c r="G758" s="173"/>
      <c r="H758" s="173">
        <v>0.64002599999999998</v>
      </c>
      <c r="I758" s="170">
        <f t="shared" ref="I758" si="45">SUM(G758:H758)</f>
        <v>0.64002599999999998</v>
      </c>
      <c r="J758" s="174"/>
      <c r="K758" s="174"/>
      <c r="L758" s="188"/>
      <c r="M758" s="270" t="e">
        <f>VLOOKUP(B758,материал!$B$5:$H$67,7,0)</f>
        <v>#N/A</v>
      </c>
    </row>
    <row r="759" spans="1:13" s="135" customFormat="1" x14ac:dyDescent="0.25">
      <c r="A759" s="175"/>
      <c r="B759" s="176" t="s">
        <v>38</v>
      </c>
      <c r="C759" s="177"/>
      <c r="D759" s="177"/>
      <c r="E759" s="177"/>
      <c r="F759" s="177"/>
      <c r="G759" s="178"/>
      <c r="H759" s="178"/>
      <c r="I759" s="179"/>
      <c r="J759" s="180"/>
      <c r="K759" s="179">
        <f ca="1">SUM(K760:K782)</f>
        <v>0</v>
      </c>
      <c r="L759" s="177"/>
      <c r="M759" s="271"/>
    </row>
    <row r="760" spans="1:13" s="135" customFormat="1" ht="25.5" x14ac:dyDescent="0.25">
      <c r="A760" s="181"/>
      <c r="B760" s="182" t="s">
        <v>58</v>
      </c>
      <c r="C760" s="177" t="s">
        <v>59</v>
      </c>
      <c r="D760" s="177" t="s">
        <v>60</v>
      </c>
      <c r="E760" s="178">
        <v>12.4</v>
      </c>
      <c r="F760" s="177">
        <v>0.25</v>
      </c>
      <c r="G760" s="183"/>
      <c r="H760" s="183">
        <f>H747/F760*E760</f>
        <v>1667.1509787234043</v>
      </c>
      <c r="I760" s="184">
        <f t="shared" ref="I760:I781" si="46">SUM(G760:H760)</f>
        <v>1667.1509787234043</v>
      </c>
      <c r="J760" s="180">
        <f>VLOOKUP(B760,материал!$B$5:$G$67,5,0)</f>
        <v>0</v>
      </c>
      <c r="K760" s="180">
        <f t="shared" si="43"/>
        <v>0</v>
      </c>
      <c r="L760" s="177"/>
      <c r="M760" s="271" t="str">
        <f>VLOOKUP(B760,материал!$B$5:$H$67,7,0)</f>
        <v>Давальческий материал</v>
      </c>
    </row>
    <row r="761" spans="1:13" s="135" customFormat="1" ht="25.5" x14ac:dyDescent="0.25">
      <c r="A761" s="181"/>
      <c r="B761" s="182" t="s">
        <v>62</v>
      </c>
      <c r="C761" s="177" t="s">
        <v>63</v>
      </c>
      <c r="D761" s="177" t="s">
        <v>60</v>
      </c>
      <c r="E761" s="178">
        <v>12.4</v>
      </c>
      <c r="F761" s="177"/>
      <c r="G761" s="183"/>
      <c r="H761" s="183">
        <f>H749*E761</f>
        <v>2496.1991489361703</v>
      </c>
      <c r="I761" s="184">
        <f t="shared" si="46"/>
        <v>2496.1991489361703</v>
      </c>
      <c r="J761" s="180">
        <f>VLOOKUP(B761,материал!$B$5:$G$67,5,0)</f>
        <v>0</v>
      </c>
      <c r="K761" s="180">
        <f t="shared" si="43"/>
        <v>0</v>
      </c>
      <c r="L761" s="177"/>
      <c r="M761" s="271" t="str">
        <f>VLOOKUP(B761,материал!$B$5:$H$67,7,0)</f>
        <v>Давальческий материал</v>
      </c>
    </row>
    <row r="762" spans="1:13" s="135" customFormat="1" ht="25.5" x14ac:dyDescent="0.25">
      <c r="A762" s="181"/>
      <c r="B762" s="182" t="s">
        <v>64</v>
      </c>
      <c r="C762" s="177" t="s">
        <v>65</v>
      </c>
      <c r="D762" s="177" t="s">
        <v>60</v>
      </c>
      <c r="E762" s="178">
        <v>12.4</v>
      </c>
      <c r="F762" s="177"/>
      <c r="G762" s="183"/>
      <c r="H762" s="183">
        <f>H750*E762</f>
        <v>1225.3943829787236</v>
      </c>
      <c r="I762" s="184">
        <f t="shared" si="46"/>
        <v>1225.3943829787236</v>
      </c>
      <c r="J762" s="180">
        <f>VLOOKUP(B762,материал!$B$5:$G$67,5,0)</f>
        <v>0</v>
      </c>
      <c r="K762" s="180">
        <f t="shared" si="43"/>
        <v>0</v>
      </c>
      <c r="L762" s="177"/>
      <c r="M762" s="271" t="str">
        <f>VLOOKUP(B762,материал!$B$5:$H$67,7,0)</f>
        <v>Давальческий материал</v>
      </c>
    </row>
    <row r="763" spans="1:13" s="135" customFormat="1" ht="25.5" x14ac:dyDescent="0.25">
      <c r="A763" s="181"/>
      <c r="B763" s="182" t="s">
        <v>106</v>
      </c>
      <c r="C763" s="177" t="s">
        <v>107</v>
      </c>
      <c r="D763" s="177" t="s">
        <v>60</v>
      </c>
      <c r="E763" s="178">
        <v>12.4</v>
      </c>
      <c r="F763" s="177"/>
      <c r="G763" s="183"/>
      <c r="H763" s="183">
        <f>H751*E763</f>
        <v>2696.6280000000002</v>
      </c>
      <c r="I763" s="184">
        <f t="shared" si="46"/>
        <v>2696.6280000000002</v>
      </c>
      <c r="J763" s="180">
        <f>VLOOKUP(B763,материал!$B$5:$G$67,5,0)</f>
        <v>0</v>
      </c>
      <c r="K763" s="180">
        <f t="shared" si="43"/>
        <v>0</v>
      </c>
      <c r="L763" s="177"/>
      <c r="M763" s="271" t="str">
        <f>VLOOKUP(B763,материал!$B$5:$H$67,7,0)</f>
        <v>Давальческий материал</v>
      </c>
    </row>
    <row r="764" spans="1:13" s="135" customFormat="1" ht="25.5" x14ac:dyDescent="0.25">
      <c r="A764" s="181"/>
      <c r="B764" s="182" t="s">
        <v>108</v>
      </c>
      <c r="C764" s="177" t="s">
        <v>109</v>
      </c>
      <c r="D764" s="177" t="s">
        <v>60</v>
      </c>
      <c r="E764" s="178">
        <v>12.4</v>
      </c>
      <c r="F764" s="177"/>
      <c r="G764" s="183"/>
      <c r="H764" s="183">
        <f>H752*E764</f>
        <v>2622.9640851063832</v>
      </c>
      <c r="I764" s="184">
        <f t="shared" si="46"/>
        <v>2622.9640851063832</v>
      </c>
      <c r="J764" s="180">
        <f>VLOOKUP(B764,материал!$B$5:$G$67,5,0)</f>
        <v>0</v>
      </c>
      <c r="K764" s="180">
        <f t="shared" si="43"/>
        <v>0</v>
      </c>
      <c r="L764" s="177"/>
      <c r="M764" s="271" t="str">
        <f>VLOOKUP(B764,материал!$B$5:$H$67,7,0)</f>
        <v>Давальческий материал</v>
      </c>
    </row>
    <row r="765" spans="1:13" s="135" customFormat="1" ht="12.75" customHeight="1" x14ac:dyDescent="0.25">
      <c r="A765" s="181"/>
      <c r="B765" s="189" t="s">
        <v>66</v>
      </c>
      <c r="C765" s="177" t="s">
        <v>67</v>
      </c>
      <c r="D765" s="177" t="s">
        <v>60</v>
      </c>
      <c r="E765" s="190">
        <v>42</v>
      </c>
      <c r="F765" s="190"/>
      <c r="G765" s="183"/>
      <c r="H765" s="183">
        <f>H753*E765</f>
        <v>2501.52</v>
      </c>
      <c r="I765" s="184">
        <f t="shared" si="46"/>
        <v>2501.52</v>
      </c>
      <c r="J765" s="180">
        <f>VLOOKUP(B765,материал!$B$5:$G$67,5,0)</f>
        <v>0</v>
      </c>
      <c r="K765" s="180">
        <f t="shared" si="43"/>
        <v>0</v>
      </c>
      <c r="L765" s="177"/>
      <c r="M765" s="271" t="str">
        <f>VLOOKUP(B765,материал!$B$5:$H$67,7,0)</f>
        <v>Давальческий материал</v>
      </c>
    </row>
    <row r="766" spans="1:13" s="135" customFormat="1" ht="12.75" customHeight="1" x14ac:dyDescent="0.25">
      <c r="A766" s="181"/>
      <c r="B766" s="189" t="s">
        <v>110</v>
      </c>
      <c r="C766" s="177" t="s">
        <v>111</v>
      </c>
      <c r="D766" s="177" t="s">
        <v>60</v>
      </c>
      <c r="E766" s="190">
        <v>42</v>
      </c>
      <c r="F766" s="190"/>
      <c r="G766" s="183"/>
      <c r="H766" s="183">
        <f>H748/0.25*E766</f>
        <v>394.8</v>
      </c>
      <c r="I766" s="184">
        <f t="shared" si="46"/>
        <v>394.8</v>
      </c>
      <c r="J766" s="180">
        <f>VLOOKUP(B766,материал!$B$5:$G$67,5,0)</f>
        <v>0</v>
      </c>
      <c r="K766" s="180">
        <f t="shared" si="43"/>
        <v>0</v>
      </c>
      <c r="L766" s="177"/>
      <c r="M766" s="271" t="str">
        <f>VLOOKUP(B766,материал!$B$5:$H$67,7,0)</f>
        <v>Давальческий материал</v>
      </c>
    </row>
    <row r="767" spans="1:13" s="135" customFormat="1" ht="12.75" customHeight="1" x14ac:dyDescent="0.25">
      <c r="A767" s="181"/>
      <c r="B767" s="191" t="s">
        <v>69</v>
      </c>
      <c r="C767" s="177" t="s">
        <v>70</v>
      </c>
      <c r="D767" s="177" t="s">
        <v>45</v>
      </c>
      <c r="E767" s="177">
        <v>0.19500000000000001</v>
      </c>
      <c r="F767" s="190"/>
      <c r="G767" s="178"/>
      <c r="H767" s="178">
        <f>H747*E767+H749*E767*0.19+H750*E767*0.19+H751*E767*0.09+H752*E767*0.09</f>
        <v>25.203023521276595</v>
      </c>
      <c r="I767" s="179">
        <f t="shared" si="46"/>
        <v>25.203023521276595</v>
      </c>
      <c r="J767" s="180">
        <f>VLOOKUP(B767,материал!$B$5:$G$67,5,0)</f>
        <v>0</v>
      </c>
      <c r="K767" s="180">
        <f t="shared" si="43"/>
        <v>0</v>
      </c>
      <c r="L767" s="177"/>
      <c r="M767" s="271" t="str">
        <f>VLOOKUP(B767,материал!$B$5:$H$67,7,0)</f>
        <v>Закуп подярдчика</v>
      </c>
    </row>
    <row r="768" spans="1:13" s="135" customFormat="1" ht="12.75" customHeight="1" x14ac:dyDescent="0.25">
      <c r="A768" s="192"/>
      <c r="B768" s="191" t="s">
        <v>112</v>
      </c>
      <c r="C768" s="177" t="s">
        <v>70</v>
      </c>
      <c r="D768" s="177" t="s">
        <v>45</v>
      </c>
      <c r="E768" s="177">
        <v>0.24</v>
      </c>
      <c r="F768" s="177"/>
      <c r="G768" s="178"/>
      <c r="H768" s="178">
        <f>H748*E768</f>
        <v>0.56399999999999995</v>
      </c>
      <c r="I768" s="179">
        <f t="shared" si="46"/>
        <v>0.56399999999999995</v>
      </c>
      <c r="J768" s="180">
        <f>VLOOKUP(B768,материал!$B$5:$G$67,5,0)</f>
        <v>0</v>
      </c>
      <c r="K768" s="180">
        <f t="shared" si="43"/>
        <v>0</v>
      </c>
      <c r="L768" s="177"/>
      <c r="M768" s="271" t="str">
        <f>VLOOKUP(B768,материал!$B$5:$H$67,7,0)</f>
        <v>Закуп подярдчика</v>
      </c>
    </row>
    <row r="769" spans="1:13" s="135" customFormat="1" ht="12.75" customHeight="1" x14ac:dyDescent="0.25">
      <c r="A769" s="192"/>
      <c r="B769" s="191" t="s">
        <v>72</v>
      </c>
      <c r="C769" s="177" t="s">
        <v>70</v>
      </c>
      <c r="D769" s="177" t="s">
        <v>45</v>
      </c>
      <c r="E769" s="177">
        <v>4.5999999999999999E-2</v>
      </c>
      <c r="F769" s="177"/>
      <c r="G769" s="178"/>
      <c r="H769" s="178">
        <f>H753*E769</f>
        <v>2.73976</v>
      </c>
      <c r="I769" s="179">
        <f t="shared" si="46"/>
        <v>2.73976</v>
      </c>
      <c r="J769" s="180">
        <f>VLOOKUP(B769,материал!$B$5:$G$67,5,0)</f>
        <v>0</v>
      </c>
      <c r="K769" s="180">
        <f t="shared" si="43"/>
        <v>0</v>
      </c>
      <c r="L769" s="177"/>
      <c r="M769" s="271" t="str">
        <f>VLOOKUP(B769,материал!$B$5:$H$67,7,0)</f>
        <v>Закуп подярдчика</v>
      </c>
    </row>
    <row r="770" spans="1:13" s="135" customFormat="1" ht="12.75" customHeight="1" x14ac:dyDescent="0.25">
      <c r="A770" s="192"/>
      <c r="B770" s="191" t="s">
        <v>74</v>
      </c>
      <c r="C770" s="177" t="s">
        <v>70</v>
      </c>
      <c r="D770" s="177" t="s">
        <v>45</v>
      </c>
      <c r="E770" s="177">
        <v>1.01</v>
      </c>
      <c r="F770" s="177"/>
      <c r="G770" s="178"/>
      <c r="H770" s="178">
        <f>H758*E770</f>
        <v>0.64642626000000003</v>
      </c>
      <c r="I770" s="179">
        <f t="shared" si="46"/>
        <v>0.64642626000000003</v>
      </c>
      <c r="J770" s="180">
        <f>VLOOKUP(B770,материал!$B$5:$G$67,5,0)</f>
        <v>0</v>
      </c>
      <c r="K770" s="180">
        <f t="shared" si="43"/>
        <v>0</v>
      </c>
      <c r="L770" s="177"/>
      <c r="M770" s="271" t="str">
        <f>VLOOKUP(B770,материал!$B$5:$H$67,7,0)</f>
        <v>Закуп подярдчика</v>
      </c>
    </row>
    <row r="771" spans="1:13" s="135" customFormat="1" ht="12.75" customHeight="1" x14ac:dyDescent="0.25">
      <c r="A771" s="181"/>
      <c r="B771" s="189" t="s">
        <v>75</v>
      </c>
      <c r="C771" s="177" t="s">
        <v>70</v>
      </c>
      <c r="D771" s="177" t="s">
        <v>45</v>
      </c>
      <c r="E771" s="177">
        <v>6.0000000000000001E-3</v>
      </c>
      <c r="F771" s="177"/>
      <c r="G771" s="178"/>
      <c r="H771" s="178">
        <f>H754*E771</f>
        <v>0.39600000000000002</v>
      </c>
      <c r="I771" s="179">
        <f t="shared" si="46"/>
        <v>0.39600000000000002</v>
      </c>
      <c r="J771" s="180">
        <f>VLOOKUP(B771,материал!$B$5:$G$67,5,0)</f>
        <v>0</v>
      </c>
      <c r="K771" s="180">
        <f t="shared" si="43"/>
        <v>0</v>
      </c>
      <c r="L771" s="177"/>
      <c r="M771" s="271" t="str">
        <f>VLOOKUP(B771,материал!$B$5:$H$67,7,0)</f>
        <v>Закуп подярдчика</v>
      </c>
    </row>
    <row r="772" spans="1:13" s="135" customFormat="1" ht="12.75" customHeight="1" x14ac:dyDescent="0.25">
      <c r="A772" s="181"/>
      <c r="B772" s="189" t="s">
        <v>77</v>
      </c>
      <c r="C772" s="177" t="s">
        <v>70</v>
      </c>
      <c r="D772" s="177" t="s">
        <v>45</v>
      </c>
      <c r="E772" s="177">
        <v>1.01</v>
      </c>
      <c r="F772" s="177"/>
      <c r="G772" s="193"/>
      <c r="H772" s="193">
        <v>6.4000000000000001E-2</v>
      </c>
      <c r="I772" s="179">
        <f t="shared" si="46"/>
        <v>6.4000000000000001E-2</v>
      </c>
      <c r="J772" s="180">
        <f>VLOOKUP(B772,материал!$B$5:$G$67,5,0)</f>
        <v>0</v>
      </c>
      <c r="K772" s="180">
        <f t="shared" si="43"/>
        <v>0</v>
      </c>
      <c r="L772" s="177"/>
      <c r="M772" s="271" t="str">
        <f>VLOOKUP(B772,материал!$B$5:$H$67,7,0)</f>
        <v>Закуп подярдчика</v>
      </c>
    </row>
    <row r="773" spans="1:13" s="135" customFormat="1" ht="12.75" customHeight="1" x14ac:dyDescent="0.25">
      <c r="A773" s="181"/>
      <c r="B773" s="189" t="s">
        <v>78</v>
      </c>
      <c r="C773" s="177" t="s">
        <v>79</v>
      </c>
      <c r="D773" s="177" t="s">
        <v>47</v>
      </c>
      <c r="E773" s="177"/>
      <c r="F773" s="177"/>
      <c r="G773" s="178"/>
      <c r="H773" s="178">
        <v>222.96</v>
      </c>
      <c r="I773" s="179">
        <f t="shared" si="46"/>
        <v>222.96</v>
      </c>
      <c r="J773" s="180">
        <f>VLOOKUP(B773,материал!$B$5:$G$67,5,0)</f>
        <v>0</v>
      </c>
      <c r="K773" s="180">
        <f t="shared" si="43"/>
        <v>0</v>
      </c>
      <c r="L773" s="177"/>
      <c r="M773" s="271" t="str">
        <f>VLOOKUP(B773,материал!$B$5:$H$67,7,0)</f>
        <v>Закуп подярдчика</v>
      </c>
    </row>
    <row r="774" spans="1:13" s="135" customFormat="1" ht="30" customHeight="1" x14ac:dyDescent="0.25">
      <c r="A774" s="181"/>
      <c r="B774" s="189" t="s">
        <v>277</v>
      </c>
      <c r="C774" s="177" t="s">
        <v>114</v>
      </c>
      <c r="D774" s="177" t="s">
        <v>60</v>
      </c>
      <c r="E774" s="177"/>
      <c r="F774" s="177"/>
      <c r="G774" s="178"/>
      <c r="H774" s="178">
        <v>16</v>
      </c>
      <c r="I774" s="179">
        <f t="shared" si="46"/>
        <v>16</v>
      </c>
      <c r="J774" s="180">
        <f>VLOOKUP(B774,материал!$B$5:$G$67,5,0)</f>
        <v>0</v>
      </c>
      <c r="K774" s="180">
        <f t="shared" si="43"/>
        <v>0</v>
      </c>
      <c r="L774" s="177"/>
      <c r="M774" s="271" t="str">
        <f>VLOOKUP(B774,материал!$B$5:$H$67,7,0)</f>
        <v>Закуп подярдчика</v>
      </c>
    </row>
    <row r="775" spans="1:13" s="135" customFormat="1" ht="30" customHeight="1" x14ac:dyDescent="0.25">
      <c r="A775" s="181"/>
      <c r="B775" s="189" t="s">
        <v>278</v>
      </c>
      <c r="C775" s="177" t="s">
        <v>116</v>
      </c>
      <c r="D775" s="177" t="s">
        <v>60</v>
      </c>
      <c r="E775" s="177"/>
      <c r="F775" s="177"/>
      <c r="G775" s="178"/>
      <c r="H775" s="178">
        <v>13</v>
      </c>
      <c r="I775" s="179">
        <f t="shared" si="46"/>
        <v>13</v>
      </c>
      <c r="J775" s="180">
        <f>VLOOKUP(B775,материал!$B$5:$G$67,5,0)</f>
        <v>0</v>
      </c>
      <c r="K775" s="180">
        <f t="shared" si="43"/>
        <v>0</v>
      </c>
      <c r="L775" s="177"/>
      <c r="M775" s="271" t="str">
        <f>VLOOKUP(B775,материал!$B$5:$H$67,7,0)</f>
        <v>Закуп подярдчика</v>
      </c>
    </row>
    <row r="776" spans="1:13" s="135" customFormat="1" ht="30" customHeight="1" x14ac:dyDescent="0.25">
      <c r="A776" s="181"/>
      <c r="B776" s="189" t="s">
        <v>318</v>
      </c>
      <c r="C776" s="177" t="s">
        <v>319</v>
      </c>
      <c r="D776" s="177" t="s">
        <v>60</v>
      </c>
      <c r="E776" s="177"/>
      <c r="F776" s="177"/>
      <c r="G776" s="178"/>
      <c r="H776" s="178">
        <v>2</v>
      </c>
      <c r="I776" s="179">
        <f t="shared" si="46"/>
        <v>2</v>
      </c>
      <c r="J776" s="180">
        <f>VLOOKUP(B776,материал!$B$5:$G$67,5,0)</f>
        <v>0</v>
      </c>
      <c r="K776" s="180">
        <f t="shared" si="43"/>
        <v>0</v>
      </c>
      <c r="L776" s="177"/>
      <c r="M776" s="271" t="str">
        <f>VLOOKUP(B776,материал!$B$5:$H$67,7,0)</f>
        <v>Закуп подярдчика</v>
      </c>
    </row>
    <row r="777" spans="1:13" s="135" customFormat="1" ht="30" customHeight="1" x14ac:dyDescent="0.25">
      <c r="A777" s="181"/>
      <c r="B777" s="189" t="s">
        <v>301</v>
      </c>
      <c r="C777" s="177" t="s">
        <v>128</v>
      </c>
      <c r="D777" s="177" t="s">
        <v>60</v>
      </c>
      <c r="E777" s="177"/>
      <c r="F777" s="177"/>
      <c r="G777" s="178"/>
      <c r="H777" s="178">
        <v>9</v>
      </c>
      <c r="I777" s="179">
        <f t="shared" si="46"/>
        <v>9</v>
      </c>
      <c r="J777" s="180">
        <f>VLOOKUP(B777,материал!$B$5:$G$67,5,0)</f>
        <v>0</v>
      </c>
      <c r="K777" s="180">
        <f t="shared" si="43"/>
        <v>0</v>
      </c>
      <c r="L777" s="177"/>
      <c r="M777" s="271" t="str">
        <f>VLOOKUP(B777,материал!$B$5:$H$67,7,0)</f>
        <v>Закуп подярдчика</v>
      </c>
    </row>
    <row r="778" spans="1:13" s="135" customFormat="1" ht="12.75" customHeight="1" x14ac:dyDescent="0.25">
      <c r="A778" s="181"/>
      <c r="B778" s="189" t="s">
        <v>92</v>
      </c>
      <c r="C778" s="177" t="s">
        <v>93</v>
      </c>
      <c r="D778" s="177" t="s">
        <v>54</v>
      </c>
      <c r="E778" s="177">
        <v>1.04</v>
      </c>
      <c r="F778" s="177"/>
      <c r="G778" s="178"/>
      <c r="H778" s="178">
        <f>161.78*E778</f>
        <v>168.25120000000001</v>
      </c>
      <c r="I778" s="179">
        <f t="shared" si="46"/>
        <v>168.25120000000001</v>
      </c>
      <c r="J778" s="180">
        <f>VLOOKUP(B778,материал!$B$5:$G$67,5,0)</f>
        <v>0</v>
      </c>
      <c r="K778" s="180">
        <f t="shared" si="43"/>
        <v>0</v>
      </c>
      <c r="L778" s="177"/>
      <c r="M778" s="271" t="str">
        <f>VLOOKUP(B778,материал!$B$5:$H$67,7,0)</f>
        <v>Закуп подярдчика</v>
      </c>
    </row>
    <row r="779" spans="1:13" s="135" customFormat="1" ht="12.75" customHeight="1" x14ac:dyDescent="0.25">
      <c r="A779" s="181"/>
      <c r="B779" s="189" t="s">
        <v>94</v>
      </c>
      <c r="C779" s="177" t="s">
        <v>95</v>
      </c>
      <c r="D779" s="177" t="s">
        <v>54</v>
      </c>
      <c r="E779" s="177">
        <v>1.04</v>
      </c>
      <c r="F779" s="177"/>
      <c r="G779" s="178"/>
      <c r="H779" s="178">
        <f>H747*E779</f>
        <v>34.9563914893617</v>
      </c>
      <c r="I779" s="179">
        <f t="shared" si="46"/>
        <v>34.9563914893617</v>
      </c>
      <c r="J779" s="180">
        <f>VLOOKUP(B779,материал!$B$5:$G$67,5,0)</f>
        <v>0</v>
      </c>
      <c r="K779" s="180">
        <f t="shared" si="43"/>
        <v>0</v>
      </c>
      <c r="L779" s="177"/>
      <c r="M779" s="271" t="str">
        <f>VLOOKUP(B779,материал!$B$5:$H$67,7,0)</f>
        <v>Закуп подярдчика</v>
      </c>
    </row>
    <row r="780" spans="1:13" s="135" customFormat="1" ht="12.75" customHeight="1" x14ac:dyDescent="0.25">
      <c r="A780" s="181"/>
      <c r="B780" s="189" t="s">
        <v>131</v>
      </c>
      <c r="C780" s="177" t="s">
        <v>39</v>
      </c>
      <c r="D780" s="177" t="s">
        <v>54</v>
      </c>
      <c r="E780" s="177">
        <v>1.04</v>
      </c>
      <c r="F780" s="177"/>
      <c r="G780" s="178"/>
      <c r="H780" s="178">
        <f>22.23*E780</f>
        <v>23.119200000000003</v>
      </c>
      <c r="I780" s="179">
        <f t="shared" si="46"/>
        <v>23.119200000000003</v>
      </c>
      <c r="J780" s="180">
        <f>VLOOKUP(B780,материал!$B$5:$G$67,5,0)</f>
        <v>0</v>
      </c>
      <c r="K780" s="180">
        <f t="shared" si="43"/>
        <v>0</v>
      </c>
      <c r="L780" s="177"/>
      <c r="M780" s="271" t="str">
        <f>VLOOKUP(B780,материал!$B$5:$H$67,7,0)</f>
        <v>Закуп подярдчика</v>
      </c>
    </row>
    <row r="781" spans="1:13" s="135" customFormat="1" ht="12.75" customHeight="1" x14ac:dyDescent="0.25">
      <c r="A781" s="181"/>
      <c r="B781" s="189" t="s">
        <v>132</v>
      </c>
      <c r="C781" s="177" t="s">
        <v>39</v>
      </c>
      <c r="D781" s="177" t="s">
        <v>54</v>
      </c>
      <c r="E781" s="177">
        <v>1.04</v>
      </c>
      <c r="F781" s="177"/>
      <c r="G781" s="178"/>
      <c r="H781" s="178">
        <f>7.5*E781</f>
        <v>7.8000000000000007</v>
      </c>
      <c r="I781" s="179">
        <f t="shared" si="46"/>
        <v>7.8000000000000007</v>
      </c>
      <c r="J781" s="180">
        <f>VLOOKUP(B781,материал!$B$5:$G$67,5,0)</f>
        <v>0</v>
      </c>
      <c r="K781" s="180">
        <f t="shared" si="43"/>
        <v>0</v>
      </c>
      <c r="L781" s="177"/>
      <c r="M781" s="271" t="str">
        <f>VLOOKUP(B781,материал!$B$5:$H$67,7,0)</f>
        <v>Закуп подярдчика</v>
      </c>
    </row>
    <row r="782" spans="1:13" s="135" customFormat="1" ht="30" customHeight="1" x14ac:dyDescent="0.25">
      <c r="A782" s="195"/>
      <c r="B782" s="196" t="s">
        <v>133</v>
      </c>
      <c r="C782" s="197" t="s">
        <v>39</v>
      </c>
      <c r="D782" s="197" t="s">
        <v>99</v>
      </c>
      <c r="E782" s="197"/>
      <c r="F782" s="197"/>
      <c r="G782" s="198"/>
      <c r="H782" s="198"/>
      <c r="I782" s="199">
        <f ca="1">SUMIF(материал!$B$5:$G$67,B782,материал!$E$5:$E$67)</f>
        <v>0</v>
      </c>
      <c r="J782" s="180"/>
      <c r="K782" s="180">
        <f ca="1">SUM(K760:K781)*I782%</f>
        <v>0</v>
      </c>
      <c r="L782" s="177"/>
      <c r="M782" s="271" t="str">
        <f>VLOOKUP(B782,материал!$B$5:$H$67,7,0)</f>
        <v>Закуп подярдчика</v>
      </c>
    </row>
    <row r="783" spans="1:13" s="135" customFormat="1" ht="12.75" customHeight="1" x14ac:dyDescent="0.25">
      <c r="A783" s="160" t="s">
        <v>162</v>
      </c>
      <c r="B783" s="161" t="s">
        <v>179</v>
      </c>
      <c r="C783" s="162"/>
      <c r="D783" s="163"/>
      <c r="E783" s="162"/>
      <c r="F783" s="162"/>
      <c r="G783" s="164"/>
      <c r="H783" s="164"/>
      <c r="I783" s="165"/>
      <c r="J783" s="165"/>
      <c r="K783" s="165">
        <f ca="1">K784+K792</f>
        <v>0</v>
      </c>
      <c r="L783" s="186"/>
      <c r="M783" s="273" t="e">
        <f>VLOOKUP(B783,материал!$B$5:$H$67,7,0)</f>
        <v>#N/A</v>
      </c>
    </row>
    <row r="784" spans="1:13" s="135" customFormat="1" ht="12.75" customHeight="1" x14ac:dyDescent="0.25">
      <c r="A784" s="166"/>
      <c r="B784" s="167" t="s">
        <v>34</v>
      </c>
      <c r="C784" s="168"/>
      <c r="D784" s="168"/>
      <c r="E784" s="168"/>
      <c r="F784" s="168"/>
      <c r="G784" s="169"/>
      <c r="H784" s="169"/>
      <c r="I784" s="170"/>
      <c r="J784" s="170"/>
      <c r="K784" s="170">
        <f>SUM(K785:K790)</f>
        <v>0</v>
      </c>
      <c r="L784" s="172"/>
      <c r="M784" s="270" t="e">
        <f>VLOOKUP(B784,материал!$B$5:$H$67,7,0)</f>
        <v>#N/A</v>
      </c>
    </row>
    <row r="785" spans="1:13" s="135" customFormat="1" ht="12.75" customHeight="1" x14ac:dyDescent="0.25">
      <c r="A785" s="166"/>
      <c r="B785" s="171" t="s">
        <v>180</v>
      </c>
      <c r="C785" s="172"/>
      <c r="D785" s="172" t="s">
        <v>45</v>
      </c>
      <c r="E785" s="172"/>
      <c r="F785" s="172"/>
      <c r="G785" s="172">
        <v>56.25</v>
      </c>
      <c r="H785" s="173">
        <v>53.32</v>
      </c>
      <c r="I785" s="170">
        <f t="shared" ref="I785:I791" si="47">SUM(G785:H785)</f>
        <v>109.57</v>
      </c>
      <c r="J785" s="174">
        <f>VLOOKUP(B785,работы!$B$5:$F$19,4,0)</f>
        <v>0</v>
      </c>
      <c r="K785" s="174">
        <f t="shared" si="43"/>
        <v>0</v>
      </c>
      <c r="L785" s="172"/>
      <c r="M785" s="270" t="e">
        <f>VLOOKUP(B785,материал!$B$5:$H$67,7,0)</f>
        <v>#N/A</v>
      </c>
    </row>
    <row r="786" spans="1:13" s="135" customFormat="1" ht="12.75" customHeight="1" x14ac:dyDescent="0.25">
      <c r="A786" s="166"/>
      <c r="B786" s="171" t="s">
        <v>181</v>
      </c>
      <c r="C786" s="172"/>
      <c r="D786" s="172" t="s">
        <v>45</v>
      </c>
      <c r="E786" s="172"/>
      <c r="F786" s="172"/>
      <c r="G786" s="172">
        <v>22.1</v>
      </c>
      <c r="H786" s="173">
        <v>33.33</v>
      </c>
      <c r="I786" s="170">
        <f t="shared" si="47"/>
        <v>55.43</v>
      </c>
      <c r="J786" s="174">
        <f>VLOOKUP(B786,работы!$B$5:$F$19,4,0)</f>
        <v>0</v>
      </c>
      <c r="K786" s="174">
        <f t="shared" si="43"/>
        <v>0</v>
      </c>
      <c r="L786" s="172"/>
      <c r="M786" s="270" t="e">
        <f>VLOOKUP(B786,материал!$B$5:$H$67,7,0)</f>
        <v>#N/A</v>
      </c>
    </row>
    <row r="787" spans="1:13" s="135" customFormat="1" ht="12.75" customHeight="1" x14ac:dyDescent="0.25">
      <c r="A787" s="166"/>
      <c r="B787" s="171" t="s">
        <v>50</v>
      </c>
      <c r="C787" s="172"/>
      <c r="D787" s="172" t="s">
        <v>51</v>
      </c>
      <c r="E787" s="172"/>
      <c r="F787" s="172"/>
      <c r="G787" s="173">
        <v>1</v>
      </c>
      <c r="H787" s="173">
        <v>2</v>
      </c>
      <c r="I787" s="170">
        <f t="shared" si="47"/>
        <v>3</v>
      </c>
      <c r="J787" s="174">
        <f>VLOOKUP(B787,работы!$B$5:$F$19,4,0)</f>
        <v>0</v>
      </c>
      <c r="K787" s="174">
        <f t="shared" si="43"/>
        <v>0</v>
      </c>
      <c r="L787" s="172"/>
      <c r="M787" s="270" t="e">
        <f>VLOOKUP(B787,материал!$B$5:$H$67,7,0)</f>
        <v>#N/A</v>
      </c>
    </row>
    <row r="788" spans="1:13" s="135" customFormat="1" ht="12.75" customHeight="1" x14ac:dyDescent="0.25">
      <c r="A788" s="166"/>
      <c r="B788" s="171" t="s">
        <v>52</v>
      </c>
      <c r="C788" s="172" t="s">
        <v>53</v>
      </c>
      <c r="D788" s="172" t="s">
        <v>54</v>
      </c>
      <c r="E788" s="172"/>
      <c r="F788" s="172"/>
      <c r="G788" s="173">
        <v>3.02</v>
      </c>
      <c r="H788" s="173">
        <v>33.450000000000003</v>
      </c>
      <c r="I788" s="170">
        <f t="shared" si="47"/>
        <v>36.470000000000006</v>
      </c>
      <c r="J788" s="174">
        <f>VLOOKUP(B788,работы!$B$5:$F$19,4,0)</f>
        <v>0</v>
      </c>
      <c r="K788" s="174">
        <f t="shared" si="43"/>
        <v>0</v>
      </c>
      <c r="L788" s="172"/>
      <c r="M788" s="270" t="e">
        <f>VLOOKUP(B788,материал!$B$5:$H$67,7,0)</f>
        <v>#N/A</v>
      </c>
    </row>
    <row r="789" spans="1:13" s="135" customFormat="1" ht="26.25" customHeight="1" x14ac:dyDescent="0.25">
      <c r="A789" s="166"/>
      <c r="B789" s="171" t="s">
        <v>55</v>
      </c>
      <c r="C789" s="172"/>
      <c r="D789" s="172" t="s">
        <v>54</v>
      </c>
      <c r="E789" s="172"/>
      <c r="F789" s="172"/>
      <c r="G789" s="173">
        <v>33.65</v>
      </c>
      <c r="H789" s="173">
        <v>16.260000000000002</v>
      </c>
      <c r="I789" s="170">
        <f t="shared" si="47"/>
        <v>49.91</v>
      </c>
      <c r="J789" s="174">
        <f>VLOOKUP(B789,работы!$B$5:$F$19,4,0)</f>
        <v>0</v>
      </c>
      <c r="K789" s="174">
        <f t="shared" si="43"/>
        <v>0</v>
      </c>
      <c r="L789" s="172"/>
      <c r="M789" s="270" t="e">
        <f>VLOOKUP(B789,материал!$B$5:$H$67,7,0)</f>
        <v>#N/A</v>
      </c>
    </row>
    <row r="790" spans="1:13" s="135" customFormat="1" ht="12.75" customHeight="1" x14ac:dyDescent="0.25">
      <c r="A790" s="166"/>
      <c r="B790" s="171" t="s">
        <v>256</v>
      </c>
      <c r="C790" s="172"/>
      <c r="D790" s="172" t="s">
        <v>47</v>
      </c>
      <c r="E790" s="172"/>
      <c r="F790" s="172"/>
      <c r="G790" s="173">
        <f>11.4*1.2</f>
        <v>13.68</v>
      </c>
      <c r="H790" s="173"/>
      <c r="I790" s="170">
        <f t="shared" si="47"/>
        <v>13.68</v>
      </c>
      <c r="J790" s="174">
        <f>VLOOKUP(B790,работы!$B$5:$F$19,4,0)</f>
        <v>0</v>
      </c>
      <c r="K790" s="174">
        <f t="shared" si="43"/>
        <v>0</v>
      </c>
      <c r="L790" s="172"/>
      <c r="M790" s="270" t="e">
        <f>VLOOKUP(B790,материал!$B$5:$H$67,7,0)</f>
        <v>#N/A</v>
      </c>
    </row>
    <row r="791" spans="1:13" s="135" customFormat="1" ht="12.75" customHeight="1" x14ac:dyDescent="0.25">
      <c r="A791" s="166"/>
      <c r="B791" s="187" t="s">
        <v>56</v>
      </c>
      <c r="C791" s="188"/>
      <c r="D791" s="188" t="s">
        <v>45</v>
      </c>
      <c r="E791" s="188"/>
      <c r="F791" s="188"/>
      <c r="G791" s="173">
        <f>10.44*0.06*0.03</f>
        <v>1.8792E-2</v>
      </c>
      <c r="H791" s="173">
        <f>6.61*0.06*0.03</f>
        <v>1.1898000000000001E-2</v>
      </c>
      <c r="I791" s="170">
        <f t="shared" si="47"/>
        <v>3.0690000000000002E-2</v>
      </c>
      <c r="J791" s="174"/>
      <c r="K791" s="174"/>
      <c r="L791" s="172"/>
      <c r="M791" s="270" t="e">
        <f>VLOOKUP(B791,материал!$B$5:$H$67,7,0)</f>
        <v>#N/A</v>
      </c>
    </row>
    <row r="792" spans="1:13" s="135" customFormat="1" ht="12.75" customHeight="1" x14ac:dyDescent="0.25">
      <c r="A792" s="175"/>
      <c r="B792" s="176" t="s">
        <v>38</v>
      </c>
      <c r="C792" s="177"/>
      <c r="D792" s="177"/>
      <c r="E792" s="177"/>
      <c r="F792" s="177"/>
      <c r="G792" s="178"/>
      <c r="H792" s="178"/>
      <c r="I792" s="179"/>
      <c r="J792" s="180"/>
      <c r="K792" s="179">
        <f ca="1">SUM(K793:K806)</f>
        <v>0</v>
      </c>
      <c r="L792" s="177"/>
      <c r="M792" s="271"/>
    </row>
    <row r="793" spans="1:13" s="135" customFormat="1" ht="12.75" customHeight="1" x14ac:dyDescent="0.25">
      <c r="A793" s="181"/>
      <c r="B793" s="189" t="s">
        <v>110</v>
      </c>
      <c r="C793" s="177" t="s">
        <v>111</v>
      </c>
      <c r="D793" s="177" t="s">
        <v>60</v>
      </c>
      <c r="E793" s="190">
        <v>42</v>
      </c>
      <c r="F793" s="190"/>
      <c r="G793" s="183">
        <f>G785/0.25*E793+G786/0.12*E793</f>
        <v>17185</v>
      </c>
      <c r="H793" s="183">
        <f>H785/0.25*E793+H786/0.12*E793</f>
        <v>20623.260000000002</v>
      </c>
      <c r="I793" s="184">
        <f t="shared" ref="I793:I805" si="48">SUM(G793:H793)</f>
        <v>37808.26</v>
      </c>
      <c r="J793" s="180">
        <f>VLOOKUP(B793,материал!$B$5:$G$67,5,0)</f>
        <v>0</v>
      </c>
      <c r="K793" s="180">
        <f t="shared" ref="K793:K805" si="49">I793*J793</f>
        <v>0</v>
      </c>
      <c r="L793" s="177"/>
      <c r="M793" s="271" t="str">
        <f>VLOOKUP(B793,материал!$B$5:$H$67,7,0)</f>
        <v>Давальческий материал</v>
      </c>
    </row>
    <row r="794" spans="1:13" s="135" customFormat="1" x14ac:dyDescent="0.25">
      <c r="A794" s="192"/>
      <c r="B794" s="191" t="s">
        <v>112</v>
      </c>
      <c r="C794" s="177" t="s">
        <v>70</v>
      </c>
      <c r="D794" s="177" t="s">
        <v>45</v>
      </c>
      <c r="E794" s="177">
        <v>0.24</v>
      </c>
      <c r="F794" s="177"/>
      <c r="G794" s="178">
        <f>G785*E794+G786*E794</f>
        <v>18.804000000000002</v>
      </c>
      <c r="H794" s="178">
        <f>H785*E794+H786*E794</f>
        <v>20.795999999999999</v>
      </c>
      <c r="I794" s="179">
        <f t="shared" si="48"/>
        <v>39.6</v>
      </c>
      <c r="J794" s="180">
        <f>VLOOKUP(B794,материал!$B$5:$G$67,5,0)</f>
        <v>0</v>
      </c>
      <c r="K794" s="180">
        <f t="shared" si="49"/>
        <v>0</v>
      </c>
      <c r="L794" s="177"/>
      <c r="M794" s="271" t="str">
        <f>VLOOKUP(B794,материал!$B$5:$H$67,7,0)</f>
        <v>Закуп подярдчика</v>
      </c>
    </row>
    <row r="795" spans="1:13" s="135" customFormat="1" ht="12.75" customHeight="1" x14ac:dyDescent="0.25">
      <c r="A795" s="192"/>
      <c r="B795" s="191" t="s">
        <v>74</v>
      </c>
      <c r="C795" s="177" t="s">
        <v>70</v>
      </c>
      <c r="D795" s="177" t="s">
        <v>45</v>
      </c>
      <c r="E795" s="177">
        <v>1.01</v>
      </c>
      <c r="F795" s="177"/>
      <c r="G795" s="178">
        <f>G791*E795</f>
        <v>1.8979920000000001E-2</v>
      </c>
      <c r="H795" s="178">
        <f>H791*E795</f>
        <v>1.201698E-2</v>
      </c>
      <c r="I795" s="179">
        <f t="shared" si="48"/>
        <v>3.0996900000000001E-2</v>
      </c>
      <c r="J795" s="180">
        <f>VLOOKUP(B795,материал!$B$5:$G$67,5,0)</f>
        <v>0</v>
      </c>
      <c r="K795" s="180">
        <f t="shared" si="49"/>
        <v>0</v>
      </c>
      <c r="L795" s="200"/>
      <c r="M795" s="271" t="str">
        <f>VLOOKUP(B795,материал!$B$5:$H$67,7,0)</f>
        <v>Закуп подярдчика</v>
      </c>
    </row>
    <row r="796" spans="1:13" s="135" customFormat="1" x14ac:dyDescent="0.25">
      <c r="A796" s="181"/>
      <c r="B796" s="189" t="s">
        <v>75</v>
      </c>
      <c r="C796" s="177" t="s">
        <v>70</v>
      </c>
      <c r="D796" s="177" t="s">
        <v>45</v>
      </c>
      <c r="E796" s="177">
        <v>6.0000000000000001E-3</v>
      </c>
      <c r="F796" s="177"/>
      <c r="G796" s="178">
        <f>G787*E796</f>
        <v>6.0000000000000001E-3</v>
      </c>
      <c r="H796" s="193">
        <v>0.01</v>
      </c>
      <c r="I796" s="179">
        <f t="shared" si="48"/>
        <v>1.6E-2</v>
      </c>
      <c r="J796" s="180">
        <f>VLOOKUP(B796,материал!$B$5:$G$67,5,0)</f>
        <v>0</v>
      </c>
      <c r="K796" s="179">
        <f t="shared" si="49"/>
        <v>0</v>
      </c>
      <c r="L796" s="177"/>
      <c r="M796" s="271" t="str">
        <f>VLOOKUP(B796,материал!$B$5:$H$67,7,0)</f>
        <v>Закуп подярдчика</v>
      </c>
    </row>
    <row r="797" spans="1:13" s="135" customFormat="1" x14ac:dyDescent="0.25">
      <c r="A797" s="181"/>
      <c r="B797" s="189" t="s">
        <v>77</v>
      </c>
      <c r="C797" s="177" t="s">
        <v>70</v>
      </c>
      <c r="D797" s="177" t="s">
        <v>45</v>
      </c>
      <c r="E797" s="177">
        <v>1.01</v>
      </c>
      <c r="F797" s="177"/>
      <c r="G797" s="193">
        <f>10.41*0.12*0.03</f>
        <v>3.7475999999999995E-2</v>
      </c>
      <c r="H797" s="193">
        <f>8.8*0.12*0.03</f>
        <v>3.168E-2</v>
      </c>
      <c r="I797" s="179">
        <f t="shared" si="48"/>
        <v>6.9155999999999995E-2</v>
      </c>
      <c r="J797" s="180">
        <f>VLOOKUP(B797,материал!$B$5:$G$67,5,0)</f>
        <v>0</v>
      </c>
      <c r="K797" s="180">
        <f t="shared" si="49"/>
        <v>0</v>
      </c>
      <c r="L797" s="177"/>
      <c r="M797" s="271" t="str">
        <f>VLOOKUP(B797,материал!$B$5:$H$67,7,0)</f>
        <v>Закуп подярдчика</v>
      </c>
    </row>
    <row r="798" spans="1:13" s="135" customFormat="1" x14ac:dyDescent="0.25">
      <c r="A798" s="181"/>
      <c r="B798" s="189" t="s">
        <v>78</v>
      </c>
      <c r="C798" s="177" t="s">
        <v>79</v>
      </c>
      <c r="D798" s="177" t="s">
        <v>47</v>
      </c>
      <c r="E798" s="177"/>
      <c r="F798" s="177"/>
      <c r="G798" s="178">
        <v>191.3</v>
      </c>
      <c r="H798" s="178">
        <v>202.74</v>
      </c>
      <c r="I798" s="179">
        <f t="shared" si="48"/>
        <v>394.04</v>
      </c>
      <c r="J798" s="180">
        <f>VLOOKUP(B798,материал!$B$5:$G$67,5,0)</f>
        <v>0</v>
      </c>
      <c r="K798" s="180">
        <f t="shared" si="49"/>
        <v>0</v>
      </c>
      <c r="L798" s="177"/>
      <c r="M798" s="271" t="str">
        <f>VLOOKUP(B798,материал!$B$5:$H$67,7,0)</f>
        <v>Закуп подярдчика</v>
      </c>
    </row>
    <row r="799" spans="1:13" s="135" customFormat="1" ht="25.5" x14ac:dyDescent="0.25">
      <c r="A799" s="181"/>
      <c r="B799" s="189" t="s">
        <v>281</v>
      </c>
      <c r="C799" s="177" t="s">
        <v>284</v>
      </c>
      <c r="D799" s="177" t="s">
        <v>60</v>
      </c>
      <c r="E799" s="177"/>
      <c r="F799" s="177"/>
      <c r="G799" s="178">
        <v>1</v>
      </c>
      <c r="H799" s="178">
        <v>1</v>
      </c>
      <c r="I799" s="179">
        <f t="shared" si="48"/>
        <v>2</v>
      </c>
      <c r="J799" s="180">
        <f>VLOOKUP(B799,материал!$B$5:$G$67,5,0)</f>
        <v>0</v>
      </c>
      <c r="K799" s="180">
        <f t="shared" si="49"/>
        <v>0</v>
      </c>
      <c r="L799" s="177"/>
      <c r="M799" s="271" t="str">
        <f>VLOOKUP(B799,материал!$B$5:$H$67,7,0)</f>
        <v>Закуп подярдчика</v>
      </c>
    </row>
    <row r="800" spans="1:13" s="135" customFormat="1" ht="25.5" x14ac:dyDescent="0.25">
      <c r="A800" s="181"/>
      <c r="B800" s="189" t="s">
        <v>298</v>
      </c>
      <c r="C800" s="177" t="s">
        <v>307</v>
      </c>
      <c r="D800" s="177" t="s">
        <v>60</v>
      </c>
      <c r="E800" s="177"/>
      <c r="F800" s="177"/>
      <c r="G800" s="178"/>
      <c r="H800" s="178">
        <v>1</v>
      </c>
      <c r="I800" s="179">
        <f t="shared" si="48"/>
        <v>1</v>
      </c>
      <c r="J800" s="180">
        <f>VLOOKUP(B800,материал!$B$5:$G$67,5,0)</f>
        <v>0</v>
      </c>
      <c r="K800" s="180">
        <f t="shared" si="49"/>
        <v>0</v>
      </c>
      <c r="L800" s="177"/>
      <c r="M800" s="271" t="str">
        <f>VLOOKUP(B800,материал!$B$5:$H$67,7,0)</f>
        <v>Закуп подярдчика</v>
      </c>
    </row>
    <row r="801" spans="1:13" s="135" customFormat="1" x14ac:dyDescent="0.25">
      <c r="A801" s="181"/>
      <c r="B801" s="189" t="s">
        <v>92</v>
      </c>
      <c r="C801" s="177" t="s">
        <v>93</v>
      </c>
      <c r="D801" s="177" t="s">
        <v>54</v>
      </c>
      <c r="E801" s="177">
        <v>1.04</v>
      </c>
      <c r="F801" s="177"/>
      <c r="G801" s="178">
        <f>18.17*E801</f>
        <v>18.896800000000002</v>
      </c>
      <c r="H801" s="178">
        <f>11.09*E801</f>
        <v>11.5336</v>
      </c>
      <c r="I801" s="179">
        <f t="shared" si="48"/>
        <v>30.430400000000002</v>
      </c>
      <c r="J801" s="180">
        <f>VLOOKUP(B801,материал!$B$5:$G$67,5,0)</f>
        <v>0</v>
      </c>
      <c r="K801" s="180">
        <f t="shared" si="49"/>
        <v>0</v>
      </c>
      <c r="L801" s="177"/>
      <c r="M801" s="271" t="str">
        <f>VLOOKUP(B801,материал!$B$5:$H$67,7,0)</f>
        <v>Закуп подярдчика</v>
      </c>
    </row>
    <row r="802" spans="1:13" s="135" customFormat="1" x14ac:dyDescent="0.25">
      <c r="A802" s="181"/>
      <c r="B802" s="189" t="s">
        <v>94</v>
      </c>
      <c r="C802" s="177" t="s">
        <v>95</v>
      </c>
      <c r="D802" s="177" t="s">
        <v>54</v>
      </c>
      <c r="E802" s="177">
        <v>1.04</v>
      </c>
      <c r="F802" s="177"/>
      <c r="G802" s="178">
        <f>G789*E802</f>
        <v>34.996000000000002</v>
      </c>
      <c r="H802" s="178">
        <f>H789*E802</f>
        <v>16.910400000000003</v>
      </c>
      <c r="I802" s="179">
        <f t="shared" si="48"/>
        <v>51.906400000000005</v>
      </c>
      <c r="J802" s="180">
        <f>VLOOKUP(B802,материал!$B$5:$G$67,5,0)</f>
        <v>0</v>
      </c>
      <c r="K802" s="180">
        <f t="shared" si="49"/>
        <v>0</v>
      </c>
      <c r="L802" s="177"/>
      <c r="M802" s="271" t="str">
        <f>VLOOKUP(B802,материал!$B$5:$H$67,7,0)</f>
        <v>Закуп подярдчика</v>
      </c>
    </row>
    <row r="803" spans="1:13" s="135" customFormat="1" x14ac:dyDescent="0.25">
      <c r="A803" s="181"/>
      <c r="B803" s="189" t="s">
        <v>96</v>
      </c>
      <c r="C803" s="177" t="s">
        <v>39</v>
      </c>
      <c r="D803" s="177" t="s">
        <v>54</v>
      </c>
      <c r="E803" s="177">
        <v>1.04</v>
      </c>
      <c r="F803" s="177"/>
      <c r="G803" s="178"/>
      <c r="H803" s="178">
        <f>E803*30.43</f>
        <v>31.647200000000002</v>
      </c>
      <c r="I803" s="179">
        <f t="shared" si="48"/>
        <v>31.647200000000002</v>
      </c>
      <c r="J803" s="180">
        <f>VLOOKUP(B803,материал!$B$5:$G$67,5,0)</f>
        <v>0</v>
      </c>
      <c r="K803" s="180">
        <f t="shared" si="49"/>
        <v>0</v>
      </c>
      <c r="L803" s="177"/>
      <c r="M803" s="271" t="str">
        <f>VLOOKUP(B803,материал!$B$5:$H$67,7,0)</f>
        <v>Закуп подярдчика</v>
      </c>
    </row>
    <row r="804" spans="1:13" s="135" customFormat="1" ht="12.75" customHeight="1" x14ac:dyDescent="0.25">
      <c r="A804" s="181"/>
      <c r="B804" s="189" t="s">
        <v>97</v>
      </c>
      <c r="C804" s="177" t="s">
        <v>39</v>
      </c>
      <c r="D804" s="177" t="s">
        <v>54</v>
      </c>
      <c r="E804" s="177">
        <v>1.04</v>
      </c>
      <c r="F804" s="177"/>
      <c r="G804" s="178">
        <f>E804*3.02</f>
        <v>3.1408</v>
      </c>
      <c r="H804" s="178">
        <f>E804*3.02</f>
        <v>3.1408</v>
      </c>
      <c r="I804" s="179">
        <f t="shared" si="48"/>
        <v>6.2816000000000001</v>
      </c>
      <c r="J804" s="180">
        <f>VLOOKUP(B804,материал!$B$5:$G$67,5,0)</f>
        <v>0</v>
      </c>
      <c r="K804" s="180">
        <f t="shared" si="49"/>
        <v>0</v>
      </c>
      <c r="L804" s="177"/>
      <c r="M804" s="271" t="str">
        <f>VLOOKUP(B804,материал!$B$5:$H$67,7,0)</f>
        <v>Закуп подярдчика</v>
      </c>
    </row>
    <row r="805" spans="1:13" s="135" customFormat="1" ht="24.95" customHeight="1" x14ac:dyDescent="0.25">
      <c r="A805" s="181"/>
      <c r="B805" s="189" t="s">
        <v>275</v>
      </c>
      <c r="C805" s="177" t="s">
        <v>276</v>
      </c>
      <c r="D805" s="177" t="s">
        <v>45</v>
      </c>
      <c r="E805" s="177">
        <v>1.04</v>
      </c>
      <c r="F805" s="177"/>
      <c r="G805" s="178">
        <f>G790*0.15*E805</f>
        <v>2.13408</v>
      </c>
      <c r="H805" s="178">
        <v>0</v>
      </c>
      <c r="I805" s="179">
        <f t="shared" si="48"/>
        <v>2.13408</v>
      </c>
      <c r="J805" s="180">
        <f>VLOOKUP(B805,материал!$B$5:$G$67,5,0)</f>
        <v>0</v>
      </c>
      <c r="K805" s="180">
        <f t="shared" si="49"/>
        <v>0</v>
      </c>
      <c r="L805" s="177"/>
      <c r="M805" s="271" t="str">
        <f>VLOOKUP(B805,материал!$B$5:$H$67,7,0)</f>
        <v>Закуп подярдчика</v>
      </c>
    </row>
    <row r="806" spans="1:13" s="135" customFormat="1" ht="24.95" customHeight="1" x14ac:dyDescent="0.25">
      <c r="A806" s="195"/>
      <c r="B806" s="196" t="s">
        <v>98</v>
      </c>
      <c r="C806" s="197" t="s">
        <v>39</v>
      </c>
      <c r="D806" s="197" t="s">
        <v>99</v>
      </c>
      <c r="E806" s="197"/>
      <c r="F806" s="197"/>
      <c r="G806" s="198"/>
      <c r="H806" s="198"/>
      <c r="I806" s="199">
        <f ca="1">SUMIF(материал!$B$5:$G$67,B806,материал!$E$5:$E$67)</f>
        <v>0</v>
      </c>
      <c r="J806" s="180"/>
      <c r="K806" s="180">
        <f ca="1">SUM(K793:K805)*I806%</f>
        <v>0</v>
      </c>
      <c r="L806" s="177"/>
      <c r="M806" s="271" t="str">
        <f>VLOOKUP(B806,материал!$B$5:$H$67,7,0)</f>
        <v>Закуп подярдчика</v>
      </c>
    </row>
    <row r="807" spans="1:13" ht="15.95" customHeight="1" x14ac:dyDescent="0.25">
      <c r="A807" s="201"/>
      <c r="B807" s="201"/>
      <c r="C807" s="211"/>
      <c r="D807" s="211"/>
      <c r="E807" s="211"/>
      <c r="F807" s="211"/>
      <c r="G807" s="211"/>
      <c r="H807" s="211"/>
      <c r="I807" s="211"/>
      <c r="J807" s="210" t="s">
        <v>328</v>
      </c>
      <c r="K807" s="202">
        <f ca="1">K783+K745+K707+K657+K607+K557+K507+K457+K407+K357+K307+K257+K207+K157+K107+K57+K10</f>
        <v>0</v>
      </c>
      <c r="L807" s="202"/>
      <c r="M807" s="275"/>
    </row>
    <row r="808" spans="1:13" ht="15.95" customHeight="1" x14ac:dyDescent="0.25">
      <c r="A808" s="203"/>
      <c r="B808" s="203"/>
      <c r="C808" s="213"/>
      <c r="D808" s="213"/>
      <c r="E808" s="213"/>
      <c r="F808" s="213"/>
      <c r="G808" s="213"/>
      <c r="H808" s="213"/>
      <c r="I808" s="213"/>
      <c r="J808" s="212" t="s">
        <v>183</v>
      </c>
      <c r="K808" s="247">
        <f>K784+K746+K708+K658+K608+K558+K508+K458+K408+K358+K308+K258+K208+K158+K108+K58+K11</f>
        <v>0</v>
      </c>
      <c r="L808" s="204"/>
      <c r="M808" s="276"/>
    </row>
    <row r="809" spans="1:13" ht="15.95" customHeight="1" x14ac:dyDescent="0.25">
      <c r="A809" s="203"/>
      <c r="B809" s="203"/>
      <c r="C809" s="213"/>
      <c r="D809" s="213"/>
      <c r="E809" s="213"/>
      <c r="F809" s="213"/>
      <c r="G809" s="213"/>
      <c r="H809" s="213"/>
      <c r="I809" s="213"/>
      <c r="J809" s="212" t="s">
        <v>184</v>
      </c>
      <c r="K809" s="204">
        <f ca="1">K792+K759+K721+K671+K621+K571+K521+K471+K421+K371+K321+K271+K221+K171+K121+K71+K22</f>
        <v>0</v>
      </c>
      <c r="L809" s="204"/>
      <c r="M809" s="276"/>
    </row>
    <row r="810" spans="1:13" ht="15.95" customHeight="1" x14ac:dyDescent="0.25">
      <c r="A810" s="203"/>
      <c r="B810" s="203"/>
      <c r="C810" s="213"/>
      <c r="D810" s="213"/>
      <c r="E810" s="213"/>
      <c r="F810" s="213"/>
      <c r="G810" s="213"/>
      <c r="H810" s="213"/>
      <c r="I810" s="213"/>
      <c r="J810" s="212" t="s">
        <v>185</v>
      </c>
      <c r="K810" s="204" t="s">
        <v>186</v>
      </c>
      <c r="L810" s="204"/>
      <c r="M810" s="276"/>
    </row>
    <row r="811" spans="1:13" s="209" customFormat="1" ht="11.1" customHeight="1" x14ac:dyDescent="0.2">
      <c r="A811" s="214"/>
      <c r="B811" s="309" t="s">
        <v>329</v>
      </c>
      <c r="C811" s="309"/>
      <c r="D811" s="309"/>
      <c r="E811" s="309"/>
      <c r="F811" s="309"/>
      <c r="G811" s="309"/>
      <c r="H811" s="309"/>
      <c r="I811" s="309"/>
      <c r="J811" s="310"/>
      <c r="K811" s="310"/>
      <c r="L811" s="309"/>
      <c r="M811" s="277"/>
    </row>
    <row r="812" spans="1:13" ht="11.25" customHeight="1" x14ac:dyDescent="0.25">
      <c r="A812" s="207"/>
      <c r="B812" s="311"/>
      <c r="C812" s="311"/>
      <c r="D812" s="311"/>
      <c r="E812" s="311"/>
      <c r="F812" s="311"/>
      <c r="G812" s="311"/>
      <c r="H812" s="311"/>
      <c r="I812" s="311"/>
      <c r="J812" s="311"/>
      <c r="K812" s="311"/>
      <c r="L812" s="311"/>
      <c r="M812" s="311"/>
    </row>
    <row r="813" spans="1:13" s="280" customFormat="1" ht="11.25" customHeight="1" x14ac:dyDescent="0.25">
      <c r="A813" s="279"/>
      <c r="B813" s="312" t="s">
        <v>187</v>
      </c>
      <c r="C813" s="312"/>
      <c r="D813" s="312"/>
      <c r="E813" s="312"/>
      <c r="F813" s="312"/>
      <c r="G813" s="312"/>
      <c r="H813" s="312"/>
      <c r="I813" s="312"/>
      <c r="J813" s="312"/>
      <c r="K813" s="312"/>
      <c r="L813" s="312"/>
      <c r="M813" s="312"/>
    </row>
    <row r="814" spans="1:13" s="280" customFormat="1" ht="11.25" customHeight="1" x14ac:dyDescent="0.25">
      <c r="A814" s="279"/>
      <c r="B814" s="312" t="s">
        <v>188</v>
      </c>
      <c r="C814" s="312"/>
      <c r="D814" s="312"/>
      <c r="E814" s="312"/>
      <c r="F814" s="312"/>
      <c r="G814" s="312"/>
      <c r="H814" s="312"/>
      <c r="I814" s="312"/>
      <c r="J814" s="312"/>
      <c r="K814" s="312"/>
      <c r="L814" s="312"/>
      <c r="M814" s="312"/>
    </row>
    <row r="815" spans="1:13" s="280" customFormat="1" ht="11.25" customHeight="1" x14ac:dyDescent="0.25">
      <c r="A815" s="279" t="s">
        <v>189</v>
      </c>
      <c r="B815" s="313" t="s">
        <v>190</v>
      </c>
      <c r="C815" s="313"/>
      <c r="D815" s="313"/>
      <c r="E815" s="313"/>
      <c r="F815" s="313"/>
      <c r="G815" s="313"/>
      <c r="H815" s="313"/>
      <c r="I815" s="313"/>
      <c r="J815" s="313"/>
      <c r="K815" s="313"/>
      <c r="L815" s="313"/>
      <c r="M815" s="313"/>
    </row>
    <row r="816" spans="1:13" s="280" customFormat="1" ht="11.25" x14ac:dyDescent="0.25">
      <c r="A816" s="279" t="s">
        <v>191</v>
      </c>
      <c r="B816" s="281" t="s">
        <v>192</v>
      </c>
      <c r="C816" s="282"/>
      <c r="D816" s="283"/>
      <c r="E816" s="282"/>
      <c r="F816" s="282"/>
      <c r="G816" s="284"/>
      <c r="H816" s="283"/>
      <c r="I816" s="285"/>
      <c r="J816" s="285"/>
      <c r="K816" s="285"/>
      <c r="M816" s="286"/>
    </row>
    <row r="817" spans="1:13" s="280" customFormat="1" ht="11.25" x14ac:dyDescent="0.25">
      <c r="A817" s="279" t="s">
        <v>193</v>
      </c>
      <c r="B817" s="281" t="s">
        <v>194</v>
      </c>
      <c r="C817" s="282"/>
      <c r="D817" s="283"/>
      <c r="E817" s="282"/>
      <c r="F817" s="282"/>
      <c r="G817" s="284"/>
      <c r="H817" s="283"/>
      <c r="I817" s="285"/>
      <c r="J817" s="285"/>
      <c r="K817" s="285"/>
      <c r="M817" s="286"/>
    </row>
    <row r="818" spans="1:13" s="280" customFormat="1" ht="11.25" x14ac:dyDescent="0.25">
      <c r="A818" s="279" t="s">
        <v>195</v>
      </c>
      <c r="B818" s="281" t="s">
        <v>196</v>
      </c>
      <c r="C818" s="282"/>
      <c r="D818" s="283"/>
      <c r="E818" s="282"/>
      <c r="F818" s="282"/>
      <c r="G818" s="284"/>
      <c r="H818" s="283"/>
      <c r="I818" s="285"/>
      <c r="J818" s="285"/>
      <c r="K818" s="285"/>
      <c r="M818" s="286"/>
    </row>
    <row r="819" spans="1:13" s="280" customFormat="1" ht="11.25" x14ac:dyDescent="0.25">
      <c r="A819" s="279" t="s">
        <v>197</v>
      </c>
      <c r="B819" s="281" t="s">
        <v>198</v>
      </c>
      <c r="C819" s="282"/>
      <c r="D819" s="283"/>
      <c r="E819" s="282"/>
      <c r="F819" s="282"/>
      <c r="G819" s="284"/>
      <c r="H819" s="283"/>
      <c r="I819" s="285"/>
      <c r="J819" s="285"/>
      <c r="K819" s="285"/>
      <c r="M819" s="286"/>
    </row>
    <row r="820" spans="1:13" s="280" customFormat="1" ht="11.25" x14ac:dyDescent="0.25">
      <c r="A820" s="279" t="s">
        <v>191</v>
      </c>
      <c r="B820" s="281" t="s">
        <v>192</v>
      </c>
      <c r="C820" s="282"/>
      <c r="D820" s="283"/>
      <c r="E820" s="282"/>
      <c r="F820" s="282"/>
      <c r="G820" s="284"/>
      <c r="H820" s="283"/>
      <c r="I820" s="285"/>
      <c r="J820" s="285"/>
      <c r="K820" s="285"/>
      <c r="M820" s="286"/>
    </row>
    <row r="821" spans="1:13" s="280" customFormat="1" ht="11.25" x14ac:dyDescent="0.25">
      <c r="A821" s="279" t="s">
        <v>193</v>
      </c>
      <c r="B821" s="281" t="s">
        <v>199</v>
      </c>
      <c r="C821" s="282"/>
      <c r="D821" s="283"/>
      <c r="E821" s="282"/>
      <c r="F821" s="282"/>
      <c r="G821" s="284"/>
      <c r="H821" s="283"/>
      <c r="I821" s="285"/>
      <c r="J821" s="285"/>
      <c r="K821" s="285"/>
      <c r="M821" s="286"/>
    </row>
    <row r="822" spans="1:13" s="280" customFormat="1" ht="11.25" x14ac:dyDescent="0.25">
      <c r="A822" s="279" t="s">
        <v>195</v>
      </c>
      <c r="B822" s="281" t="s">
        <v>194</v>
      </c>
      <c r="C822" s="282"/>
      <c r="D822" s="283"/>
      <c r="E822" s="282"/>
      <c r="F822" s="282"/>
      <c r="G822" s="284"/>
      <c r="H822" s="283"/>
      <c r="I822" s="285"/>
      <c r="J822" s="285"/>
      <c r="K822" s="285"/>
      <c r="M822" s="286"/>
    </row>
    <row r="823" spans="1:13" s="280" customFormat="1" ht="11.25" x14ac:dyDescent="0.25">
      <c r="A823" s="279" t="s">
        <v>200</v>
      </c>
      <c r="B823" s="281" t="s">
        <v>201</v>
      </c>
      <c r="C823" s="282"/>
      <c r="D823" s="283"/>
      <c r="E823" s="282"/>
      <c r="F823" s="282"/>
      <c r="G823" s="284"/>
      <c r="H823" s="283"/>
      <c r="I823" s="285"/>
      <c r="J823" s="285"/>
      <c r="K823" s="285"/>
      <c r="M823" s="286"/>
    </row>
    <row r="824" spans="1:13" s="280" customFormat="1" ht="11.25" x14ac:dyDescent="0.25">
      <c r="A824" s="279" t="s">
        <v>202</v>
      </c>
      <c r="B824" s="281" t="s">
        <v>203</v>
      </c>
      <c r="C824" s="282"/>
      <c r="D824" s="283"/>
      <c r="E824" s="282"/>
      <c r="F824" s="282"/>
      <c r="G824" s="284"/>
      <c r="H824" s="283"/>
      <c r="I824" s="285"/>
      <c r="J824" s="285"/>
      <c r="K824" s="285"/>
      <c r="M824" s="286"/>
    </row>
    <row r="825" spans="1:13" s="280" customFormat="1" ht="11.25" x14ac:dyDescent="0.25">
      <c r="A825" s="279" t="s">
        <v>226</v>
      </c>
      <c r="B825" s="281" t="s">
        <v>339</v>
      </c>
      <c r="C825" s="282"/>
      <c r="D825" s="283"/>
      <c r="E825" s="282"/>
      <c r="F825" s="282"/>
      <c r="G825" s="284"/>
      <c r="H825" s="283"/>
      <c r="I825" s="285"/>
      <c r="J825" s="285"/>
      <c r="K825" s="285"/>
      <c r="M825" s="286"/>
    </row>
    <row r="826" spans="1:13" s="280" customFormat="1" ht="11.25" x14ac:dyDescent="0.25">
      <c r="A826" s="279" t="s">
        <v>228</v>
      </c>
      <c r="B826" s="281" t="s">
        <v>340</v>
      </c>
      <c r="C826" s="282"/>
      <c r="D826" s="283"/>
      <c r="E826" s="282"/>
      <c r="F826" s="282"/>
      <c r="G826" s="284"/>
      <c r="H826" s="283"/>
      <c r="I826" s="285"/>
      <c r="J826" s="285"/>
      <c r="K826" s="285"/>
      <c r="M826" s="286"/>
    </row>
    <row r="827" spans="1:13" s="280" customFormat="1" ht="11.25" x14ac:dyDescent="0.25">
      <c r="A827" s="279"/>
      <c r="B827" s="287" t="s">
        <v>204</v>
      </c>
      <c r="C827" s="282"/>
      <c r="D827" s="282"/>
      <c r="E827" s="282"/>
      <c r="F827" s="282"/>
      <c r="G827" s="284"/>
      <c r="H827" s="283"/>
      <c r="I827" s="285"/>
      <c r="J827" s="285"/>
      <c r="K827" s="285"/>
      <c r="M827" s="286"/>
    </row>
    <row r="828" spans="1:13" s="280" customFormat="1" ht="11.25" x14ac:dyDescent="0.25">
      <c r="A828" s="279" t="s">
        <v>205</v>
      </c>
      <c r="B828" s="288" t="s">
        <v>190</v>
      </c>
      <c r="C828" s="282"/>
      <c r="D828" s="282"/>
      <c r="E828" s="282"/>
      <c r="F828" s="282"/>
      <c r="G828" s="284"/>
      <c r="H828" s="283"/>
      <c r="I828" s="285"/>
      <c r="J828" s="285"/>
      <c r="K828" s="285"/>
      <c r="M828" s="286"/>
    </row>
    <row r="829" spans="1:13" s="280" customFormat="1" ht="11.25" x14ac:dyDescent="0.25">
      <c r="A829" s="279" t="s">
        <v>191</v>
      </c>
      <c r="B829" s="288" t="s">
        <v>192</v>
      </c>
      <c r="C829" s="282"/>
      <c r="D829" s="282"/>
      <c r="E829" s="282"/>
      <c r="F829" s="282"/>
      <c r="G829" s="284"/>
      <c r="H829" s="283"/>
      <c r="I829" s="285"/>
      <c r="J829" s="285"/>
      <c r="K829" s="285"/>
      <c r="M829" s="286"/>
    </row>
    <row r="830" spans="1:13" s="280" customFormat="1" ht="11.25" x14ac:dyDescent="0.25">
      <c r="A830" s="279" t="s">
        <v>193</v>
      </c>
      <c r="B830" s="288" t="s">
        <v>194</v>
      </c>
      <c r="C830" s="282"/>
      <c r="D830" s="282"/>
      <c r="E830" s="282"/>
      <c r="F830" s="282"/>
      <c r="G830" s="284"/>
      <c r="H830" s="283"/>
      <c r="I830" s="285"/>
      <c r="J830" s="285"/>
      <c r="K830" s="285"/>
      <c r="M830" s="286"/>
    </row>
    <row r="831" spans="1:13" s="280" customFormat="1" ht="11.25" x14ac:dyDescent="0.25">
      <c r="A831" s="279" t="s">
        <v>195</v>
      </c>
      <c r="B831" s="288" t="s">
        <v>201</v>
      </c>
      <c r="C831" s="282"/>
      <c r="D831" s="282"/>
      <c r="E831" s="282"/>
      <c r="F831" s="282"/>
      <c r="G831" s="284"/>
      <c r="H831" s="283"/>
      <c r="I831" s="285"/>
      <c r="J831" s="285"/>
      <c r="K831" s="285"/>
      <c r="M831" s="286"/>
    </row>
    <row r="832" spans="1:13" s="280" customFormat="1" ht="11.25" x14ac:dyDescent="0.25">
      <c r="A832" s="279" t="s">
        <v>206</v>
      </c>
      <c r="B832" s="288" t="s">
        <v>198</v>
      </c>
      <c r="C832" s="282"/>
      <c r="D832" s="282"/>
      <c r="E832" s="282"/>
      <c r="F832" s="282"/>
      <c r="G832" s="284"/>
      <c r="H832" s="283"/>
      <c r="I832" s="285"/>
      <c r="J832" s="285"/>
      <c r="K832" s="285"/>
      <c r="M832" s="286"/>
    </row>
    <row r="833" spans="1:13" s="280" customFormat="1" ht="11.25" x14ac:dyDescent="0.25">
      <c r="A833" s="279" t="s">
        <v>191</v>
      </c>
      <c r="B833" s="288" t="s">
        <v>199</v>
      </c>
      <c r="C833" s="282"/>
      <c r="D833" s="282"/>
      <c r="E833" s="282"/>
      <c r="F833" s="282"/>
      <c r="G833" s="284"/>
      <c r="H833" s="283"/>
      <c r="I833" s="285"/>
      <c r="J833" s="285"/>
      <c r="K833" s="285"/>
      <c r="M833" s="286"/>
    </row>
    <row r="834" spans="1:13" s="280" customFormat="1" ht="11.25" x14ac:dyDescent="0.25">
      <c r="A834" s="279" t="s">
        <v>193</v>
      </c>
      <c r="B834" s="288" t="s">
        <v>201</v>
      </c>
      <c r="C834" s="282"/>
      <c r="D834" s="282"/>
      <c r="E834" s="282"/>
      <c r="F834" s="282"/>
      <c r="G834" s="284"/>
      <c r="H834" s="283"/>
      <c r="I834" s="285"/>
      <c r="J834" s="285"/>
      <c r="K834" s="285"/>
      <c r="M834" s="286"/>
    </row>
    <row r="835" spans="1:13" s="280" customFormat="1" ht="11.25" x14ac:dyDescent="0.25">
      <c r="A835" s="279" t="s">
        <v>341</v>
      </c>
      <c r="B835" s="288" t="s">
        <v>339</v>
      </c>
      <c r="C835" s="282"/>
      <c r="D835" s="282"/>
      <c r="E835" s="282"/>
      <c r="F835" s="282"/>
      <c r="G835" s="284"/>
      <c r="H835" s="283"/>
      <c r="I835" s="285"/>
      <c r="J835" s="285"/>
      <c r="K835" s="285"/>
      <c r="M835" s="286"/>
    </row>
    <row r="836" spans="1:13" s="280" customFormat="1" ht="11.25" x14ac:dyDescent="0.25">
      <c r="A836" s="279" t="s">
        <v>342</v>
      </c>
      <c r="B836" s="288" t="s">
        <v>343</v>
      </c>
      <c r="C836" s="282"/>
      <c r="D836" s="282"/>
      <c r="E836" s="282"/>
      <c r="F836" s="282"/>
      <c r="G836" s="284"/>
      <c r="H836" s="283"/>
      <c r="I836" s="285"/>
      <c r="J836" s="285"/>
      <c r="K836" s="285"/>
      <c r="M836" s="286"/>
    </row>
    <row r="837" spans="1:13" s="280" customFormat="1" ht="11.25" x14ac:dyDescent="0.25">
      <c r="A837" s="279"/>
      <c r="B837" s="287" t="s">
        <v>207</v>
      </c>
      <c r="C837" s="282"/>
      <c r="D837" s="282"/>
      <c r="E837" s="282"/>
      <c r="F837" s="282"/>
      <c r="G837" s="284"/>
      <c r="H837" s="283"/>
      <c r="I837" s="285"/>
      <c r="J837" s="285"/>
      <c r="K837" s="285"/>
      <c r="M837" s="286"/>
    </row>
    <row r="838" spans="1:13" s="280" customFormat="1" ht="11.25" x14ac:dyDescent="0.25">
      <c r="A838" s="279" t="s">
        <v>208</v>
      </c>
      <c r="B838" s="288" t="s">
        <v>190</v>
      </c>
      <c r="C838" s="282"/>
      <c r="D838" s="282"/>
      <c r="E838" s="282"/>
      <c r="F838" s="282"/>
      <c r="G838" s="284"/>
      <c r="H838" s="283"/>
      <c r="I838" s="285"/>
      <c r="J838" s="285"/>
      <c r="K838" s="285"/>
      <c r="M838" s="286"/>
    </row>
    <row r="839" spans="1:13" s="280" customFormat="1" ht="11.25" customHeight="1" x14ac:dyDescent="0.25">
      <c r="A839" s="279" t="s">
        <v>191</v>
      </c>
      <c r="B839" s="288" t="s">
        <v>192</v>
      </c>
      <c r="C839" s="282"/>
      <c r="D839" s="282"/>
      <c r="E839" s="282"/>
      <c r="F839" s="282"/>
      <c r="G839" s="284"/>
      <c r="H839" s="283"/>
      <c r="I839" s="285"/>
      <c r="J839" s="285"/>
      <c r="K839" s="285"/>
      <c r="M839" s="286"/>
    </row>
    <row r="840" spans="1:13" s="280" customFormat="1" ht="11.25" x14ac:dyDescent="0.25">
      <c r="A840" s="279" t="s">
        <v>193</v>
      </c>
      <c r="B840" s="288" t="s">
        <v>199</v>
      </c>
      <c r="C840" s="282"/>
      <c r="D840" s="282"/>
      <c r="E840" s="282"/>
      <c r="F840" s="282"/>
      <c r="G840" s="284"/>
      <c r="H840" s="283"/>
      <c r="I840" s="285"/>
      <c r="J840" s="285"/>
      <c r="K840" s="285"/>
      <c r="M840" s="286"/>
    </row>
    <row r="841" spans="1:13" s="280" customFormat="1" ht="11.25" x14ac:dyDescent="0.25">
      <c r="A841" s="279" t="s">
        <v>195</v>
      </c>
      <c r="B841" s="288" t="s">
        <v>201</v>
      </c>
      <c r="C841" s="282"/>
      <c r="D841" s="282"/>
      <c r="E841" s="282"/>
      <c r="F841" s="282"/>
      <c r="G841" s="284"/>
      <c r="H841" s="283"/>
      <c r="I841" s="285"/>
      <c r="J841" s="285"/>
      <c r="K841" s="285"/>
      <c r="M841" s="286"/>
    </row>
    <row r="842" spans="1:13" s="280" customFormat="1" ht="11.25" x14ac:dyDescent="0.25">
      <c r="A842" s="279" t="s">
        <v>209</v>
      </c>
      <c r="B842" s="288" t="s">
        <v>198</v>
      </c>
      <c r="C842" s="282"/>
      <c r="D842" s="282"/>
      <c r="E842" s="282"/>
      <c r="F842" s="282"/>
      <c r="G842" s="284"/>
      <c r="H842" s="283"/>
      <c r="I842" s="285"/>
      <c r="J842" s="285"/>
      <c r="K842" s="285"/>
      <c r="M842" s="286"/>
    </row>
    <row r="843" spans="1:13" s="280" customFormat="1" ht="11.25" x14ac:dyDescent="0.25">
      <c r="A843" s="279" t="s">
        <v>191</v>
      </c>
      <c r="B843" s="288" t="s">
        <v>199</v>
      </c>
      <c r="C843" s="282"/>
      <c r="D843" s="282"/>
      <c r="E843" s="282"/>
      <c r="F843" s="282"/>
      <c r="G843" s="284"/>
      <c r="H843" s="283"/>
      <c r="I843" s="285"/>
      <c r="J843" s="285"/>
      <c r="K843" s="285"/>
      <c r="M843" s="286"/>
    </row>
    <row r="844" spans="1:13" s="280" customFormat="1" ht="11.25" x14ac:dyDescent="0.25">
      <c r="A844" s="279" t="s">
        <v>193</v>
      </c>
      <c r="B844" s="288" t="s">
        <v>201</v>
      </c>
      <c r="C844" s="282"/>
      <c r="D844" s="282"/>
      <c r="E844" s="282"/>
      <c r="F844" s="282"/>
      <c r="G844" s="284"/>
      <c r="H844" s="283"/>
      <c r="I844" s="285"/>
      <c r="J844" s="285"/>
      <c r="K844" s="285"/>
      <c r="M844" s="286"/>
    </row>
    <row r="845" spans="1:13" s="280" customFormat="1" ht="11.25" x14ac:dyDescent="0.25">
      <c r="A845" s="279" t="s">
        <v>344</v>
      </c>
      <c r="B845" s="288" t="s">
        <v>339</v>
      </c>
      <c r="C845" s="282"/>
      <c r="D845" s="282"/>
      <c r="E845" s="282"/>
      <c r="F845" s="282"/>
      <c r="G845" s="284"/>
      <c r="H845" s="283"/>
      <c r="I845" s="285"/>
      <c r="J845" s="285"/>
      <c r="K845" s="285"/>
      <c r="M845" s="286"/>
    </row>
    <row r="846" spans="1:13" s="280" customFormat="1" ht="11.25" x14ac:dyDescent="0.25">
      <c r="A846" s="279"/>
      <c r="B846" s="287" t="s">
        <v>210</v>
      </c>
      <c r="C846" s="282"/>
      <c r="D846" s="282"/>
      <c r="E846" s="282"/>
      <c r="F846" s="282"/>
      <c r="G846" s="284"/>
      <c r="H846" s="283"/>
      <c r="I846" s="285"/>
      <c r="J846" s="285"/>
      <c r="K846" s="285"/>
      <c r="M846" s="286"/>
    </row>
    <row r="847" spans="1:13" s="280" customFormat="1" ht="11.25" x14ac:dyDescent="0.25">
      <c r="A847" s="279" t="s">
        <v>211</v>
      </c>
      <c r="B847" s="288" t="s">
        <v>212</v>
      </c>
      <c r="C847" s="282"/>
      <c r="D847" s="282"/>
      <c r="E847" s="282"/>
      <c r="F847" s="282"/>
      <c r="G847" s="284"/>
      <c r="H847" s="283"/>
      <c r="I847" s="285"/>
      <c r="J847" s="285"/>
      <c r="K847" s="285"/>
      <c r="M847" s="286"/>
    </row>
    <row r="848" spans="1:13" s="280" customFormat="1" ht="11.25" x14ac:dyDescent="0.25">
      <c r="A848" s="279" t="s">
        <v>191</v>
      </c>
      <c r="B848" s="288" t="s">
        <v>192</v>
      </c>
      <c r="C848" s="282"/>
      <c r="D848" s="282"/>
      <c r="E848" s="282"/>
      <c r="F848" s="282"/>
      <c r="G848" s="284"/>
      <c r="H848" s="283"/>
      <c r="I848" s="285"/>
      <c r="J848" s="285"/>
      <c r="K848" s="285"/>
      <c r="M848" s="286"/>
    </row>
    <row r="849" spans="1:13" s="280" customFormat="1" ht="11.25" x14ac:dyDescent="0.25">
      <c r="A849" s="279" t="s">
        <v>193</v>
      </c>
      <c r="B849" s="288" t="s">
        <v>213</v>
      </c>
      <c r="C849" s="282"/>
      <c r="D849" s="282"/>
      <c r="E849" s="282"/>
      <c r="F849" s="282"/>
      <c r="G849" s="284"/>
      <c r="H849" s="283"/>
      <c r="I849" s="285"/>
      <c r="J849" s="285"/>
      <c r="K849" s="285"/>
      <c r="M849" s="286"/>
    </row>
    <row r="850" spans="1:13" s="280" customFormat="1" ht="11.25" x14ac:dyDescent="0.25">
      <c r="A850" s="279" t="s">
        <v>345</v>
      </c>
      <c r="B850" s="288" t="s">
        <v>339</v>
      </c>
      <c r="C850" s="282"/>
      <c r="D850" s="282"/>
      <c r="E850" s="282"/>
      <c r="F850" s="282"/>
      <c r="G850" s="284"/>
      <c r="H850" s="283"/>
      <c r="I850" s="285"/>
      <c r="J850" s="285"/>
      <c r="K850" s="285"/>
      <c r="M850" s="286"/>
    </row>
    <row r="851" spans="1:13" s="280" customFormat="1" ht="11.25" x14ac:dyDescent="0.25">
      <c r="A851" s="279" t="s">
        <v>214</v>
      </c>
      <c r="B851" s="288" t="s">
        <v>215</v>
      </c>
      <c r="C851" s="282"/>
      <c r="D851" s="282"/>
      <c r="E851" s="282"/>
      <c r="F851" s="282"/>
      <c r="G851" s="284"/>
      <c r="H851" s="283"/>
      <c r="I851" s="285"/>
      <c r="J851" s="285"/>
      <c r="K851" s="285"/>
      <c r="M851" s="286"/>
    </row>
    <row r="852" spans="1:13" s="280" customFormat="1" ht="11.25" x14ac:dyDescent="0.25">
      <c r="A852" s="279" t="s">
        <v>191</v>
      </c>
      <c r="B852" s="288" t="s">
        <v>199</v>
      </c>
      <c r="C852" s="282"/>
      <c r="D852" s="282"/>
      <c r="E852" s="282"/>
      <c r="F852" s="282"/>
      <c r="G852" s="284"/>
      <c r="H852" s="283"/>
      <c r="I852" s="285"/>
      <c r="J852" s="285"/>
      <c r="K852" s="285"/>
      <c r="M852" s="286"/>
    </row>
    <row r="853" spans="1:13" s="280" customFormat="1" ht="11.25" x14ac:dyDescent="0.25">
      <c r="A853" s="279" t="s">
        <v>193</v>
      </c>
      <c r="B853" s="288" t="s">
        <v>201</v>
      </c>
      <c r="C853" s="282"/>
      <c r="D853" s="282"/>
      <c r="E853" s="282"/>
      <c r="F853" s="282"/>
      <c r="G853" s="284"/>
      <c r="H853" s="283"/>
      <c r="I853" s="285"/>
      <c r="J853" s="285"/>
      <c r="K853" s="285"/>
      <c r="M853" s="286"/>
    </row>
    <row r="854" spans="1:13" s="280" customFormat="1" ht="11.25" x14ac:dyDescent="0.25">
      <c r="A854" s="279" t="s">
        <v>346</v>
      </c>
      <c r="B854" s="288" t="s">
        <v>339</v>
      </c>
      <c r="C854" s="282"/>
      <c r="D854" s="282"/>
      <c r="E854" s="282"/>
      <c r="F854" s="282"/>
      <c r="G854" s="284"/>
      <c r="H854" s="283"/>
      <c r="I854" s="285"/>
      <c r="J854" s="285"/>
      <c r="K854" s="285"/>
      <c r="M854" s="286"/>
    </row>
    <row r="855" spans="1:13" s="280" customFormat="1" ht="11.25" x14ac:dyDescent="0.25">
      <c r="A855" s="279" t="s">
        <v>347</v>
      </c>
      <c r="B855" s="288" t="s">
        <v>348</v>
      </c>
      <c r="C855" s="282"/>
      <c r="D855" s="282"/>
      <c r="E855" s="282"/>
      <c r="F855" s="282"/>
      <c r="G855" s="284"/>
      <c r="H855" s="283"/>
      <c r="I855" s="285"/>
      <c r="J855" s="285"/>
      <c r="K855" s="285"/>
      <c r="M855" s="286"/>
    </row>
    <row r="856" spans="1:13" s="280" customFormat="1" ht="11.25" x14ac:dyDescent="0.25">
      <c r="A856" s="279"/>
      <c r="B856" s="287" t="s">
        <v>216</v>
      </c>
      <c r="C856" s="282"/>
      <c r="D856" s="282"/>
      <c r="E856" s="282"/>
      <c r="F856" s="282"/>
      <c r="G856" s="284"/>
      <c r="H856" s="283"/>
      <c r="I856" s="285"/>
      <c r="J856" s="285"/>
      <c r="K856" s="285"/>
      <c r="M856" s="286"/>
    </row>
    <row r="857" spans="1:13" s="280" customFormat="1" ht="11.25" x14ac:dyDescent="0.25">
      <c r="A857" s="279" t="s">
        <v>217</v>
      </c>
      <c r="B857" s="288" t="s">
        <v>212</v>
      </c>
      <c r="C857" s="282"/>
      <c r="D857" s="282"/>
      <c r="E857" s="282"/>
      <c r="F857" s="282"/>
      <c r="G857" s="284"/>
      <c r="H857" s="283"/>
      <c r="I857" s="285"/>
      <c r="J857" s="285"/>
      <c r="K857" s="285"/>
      <c r="M857" s="286"/>
    </row>
    <row r="858" spans="1:13" s="280" customFormat="1" ht="11.25" x14ac:dyDescent="0.25">
      <c r="A858" s="279" t="s">
        <v>191</v>
      </c>
      <c r="B858" s="288" t="s">
        <v>192</v>
      </c>
      <c r="C858" s="282"/>
      <c r="D858" s="282"/>
      <c r="E858" s="282"/>
      <c r="F858" s="282"/>
      <c r="G858" s="284"/>
      <c r="H858" s="283"/>
      <c r="I858" s="285"/>
      <c r="J858" s="285"/>
      <c r="K858" s="285"/>
      <c r="M858" s="286"/>
    </row>
    <row r="859" spans="1:13" s="280" customFormat="1" ht="11.25" x14ac:dyDescent="0.25">
      <c r="A859" s="279" t="s">
        <v>193</v>
      </c>
      <c r="B859" s="288" t="s">
        <v>213</v>
      </c>
      <c r="C859" s="282"/>
      <c r="D859" s="282"/>
      <c r="E859" s="282"/>
      <c r="F859" s="282"/>
      <c r="G859" s="284"/>
      <c r="H859" s="283"/>
      <c r="I859" s="285"/>
      <c r="J859" s="285"/>
      <c r="K859" s="285"/>
      <c r="M859" s="286"/>
    </row>
    <row r="860" spans="1:13" s="280" customFormat="1" ht="11.25" x14ac:dyDescent="0.25">
      <c r="A860" s="279" t="s">
        <v>195</v>
      </c>
      <c r="B860" s="288" t="s">
        <v>199</v>
      </c>
      <c r="C860" s="282"/>
      <c r="D860" s="282"/>
      <c r="E860" s="282"/>
      <c r="F860" s="282"/>
      <c r="G860" s="284"/>
      <c r="H860" s="283"/>
      <c r="I860" s="285"/>
      <c r="J860" s="285"/>
      <c r="K860" s="285"/>
      <c r="M860" s="286"/>
    </row>
    <row r="861" spans="1:13" s="280" customFormat="1" ht="11.25" x14ac:dyDescent="0.25">
      <c r="A861" s="279" t="s">
        <v>218</v>
      </c>
      <c r="B861" s="288" t="s">
        <v>198</v>
      </c>
      <c r="C861" s="282"/>
      <c r="D861" s="282"/>
      <c r="E861" s="282"/>
      <c r="F861" s="282"/>
      <c r="G861" s="284"/>
      <c r="H861" s="283"/>
      <c r="I861" s="285"/>
      <c r="J861" s="285"/>
      <c r="K861" s="285"/>
      <c r="M861" s="286"/>
    </row>
    <row r="862" spans="1:13" s="280" customFormat="1" ht="11.25" x14ac:dyDescent="0.25">
      <c r="A862" s="279" t="s">
        <v>191</v>
      </c>
      <c r="B862" s="288" t="s">
        <v>192</v>
      </c>
      <c r="C862" s="282"/>
      <c r="D862" s="282"/>
      <c r="E862" s="282"/>
      <c r="F862" s="282"/>
      <c r="G862" s="284"/>
      <c r="H862" s="283"/>
      <c r="I862" s="285"/>
      <c r="J862" s="285"/>
      <c r="K862" s="285"/>
      <c r="M862" s="286"/>
    </row>
    <row r="863" spans="1:13" s="280" customFormat="1" ht="11.25" x14ac:dyDescent="0.25">
      <c r="A863" s="279" t="s">
        <v>193</v>
      </c>
      <c r="B863" s="288" t="s">
        <v>213</v>
      </c>
      <c r="C863" s="282"/>
      <c r="D863" s="282"/>
      <c r="E863" s="282"/>
      <c r="F863" s="282"/>
      <c r="G863" s="284"/>
      <c r="H863" s="283"/>
      <c r="I863" s="285"/>
      <c r="J863" s="285"/>
      <c r="K863" s="285"/>
      <c r="M863" s="286"/>
    </row>
    <row r="864" spans="1:13" s="280" customFormat="1" ht="11.25" x14ac:dyDescent="0.25">
      <c r="A864" s="279" t="s">
        <v>195</v>
      </c>
      <c r="B864" s="288" t="s">
        <v>199</v>
      </c>
      <c r="C864" s="282"/>
      <c r="D864" s="282"/>
      <c r="E864" s="282"/>
      <c r="F864" s="282"/>
      <c r="G864" s="284"/>
      <c r="H864" s="283"/>
      <c r="I864" s="285"/>
      <c r="J864" s="285"/>
      <c r="K864" s="285"/>
      <c r="M864" s="286"/>
    </row>
    <row r="865" spans="1:13" s="280" customFormat="1" ht="11.25" x14ac:dyDescent="0.25">
      <c r="A865" s="279" t="s">
        <v>200</v>
      </c>
      <c r="B865" s="288" t="s">
        <v>219</v>
      </c>
      <c r="C865" s="282"/>
      <c r="D865" s="282"/>
      <c r="E865" s="282"/>
      <c r="F865" s="282"/>
      <c r="G865" s="284"/>
      <c r="H865" s="283"/>
      <c r="I865" s="285"/>
      <c r="J865" s="285"/>
      <c r="K865" s="285"/>
      <c r="M865" s="286"/>
    </row>
    <row r="866" spans="1:13" s="280" customFormat="1" ht="11.25" x14ac:dyDescent="0.25">
      <c r="A866" s="279" t="s">
        <v>349</v>
      </c>
      <c r="B866" s="288" t="s">
        <v>339</v>
      </c>
      <c r="C866" s="282"/>
      <c r="D866" s="282"/>
      <c r="E866" s="282"/>
      <c r="F866" s="282"/>
      <c r="G866" s="284"/>
      <c r="H866" s="283"/>
      <c r="I866" s="285"/>
      <c r="J866" s="285"/>
      <c r="K866" s="285"/>
      <c r="M866" s="286"/>
    </row>
    <row r="867" spans="1:13" s="280" customFormat="1" ht="15.75" customHeight="1" x14ac:dyDescent="0.25">
      <c r="A867" s="279" t="s">
        <v>350</v>
      </c>
      <c r="B867" s="287" t="s">
        <v>220</v>
      </c>
      <c r="C867" s="282"/>
      <c r="D867" s="282"/>
      <c r="E867" s="282"/>
      <c r="F867" s="282"/>
      <c r="G867" s="284"/>
      <c r="H867" s="283"/>
      <c r="I867" s="285"/>
      <c r="J867" s="285"/>
      <c r="K867" s="285"/>
      <c r="M867" s="286"/>
    </row>
    <row r="868" spans="1:13" s="280" customFormat="1" ht="11.25" x14ac:dyDescent="0.25">
      <c r="A868" s="279"/>
      <c r="B868" s="288" t="s">
        <v>330</v>
      </c>
      <c r="C868" s="282"/>
      <c r="D868" s="282"/>
      <c r="E868" s="282"/>
      <c r="F868" s="282"/>
      <c r="G868" s="284"/>
      <c r="H868" s="283"/>
      <c r="I868" s="285"/>
      <c r="J868" s="285"/>
      <c r="K868" s="285"/>
      <c r="M868" s="286"/>
    </row>
    <row r="869" spans="1:13" s="280" customFormat="1" ht="11.25" x14ac:dyDescent="0.25">
      <c r="A869" s="279"/>
      <c r="B869" s="288" t="s">
        <v>331</v>
      </c>
      <c r="C869" s="282"/>
      <c r="D869" s="282"/>
      <c r="E869" s="282"/>
      <c r="F869" s="282"/>
      <c r="G869" s="284"/>
      <c r="H869" s="283"/>
      <c r="I869" s="285"/>
      <c r="J869" s="285"/>
      <c r="K869" s="285"/>
      <c r="M869" s="286"/>
    </row>
    <row r="870" spans="1:13" s="280" customFormat="1" ht="11.25" x14ac:dyDescent="0.25">
      <c r="A870" s="279"/>
      <c r="B870" s="288" t="s">
        <v>332</v>
      </c>
      <c r="C870" s="282"/>
      <c r="D870" s="282"/>
      <c r="E870" s="282"/>
      <c r="F870" s="282"/>
      <c r="G870" s="284"/>
      <c r="H870" s="283"/>
      <c r="I870" s="285"/>
      <c r="J870" s="285"/>
      <c r="K870" s="285"/>
      <c r="M870" s="286"/>
    </row>
    <row r="871" spans="1:13" s="280" customFormat="1" ht="11.25" x14ac:dyDescent="0.25">
      <c r="A871" s="279"/>
      <c r="B871" s="288" t="s">
        <v>333</v>
      </c>
      <c r="C871" s="282"/>
      <c r="D871" s="282"/>
      <c r="E871" s="282"/>
      <c r="F871" s="282"/>
      <c r="G871" s="284"/>
      <c r="H871" s="283"/>
      <c r="I871" s="285"/>
      <c r="J871" s="285"/>
      <c r="K871" s="285"/>
      <c r="M871" s="286"/>
    </row>
    <row r="872" spans="1:13" s="280" customFormat="1" ht="15.75" customHeight="1" x14ac:dyDescent="0.25">
      <c r="A872" s="279" t="s">
        <v>351</v>
      </c>
      <c r="B872" s="287" t="s">
        <v>221</v>
      </c>
      <c r="C872" s="282"/>
      <c r="D872" s="282"/>
      <c r="E872" s="282"/>
      <c r="F872" s="282"/>
      <c r="G872" s="284"/>
      <c r="H872" s="283"/>
      <c r="I872" s="285"/>
      <c r="J872" s="285"/>
      <c r="K872" s="285"/>
      <c r="M872" s="286"/>
    </row>
    <row r="873" spans="1:13" s="280" customFormat="1" ht="11.25" x14ac:dyDescent="0.25">
      <c r="A873" s="279"/>
      <c r="B873" s="288" t="s">
        <v>333</v>
      </c>
      <c r="C873" s="282"/>
      <c r="D873" s="282"/>
      <c r="E873" s="282"/>
      <c r="F873" s="282"/>
      <c r="G873" s="284"/>
      <c r="H873" s="283"/>
      <c r="I873" s="285"/>
      <c r="J873" s="285"/>
      <c r="K873" s="285"/>
      <c r="M873" s="286"/>
    </row>
    <row r="874" spans="1:13" s="280" customFormat="1" ht="11.25" x14ac:dyDescent="0.25">
      <c r="A874" s="279"/>
      <c r="B874" s="288" t="s">
        <v>334</v>
      </c>
      <c r="C874" s="282"/>
      <c r="D874" s="282"/>
      <c r="E874" s="282"/>
      <c r="F874" s="282"/>
      <c r="G874" s="284"/>
      <c r="H874" s="283"/>
      <c r="I874" s="285"/>
      <c r="J874" s="285"/>
      <c r="K874" s="285"/>
      <c r="M874" s="286"/>
    </row>
    <row r="875" spans="1:13" s="280" customFormat="1" ht="11.25" x14ac:dyDescent="0.25">
      <c r="A875" s="289"/>
      <c r="B875" s="290"/>
      <c r="C875" s="282"/>
      <c r="D875" s="282"/>
      <c r="E875" s="282"/>
      <c r="F875" s="282"/>
      <c r="G875" s="291"/>
      <c r="H875" s="285"/>
      <c r="I875" s="285"/>
      <c r="J875" s="283"/>
      <c r="K875" s="283"/>
      <c r="M875" s="286"/>
    </row>
    <row r="876" spans="1:13" s="280" customFormat="1" ht="18" customHeight="1" x14ac:dyDescent="0.2">
      <c r="A876" s="289"/>
      <c r="B876" s="292" t="s">
        <v>222</v>
      </c>
      <c r="C876" s="293"/>
      <c r="D876" s="293"/>
      <c r="E876" s="293"/>
      <c r="F876" s="293"/>
      <c r="G876" s="294"/>
      <c r="H876" s="295"/>
      <c r="I876" s="295"/>
      <c r="J876" s="295"/>
      <c r="K876" s="283"/>
      <c r="M876" s="286"/>
    </row>
    <row r="877" spans="1:13" s="280" customFormat="1" ht="18" customHeight="1" x14ac:dyDescent="0.25">
      <c r="A877" s="296">
        <v>1</v>
      </c>
      <c r="B877" s="297" t="s">
        <v>352</v>
      </c>
      <c r="C877" s="297"/>
      <c r="D877" s="297"/>
      <c r="E877" s="297"/>
      <c r="F877" s="297"/>
      <c r="G877" s="297"/>
      <c r="H877" s="297"/>
      <c r="I877" s="297"/>
      <c r="J877" s="297"/>
      <c r="K877" s="297"/>
      <c r="M877" s="286"/>
    </row>
    <row r="878" spans="1:13" s="280" customFormat="1" ht="51" customHeight="1" x14ac:dyDescent="0.25">
      <c r="A878" s="279" t="s">
        <v>189</v>
      </c>
      <c r="B878" s="305" t="s">
        <v>353</v>
      </c>
      <c r="C878" s="305"/>
      <c r="D878" s="305"/>
      <c r="E878" s="305"/>
      <c r="F878" s="305"/>
      <c r="G878" s="305"/>
      <c r="H878" s="305"/>
      <c r="I878" s="305"/>
      <c r="J878" s="305"/>
      <c r="K878" s="305"/>
      <c r="L878" s="298"/>
      <c r="M878" s="299"/>
    </row>
    <row r="879" spans="1:13" s="280" customFormat="1" ht="19.5" customHeight="1" x14ac:dyDescent="0.25">
      <c r="A879" s="279" t="s">
        <v>197</v>
      </c>
      <c r="B879" s="300" t="s">
        <v>224</v>
      </c>
      <c r="C879" s="300"/>
      <c r="D879" s="300"/>
      <c r="E879" s="300"/>
      <c r="F879" s="300"/>
      <c r="G879" s="300"/>
      <c r="H879" s="300"/>
      <c r="I879" s="300"/>
      <c r="J879" s="300"/>
      <c r="K879" s="300"/>
      <c r="L879" s="298"/>
      <c r="M879" s="299"/>
    </row>
    <row r="880" spans="1:13" s="280" customFormat="1" ht="19.5" customHeight="1" x14ac:dyDescent="0.25">
      <c r="A880" s="279" t="s">
        <v>202</v>
      </c>
      <c r="B880" s="300" t="s">
        <v>225</v>
      </c>
      <c r="C880" s="300"/>
      <c r="D880" s="300"/>
      <c r="E880" s="300"/>
      <c r="F880" s="300"/>
      <c r="G880" s="300"/>
      <c r="H880" s="300"/>
      <c r="I880" s="300"/>
      <c r="J880" s="300"/>
      <c r="K880" s="300"/>
      <c r="L880" s="298"/>
      <c r="M880" s="299"/>
    </row>
    <row r="881" spans="1:13" s="280" customFormat="1" ht="19.5" customHeight="1" x14ac:dyDescent="0.25">
      <c r="A881" s="279" t="s">
        <v>226</v>
      </c>
      <c r="B881" s="304" t="s">
        <v>227</v>
      </c>
      <c r="C881" s="304"/>
      <c r="D881" s="304"/>
      <c r="E881" s="300"/>
      <c r="F881" s="300"/>
      <c r="G881" s="300"/>
      <c r="H881" s="300"/>
      <c r="I881" s="300"/>
      <c r="J881" s="300"/>
      <c r="K881" s="300"/>
      <c r="L881" s="298"/>
      <c r="M881" s="299"/>
    </row>
    <row r="882" spans="1:13" s="280" customFormat="1" ht="19.5" customHeight="1" x14ac:dyDescent="0.25">
      <c r="A882" s="279" t="s">
        <v>228</v>
      </c>
      <c r="B882" s="300" t="s">
        <v>229</v>
      </c>
      <c r="C882" s="301"/>
      <c r="D882" s="301"/>
      <c r="E882" s="301"/>
      <c r="F882" s="301"/>
      <c r="G882" s="301"/>
      <c r="H882" s="301"/>
      <c r="I882" s="301"/>
      <c r="J882" s="301"/>
      <c r="K882" s="301"/>
      <c r="L882" s="298"/>
      <c r="M882" s="299"/>
    </row>
    <row r="883" spans="1:13" s="280" customFormat="1" ht="17.25" customHeight="1" x14ac:dyDescent="0.25">
      <c r="A883" s="279" t="s">
        <v>39</v>
      </c>
      <c r="B883" s="300" t="s">
        <v>230</v>
      </c>
      <c r="C883" s="300"/>
      <c r="D883" s="300"/>
      <c r="E883" s="300"/>
      <c r="F883" s="300"/>
      <c r="G883" s="300"/>
      <c r="H883" s="300"/>
      <c r="I883" s="300"/>
      <c r="J883" s="300"/>
      <c r="K883" s="300"/>
      <c r="L883" s="298"/>
      <c r="M883" s="299"/>
    </row>
    <row r="884" spans="1:13" s="280" customFormat="1" ht="17.25" customHeight="1" x14ac:dyDescent="0.25">
      <c r="A884" s="279" t="s">
        <v>39</v>
      </c>
      <c r="B884" s="300" t="s">
        <v>231</v>
      </c>
      <c r="C884" s="300"/>
      <c r="D884" s="300"/>
      <c r="E884" s="300"/>
      <c r="F884" s="300"/>
      <c r="G884" s="300"/>
      <c r="H884" s="300"/>
      <c r="I884" s="300"/>
      <c r="J884" s="300"/>
      <c r="K884" s="300"/>
      <c r="L884" s="298"/>
      <c r="M884" s="299"/>
    </row>
    <row r="885" spans="1:13" s="280" customFormat="1" ht="17.25" customHeight="1" x14ac:dyDescent="0.25">
      <c r="A885" s="279" t="s">
        <v>39</v>
      </c>
      <c r="B885" s="304" t="s">
        <v>232</v>
      </c>
      <c r="C885" s="304"/>
      <c r="D885" s="304"/>
      <c r="E885" s="300"/>
      <c r="F885" s="300"/>
      <c r="G885" s="300"/>
      <c r="H885" s="300"/>
      <c r="I885" s="300"/>
      <c r="J885" s="300"/>
      <c r="K885" s="300"/>
      <c r="L885" s="298"/>
      <c r="M885" s="299"/>
    </row>
    <row r="886" spans="1:13" s="280" customFormat="1" ht="17.25" customHeight="1" x14ac:dyDescent="0.25">
      <c r="A886" s="279" t="s">
        <v>39</v>
      </c>
      <c r="B886" s="304" t="s">
        <v>233</v>
      </c>
      <c r="C886" s="304"/>
      <c r="D886" s="304"/>
      <c r="E886" s="300"/>
      <c r="F886" s="300"/>
      <c r="G886" s="300"/>
      <c r="H886" s="300"/>
      <c r="I886" s="300"/>
      <c r="J886" s="300"/>
      <c r="K886" s="300"/>
      <c r="L886" s="298"/>
      <c r="M886" s="299"/>
    </row>
    <row r="887" spans="1:13" s="280" customFormat="1" ht="25.5" customHeight="1" x14ac:dyDescent="0.25">
      <c r="A887" s="279" t="s">
        <v>335</v>
      </c>
      <c r="B887" s="305" t="s">
        <v>336</v>
      </c>
      <c r="C887" s="305"/>
      <c r="D887" s="305"/>
      <c r="E887" s="305"/>
      <c r="F887" s="305"/>
      <c r="G887" s="305"/>
      <c r="H887" s="305"/>
      <c r="I887" s="305"/>
      <c r="J887" s="305"/>
      <c r="K887" s="305"/>
      <c r="L887" s="301"/>
      <c r="M887" s="302"/>
    </row>
    <row r="888" spans="1:13" s="280" customFormat="1" ht="9" customHeight="1" x14ac:dyDescent="0.25">
      <c r="A888" s="279"/>
      <c r="B888" s="300"/>
      <c r="C888" s="300"/>
      <c r="D888" s="300"/>
      <c r="E888" s="300"/>
      <c r="F888" s="300"/>
      <c r="G888" s="300"/>
      <c r="H888" s="300"/>
      <c r="I888" s="300"/>
      <c r="J888" s="300"/>
      <c r="K888" s="300"/>
      <c r="L888" s="298"/>
      <c r="M888" s="299"/>
    </row>
    <row r="889" spans="1:13" s="280" customFormat="1" ht="18" customHeight="1" x14ac:dyDescent="0.25">
      <c r="A889" s="296" t="s">
        <v>234</v>
      </c>
      <c r="B889" s="306" t="s">
        <v>235</v>
      </c>
      <c r="C889" s="306"/>
      <c r="D889" s="306"/>
      <c r="E889" s="303"/>
      <c r="F889" s="303"/>
      <c r="G889" s="303"/>
      <c r="H889" s="303"/>
      <c r="I889" s="303"/>
      <c r="J889" s="303"/>
      <c r="K889" s="303"/>
      <c r="L889" s="298"/>
      <c r="M889" s="299"/>
    </row>
    <row r="890" spans="1:13" s="280" customFormat="1" ht="14.25" customHeight="1" x14ac:dyDescent="0.25">
      <c r="A890" s="279" t="s">
        <v>236</v>
      </c>
      <c r="B890" s="301" t="s">
        <v>354</v>
      </c>
      <c r="C890" s="301"/>
      <c r="D890" s="301"/>
      <c r="E890" s="301"/>
      <c r="F890" s="301"/>
      <c r="G890" s="301"/>
      <c r="H890" s="300"/>
      <c r="I890" s="300"/>
      <c r="J890" s="300"/>
      <c r="K890" s="300"/>
      <c r="L890" s="298"/>
      <c r="M890" s="299"/>
    </row>
    <row r="891" spans="1:13" s="280" customFormat="1" ht="14.25" customHeight="1" x14ac:dyDescent="0.25">
      <c r="A891" s="279" t="s">
        <v>238</v>
      </c>
      <c r="B891" s="301" t="s">
        <v>355</v>
      </c>
      <c r="C891" s="301"/>
      <c r="D891" s="301"/>
      <c r="E891" s="300"/>
      <c r="F891" s="300"/>
      <c r="G891" s="300"/>
      <c r="H891" s="300"/>
      <c r="I891" s="300"/>
      <c r="J891" s="300"/>
      <c r="K891" s="300"/>
      <c r="L891" s="298"/>
      <c r="M891" s="299"/>
    </row>
    <row r="892" spans="1:13" s="280" customFormat="1" ht="14.25" customHeight="1" x14ac:dyDescent="0.25">
      <c r="A892" s="279" t="s">
        <v>240</v>
      </c>
      <c r="B892" s="301" t="s">
        <v>356</v>
      </c>
      <c r="C892" s="301"/>
      <c r="D892" s="301"/>
      <c r="E892" s="300"/>
      <c r="F892" s="300"/>
      <c r="G892" s="300"/>
      <c r="H892" s="300"/>
      <c r="I892" s="300"/>
      <c r="J892" s="300"/>
      <c r="K892" s="300"/>
      <c r="L892" s="298"/>
      <c r="M892" s="299"/>
    </row>
    <row r="893" spans="1:13" s="280" customFormat="1" ht="14.25" customHeight="1" x14ac:dyDescent="0.25">
      <c r="A893" s="279" t="s">
        <v>242</v>
      </c>
      <c r="B893" s="300" t="s">
        <v>243</v>
      </c>
      <c r="C893" s="300"/>
      <c r="D893" s="300"/>
      <c r="E893" s="300"/>
      <c r="F893" s="300"/>
      <c r="G893" s="300"/>
      <c r="H893" s="300"/>
      <c r="I893" s="300"/>
      <c r="J893" s="300"/>
      <c r="K893" s="300"/>
      <c r="L893" s="298"/>
      <c r="M893" s="299"/>
    </row>
    <row r="894" spans="1:13" s="280" customFormat="1" ht="14.25" customHeight="1" x14ac:dyDescent="0.25">
      <c r="A894" s="279" t="s">
        <v>357</v>
      </c>
      <c r="B894" s="300" t="s">
        <v>358</v>
      </c>
      <c r="C894" s="300"/>
      <c r="D894" s="300"/>
      <c r="E894" s="300"/>
      <c r="F894" s="300"/>
      <c r="G894" s="300"/>
      <c r="H894" s="300"/>
      <c r="I894" s="300"/>
      <c r="J894" s="300"/>
      <c r="K894" s="300"/>
      <c r="L894" s="298"/>
      <c r="M894" s="299"/>
    </row>
    <row r="895" spans="1:13" s="280" customFormat="1" ht="27" customHeight="1" x14ac:dyDescent="0.25">
      <c r="A895" s="296" t="s">
        <v>244</v>
      </c>
      <c r="B895" s="301" t="s">
        <v>245</v>
      </c>
      <c r="C895" s="301"/>
      <c r="D895" s="301"/>
      <c r="E895" s="301"/>
      <c r="F895" s="301"/>
      <c r="G895" s="301"/>
      <c r="H895" s="301"/>
      <c r="I895" s="301"/>
      <c r="J895" s="301"/>
      <c r="K895" s="301"/>
      <c r="L895" s="301"/>
      <c r="M895" s="302"/>
    </row>
    <row r="896" spans="1:13" s="280" customFormat="1" ht="18" customHeight="1" x14ac:dyDescent="0.25">
      <c r="A896" s="296" t="s">
        <v>246</v>
      </c>
      <c r="B896" s="300" t="s">
        <v>247</v>
      </c>
      <c r="C896" s="300"/>
      <c r="D896" s="300"/>
      <c r="E896" s="300"/>
      <c r="F896" s="300"/>
      <c r="G896" s="300"/>
      <c r="H896" s="300"/>
      <c r="I896" s="300"/>
      <c r="J896" s="300"/>
      <c r="K896" s="300"/>
      <c r="L896" s="298"/>
      <c r="M896" s="299"/>
    </row>
    <row r="897" spans="1:13" s="280" customFormat="1" ht="18" customHeight="1" x14ac:dyDescent="0.25">
      <c r="A897" s="296" t="s">
        <v>248</v>
      </c>
      <c r="B897" s="304" t="s">
        <v>249</v>
      </c>
      <c r="C897" s="304"/>
      <c r="D897" s="304"/>
      <c r="E897" s="304"/>
      <c r="F897" s="304"/>
      <c r="G897" s="304"/>
      <c r="H897" s="304"/>
      <c r="I897" s="304"/>
      <c r="J897" s="304"/>
      <c r="K897" s="304"/>
      <c r="L897" s="304"/>
      <c r="M897" s="299"/>
    </row>
    <row r="898" spans="1:13" s="280" customFormat="1" ht="18" customHeight="1" x14ac:dyDescent="0.25">
      <c r="A898" s="296" t="s">
        <v>337</v>
      </c>
      <c r="B898" s="304" t="s">
        <v>338</v>
      </c>
      <c r="C898" s="304"/>
      <c r="D898" s="304"/>
      <c r="E898" s="304"/>
      <c r="F898" s="304"/>
      <c r="G898" s="304"/>
      <c r="H898" s="304"/>
      <c r="I898" s="304"/>
      <c r="J898" s="304"/>
      <c r="K898" s="304"/>
      <c r="L898" s="304"/>
      <c r="M898" s="304"/>
    </row>
  </sheetData>
  <autoFilter ref="A7:M864" xr:uid="{5B467274-9F2F-4EF4-805B-CD553089EE9D}"/>
  <mergeCells count="16">
    <mergeCell ref="B813:M813"/>
    <mergeCell ref="B814:M814"/>
    <mergeCell ref="B815:M815"/>
    <mergeCell ref="B2:J2"/>
    <mergeCell ref="B3:J3"/>
    <mergeCell ref="B4:J4"/>
    <mergeCell ref="B811:L811"/>
    <mergeCell ref="B812:M812"/>
    <mergeCell ref="B897:L897"/>
    <mergeCell ref="B898:M898"/>
    <mergeCell ref="B878:K878"/>
    <mergeCell ref="B885:D885"/>
    <mergeCell ref="B886:D886"/>
    <mergeCell ref="B887:K887"/>
    <mergeCell ref="B889:D889"/>
    <mergeCell ref="B881:D881"/>
  </mergeCells>
  <conditionalFormatting sqref="B23">
    <cfRule type="duplicateValues" dxfId="78" priority="149"/>
  </conditionalFormatting>
  <conditionalFormatting sqref="B24">
    <cfRule type="duplicateValues" dxfId="77" priority="147"/>
  </conditionalFormatting>
  <conditionalFormatting sqref="B25">
    <cfRule type="duplicateValues" dxfId="76" priority="148"/>
  </conditionalFormatting>
  <conditionalFormatting sqref="B72">
    <cfRule type="duplicateValues" dxfId="75" priority="146"/>
  </conditionalFormatting>
  <conditionalFormatting sqref="B73">
    <cfRule type="duplicateValues" dxfId="74" priority="142"/>
  </conditionalFormatting>
  <conditionalFormatting sqref="B74">
    <cfRule type="duplicateValues" dxfId="73" priority="143"/>
  </conditionalFormatting>
  <conditionalFormatting sqref="B75">
    <cfRule type="duplicateValues" dxfId="72" priority="144"/>
  </conditionalFormatting>
  <conditionalFormatting sqref="B76">
    <cfRule type="duplicateValues" dxfId="71" priority="145"/>
  </conditionalFormatting>
  <conditionalFormatting sqref="B122">
    <cfRule type="duplicateValues" dxfId="70" priority="141"/>
  </conditionalFormatting>
  <conditionalFormatting sqref="B123">
    <cfRule type="duplicateValues" dxfId="69" priority="137"/>
  </conditionalFormatting>
  <conditionalFormatting sqref="B124">
    <cfRule type="duplicateValues" dxfId="68" priority="138"/>
  </conditionalFormatting>
  <conditionalFormatting sqref="B125">
    <cfRule type="duplicateValues" dxfId="67" priority="139"/>
  </conditionalFormatting>
  <conditionalFormatting sqref="B126">
    <cfRule type="duplicateValues" dxfId="66" priority="140"/>
  </conditionalFormatting>
  <conditionalFormatting sqref="B172">
    <cfRule type="duplicateValues" dxfId="65" priority="136"/>
  </conditionalFormatting>
  <conditionalFormatting sqref="B173">
    <cfRule type="duplicateValues" dxfId="64" priority="132"/>
  </conditionalFormatting>
  <conditionalFormatting sqref="B174">
    <cfRule type="duplicateValues" dxfId="63" priority="133"/>
  </conditionalFormatting>
  <conditionalFormatting sqref="B175">
    <cfRule type="duplicateValues" dxfId="62" priority="134"/>
  </conditionalFormatting>
  <conditionalFormatting sqref="B176">
    <cfRule type="duplicateValues" dxfId="61" priority="135"/>
  </conditionalFormatting>
  <conditionalFormatting sqref="B222">
    <cfRule type="duplicateValues" dxfId="60" priority="60"/>
  </conditionalFormatting>
  <conditionalFormatting sqref="B223">
    <cfRule type="duplicateValues" dxfId="59" priority="56"/>
  </conditionalFormatting>
  <conditionalFormatting sqref="B224">
    <cfRule type="duplicateValues" dxfId="58" priority="57"/>
  </conditionalFormatting>
  <conditionalFormatting sqref="B225">
    <cfRule type="duplicateValues" dxfId="57" priority="58"/>
  </conditionalFormatting>
  <conditionalFormatting sqref="B226">
    <cfRule type="duplicateValues" dxfId="56" priority="59"/>
  </conditionalFormatting>
  <conditionalFormatting sqref="B272">
    <cfRule type="duplicateValues" dxfId="55" priority="55"/>
  </conditionalFormatting>
  <conditionalFormatting sqref="B273">
    <cfRule type="duplicateValues" dxfId="54" priority="51"/>
  </conditionalFormatting>
  <conditionalFormatting sqref="B274">
    <cfRule type="duplicateValues" dxfId="53" priority="52"/>
  </conditionalFormatting>
  <conditionalFormatting sqref="B275">
    <cfRule type="duplicateValues" dxfId="52" priority="53"/>
  </conditionalFormatting>
  <conditionalFormatting sqref="B276">
    <cfRule type="duplicateValues" dxfId="51" priority="54"/>
  </conditionalFormatting>
  <conditionalFormatting sqref="B322">
    <cfRule type="duplicateValues" dxfId="50" priority="50"/>
  </conditionalFormatting>
  <conditionalFormatting sqref="B323">
    <cfRule type="duplicateValues" dxfId="49" priority="46"/>
  </conditionalFormatting>
  <conditionalFormatting sqref="B324">
    <cfRule type="duplicateValues" dxfId="48" priority="47"/>
  </conditionalFormatting>
  <conditionalFormatting sqref="B325">
    <cfRule type="duplicateValues" dxfId="47" priority="48"/>
  </conditionalFormatting>
  <conditionalFormatting sqref="B326">
    <cfRule type="duplicateValues" dxfId="46" priority="49"/>
  </conditionalFormatting>
  <conditionalFormatting sqref="B372">
    <cfRule type="duplicateValues" dxfId="45" priority="45"/>
  </conditionalFormatting>
  <conditionalFormatting sqref="B373">
    <cfRule type="duplicateValues" dxfId="44" priority="41"/>
  </conditionalFormatting>
  <conditionalFormatting sqref="B374">
    <cfRule type="duplicateValues" dxfId="43" priority="42"/>
  </conditionalFormatting>
  <conditionalFormatting sqref="B375">
    <cfRule type="duplicateValues" dxfId="42" priority="43"/>
  </conditionalFormatting>
  <conditionalFormatting sqref="B376">
    <cfRule type="duplicateValues" dxfId="41" priority="44"/>
  </conditionalFormatting>
  <conditionalFormatting sqref="B422">
    <cfRule type="duplicateValues" dxfId="40" priority="40"/>
  </conditionalFormatting>
  <conditionalFormatting sqref="B423">
    <cfRule type="duplicateValues" dxfId="39" priority="36"/>
  </conditionalFormatting>
  <conditionalFormatting sqref="B424">
    <cfRule type="duplicateValues" dxfId="38" priority="37"/>
  </conditionalFormatting>
  <conditionalFormatting sqref="B425">
    <cfRule type="duplicateValues" dxfId="37" priority="38"/>
  </conditionalFormatting>
  <conditionalFormatting sqref="B426">
    <cfRule type="duplicateValues" dxfId="36" priority="39"/>
  </conditionalFormatting>
  <conditionalFormatting sqref="B472">
    <cfRule type="duplicateValues" dxfId="35" priority="35"/>
  </conditionalFormatting>
  <conditionalFormatting sqref="B473">
    <cfRule type="duplicateValues" dxfId="34" priority="31"/>
  </conditionalFormatting>
  <conditionalFormatting sqref="B474">
    <cfRule type="duplicateValues" dxfId="33" priority="32"/>
  </conditionalFormatting>
  <conditionalFormatting sqref="B475">
    <cfRule type="duplicateValues" dxfId="32" priority="33"/>
  </conditionalFormatting>
  <conditionalFormatting sqref="B476">
    <cfRule type="duplicateValues" dxfId="31" priority="34"/>
  </conditionalFormatting>
  <conditionalFormatting sqref="B522">
    <cfRule type="duplicateValues" dxfId="30" priority="30"/>
  </conditionalFormatting>
  <conditionalFormatting sqref="B523">
    <cfRule type="duplicateValues" dxfId="29" priority="26"/>
  </conditionalFormatting>
  <conditionalFormatting sqref="B524">
    <cfRule type="duplicateValues" dxfId="28" priority="27"/>
  </conditionalFormatting>
  <conditionalFormatting sqref="B525">
    <cfRule type="duplicateValues" dxfId="27" priority="28"/>
  </conditionalFormatting>
  <conditionalFormatting sqref="B526">
    <cfRule type="duplicateValues" dxfId="26" priority="29"/>
  </conditionalFormatting>
  <conditionalFormatting sqref="B572">
    <cfRule type="duplicateValues" dxfId="25" priority="25"/>
  </conditionalFormatting>
  <conditionalFormatting sqref="B573">
    <cfRule type="duplicateValues" dxfId="24" priority="21"/>
  </conditionalFormatting>
  <conditionalFormatting sqref="B574">
    <cfRule type="duplicateValues" dxfId="23" priority="22"/>
  </conditionalFormatting>
  <conditionalFormatting sqref="B575">
    <cfRule type="duplicateValues" dxfId="22" priority="23"/>
  </conditionalFormatting>
  <conditionalFormatting sqref="B576">
    <cfRule type="duplicateValues" dxfId="21" priority="24"/>
  </conditionalFormatting>
  <conditionalFormatting sqref="B622">
    <cfRule type="duplicateValues" dxfId="20" priority="20"/>
  </conditionalFormatting>
  <conditionalFormatting sqref="B623">
    <cfRule type="duplicateValues" dxfId="19" priority="16"/>
  </conditionalFormatting>
  <conditionalFormatting sqref="B624">
    <cfRule type="duplicateValues" dxfId="18" priority="17"/>
  </conditionalFormatting>
  <conditionalFormatting sqref="B625">
    <cfRule type="duplicateValues" dxfId="17" priority="18"/>
  </conditionalFormatting>
  <conditionalFormatting sqref="B626">
    <cfRule type="duplicateValues" dxfId="16" priority="19"/>
  </conditionalFormatting>
  <conditionalFormatting sqref="B672">
    <cfRule type="duplicateValues" dxfId="15" priority="15"/>
  </conditionalFormatting>
  <conditionalFormatting sqref="B673">
    <cfRule type="duplicateValues" dxfId="14" priority="11"/>
  </conditionalFormatting>
  <conditionalFormatting sqref="B674">
    <cfRule type="duplicateValues" dxfId="13" priority="12"/>
  </conditionalFormatting>
  <conditionalFormatting sqref="B675">
    <cfRule type="duplicateValues" dxfId="12" priority="13"/>
  </conditionalFormatting>
  <conditionalFormatting sqref="B676">
    <cfRule type="duplicateValues" dxfId="11" priority="14"/>
  </conditionalFormatting>
  <conditionalFormatting sqref="B722">
    <cfRule type="duplicateValues" dxfId="10" priority="10"/>
  </conditionalFormatting>
  <conditionalFormatting sqref="B723">
    <cfRule type="duplicateValues" dxfId="9" priority="6"/>
  </conditionalFormatting>
  <conditionalFormatting sqref="B724">
    <cfRule type="duplicateValues" dxfId="8" priority="7"/>
  </conditionalFormatting>
  <conditionalFormatting sqref="B725">
    <cfRule type="duplicateValues" dxfId="7" priority="8"/>
  </conditionalFormatting>
  <conditionalFormatting sqref="B726">
    <cfRule type="duplicateValues" dxfId="6" priority="9"/>
  </conditionalFormatting>
  <conditionalFormatting sqref="B760">
    <cfRule type="duplicateValues" dxfId="5" priority="5"/>
  </conditionalFormatting>
  <conditionalFormatting sqref="B761">
    <cfRule type="duplicateValues" dxfId="4" priority="1"/>
  </conditionalFormatting>
  <conditionalFormatting sqref="B762">
    <cfRule type="duplicateValues" dxfId="3" priority="2"/>
  </conditionalFormatting>
  <conditionalFormatting sqref="B763">
    <cfRule type="duplicateValues" dxfId="2" priority="3"/>
  </conditionalFormatting>
  <conditionalFormatting sqref="B764">
    <cfRule type="duplicateValues" dxfId="1" priority="4"/>
  </conditionalFormatting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84DE-A5F3-4639-AE56-235C5140AAFE}">
  <sheetPr>
    <tabColor rgb="FF92D050"/>
    <pageSetUpPr fitToPage="1"/>
  </sheetPr>
  <dimension ref="A1:F21"/>
  <sheetViews>
    <sheetView view="pageBreakPreview" zoomScale="70" zoomScaleNormal="60" zoomScaleSheetLayoutView="70" workbookViewId="0">
      <selection activeCell="A7" sqref="A7:XFD7"/>
    </sheetView>
  </sheetViews>
  <sheetFormatPr defaultColWidth="9.140625" defaultRowHeight="12.75" x14ac:dyDescent="0.25"/>
  <cols>
    <col min="1" max="1" width="12.7109375" style="219" customWidth="1"/>
    <col min="2" max="2" width="65" style="138" customWidth="1"/>
    <col min="3" max="3" width="12.85546875" style="138" customWidth="1"/>
    <col min="4" max="4" width="14.85546875" style="245" customWidth="1"/>
    <col min="5" max="5" width="18.7109375" style="246" customWidth="1"/>
    <col min="6" max="6" width="28.28515625" style="246" customWidth="1"/>
    <col min="7" max="8" width="18" style="138" customWidth="1"/>
    <col min="9" max="9" width="16.140625" style="138" bestFit="1" customWidth="1"/>
    <col min="10" max="16384" width="9.140625" style="138"/>
  </cols>
  <sheetData>
    <row r="1" spans="1:6" s="133" customFormat="1" ht="15.75" customHeight="1" x14ac:dyDescent="0.2">
      <c r="A1" s="215"/>
      <c r="B1" s="216"/>
      <c r="C1" s="217"/>
      <c r="D1" s="218"/>
      <c r="F1" s="215"/>
    </row>
    <row r="2" spans="1:6" s="133" customFormat="1" ht="18" customHeight="1" x14ac:dyDescent="0.2">
      <c r="A2" s="325" t="s">
        <v>323</v>
      </c>
      <c r="B2" s="325"/>
      <c r="C2" s="325"/>
      <c r="D2" s="325"/>
      <c r="E2" s="325"/>
      <c r="F2" s="325"/>
    </row>
    <row r="3" spans="1:6" x14ac:dyDescent="0.25">
      <c r="D3" s="220"/>
      <c r="E3" s="138"/>
      <c r="F3" s="138"/>
    </row>
    <row r="4" spans="1:6" s="131" customFormat="1" ht="35.25" customHeight="1" x14ac:dyDescent="0.2">
      <c r="A4" s="221" t="s">
        <v>15</v>
      </c>
      <c r="B4" s="140" t="s">
        <v>16</v>
      </c>
      <c r="C4" s="140" t="s">
        <v>18</v>
      </c>
      <c r="D4" s="222" t="s">
        <v>22</v>
      </c>
      <c r="E4" s="142" t="s">
        <v>23</v>
      </c>
      <c r="F4" s="142" t="s">
        <v>24</v>
      </c>
    </row>
    <row r="5" spans="1:6" s="227" customFormat="1" x14ac:dyDescent="0.25">
      <c r="A5" s="223" t="s">
        <v>27</v>
      </c>
      <c r="B5" s="224" t="s">
        <v>28</v>
      </c>
      <c r="C5" s="225"/>
      <c r="D5" s="225"/>
      <c r="E5" s="226"/>
      <c r="F5" s="226"/>
    </row>
    <row r="6" spans="1:6" ht="23.25" customHeight="1" x14ac:dyDescent="0.25">
      <c r="A6" s="228" t="s">
        <v>29</v>
      </c>
      <c r="B6" s="229" t="s">
        <v>30</v>
      </c>
      <c r="C6" s="230"/>
      <c r="D6" s="231"/>
      <c r="E6" s="231"/>
      <c r="F6" s="231"/>
    </row>
    <row r="7" spans="1:6" ht="24.95" customHeight="1" x14ac:dyDescent="0.25">
      <c r="A7" s="232"/>
      <c r="B7" s="233" t="s">
        <v>44</v>
      </c>
      <c r="C7" s="234" t="s">
        <v>45</v>
      </c>
      <c r="D7" s="235">
        <f ca="1">SUMIF('ГП-107'!$B$7:$K$806,B7,'ГП-107'!$I$7:$I$806)</f>
        <v>949.82191489361674</v>
      </c>
      <c r="E7" s="236"/>
      <c r="F7" s="237">
        <f t="shared" ref="F7" ca="1" si="0">E7*D7</f>
        <v>0</v>
      </c>
    </row>
    <row r="8" spans="1:6" ht="24.95" customHeight="1" x14ac:dyDescent="0.25">
      <c r="A8" s="232"/>
      <c r="B8" s="238" t="s">
        <v>102</v>
      </c>
      <c r="C8" s="234" t="s">
        <v>45</v>
      </c>
      <c r="D8" s="235">
        <f ca="1">SUMIF('ГП-107'!$B$7:$K$806,B8,'ГП-107'!$I$7:$I$806)</f>
        <v>61.230000000000011</v>
      </c>
      <c r="E8" s="236"/>
      <c r="F8" s="237">
        <f ca="1">E8*D8</f>
        <v>0</v>
      </c>
    </row>
    <row r="9" spans="1:6" ht="24.95" customHeight="1" x14ac:dyDescent="0.25">
      <c r="A9" s="232"/>
      <c r="B9" s="238" t="s">
        <v>46</v>
      </c>
      <c r="C9" s="234" t="s">
        <v>47</v>
      </c>
      <c r="D9" s="235">
        <f ca="1">SUMIF('ГП-107'!$B$7:$K$806,B9,'ГП-107'!$I$7:$I$806)</f>
        <v>4563.5063829787232</v>
      </c>
      <c r="E9" s="236"/>
      <c r="F9" s="237">
        <f t="shared" ref="F9:F19" ca="1" si="1">E9*D9</f>
        <v>0</v>
      </c>
    </row>
    <row r="10" spans="1:6" ht="24.95" customHeight="1" x14ac:dyDescent="0.25">
      <c r="A10" s="232"/>
      <c r="B10" s="238" t="s">
        <v>48</v>
      </c>
      <c r="C10" s="234" t="s">
        <v>47</v>
      </c>
      <c r="D10" s="235">
        <f ca="1">SUMIF('ГП-107'!$B$7:$K$806,B10,'ГП-107'!$I$7:$I$806)</f>
        <v>2465.3421276595745</v>
      </c>
      <c r="E10" s="236"/>
      <c r="F10" s="237">
        <f t="shared" ca="1" si="1"/>
        <v>0</v>
      </c>
    </row>
    <row r="11" spans="1:6" ht="24.95" customHeight="1" x14ac:dyDescent="0.25">
      <c r="A11" s="232"/>
      <c r="B11" s="238" t="s">
        <v>49</v>
      </c>
      <c r="C11" s="234" t="s">
        <v>47</v>
      </c>
      <c r="D11" s="235">
        <f ca="1">SUMIF('ГП-107'!$B$7:$K$806,B11,'ГП-107'!$I$7:$I$806)</f>
        <v>1709.9399999999994</v>
      </c>
      <c r="E11" s="236"/>
      <c r="F11" s="237">
        <f t="shared" ca="1" si="1"/>
        <v>0</v>
      </c>
    </row>
    <row r="12" spans="1:6" ht="24.95" customHeight="1" x14ac:dyDescent="0.25">
      <c r="A12" s="232"/>
      <c r="B12" s="238" t="s">
        <v>50</v>
      </c>
      <c r="C12" s="234" t="s">
        <v>51</v>
      </c>
      <c r="D12" s="235">
        <f ca="1">SUMIF('ГП-107'!$B$7:$K$806,B12,'ГП-107'!$I$7:$I$806)</f>
        <v>2354</v>
      </c>
      <c r="E12" s="236"/>
      <c r="F12" s="237">
        <f t="shared" ca="1" si="1"/>
        <v>0</v>
      </c>
    </row>
    <row r="13" spans="1:6" ht="24.95" customHeight="1" x14ac:dyDescent="0.25">
      <c r="A13" s="232"/>
      <c r="B13" s="238" t="s">
        <v>52</v>
      </c>
      <c r="C13" s="234" t="s">
        <v>54</v>
      </c>
      <c r="D13" s="235">
        <f ca="1">SUMIF('ГП-107'!$B$7:$K$806,B13,'ГП-107'!$I$7:$I$806)</f>
        <v>2547.39</v>
      </c>
      <c r="E13" s="236"/>
      <c r="F13" s="237">
        <f t="shared" ca="1" si="1"/>
        <v>0</v>
      </c>
    </row>
    <row r="14" spans="1:6" ht="24.95" customHeight="1" x14ac:dyDescent="0.25">
      <c r="A14" s="232"/>
      <c r="B14" s="238" t="s">
        <v>55</v>
      </c>
      <c r="C14" s="234" t="s">
        <v>54</v>
      </c>
      <c r="D14" s="235">
        <f ca="1">SUMIF('ГП-107'!$B$7:$K$806,B14,'ГП-107'!$I$7:$I$806)</f>
        <v>1101.99</v>
      </c>
      <c r="E14" s="236"/>
      <c r="F14" s="237">
        <f t="shared" ca="1" si="1"/>
        <v>0</v>
      </c>
    </row>
    <row r="15" spans="1:6" ht="24.95" customHeight="1" x14ac:dyDescent="0.25">
      <c r="A15" s="232"/>
      <c r="B15" s="238" t="s">
        <v>256</v>
      </c>
      <c r="C15" s="234" t="s">
        <v>47</v>
      </c>
      <c r="D15" s="235">
        <f ca="1">SUMIF('ГП-107'!$B$7:$K$806,B15,'ГП-107'!$I$7:$I$806)</f>
        <v>441.90610000000009</v>
      </c>
      <c r="E15" s="236"/>
      <c r="F15" s="237">
        <f t="shared" ca="1" si="1"/>
        <v>0</v>
      </c>
    </row>
    <row r="16" spans="1:6" ht="24.95" customHeight="1" x14ac:dyDescent="0.25">
      <c r="A16" s="232"/>
      <c r="B16" s="239" t="s">
        <v>103</v>
      </c>
      <c r="C16" s="234" t="s">
        <v>47</v>
      </c>
      <c r="D16" s="235">
        <f ca="1">SUMIF('ГП-107'!$B$7:$K$806,B16,'ГП-107'!$I$7:$I$806)</f>
        <v>4346.8700000000008</v>
      </c>
      <c r="E16" s="236"/>
      <c r="F16" s="237">
        <f ca="1">E16*D16</f>
        <v>0</v>
      </c>
    </row>
    <row r="17" spans="1:6" ht="24.95" customHeight="1" x14ac:dyDescent="0.25">
      <c r="A17" s="232"/>
      <c r="B17" s="238" t="s">
        <v>104</v>
      </c>
      <c r="C17" s="234" t="s">
        <v>47</v>
      </c>
      <c r="D17" s="235">
        <f ca="1">SUMIF('ГП-107'!$B$7:$K$806,B17,'ГП-107'!$I$7:$I$806)</f>
        <v>4613.5493617021284</v>
      </c>
      <c r="E17" s="236"/>
      <c r="F17" s="237">
        <f ca="1">E17*D17</f>
        <v>0</v>
      </c>
    </row>
    <row r="18" spans="1:6" ht="24.95" customHeight="1" x14ac:dyDescent="0.25">
      <c r="A18" s="232"/>
      <c r="B18" s="238" t="s">
        <v>180</v>
      </c>
      <c r="C18" s="234" t="s">
        <v>45</v>
      </c>
      <c r="D18" s="235">
        <f ca="1">SUMIF('ГП-107'!$B$7:$K$806,B18,'ГП-107'!$I$7:$I$806)</f>
        <v>109.57</v>
      </c>
      <c r="E18" s="236"/>
      <c r="F18" s="237">
        <f t="shared" ca="1" si="1"/>
        <v>0</v>
      </c>
    </row>
    <row r="19" spans="1:6" ht="24.95" customHeight="1" x14ac:dyDescent="0.25">
      <c r="A19" s="232"/>
      <c r="B19" s="238" t="s">
        <v>181</v>
      </c>
      <c r="C19" s="234" t="s">
        <v>45</v>
      </c>
      <c r="D19" s="235">
        <f ca="1">SUMIF('ГП-107'!$B$7:$K$806,B19,'ГП-107'!$I$7:$I$806)</f>
        <v>55.43</v>
      </c>
      <c r="E19" s="236"/>
      <c r="F19" s="237">
        <f t="shared" ca="1" si="1"/>
        <v>0</v>
      </c>
    </row>
    <row r="20" spans="1:6" ht="23.25" customHeight="1" x14ac:dyDescent="0.25">
      <c r="A20" s="240"/>
      <c r="B20" s="326" t="s">
        <v>183</v>
      </c>
      <c r="C20" s="327"/>
      <c r="D20" s="327"/>
      <c r="E20" s="328"/>
      <c r="F20" s="241">
        <f ca="1">SUM(F7:F19)</f>
        <v>0</v>
      </c>
    </row>
    <row r="21" spans="1:6" ht="23.25" customHeight="1" x14ac:dyDescent="0.25">
      <c r="A21" s="242"/>
      <c r="B21" s="243"/>
      <c r="C21" s="243"/>
      <c r="D21" s="243"/>
      <c r="E21" s="243"/>
      <c r="F21" s="244">
        <f ca="1">F20-'ГП-107'!K808</f>
        <v>0</v>
      </c>
    </row>
  </sheetData>
  <sheetProtection selectLockedCells="1"/>
  <mergeCells count="2">
    <mergeCell ref="A2:F2"/>
    <mergeCell ref="B20:E20"/>
  </mergeCells>
  <conditionalFormatting sqref="B1:B1048576">
    <cfRule type="duplicateValues" dxfId="0" priority="1"/>
  </conditionalFormatting>
  <pageMargins left="0.7" right="0.7" top="0.75" bottom="0.75" header="0.3" footer="0.3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1330-DF0C-4EA2-B6D8-BC88970CDABE}">
  <sheetPr>
    <tabColor rgb="FF92D050"/>
  </sheetPr>
  <dimension ref="A1:H70"/>
  <sheetViews>
    <sheetView view="pageBreakPreview" zoomScale="70" zoomScaleNormal="60" zoomScaleSheetLayoutView="70" workbookViewId="0">
      <selection activeCell="H40" sqref="H40:H42"/>
    </sheetView>
  </sheetViews>
  <sheetFormatPr defaultColWidth="9.140625" defaultRowHeight="12.75" x14ac:dyDescent="0.25"/>
  <cols>
    <col min="1" max="1" width="10.7109375" style="219" customWidth="1"/>
    <col min="2" max="2" width="50.7109375" style="138" customWidth="1"/>
    <col min="3" max="3" width="30.7109375" style="138" customWidth="1"/>
    <col min="4" max="4" width="7.7109375" style="138" customWidth="1"/>
    <col min="5" max="5" width="15.7109375" style="261" customWidth="1"/>
    <col min="6" max="6" width="15.7109375" style="246" customWidth="1"/>
    <col min="7" max="7" width="20.7109375" style="246" customWidth="1"/>
    <col min="8" max="8" width="20.7109375" style="227" customWidth="1"/>
    <col min="9" max="9" width="81.85546875" style="138" customWidth="1"/>
    <col min="10" max="10" width="9.140625" style="138"/>
    <col min="11" max="11" width="14.140625" style="138" bestFit="1" customWidth="1"/>
    <col min="12" max="16384" width="9.140625" style="138"/>
  </cols>
  <sheetData>
    <row r="1" spans="1:8" s="133" customFormat="1" ht="15.75" customHeight="1" x14ac:dyDescent="0.2">
      <c r="A1" s="215"/>
      <c r="B1" s="216"/>
      <c r="C1" s="217"/>
      <c r="D1" s="217"/>
      <c r="E1" s="248"/>
      <c r="F1" s="209"/>
      <c r="G1" s="249"/>
      <c r="H1" s="250"/>
    </row>
    <row r="2" spans="1:8" s="133" customFormat="1" ht="18" customHeight="1" x14ac:dyDescent="0.2">
      <c r="A2" s="325" t="s">
        <v>324</v>
      </c>
      <c r="B2" s="325"/>
      <c r="C2" s="325"/>
      <c r="D2" s="325"/>
      <c r="E2" s="325"/>
      <c r="F2" s="325"/>
      <c r="G2" s="325"/>
      <c r="H2" s="325"/>
    </row>
    <row r="3" spans="1:8" x14ac:dyDescent="0.25">
      <c r="E3" s="251"/>
      <c r="F3" s="138"/>
      <c r="G3" s="138"/>
      <c r="H3" s="138"/>
    </row>
    <row r="4" spans="1:8" s="131" customFormat="1" ht="35.25" customHeight="1" x14ac:dyDescent="0.2">
      <c r="A4" s="221" t="s">
        <v>15</v>
      </c>
      <c r="B4" s="140" t="s">
        <v>16</v>
      </c>
      <c r="C4" s="140" t="s">
        <v>17</v>
      </c>
      <c r="D4" s="140" t="s">
        <v>18</v>
      </c>
      <c r="E4" s="252" t="s">
        <v>22</v>
      </c>
      <c r="F4" s="142" t="s">
        <v>23</v>
      </c>
      <c r="G4" s="142" t="s">
        <v>24</v>
      </c>
      <c r="H4" s="142" t="s">
        <v>26</v>
      </c>
    </row>
    <row r="5" spans="1:8" s="227" customFormat="1" x14ac:dyDescent="0.25">
      <c r="A5" s="223" t="s">
        <v>27</v>
      </c>
      <c r="B5" s="224" t="s">
        <v>28</v>
      </c>
      <c r="C5" s="225"/>
      <c r="D5" s="225"/>
      <c r="E5" s="253"/>
      <c r="F5" s="253"/>
      <c r="G5" s="253"/>
      <c r="H5" s="253"/>
    </row>
    <row r="6" spans="1:8" ht="18" customHeight="1" x14ac:dyDescent="0.25">
      <c r="A6" s="228" t="s">
        <v>29</v>
      </c>
      <c r="B6" s="229" t="s">
        <v>30</v>
      </c>
      <c r="C6" s="230"/>
      <c r="D6" s="230"/>
      <c r="E6" s="254"/>
      <c r="F6" s="254"/>
      <c r="G6" s="254"/>
      <c r="H6" s="254"/>
    </row>
    <row r="7" spans="1:8" ht="39" customHeight="1" x14ac:dyDescent="0.25">
      <c r="A7" s="255"/>
      <c r="B7" s="239" t="s">
        <v>58</v>
      </c>
      <c r="C7" s="234" t="s">
        <v>59</v>
      </c>
      <c r="D7" s="234" t="s">
        <v>60</v>
      </c>
      <c r="E7" s="256">
        <f>SUMIFS('ГП-107'!$I$7:$I$806,'ГП-107'!$B$7:$B$806,B7,'ГП-107'!$C$7:$C$806,C7)</f>
        <v>47111.166978723399</v>
      </c>
      <c r="F7" s="257"/>
      <c r="G7" s="257">
        <f>E7*F7</f>
        <v>0</v>
      </c>
      <c r="H7" s="258" t="s">
        <v>360</v>
      </c>
    </row>
    <row r="8" spans="1:8" ht="39" customHeight="1" x14ac:dyDescent="0.25">
      <c r="A8" s="255"/>
      <c r="B8" s="239" t="s">
        <v>62</v>
      </c>
      <c r="C8" s="234" t="s">
        <v>63</v>
      </c>
      <c r="D8" s="234" t="s">
        <v>60</v>
      </c>
      <c r="E8" s="256">
        <f>SUMIFS('ГП-107'!$I$7:$I$806,'ГП-107'!$B$7:$B$806,B8,'ГП-107'!$C$7:$C$806,C8)</f>
        <v>56587.479148936174</v>
      </c>
      <c r="F8" s="257"/>
      <c r="G8" s="257">
        <f t="shared" ref="G8:G60" si="0">E8*F8</f>
        <v>0</v>
      </c>
      <c r="H8" s="258" t="s">
        <v>360</v>
      </c>
    </row>
    <row r="9" spans="1:8" ht="40.5" customHeight="1" x14ac:dyDescent="0.25">
      <c r="A9" s="255"/>
      <c r="B9" s="239" t="s">
        <v>64</v>
      </c>
      <c r="C9" s="234" t="s">
        <v>65</v>
      </c>
      <c r="D9" s="234" t="s">
        <v>60</v>
      </c>
      <c r="E9" s="256">
        <f>SUMIFS('ГП-107'!$I$7:$I$806,'ГП-107'!$B$7:$B$806,B9,'ГП-107'!$C$7:$C$806,C9)</f>
        <v>30570.242382978733</v>
      </c>
      <c r="F9" s="257"/>
      <c r="G9" s="257">
        <f t="shared" si="0"/>
        <v>0</v>
      </c>
      <c r="H9" s="258" t="s">
        <v>360</v>
      </c>
    </row>
    <row r="10" spans="1:8" ht="41.25" customHeight="1" x14ac:dyDescent="0.25">
      <c r="A10" s="255"/>
      <c r="B10" s="239" t="s">
        <v>66</v>
      </c>
      <c r="C10" s="234" t="s">
        <v>67</v>
      </c>
      <c r="D10" s="234" t="s">
        <v>60</v>
      </c>
      <c r="E10" s="256">
        <f>SUMIFS('ГП-107'!$I$7:$I$806,'ГП-107'!$B$7:$B$806,B10,'ГП-107'!$C$7:$C$806,C10)</f>
        <v>71817.48000000004</v>
      </c>
      <c r="F10" s="257"/>
      <c r="G10" s="257">
        <f t="shared" si="0"/>
        <v>0</v>
      </c>
      <c r="H10" s="258" t="s">
        <v>360</v>
      </c>
    </row>
    <row r="11" spans="1:8" ht="56.25" customHeight="1" x14ac:dyDescent="0.25">
      <c r="A11" s="255"/>
      <c r="B11" s="239" t="s">
        <v>69</v>
      </c>
      <c r="C11" s="234" t="s">
        <v>70</v>
      </c>
      <c r="D11" s="234" t="s">
        <v>45</v>
      </c>
      <c r="E11" s="256">
        <f>SUMIFS('ГП-107'!$I$7:$I$806,'ГП-107'!$B$7:$B$806,B11,'ГП-107'!$C$7:$C$806,C11)</f>
        <v>602.88947052127651</v>
      </c>
      <c r="F11" s="257"/>
      <c r="G11" s="257">
        <f t="shared" si="0"/>
        <v>0</v>
      </c>
      <c r="H11" s="258" t="s">
        <v>359</v>
      </c>
    </row>
    <row r="12" spans="1:8" ht="56.25" customHeight="1" x14ac:dyDescent="0.25">
      <c r="A12" s="255"/>
      <c r="B12" s="239" t="s">
        <v>112</v>
      </c>
      <c r="C12" s="234" t="s">
        <v>70</v>
      </c>
      <c r="D12" s="234" t="s">
        <v>45</v>
      </c>
      <c r="E12" s="256">
        <f>SUMIFS('ГП-107'!$I$7:$I$806,'ГП-107'!$B$7:$B$806,B12,'ГП-107'!$C$7:$C$806,C12)</f>
        <v>54.295199999999994</v>
      </c>
      <c r="F12" s="257"/>
      <c r="G12" s="257">
        <f t="shared" si="0"/>
        <v>0</v>
      </c>
      <c r="H12" s="258" t="s">
        <v>359</v>
      </c>
    </row>
    <row r="13" spans="1:8" ht="52.5" customHeight="1" x14ac:dyDescent="0.25">
      <c r="A13" s="255"/>
      <c r="B13" s="239" t="s">
        <v>72</v>
      </c>
      <c r="C13" s="234" t="s">
        <v>70</v>
      </c>
      <c r="D13" s="234" t="s">
        <v>45</v>
      </c>
      <c r="E13" s="256">
        <f>SUMIFS('ГП-107'!$I$7:$I$806,'ГП-107'!$B$7:$B$806,B13,'ГП-107'!$C$7:$C$806,C13)</f>
        <v>78.65724000000003</v>
      </c>
      <c r="F13" s="257"/>
      <c r="G13" s="257">
        <f t="shared" si="0"/>
        <v>0</v>
      </c>
      <c r="H13" s="258" t="s">
        <v>359</v>
      </c>
    </row>
    <row r="14" spans="1:8" ht="42" customHeight="1" x14ac:dyDescent="0.25">
      <c r="A14" s="255"/>
      <c r="B14" s="259" t="s">
        <v>74</v>
      </c>
      <c r="C14" s="234" t="s">
        <v>70</v>
      </c>
      <c r="D14" s="234" t="s">
        <v>45</v>
      </c>
      <c r="E14" s="256">
        <f>SUMIFS('ГП-107'!$I$7:$I$806,'ГП-107'!$B$7:$B$806,B14,'ГП-107'!$C$7:$C$806,C14)</f>
        <v>16.725072780000001</v>
      </c>
      <c r="F14" s="257"/>
      <c r="G14" s="257">
        <f t="shared" si="0"/>
        <v>0</v>
      </c>
      <c r="H14" s="258" t="s">
        <v>359</v>
      </c>
    </row>
    <row r="15" spans="1:8" ht="25.5" customHeight="1" x14ac:dyDescent="0.25">
      <c r="A15" s="255"/>
      <c r="B15" s="259" t="s">
        <v>75</v>
      </c>
      <c r="C15" s="234" t="s">
        <v>70</v>
      </c>
      <c r="D15" s="234" t="s">
        <v>45</v>
      </c>
      <c r="E15" s="256">
        <f>SUMIFS('ГП-107'!$I$7:$I$806,'ГП-107'!$B$7:$B$806,B15,'ГП-107'!$C$7:$C$806,C15)</f>
        <v>14.293360000000003</v>
      </c>
      <c r="F15" s="257"/>
      <c r="G15" s="257">
        <f t="shared" si="0"/>
        <v>0</v>
      </c>
      <c r="H15" s="258" t="s">
        <v>359</v>
      </c>
    </row>
    <row r="16" spans="1:8" ht="25.5" customHeight="1" x14ac:dyDescent="0.25">
      <c r="A16" s="255"/>
      <c r="B16" s="259" t="s">
        <v>77</v>
      </c>
      <c r="C16" s="234" t="s">
        <v>70</v>
      </c>
      <c r="D16" s="234" t="s">
        <v>45</v>
      </c>
      <c r="E16" s="256">
        <f>SUMIFS('ГП-107'!$I$7:$I$806,'ГП-107'!$B$7:$B$806,B16,'ГП-107'!$C$7:$C$806,C16)</f>
        <v>2.0370759999999999</v>
      </c>
      <c r="F16" s="257"/>
      <c r="G16" s="257">
        <f t="shared" si="0"/>
        <v>0</v>
      </c>
      <c r="H16" s="258" t="s">
        <v>359</v>
      </c>
    </row>
    <row r="17" spans="1:8" ht="25.5" customHeight="1" x14ac:dyDescent="0.25">
      <c r="A17" s="260"/>
      <c r="B17" s="259" t="s">
        <v>78</v>
      </c>
      <c r="C17" s="234" t="s">
        <v>79</v>
      </c>
      <c r="D17" s="234" t="s">
        <v>47</v>
      </c>
      <c r="E17" s="256">
        <f>SUMIFS('ГП-107'!$I$7:$I$806,'ГП-107'!$B$7:$B$806,B17,'ГП-107'!$C$7:$C$806,C17)</f>
        <v>6498.4999999999973</v>
      </c>
      <c r="F17" s="257"/>
      <c r="G17" s="257">
        <f t="shared" si="0"/>
        <v>0</v>
      </c>
      <c r="H17" s="258" t="s">
        <v>359</v>
      </c>
    </row>
    <row r="18" spans="1:8" ht="25.5" customHeight="1" x14ac:dyDescent="0.25">
      <c r="A18" s="260"/>
      <c r="B18" s="259" t="s">
        <v>80</v>
      </c>
      <c r="C18" s="234" t="s">
        <v>260</v>
      </c>
      <c r="D18" s="234" t="s">
        <v>60</v>
      </c>
      <c r="E18" s="256">
        <f>SUMIFS('ГП-107'!$I$7:$I$806,'ГП-107'!$B$7:$B$806,B18,'ГП-107'!$C$7:$C$806,C18)</f>
        <v>2</v>
      </c>
      <c r="F18" s="257"/>
      <c r="G18" s="257">
        <f t="shared" si="0"/>
        <v>0</v>
      </c>
      <c r="H18" s="258" t="s">
        <v>359</v>
      </c>
    </row>
    <row r="19" spans="1:8" ht="25.5" customHeight="1" x14ac:dyDescent="0.25">
      <c r="A19" s="260"/>
      <c r="B19" s="259" t="s">
        <v>82</v>
      </c>
      <c r="C19" s="234" t="s">
        <v>261</v>
      </c>
      <c r="D19" s="234" t="s">
        <v>60</v>
      </c>
      <c r="E19" s="256">
        <f>SUMIFS('ГП-107'!$I$7:$I$806,'ГП-107'!$B$7:$B$806,B19,'ГП-107'!$C$7:$C$806,C19)</f>
        <v>4</v>
      </c>
      <c r="F19" s="257"/>
      <c r="G19" s="257">
        <f t="shared" si="0"/>
        <v>0</v>
      </c>
      <c r="H19" s="258" t="s">
        <v>359</v>
      </c>
    </row>
    <row r="20" spans="1:8" ht="25.5" customHeight="1" x14ac:dyDescent="0.25">
      <c r="A20" s="260"/>
      <c r="B20" s="259" t="s">
        <v>84</v>
      </c>
      <c r="C20" s="234" t="s">
        <v>262</v>
      </c>
      <c r="D20" s="234" t="s">
        <v>60</v>
      </c>
      <c r="E20" s="256">
        <f>SUMIFS('ГП-107'!$I$7:$I$806,'ГП-107'!$B$7:$B$806,B20,'ГП-107'!$C$7:$C$806,C20)</f>
        <v>3</v>
      </c>
      <c r="F20" s="257"/>
      <c r="G20" s="257">
        <f t="shared" si="0"/>
        <v>0</v>
      </c>
      <c r="H20" s="258" t="s">
        <v>359</v>
      </c>
    </row>
    <row r="21" spans="1:8" ht="25.5" customHeight="1" x14ac:dyDescent="0.25">
      <c r="A21" s="260"/>
      <c r="B21" s="259" t="s">
        <v>86</v>
      </c>
      <c r="C21" s="234" t="s">
        <v>81</v>
      </c>
      <c r="D21" s="234" t="s">
        <v>60</v>
      </c>
      <c r="E21" s="256">
        <f>SUMIFS('ГП-107'!$I$7:$I$806,'ГП-107'!$B$7:$B$806,B21,'ГП-107'!$C$7:$C$806,C21)</f>
        <v>21</v>
      </c>
      <c r="F21" s="257"/>
      <c r="G21" s="257">
        <f t="shared" si="0"/>
        <v>0</v>
      </c>
      <c r="H21" s="258" t="s">
        <v>359</v>
      </c>
    </row>
    <row r="22" spans="1:8" ht="25.5" customHeight="1" x14ac:dyDescent="0.25">
      <c r="A22" s="255"/>
      <c r="B22" s="239" t="s">
        <v>88</v>
      </c>
      <c r="C22" s="234" t="s">
        <v>83</v>
      </c>
      <c r="D22" s="234" t="s">
        <v>60</v>
      </c>
      <c r="E22" s="256">
        <f>SUMIFS('ГП-107'!$I$7:$I$806,'ГП-107'!$B$7:$B$806,B22,'ГП-107'!$C$7:$C$806,C22)</f>
        <v>3</v>
      </c>
      <c r="F22" s="257"/>
      <c r="G22" s="257">
        <f t="shared" si="0"/>
        <v>0</v>
      </c>
      <c r="H22" s="258" t="s">
        <v>359</v>
      </c>
    </row>
    <row r="23" spans="1:8" ht="25.5" customHeight="1" x14ac:dyDescent="0.25">
      <c r="A23" s="255"/>
      <c r="B23" s="239" t="s">
        <v>90</v>
      </c>
      <c r="C23" s="234" t="s">
        <v>85</v>
      </c>
      <c r="D23" s="234" t="s">
        <v>60</v>
      </c>
      <c r="E23" s="256">
        <f>SUMIFS('ГП-107'!$I$7:$I$806,'ГП-107'!$B$7:$B$806,B23,'ГП-107'!$C$7:$C$806,C23)</f>
        <v>1</v>
      </c>
      <c r="F23" s="257"/>
      <c r="G23" s="257">
        <f t="shared" si="0"/>
        <v>0</v>
      </c>
      <c r="H23" s="258" t="s">
        <v>359</v>
      </c>
    </row>
    <row r="24" spans="1:8" ht="25.5" customHeight="1" x14ac:dyDescent="0.25">
      <c r="A24" s="255"/>
      <c r="B24" s="239" t="s">
        <v>113</v>
      </c>
      <c r="C24" s="234" t="s">
        <v>87</v>
      </c>
      <c r="D24" s="234" t="s">
        <v>60</v>
      </c>
      <c r="E24" s="256">
        <f>SUMIFS('ГП-107'!$I$7:$I$806,'ГП-107'!$B$7:$B$806,B24,'ГП-107'!$C$7:$C$806,C24)</f>
        <v>9</v>
      </c>
      <c r="F24" s="257"/>
      <c r="G24" s="257">
        <f t="shared" si="0"/>
        <v>0</v>
      </c>
      <c r="H24" s="258" t="s">
        <v>359</v>
      </c>
    </row>
    <row r="25" spans="1:8" ht="25.5" customHeight="1" x14ac:dyDescent="0.25">
      <c r="A25" s="255"/>
      <c r="B25" s="239" t="s">
        <v>115</v>
      </c>
      <c r="C25" s="234" t="s">
        <v>89</v>
      </c>
      <c r="D25" s="234" t="s">
        <v>60</v>
      </c>
      <c r="E25" s="256">
        <f>SUMIFS('ГП-107'!$I$7:$I$806,'ГП-107'!$B$7:$B$806,B25,'ГП-107'!$C$7:$C$806,C25)</f>
        <v>48</v>
      </c>
      <c r="F25" s="257"/>
      <c r="G25" s="257">
        <f t="shared" si="0"/>
        <v>0</v>
      </c>
      <c r="H25" s="258" t="s">
        <v>359</v>
      </c>
    </row>
    <row r="26" spans="1:8" ht="23.25" customHeight="1" x14ac:dyDescent="0.25">
      <c r="A26" s="255"/>
      <c r="B26" s="239" t="s">
        <v>117</v>
      </c>
      <c r="C26" s="234" t="s">
        <v>264</v>
      </c>
      <c r="D26" s="234" t="s">
        <v>60</v>
      </c>
      <c r="E26" s="256">
        <f>SUMIFS('ГП-107'!$I$7:$I$806,'ГП-107'!$B$7:$B$806,B26,'ГП-107'!$C$7:$C$806,C26)</f>
        <v>13</v>
      </c>
      <c r="F26" s="257"/>
      <c r="G26" s="257">
        <f t="shared" si="0"/>
        <v>0</v>
      </c>
      <c r="H26" s="258" t="s">
        <v>359</v>
      </c>
    </row>
    <row r="27" spans="1:8" ht="23.25" customHeight="1" x14ac:dyDescent="0.25">
      <c r="A27" s="255"/>
      <c r="B27" s="239" t="s">
        <v>119</v>
      </c>
      <c r="C27" s="234" t="s">
        <v>265</v>
      </c>
      <c r="D27" s="234" t="s">
        <v>60</v>
      </c>
      <c r="E27" s="256">
        <f>SUMIFS('ГП-107'!$I$7:$I$806,'ГП-107'!$B$7:$B$806,B27,'ГП-107'!$C$7:$C$806,C27)</f>
        <v>4</v>
      </c>
      <c r="F27" s="257"/>
      <c r="G27" s="257">
        <f>E27*F27</f>
        <v>0</v>
      </c>
      <c r="H27" s="258" t="s">
        <v>359</v>
      </c>
    </row>
    <row r="28" spans="1:8" ht="23.25" customHeight="1" x14ac:dyDescent="0.25">
      <c r="A28" s="255"/>
      <c r="B28" s="239" t="s">
        <v>121</v>
      </c>
      <c r="C28" s="234" t="s">
        <v>309</v>
      </c>
      <c r="D28" s="234" t="s">
        <v>60</v>
      </c>
      <c r="E28" s="256">
        <f>SUMIFS('ГП-107'!$I$7:$I$806,'ГП-107'!$B$7:$B$806,B28,'ГП-107'!$C$7:$C$806,C28)</f>
        <v>4</v>
      </c>
      <c r="F28" s="257"/>
      <c r="G28" s="257">
        <f>E28*F28</f>
        <v>0</v>
      </c>
      <c r="H28" s="258" t="s">
        <v>359</v>
      </c>
    </row>
    <row r="29" spans="1:8" ht="23.25" customHeight="1" x14ac:dyDescent="0.25">
      <c r="A29" s="255"/>
      <c r="B29" s="239" t="s">
        <v>123</v>
      </c>
      <c r="C29" s="234" t="s">
        <v>310</v>
      </c>
      <c r="D29" s="234" t="s">
        <v>60</v>
      </c>
      <c r="E29" s="256">
        <f>SUMIFS('ГП-107'!$I$7:$I$806,'ГП-107'!$B$7:$B$806,B29,'ГП-107'!$C$7:$C$806,C29)</f>
        <v>6</v>
      </c>
      <c r="F29" s="257"/>
      <c r="G29" s="257">
        <f t="shared" si="0"/>
        <v>0</v>
      </c>
      <c r="H29" s="258" t="s">
        <v>359</v>
      </c>
    </row>
    <row r="30" spans="1:8" ht="23.25" customHeight="1" x14ac:dyDescent="0.25">
      <c r="A30" s="255"/>
      <c r="B30" s="239" t="s">
        <v>125</v>
      </c>
      <c r="C30" s="234" t="s">
        <v>311</v>
      </c>
      <c r="D30" s="234" t="s">
        <v>60</v>
      </c>
      <c r="E30" s="256">
        <f>SUMIFS('ГП-107'!$I$7:$I$806,'ГП-107'!$B$7:$B$806,B30,'ГП-107'!$C$7:$C$806,C30)</f>
        <v>4</v>
      </c>
      <c r="F30" s="257"/>
      <c r="G30" s="257">
        <f t="shared" si="0"/>
        <v>0</v>
      </c>
      <c r="H30" s="258" t="s">
        <v>359</v>
      </c>
    </row>
    <row r="31" spans="1:8" ht="23.25" customHeight="1" x14ac:dyDescent="0.25">
      <c r="A31" s="255"/>
      <c r="B31" s="239" t="s">
        <v>127</v>
      </c>
      <c r="C31" s="234" t="s">
        <v>268</v>
      </c>
      <c r="D31" s="234" t="s">
        <v>60</v>
      </c>
      <c r="E31" s="256">
        <f>SUMIFS('ГП-107'!$I$7:$I$806,'ГП-107'!$B$7:$B$806,B31,'ГП-107'!$C$7:$C$806,C31)</f>
        <v>1</v>
      </c>
      <c r="F31" s="257"/>
      <c r="G31" s="257">
        <f>E31*F31</f>
        <v>0</v>
      </c>
      <c r="H31" s="258" t="s">
        <v>359</v>
      </c>
    </row>
    <row r="32" spans="1:8" ht="23.25" customHeight="1" x14ac:dyDescent="0.25">
      <c r="A32" s="255"/>
      <c r="B32" s="239" t="s">
        <v>129</v>
      </c>
      <c r="C32" s="234" t="s">
        <v>312</v>
      </c>
      <c r="D32" s="234" t="s">
        <v>60</v>
      </c>
      <c r="E32" s="256">
        <f>SUMIFS('ГП-107'!$I$7:$I$806,'ГП-107'!$B$7:$B$806,B32,'ГП-107'!$C$7:$C$806,C32)</f>
        <v>1</v>
      </c>
      <c r="F32" s="257"/>
      <c r="G32" s="257">
        <f t="shared" si="0"/>
        <v>0</v>
      </c>
      <c r="H32" s="258" t="s">
        <v>359</v>
      </c>
    </row>
    <row r="33" spans="1:8" ht="23.25" customHeight="1" x14ac:dyDescent="0.25">
      <c r="A33" s="255"/>
      <c r="B33" s="239" t="s">
        <v>92</v>
      </c>
      <c r="C33" s="234" t="s">
        <v>93</v>
      </c>
      <c r="D33" s="234" t="s">
        <v>54</v>
      </c>
      <c r="E33" s="256">
        <f>SUMIFS('ГП-107'!$I$7:$I$806,'ГП-107'!$B$7:$B$806,B33,'ГП-107'!$C$7:$C$806,C33)</f>
        <v>4846.1400000000003</v>
      </c>
      <c r="F33" s="257"/>
      <c r="G33" s="257">
        <f t="shared" si="0"/>
        <v>0</v>
      </c>
      <c r="H33" s="258" t="s">
        <v>359</v>
      </c>
    </row>
    <row r="34" spans="1:8" ht="23.25" customHeight="1" x14ac:dyDescent="0.25">
      <c r="A34" s="255"/>
      <c r="B34" s="239" t="s">
        <v>94</v>
      </c>
      <c r="C34" s="234" t="s">
        <v>95</v>
      </c>
      <c r="D34" s="234" t="s">
        <v>54</v>
      </c>
      <c r="E34" s="256">
        <f>SUMIFS('ГП-107'!$I$7:$I$806,'ГП-107'!$B$7:$B$806,B34,'ГП-107'!$C$7:$C$806,C34)</f>
        <v>1144.0851914893622</v>
      </c>
      <c r="F34" s="257"/>
      <c r="G34" s="257">
        <f t="shared" si="0"/>
        <v>0</v>
      </c>
      <c r="H34" s="258" t="s">
        <v>359</v>
      </c>
    </row>
    <row r="35" spans="1:8" ht="23.25" customHeight="1" x14ac:dyDescent="0.25">
      <c r="A35" s="255"/>
      <c r="B35" s="239" t="s">
        <v>96</v>
      </c>
      <c r="C35" s="234" t="s">
        <v>39</v>
      </c>
      <c r="D35" s="234" t="s">
        <v>54</v>
      </c>
      <c r="E35" s="256">
        <f>SUMIFS('ГП-107'!$I$7:$I$806,'ГП-107'!$B$7:$B$806,B35,'ГП-107'!$C$7:$C$806,C35)</f>
        <v>631.27999999999986</v>
      </c>
      <c r="F35" s="257"/>
      <c r="G35" s="257">
        <f t="shared" si="0"/>
        <v>0</v>
      </c>
      <c r="H35" s="258" t="s">
        <v>359</v>
      </c>
    </row>
    <row r="36" spans="1:8" ht="23.25" customHeight="1" x14ac:dyDescent="0.25">
      <c r="A36" s="255"/>
      <c r="B36" s="239" t="s">
        <v>97</v>
      </c>
      <c r="C36" s="234" t="s">
        <v>39</v>
      </c>
      <c r="D36" s="234" t="s">
        <v>54</v>
      </c>
      <c r="E36" s="256">
        <f>SUMIFS('ГП-107'!$I$7:$I$806,'ГП-107'!$B$7:$B$806,B36,'ГП-107'!$C$7:$C$806,C36)</f>
        <v>437.36160000000018</v>
      </c>
      <c r="F36" s="257"/>
      <c r="G36" s="257">
        <f>E36*F36</f>
        <v>0</v>
      </c>
      <c r="H36" s="258" t="s">
        <v>359</v>
      </c>
    </row>
    <row r="37" spans="1:8" ht="23.25" customHeight="1" x14ac:dyDescent="0.25">
      <c r="A37" s="255"/>
      <c r="B37" s="239" t="s">
        <v>270</v>
      </c>
      <c r="C37" s="234" t="s">
        <v>271</v>
      </c>
      <c r="D37" s="234" t="s">
        <v>54</v>
      </c>
      <c r="E37" s="256">
        <f>SUMIFS('ГП-107'!$I$7:$I$806,'ГП-107'!$B$7:$B$806,B37,'ГП-107'!$C$7:$C$806,C37)</f>
        <v>94.671199999999999</v>
      </c>
      <c r="F37" s="257"/>
      <c r="G37" s="257">
        <f t="shared" si="0"/>
        <v>0</v>
      </c>
      <c r="H37" s="258" t="s">
        <v>359</v>
      </c>
    </row>
    <row r="38" spans="1:8" ht="23.25" customHeight="1" x14ac:dyDescent="0.25">
      <c r="A38" s="255"/>
      <c r="B38" s="239" t="s">
        <v>272</v>
      </c>
      <c r="C38" s="234" t="s">
        <v>273</v>
      </c>
      <c r="D38" s="234" t="s">
        <v>54</v>
      </c>
      <c r="E38" s="256">
        <f>SUMIFS('ГП-107'!$I$7:$I$806,'ГП-107'!$B$7:$B$806,B38,'ГП-107'!$C$7:$C$806,C38)</f>
        <v>5.096000000000001</v>
      </c>
      <c r="F38" s="257"/>
      <c r="G38" s="257">
        <f t="shared" si="0"/>
        <v>0</v>
      </c>
      <c r="H38" s="258" t="s">
        <v>359</v>
      </c>
    </row>
    <row r="39" spans="1:8" ht="24.95" customHeight="1" x14ac:dyDescent="0.25">
      <c r="A39" s="255"/>
      <c r="B39" s="239" t="s">
        <v>275</v>
      </c>
      <c r="C39" s="234" t="s">
        <v>276</v>
      </c>
      <c r="D39" s="234" t="s">
        <v>45</v>
      </c>
      <c r="E39" s="256">
        <f>SUMIFS('ГП-107'!$I$7:$I$806,'ГП-107'!$B$7:$B$806,B39,'ГП-107'!$C$7:$C$806,C39)</f>
        <v>26.073533200000007</v>
      </c>
      <c r="F39" s="257"/>
      <c r="G39" s="257">
        <f t="shared" si="0"/>
        <v>0</v>
      </c>
      <c r="H39" s="258" t="s">
        <v>359</v>
      </c>
    </row>
    <row r="40" spans="1:8" ht="24.95" customHeight="1" x14ac:dyDescent="0.25">
      <c r="A40" s="181"/>
      <c r="B40" s="182" t="s">
        <v>106</v>
      </c>
      <c r="C40" s="177" t="s">
        <v>107</v>
      </c>
      <c r="D40" s="177" t="s">
        <v>60</v>
      </c>
      <c r="E40" s="256">
        <f>SUMIFS('ГП-107'!$I$7:$I$806,'ГП-107'!$B$7:$B$806,B40,'ГП-107'!$C$7:$C$806,C40)</f>
        <v>53901.187999999987</v>
      </c>
      <c r="F40" s="257"/>
      <c r="G40" s="257">
        <f t="shared" ref="G40:G50" si="1">E40*F40</f>
        <v>0</v>
      </c>
      <c r="H40" s="258" t="s">
        <v>360</v>
      </c>
    </row>
    <row r="41" spans="1:8" ht="24.95" customHeight="1" x14ac:dyDescent="0.25">
      <c r="A41" s="181"/>
      <c r="B41" s="182" t="s">
        <v>108</v>
      </c>
      <c r="C41" s="177" t="s">
        <v>109</v>
      </c>
      <c r="D41" s="177" t="s">
        <v>60</v>
      </c>
      <c r="E41" s="256">
        <f>SUMIFS('ГП-107'!$I$7:$I$806,'ГП-107'!$B$7:$B$806,B41,'ГП-107'!$C$7:$C$806,C41)</f>
        <v>57208.012085106391</v>
      </c>
      <c r="F41" s="257"/>
      <c r="G41" s="257">
        <f t="shared" si="1"/>
        <v>0</v>
      </c>
      <c r="H41" s="258" t="s">
        <v>360</v>
      </c>
    </row>
    <row r="42" spans="1:8" ht="24.95" customHeight="1" x14ac:dyDescent="0.25">
      <c r="A42" s="181"/>
      <c r="B42" s="189" t="s">
        <v>110</v>
      </c>
      <c r="C42" s="177" t="s">
        <v>111</v>
      </c>
      <c r="D42" s="177" t="s">
        <v>60</v>
      </c>
      <c r="E42" s="256">
        <f>SUMIFS('ГП-107'!$I$7:$I$806,'ГП-107'!$B$7:$B$806,B42,'ГП-107'!$C$7:$C$806,C42)</f>
        <v>47990.740000000005</v>
      </c>
      <c r="F42" s="257"/>
      <c r="G42" s="257">
        <f t="shared" si="1"/>
        <v>0</v>
      </c>
      <c r="H42" s="258" t="s">
        <v>360</v>
      </c>
    </row>
    <row r="43" spans="1:8" ht="24.95" customHeight="1" x14ac:dyDescent="0.25">
      <c r="A43" s="255"/>
      <c r="B43" s="189" t="s">
        <v>277</v>
      </c>
      <c r="C43" s="177" t="s">
        <v>114</v>
      </c>
      <c r="D43" s="177" t="s">
        <v>60</v>
      </c>
      <c r="E43" s="256">
        <f>SUMIFS('ГП-107'!$I$7:$I$806,'ГП-107'!$B$7:$B$806,B43,'ГП-107'!$C$7:$C$806,C43)</f>
        <v>449</v>
      </c>
      <c r="F43" s="257"/>
      <c r="G43" s="257">
        <f t="shared" si="1"/>
        <v>0</v>
      </c>
      <c r="H43" s="258" t="s">
        <v>359</v>
      </c>
    </row>
    <row r="44" spans="1:8" ht="24.95" customHeight="1" x14ac:dyDescent="0.25">
      <c r="A44" s="255"/>
      <c r="B44" s="189" t="s">
        <v>278</v>
      </c>
      <c r="C44" s="177" t="s">
        <v>116</v>
      </c>
      <c r="D44" s="177" t="s">
        <v>60</v>
      </c>
      <c r="E44" s="256">
        <f>SUMIFS('ГП-107'!$I$7:$I$806,'ГП-107'!$B$7:$B$806,B44,'ГП-107'!$C$7:$C$806,C44)</f>
        <v>171</v>
      </c>
      <c r="F44" s="257"/>
      <c r="G44" s="257">
        <f t="shared" si="1"/>
        <v>0</v>
      </c>
      <c r="H44" s="258" t="s">
        <v>359</v>
      </c>
    </row>
    <row r="45" spans="1:8" ht="24.95" customHeight="1" x14ac:dyDescent="0.25">
      <c r="A45" s="255"/>
      <c r="B45" s="189" t="s">
        <v>279</v>
      </c>
      <c r="C45" s="177" t="s">
        <v>282</v>
      </c>
      <c r="D45" s="177" t="s">
        <v>60</v>
      </c>
      <c r="E45" s="256">
        <f>SUMIFS('ГП-107'!$I$7:$I$806,'ГП-107'!$B$7:$B$806,B45,'ГП-107'!$C$7:$C$806,C45)</f>
        <v>48</v>
      </c>
      <c r="F45" s="257"/>
      <c r="G45" s="257">
        <f t="shared" si="1"/>
        <v>0</v>
      </c>
      <c r="H45" s="258" t="s">
        <v>359</v>
      </c>
    </row>
    <row r="46" spans="1:8" ht="24.95" customHeight="1" x14ac:dyDescent="0.25">
      <c r="A46" s="255"/>
      <c r="B46" s="189" t="s">
        <v>281</v>
      </c>
      <c r="C46" s="177" t="s">
        <v>284</v>
      </c>
      <c r="D46" s="177" t="s">
        <v>60</v>
      </c>
      <c r="E46" s="256">
        <f>SUMIFS('ГП-107'!$I$7:$I$806,'ГП-107'!$B$7:$B$806,B46,'ГП-107'!$C$7:$C$806,C46)</f>
        <v>158</v>
      </c>
      <c r="F46" s="257"/>
      <c r="G46" s="257">
        <f t="shared" si="1"/>
        <v>0</v>
      </c>
      <c r="H46" s="258" t="s">
        <v>359</v>
      </c>
    </row>
    <row r="47" spans="1:8" ht="24.95" customHeight="1" x14ac:dyDescent="0.25">
      <c r="A47" s="255"/>
      <c r="B47" s="189" t="s">
        <v>283</v>
      </c>
      <c r="C47" s="177" t="s">
        <v>286</v>
      </c>
      <c r="D47" s="177" t="s">
        <v>60</v>
      </c>
      <c r="E47" s="256">
        <f>SUMIFS('ГП-107'!$I$7:$I$806,'ГП-107'!$B$7:$B$806,B47,'ГП-107'!$C$7:$C$806,C47)</f>
        <v>25</v>
      </c>
      <c r="F47" s="257"/>
      <c r="G47" s="257">
        <f t="shared" si="1"/>
        <v>0</v>
      </c>
      <c r="H47" s="258" t="s">
        <v>359</v>
      </c>
    </row>
    <row r="48" spans="1:8" ht="24.95" customHeight="1" x14ac:dyDescent="0.25">
      <c r="A48" s="255"/>
      <c r="B48" s="189" t="s">
        <v>285</v>
      </c>
      <c r="C48" s="177" t="s">
        <v>288</v>
      </c>
      <c r="D48" s="177" t="s">
        <v>60</v>
      </c>
      <c r="E48" s="256">
        <f>SUMIFS('ГП-107'!$I$7:$I$806,'ГП-107'!$B$7:$B$806,B48,'ГП-107'!$C$7:$C$806,C48)</f>
        <v>25</v>
      </c>
      <c r="F48" s="257"/>
      <c r="G48" s="257">
        <f t="shared" si="1"/>
        <v>0</v>
      </c>
      <c r="H48" s="258" t="s">
        <v>359</v>
      </c>
    </row>
    <row r="49" spans="1:8" ht="24.95" customHeight="1" x14ac:dyDescent="0.25">
      <c r="A49" s="255"/>
      <c r="B49" s="189" t="s">
        <v>287</v>
      </c>
      <c r="C49" s="177" t="s">
        <v>290</v>
      </c>
      <c r="D49" s="177" t="s">
        <v>60</v>
      </c>
      <c r="E49" s="256">
        <f>SUMIFS('ГП-107'!$I$7:$I$806,'ГП-107'!$B$7:$B$806,B49,'ГП-107'!$C$7:$C$806,C49)</f>
        <v>120</v>
      </c>
      <c r="F49" s="257"/>
      <c r="G49" s="257">
        <f t="shared" si="1"/>
        <v>0</v>
      </c>
      <c r="H49" s="258" t="s">
        <v>359</v>
      </c>
    </row>
    <row r="50" spans="1:8" ht="24.95" customHeight="1" x14ac:dyDescent="0.25">
      <c r="A50" s="255"/>
      <c r="B50" s="189" t="s">
        <v>289</v>
      </c>
      <c r="C50" s="177" t="s">
        <v>292</v>
      </c>
      <c r="D50" s="177" t="s">
        <v>60</v>
      </c>
      <c r="E50" s="256">
        <f>SUMIFS('ГП-107'!$I$7:$I$806,'ГП-107'!$B$7:$B$806,B50,'ГП-107'!$C$7:$C$806,C50)</f>
        <v>552</v>
      </c>
      <c r="F50" s="257"/>
      <c r="G50" s="257">
        <f t="shared" si="1"/>
        <v>0</v>
      </c>
      <c r="H50" s="258" t="s">
        <v>359</v>
      </c>
    </row>
    <row r="51" spans="1:8" ht="24.95" customHeight="1" x14ac:dyDescent="0.25">
      <c r="A51" s="181"/>
      <c r="B51" s="189" t="s">
        <v>291</v>
      </c>
      <c r="C51" s="177" t="s">
        <v>294</v>
      </c>
      <c r="D51" s="177" t="s">
        <v>60</v>
      </c>
      <c r="E51" s="256">
        <f>SUMIFS('ГП-107'!$I$7:$I$806,'ГП-107'!$B$7:$B$806,B51,'ГП-107'!$C$7:$C$806,C51)</f>
        <v>240</v>
      </c>
      <c r="F51" s="257"/>
      <c r="G51" s="257">
        <f t="shared" si="0"/>
        <v>0</v>
      </c>
      <c r="H51" s="258" t="s">
        <v>359</v>
      </c>
    </row>
    <row r="52" spans="1:8" ht="24.95" customHeight="1" x14ac:dyDescent="0.25">
      <c r="A52" s="181"/>
      <c r="B52" s="189" t="s">
        <v>313</v>
      </c>
      <c r="C52" s="177" t="s">
        <v>296</v>
      </c>
      <c r="D52" s="177" t="s">
        <v>60</v>
      </c>
      <c r="E52" s="256">
        <f>SUMIFS('ГП-107'!$I$7:$I$806,'ГП-107'!$B$7:$B$806,B52,'ГП-107'!$C$7:$C$806,C52)</f>
        <v>48</v>
      </c>
      <c r="F52" s="257"/>
      <c r="G52" s="257">
        <f>E52*F52</f>
        <v>0</v>
      </c>
      <c r="H52" s="258" t="s">
        <v>359</v>
      </c>
    </row>
    <row r="53" spans="1:8" ht="24.95" customHeight="1" x14ac:dyDescent="0.25">
      <c r="A53" s="181"/>
      <c r="B53" s="189" t="s">
        <v>293</v>
      </c>
      <c r="C53" s="177" t="s">
        <v>314</v>
      </c>
      <c r="D53" s="177" t="s">
        <v>60</v>
      </c>
      <c r="E53" s="256">
        <f>SUMIFS('ГП-107'!$I$7:$I$806,'ГП-107'!$B$7:$B$806,B53,'ГП-107'!$C$7:$C$806,C53)</f>
        <v>48</v>
      </c>
      <c r="F53" s="257"/>
      <c r="G53" s="257">
        <f t="shared" si="0"/>
        <v>0</v>
      </c>
      <c r="H53" s="258" t="s">
        <v>359</v>
      </c>
    </row>
    <row r="54" spans="1:8" ht="24.95" customHeight="1" x14ac:dyDescent="0.25">
      <c r="A54" s="181"/>
      <c r="B54" s="189" t="s">
        <v>295</v>
      </c>
      <c r="C54" s="177" t="s">
        <v>118</v>
      </c>
      <c r="D54" s="177" t="s">
        <v>60</v>
      </c>
      <c r="E54" s="256">
        <f>SUMIFS('ГП-107'!$I$7:$I$806,'ГП-107'!$B$7:$B$806,B54,'ГП-107'!$C$7:$C$806,C54)</f>
        <v>38</v>
      </c>
      <c r="F54" s="257"/>
      <c r="G54" s="257">
        <f t="shared" si="0"/>
        <v>0</v>
      </c>
      <c r="H54" s="258" t="s">
        <v>359</v>
      </c>
    </row>
    <row r="55" spans="1:8" ht="24.95" customHeight="1" x14ac:dyDescent="0.25">
      <c r="A55" s="181"/>
      <c r="B55" s="189" t="s">
        <v>315</v>
      </c>
      <c r="C55" s="177" t="s">
        <v>120</v>
      </c>
      <c r="D55" s="177" t="s">
        <v>60</v>
      </c>
      <c r="E55" s="256">
        <f>SUMIFS('ГП-107'!$I$7:$I$806,'ГП-107'!$B$7:$B$806,B55,'ГП-107'!$C$7:$C$806,C55)</f>
        <v>172</v>
      </c>
      <c r="F55" s="257"/>
      <c r="G55" s="257">
        <f t="shared" si="0"/>
        <v>0</v>
      </c>
      <c r="H55" s="258" t="s">
        <v>359</v>
      </c>
    </row>
    <row r="56" spans="1:8" ht="24.95" customHeight="1" x14ac:dyDescent="0.25">
      <c r="A56" s="181"/>
      <c r="B56" s="189" t="s">
        <v>131</v>
      </c>
      <c r="C56" s="177" t="s">
        <v>39</v>
      </c>
      <c r="D56" s="177" t="s">
        <v>54</v>
      </c>
      <c r="E56" s="256">
        <f>SUMIFS('ГП-107'!$I$7:$I$806,'ГП-107'!$B$7:$B$806,B56,'ГП-107'!$C$7:$C$806,C56)</f>
        <v>1040.3016000000002</v>
      </c>
      <c r="F56" s="257"/>
      <c r="G56" s="257">
        <f t="shared" si="0"/>
        <v>0</v>
      </c>
      <c r="H56" s="258" t="s">
        <v>359</v>
      </c>
    </row>
    <row r="57" spans="1:8" ht="24.95" customHeight="1" x14ac:dyDescent="0.25">
      <c r="A57" s="181"/>
      <c r="B57" s="189" t="s">
        <v>132</v>
      </c>
      <c r="C57" s="177" t="s">
        <v>39</v>
      </c>
      <c r="D57" s="177" t="s">
        <v>54</v>
      </c>
      <c r="E57" s="256">
        <f>SUMIFS('ГП-107'!$I$7:$I$806,'ГП-107'!$B$7:$B$806,B57,'ГП-107'!$C$7:$C$806,C57)</f>
        <v>351.00000000000011</v>
      </c>
      <c r="F57" s="257"/>
      <c r="G57" s="257">
        <f t="shared" si="0"/>
        <v>0</v>
      </c>
      <c r="H57" s="258" t="s">
        <v>359</v>
      </c>
    </row>
    <row r="58" spans="1:8" ht="24.95" customHeight="1" x14ac:dyDescent="0.25">
      <c r="A58" s="181"/>
      <c r="B58" s="239" t="s">
        <v>318</v>
      </c>
      <c r="C58" s="177" t="s">
        <v>319</v>
      </c>
      <c r="D58" s="177" t="s">
        <v>60</v>
      </c>
      <c r="E58" s="256">
        <f>SUMIFS('ГП-107'!$I$7:$I$806,'ГП-107'!$B$7:$B$806,B58,'ГП-107'!$C$7:$C$806,C58)</f>
        <v>6</v>
      </c>
      <c r="F58" s="257"/>
      <c r="G58" s="257">
        <f t="shared" ref="G58:G59" si="2">E58*F58</f>
        <v>0</v>
      </c>
      <c r="H58" s="258" t="s">
        <v>359</v>
      </c>
    </row>
    <row r="59" spans="1:8" ht="24.95" customHeight="1" x14ac:dyDescent="0.25">
      <c r="A59" s="181"/>
      <c r="B59" s="239" t="s">
        <v>297</v>
      </c>
      <c r="C59" s="177" t="s">
        <v>122</v>
      </c>
      <c r="D59" s="177" t="s">
        <v>60</v>
      </c>
      <c r="E59" s="256">
        <f>SUMIFS('ГП-107'!$I$7:$I$806,'ГП-107'!$B$7:$B$806,B59,'ГП-107'!$C$7:$C$806,C59)</f>
        <v>4</v>
      </c>
      <c r="F59" s="257"/>
      <c r="G59" s="257">
        <f t="shared" si="2"/>
        <v>0</v>
      </c>
      <c r="H59" s="258" t="s">
        <v>359</v>
      </c>
    </row>
    <row r="60" spans="1:8" ht="24.95" customHeight="1" x14ac:dyDescent="0.25">
      <c r="A60" s="255"/>
      <c r="B60" s="239" t="s">
        <v>298</v>
      </c>
      <c r="C60" s="234" t="s">
        <v>307</v>
      </c>
      <c r="D60" s="234" t="s">
        <v>60</v>
      </c>
      <c r="E60" s="256">
        <f>SUMIFS('ГП-107'!$I$7:$I$806,'ГП-107'!$B$7:$B$806,B60,'ГП-107'!$C$7:$C$806,C60)</f>
        <v>1</v>
      </c>
      <c r="F60" s="257"/>
      <c r="G60" s="257">
        <f t="shared" si="0"/>
        <v>0</v>
      </c>
      <c r="H60" s="258" t="s">
        <v>359</v>
      </c>
    </row>
    <row r="61" spans="1:8" ht="24.95" customHeight="1" x14ac:dyDescent="0.25">
      <c r="A61" s="181"/>
      <c r="B61" s="189" t="s">
        <v>316</v>
      </c>
      <c r="C61" s="177" t="s">
        <v>124</v>
      </c>
      <c r="D61" s="177" t="s">
        <v>60</v>
      </c>
      <c r="E61" s="256">
        <f>SUMIFS('ГП-107'!$I$7:$I$806,'ГП-107'!$B$7:$B$806,B61,'ГП-107'!$C$7:$C$806,C61)</f>
        <v>5</v>
      </c>
      <c r="F61" s="257"/>
      <c r="G61" s="257">
        <f t="shared" ref="G61" si="3">E61*F61</f>
        <v>0</v>
      </c>
      <c r="H61" s="258" t="s">
        <v>359</v>
      </c>
    </row>
    <row r="62" spans="1:8" ht="24.95" customHeight="1" x14ac:dyDescent="0.25">
      <c r="A62" s="181"/>
      <c r="B62" s="189" t="s">
        <v>299</v>
      </c>
      <c r="C62" s="177" t="s">
        <v>126</v>
      </c>
      <c r="D62" s="177" t="s">
        <v>60</v>
      </c>
      <c r="E62" s="256">
        <f>SUMIFS('ГП-107'!$I$7:$I$806,'ГП-107'!$B$7:$B$806,B62,'ГП-107'!$C$7:$C$806,C62)</f>
        <v>11</v>
      </c>
      <c r="F62" s="257"/>
      <c r="G62" s="257">
        <f>E62*F62</f>
        <v>0</v>
      </c>
      <c r="H62" s="258" t="s">
        <v>359</v>
      </c>
    </row>
    <row r="63" spans="1:8" ht="24.95" customHeight="1" x14ac:dyDescent="0.25">
      <c r="A63" s="181"/>
      <c r="B63" s="189" t="s">
        <v>301</v>
      </c>
      <c r="C63" s="177" t="s">
        <v>128</v>
      </c>
      <c r="D63" s="177" t="s">
        <v>60</v>
      </c>
      <c r="E63" s="256">
        <f>SUMIFS('ГП-107'!$I$7:$I$806,'ГП-107'!$B$7:$B$806,B63,'ГП-107'!$C$7:$C$806,C63)</f>
        <v>28</v>
      </c>
      <c r="F63" s="257"/>
      <c r="G63" s="257">
        <f t="shared" ref="G63:G65" si="4">E63*F63</f>
        <v>0</v>
      </c>
      <c r="H63" s="258" t="s">
        <v>359</v>
      </c>
    </row>
    <row r="64" spans="1:8" ht="24.95" customHeight="1" x14ac:dyDescent="0.25">
      <c r="A64" s="181"/>
      <c r="B64" s="189" t="s">
        <v>306</v>
      </c>
      <c r="C64" s="177" t="s">
        <v>130</v>
      </c>
      <c r="D64" s="177" t="s">
        <v>60</v>
      </c>
      <c r="E64" s="256">
        <f>SUMIFS('ГП-107'!$I$7:$I$806,'ГП-107'!$B$7:$B$806,B64,'ГП-107'!$C$7:$C$806,C64)</f>
        <v>2</v>
      </c>
      <c r="F64" s="257"/>
      <c r="G64" s="257">
        <f t="shared" si="4"/>
        <v>0</v>
      </c>
      <c r="H64" s="258" t="s">
        <v>359</v>
      </c>
    </row>
    <row r="65" spans="1:8" ht="24.95" customHeight="1" x14ac:dyDescent="0.25">
      <c r="A65" s="181"/>
      <c r="B65" s="189" t="s">
        <v>302</v>
      </c>
      <c r="C65" s="177" t="s">
        <v>317</v>
      </c>
      <c r="D65" s="177" t="s">
        <v>60</v>
      </c>
      <c r="E65" s="256">
        <f>SUMIFS('ГП-107'!$I$7:$I$806,'ГП-107'!$B$7:$B$806,B65,'ГП-107'!$C$7:$C$806,C65)</f>
        <v>2</v>
      </c>
      <c r="F65" s="257"/>
      <c r="G65" s="257">
        <f t="shared" si="4"/>
        <v>0</v>
      </c>
      <c r="H65" s="258" t="s">
        <v>359</v>
      </c>
    </row>
    <row r="66" spans="1:8" ht="36" customHeight="1" x14ac:dyDescent="0.25">
      <c r="A66" s="255"/>
      <c r="B66" s="239" t="s">
        <v>133</v>
      </c>
      <c r="C66" s="234" t="s">
        <v>39</v>
      </c>
      <c r="D66" s="234" t="s">
        <v>99</v>
      </c>
      <c r="E66" s="264"/>
      <c r="F66" s="257"/>
      <c r="G66" s="257">
        <f ca="1">SUMIF('ГП-107'!$B$7:$K$806,B66,'ГП-107'!$K$7:$K$806)</f>
        <v>0</v>
      </c>
      <c r="H66" s="258" t="s">
        <v>359</v>
      </c>
    </row>
    <row r="67" spans="1:8" ht="30.75" customHeight="1" x14ac:dyDescent="0.25">
      <c r="A67" s="255"/>
      <c r="B67" s="239" t="s">
        <v>98</v>
      </c>
      <c r="C67" s="234" t="s">
        <v>39</v>
      </c>
      <c r="D67" s="234" t="s">
        <v>99</v>
      </c>
      <c r="E67" s="264"/>
      <c r="F67" s="257"/>
      <c r="G67" s="257">
        <f ca="1">SUMIF('ГП-107'!$B$7:$K$806,B67,'ГП-107'!$K$7:$K$806)</f>
        <v>0</v>
      </c>
      <c r="H67" s="258" t="s">
        <v>359</v>
      </c>
    </row>
    <row r="68" spans="1:8" x14ac:dyDescent="0.25">
      <c r="A68" s="240"/>
      <c r="B68" s="326" t="s">
        <v>184</v>
      </c>
      <c r="C68" s="327"/>
      <c r="D68" s="327"/>
      <c r="E68" s="327"/>
      <c r="F68" s="328"/>
      <c r="G68" s="241">
        <f ca="1">SUM(G7:G67)</f>
        <v>0</v>
      </c>
      <c r="H68" s="263"/>
    </row>
    <row r="69" spans="1:8" x14ac:dyDescent="0.25">
      <c r="G69" s="138"/>
    </row>
    <row r="70" spans="1:8" x14ac:dyDescent="0.25">
      <c r="G70" s="262">
        <f ca="1">G68-'ГП-107'!K809</f>
        <v>0</v>
      </c>
    </row>
  </sheetData>
  <autoFilter ref="E1:E69" xr:uid="{00000000-0009-0000-0000-000002000000}"/>
  <mergeCells count="2">
    <mergeCell ref="A2:H2"/>
    <mergeCell ref="B68:F68"/>
  </mergeCells>
  <phoneticPr fontId="23" type="noConversion"/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ГП-101</vt:lpstr>
      <vt:lpstr>ГП-103 с.1,2,3</vt:lpstr>
      <vt:lpstr>ГП-107</vt:lpstr>
      <vt:lpstr>работы</vt:lpstr>
      <vt:lpstr>материал</vt:lpstr>
      <vt:lpstr>'ГП-101'!Область_печати</vt:lpstr>
      <vt:lpstr>'ГП-103 с.1,2,3'!Область_печати</vt:lpstr>
      <vt:lpstr>материал!Область_печати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Поршнева Екатерина Александровна</dc:creator>
  <cp:lastModifiedBy>Кощеева Марина Сергеевна</cp:lastModifiedBy>
  <cp:lastPrinted>2025-04-17T05:42:34Z</cp:lastPrinted>
  <dcterms:created xsi:type="dcterms:W3CDTF">2015-06-05T18:19:34Z</dcterms:created>
  <dcterms:modified xsi:type="dcterms:W3CDTF">2026-06-29T05:50:21Z</dcterms:modified>
</cp:coreProperties>
</file>