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СФТК\ГП-75\ЛСР\"/>
    </mc:Choice>
  </mc:AlternateContent>
  <xr:revisionPtr revIDLastSave="0" documentId="13_ncr:1_{C34EB6CD-A983-42D9-8BA5-AC9936C5EF96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" l="1"/>
  <c r="P13" i="1" a="1"/>
  <c r="P13" i="1" s="1"/>
  <c r="O15" i="1"/>
  <c r="S15" i="1" a="1"/>
  <c r="S15" i="1" s="1"/>
  <c r="P15" i="1" a="1"/>
  <c r="P15" i="1" s="1"/>
  <c r="O17" i="1"/>
  <c r="P17" i="1" a="1"/>
  <c r="P17" i="1" s="1"/>
  <c r="Q17" i="1" s="1"/>
  <c r="Q16" i="1" s="1"/>
  <c r="O19" i="1"/>
  <c r="S19" i="1" a="1"/>
  <c r="S19" i="1" s="1"/>
  <c r="P19" i="1" a="1"/>
  <c r="P19" i="1" s="1"/>
  <c r="O20" i="1"/>
  <c r="S20" i="1" a="1"/>
  <c r="S20" i="1" s="1"/>
  <c r="P20" i="1" a="1"/>
  <c r="P20" i="1" s="1"/>
  <c r="O22" i="1"/>
  <c r="P22" i="1" a="1"/>
  <c r="P22" i="1" s="1"/>
  <c r="Q22" i="1" s="1"/>
  <c r="Q21" i="1" s="1"/>
  <c r="O24" i="1"/>
  <c r="S24" i="1" a="1"/>
  <c r="S24" i="1" s="1"/>
  <c r="P24" i="1" a="1"/>
  <c r="P24" i="1" s="1"/>
  <c r="Q24" i="1" s="1"/>
  <c r="O25" i="1"/>
  <c r="S25" i="1" a="1"/>
  <c r="S25" i="1" s="1"/>
  <c r="P25" i="1" a="1"/>
  <c r="P25" i="1" s="1"/>
  <c r="O26" i="1"/>
  <c r="S26" i="1" a="1"/>
  <c r="S26" i="1" s="1"/>
  <c r="P26" i="1" a="1"/>
  <c r="P26" i="1" s="1"/>
  <c r="O28" i="1"/>
  <c r="Q28" i="1" s="1"/>
  <c r="Q27" i="1" s="1"/>
  <c r="P28" i="1" a="1"/>
  <c r="P28" i="1" s="1"/>
  <c r="O30" i="1"/>
  <c r="S30" i="1" a="1"/>
  <c r="S30" i="1" s="1"/>
  <c r="P30" i="1" a="1"/>
  <c r="P30" i="1" s="1"/>
  <c r="O31" i="1"/>
  <c r="S31" i="1" a="1"/>
  <c r="S31" i="1" s="1"/>
  <c r="P31" i="1" a="1"/>
  <c r="P31" i="1"/>
  <c r="O33" i="1"/>
  <c r="P33" i="1" a="1"/>
  <c r="P33" i="1" s="1"/>
  <c r="O35" i="1"/>
  <c r="S35" i="1" a="1"/>
  <c r="S35" i="1" s="1"/>
  <c r="P35" i="1" a="1"/>
  <c r="P35" i="1" s="1"/>
  <c r="Q35" i="1" s="1"/>
  <c r="O36" i="1"/>
  <c r="S36" i="1" a="1"/>
  <c r="S36" i="1" s="1"/>
  <c r="P36" i="1" a="1"/>
  <c r="P36" i="1" s="1"/>
  <c r="Q36" i="1" s="1"/>
  <c r="O37" i="1"/>
  <c r="S37" i="1" a="1"/>
  <c r="S37" i="1" s="1"/>
  <c r="P37" i="1" a="1"/>
  <c r="P37" i="1" s="1"/>
  <c r="Q37" i="1" s="1"/>
  <c r="O38" i="1"/>
  <c r="S38" i="1" a="1"/>
  <c r="S38" i="1" s="1"/>
  <c r="P38" i="1" a="1"/>
  <c r="P38" i="1" s="1"/>
  <c r="Q38" i="1" s="1"/>
  <c r="O39" i="1"/>
  <c r="S39" i="1" a="1"/>
  <c r="S39" i="1" s="1"/>
  <c r="P39" i="1" a="1"/>
  <c r="P39" i="1" s="1"/>
  <c r="O41" i="1"/>
  <c r="P41" i="1" a="1"/>
  <c r="P41" i="1"/>
  <c r="Q41" i="1"/>
  <c r="Q40" i="1" s="1"/>
  <c r="O43" i="1"/>
  <c r="S43" i="1" a="1"/>
  <c r="S43" i="1" s="1"/>
  <c r="P43" i="1" a="1"/>
  <c r="P43" i="1" s="1"/>
  <c r="Q43" i="1" s="1"/>
  <c r="O44" i="1"/>
  <c r="S44" i="1" a="1"/>
  <c r="S44" i="1" s="1"/>
  <c r="P44" i="1" a="1"/>
  <c r="P44" i="1" s="1"/>
  <c r="O45" i="1"/>
  <c r="S45" i="1" a="1"/>
  <c r="S45" i="1" s="1"/>
  <c r="P45" i="1" a="1"/>
  <c r="P45" i="1" s="1"/>
  <c r="Q45" i="1" s="1"/>
  <c r="O46" i="1"/>
  <c r="S46" i="1" a="1"/>
  <c r="S46" i="1"/>
  <c r="P46" i="1" a="1"/>
  <c r="P46" i="1" s="1"/>
  <c r="O47" i="1"/>
  <c r="S47" i="1" a="1"/>
  <c r="S47" i="1" s="1"/>
  <c r="P47" i="1" a="1"/>
  <c r="P47" i="1" s="1"/>
  <c r="Q47" i="1" s="1"/>
  <c r="O48" i="1"/>
  <c r="S48" i="1" a="1"/>
  <c r="S48" i="1"/>
  <c r="P48" i="1" a="1"/>
  <c r="P48" i="1" s="1"/>
  <c r="O50" i="1"/>
  <c r="P50" i="1" a="1"/>
  <c r="P50" i="1" s="1"/>
  <c r="O52" i="1"/>
  <c r="S52" i="1" a="1"/>
  <c r="S52" i="1" s="1"/>
  <c r="P52" i="1" a="1"/>
  <c r="P52" i="1" s="1"/>
  <c r="Q52" i="1" s="1"/>
  <c r="O53" i="1"/>
  <c r="S53" i="1" a="1"/>
  <c r="S53" i="1" s="1"/>
  <c r="P53" i="1" a="1"/>
  <c r="P53" i="1" s="1"/>
  <c r="O54" i="1"/>
  <c r="S54" i="1" a="1"/>
  <c r="S54" i="1" s="1"/>
  <c r="P54" i="1" a="1"/>
  <c r="P54" i="1" s="1"/>
  <c r="Q54" i="1" s="1"/>
  <c r="O55" i="1"/>
  <c r="S55" i="1" a="1"/>
  <c r="S55" i="1" s="1"/>
  <c r="P55" i="1" a="1"/>
  <c r="P55" i="1" s="1"/>
  <c r="O56" i="1"/>
  <c r="S56" i="1" a="1"/>
  <c r="S56" i="1" s="1"/>
  <c r="P56" i="1" a="1"/>
  <c r="P56" i="1" s="1"/>
  <c r="Q56" i="1" s="1"/>
  <c r="O58" i="1"/>
  <c r="P58" i="1" a="1"/>
  <c r="P58" i="1" s="1"/>
  <c r="O60" i="1"/>
  <c r="S60" i="1" a="1"/>
  <c r="S60" i="1" s="1"/>
  <c r="P60" i="1" a="1"/>
  <c r="P60" i="1" s="1"/>
  <c r="O61" i="1"/>
  <c r="S61" i="1" a="1"/>
  <c r="S61" i="1"/>
  <c r="P61" i="1" a="1"/>
  <c r="P61" i="1" s="1"/>
  <c r="Q61" i="1" s="1"/>
  <c r="O62" i="1"/>
  <c r="S62" i="1" a="1"/>
  <c r="S62" i="1" s="1"/>
  <c r="P62" i="1" a="1"/>
  <c r="P62" i="1" s="1"/>
  <c r="O66" i="1"/>
  <c r="P66" i="1" a="1"/>
  <c r="P66" i="1"/>
  <c r="Q66" i="1" s="1"/>
  <c r="Q65" i="1" s="1"/>
  <c r="O68" i="1"/>
  <c r="S68" i="1" a="1"/>
  <c r="S68" i="1" s="1"/>
  <c r="P68" i="1" a="1"/>
  <c r="P68" i="1" s="1"/>
  <c r="Q68" i="1" s="1"/>
  <c r="O69" i="1"/>
  <c r="S69" i="1" a="1"/>
  <c r="S69" i="1"/>
  <c r="P69" i="1" a="1"/>
  <c r="P69" i="1"/>
  <c r="O70" i="1"/>
  <c r="Q70" i="1" s="1"/>
  <c r="S70" i="1" a="1"/>
  <c r="S70" i="1" s="1"/>
  <c r="P70" i="1" a="1"/>
  <c r="P70" i="1" s="1"/>
  <c r="O71" i="1"/>
  <c r="S71" i="1" a="1"/>
  <c r="S71" i="1" s="1"/>
  <c r="P71" i="1" a="1"/>
  <c r="P71" i="1" s="1"/>
  <c r="Q71" i="1" s="1"/>
  <c r="O72" i="1"/>
  <c r="S72" i="1" a="1"/>
  <c r="S72" i="1" s="1"/>
  <c r="P72" i="1" a="1"/>
  <c r="P72" i="1" s="1"/>
  <c r="Q72" i="1" s="1"/>
  <c r="O73" i="1"/>
  <c r="S73" i="1" a="1"/>
  <c r="S73" i="1" s="1"/>
  <c r="P73" i="1" a="1"/>
  <c r="P73" i="1"/>
  <c r="Q73" i="1" s="1"/>
  <c r="O74" i="1"/>
  <c r="S74" i="1" a="1"/>
  <c r="S74" i="1" s="1"/>
  <c r="P74" i="1" a="1"/>
  <c r="P74" i="1" s="1"/>
  <c r="O75" i="1"/>
  <c r="S75" i="1" a="1"/>
  <c r="S75" i="1" s="1"/>
  <c r="P75" i="1" a="1"/>
  <c r="P75" i="1" s="1"/>
  <c r="O79" i="1"/>
  <c r="P79" i="1" a="1"/>
  <c r="P79" i="1"/>
  <c r="Q79" i="1" s="1"/>
  <c r="Q78" i="1" s="1"/>
  <c r="O81" i="1"/>
  <c r="S81" i="1" a="1"/>
  <c r="S81" i="1" s="1"/>
  <c r="P81" i="1" a="1"/>
  <c r="P81" i="1" s="1"/>
  <c r="Q81" i="1" s="1"/>
  <c r="O82" i="1"/>
  <c r="S82" i="1" a="1"/>
  <c r="S82" i="1" s="1"/>
  <c r="P82" i="1" a="1"/>
  <c r="P82" i="1" s="1"/>
  <c r="O86" i="1"/>
  <c r="P86" i="1" a="1"/>
  <c r="P86" i="1" s="1"/>
  <c r="O88" i="1"/>
  <c r="S88" i="1" a="1"/>
  <c r="S88" i="1" s="1"/>
  <c r="P88" i="1" a="1"/>
  <c r="P88" i="1" s="1"/>
  <c r="Q88" i="1" s="1"/>
  <c r="O89" i="1"/>
  <c r="S89" i="1" a="1"/>
  <c r="S89" i="1"/>
  <c r="P89" i="1" a="1"/>
  <c r="P89" i="1" s="1"/>
  <c r="O91" i="1"/>
  <c r="P91" i="1" a="1"/>
  <c r="P91" i="1" s="1"/>
  <c r="O93" i="1"/>
  <c r="S93" i="1" a="1"/>
  <c r="S93" i="1"/>
  <c r="P93" i="1" a="1"/>
  <c r="P93" i="1" s="1"/>
  <c r="O94" i="1"/>
  <c r="S94" i="1" a="1"/>
  <c r="S94" i="1" s="1"/>
  <c r="P94" i="1" a="1"/>
  <c r="P94" i="1" s="1"/>
  <c r="Q94" i="1" s="1"/>
  <c r="O95" i="1"/>
  <c r="S95" i="1" a="1"/>
  <c r="S95" i="1" s="1"/>
  <c r="P95" i="1" a="1"/>
  <c r="P95" i="1" s="1"/>
  <c r="Q95" i="1" s="1"/>
  <c r="O96" i="1"/>
  <c r="S96" i="1" a="1"/>
  <c r="S96" i="1" s="1"/>
  <c r="P96" i="1" a="1"/>
  <c r="P96" i="1" s="1"/>
  <c r="O97" i="1"/>
  <c r="S97" i="1" a="1"/>
  <c r="S97" i="1"/>
  <c r="P97" i="1" a="1"/>
  <c r="P97" i="1" s="1"/>
  <c r="O98" i="1"/>
  <c r="Q98" i="1" s="1"/>
  <c r="S98" i="1" a="1"/>
  <c r="S98" i="1" s="1"/>
  <c r="P98" i="1" a="1"/>
  <c r="P98" i="1"/>
  <c r="O99" i="1"/>
  <c r="S99" i="1" a="1"/>
  <c r="S99" i="1"/>
  <c r="P99" i="1" a="1"/>
  <c r="P99" i="1" s="1"/>
  <c r="Q99" i="1" s="1"/>
  <c r="O100" i="1"/>
  <c r="S100" i="1" a="1"/>
  <c r="S100" i="1"/>
  <c r="P100" i="1" a="1"/>
  <c r="P100" i="1" s="1"/>
  <c r="O101" i="1"/>
  <c r="S101" i="1" a="1"/>
  <c r="S101" i="1" s="1"/>
  <c r="P101" i="1" a="1"/>
  <c r="P101" i="1" s="1"/>
  <c r="Q101" i="1" s="1"/>
  <c r="O105" i="1"/>
  <c r="P105" i="1" a="1"/>
  <c r="P105" i="1"/>
  <c r="O107" i="1"/>
  <c r="S107" i="1" a="1"/>
  <c r="S107" i="1" s="1"/>
  <c r="P107" i="1" a="1"/>
  <c r="P107" i="1" s="1"/>
  <c r="Q107" i="1" s="1"/>
  <c r="O108" i="1"/>
  <c r="S108" i="1" a="1"/>
  <c r="S108" i="1" s="1"/>
  <c r="P108" i="1" a="1"/>
  <c r="P108" i="1" s="1"/>
  <c r="O109" i="1"/>
  <c r="S109" i="1" a="1"/>
  <c r="S109" i="1" s="1"/>
  <c r="P109" i="1" a="1"/>
  <c r="P109" i="1" s="1"/>
  <c r="Q109" i="1" s="1"/>
  <c r="O110" i="1"/>
  <c r="S110" i="1" a="1"/>
  <c r="S110" i="1" s="1"/>
  <c r="P110" i="1" a="1"/>
  <c r="P110" i="1" s="1"/>
  <c r="Q110" i="1" s="1"/>
  <c r="O114" i="1"/>
  <c r="P114" i="1" a="1"/>
  <c r="P114" i="1"/>
  <c r="O116" i="1"/>
  <c r="S116" i="1" a="1"/>
  <c r="S116" i="1" s="1"/>
  <c r="P116" i="1" a="1"/>
  <c r="P116" i="1" s="1"/>
  <c r="O117" i="1"/>
  <c r="S117" i="1" a="1"/>
  <c r="S117" i="1" s="1"/>
  <c r="P117" i="1" a="1"/>
  <c r="P117" i="1" s="1"/>
  <c r="O118" i="1"/>
  <c r="S118" i="1" a="1"/>
  <c r="S118" i="1" s="1"/>
  <c r="P118" i="1" a="1"/>
  <c r="P118" i="1" s="1"/>
  <c r="O119" i="1"/>
  <c r="S119" i="1" a="1"/>
  <c r="S119" i="1" s="1"/>
  <c r="P119" i="1" a="1"/>
  <c r="P119" i="1" s="1"/>
  <c r="Q119" i="1" s="1"/>
  <c r="O120" i="1"/>
  <c r="S120" i="1" a="1"/>
  <c r="S120" i="1" s="1"/>
  <c r="P120" i="1" a="1"/>
  <c r="P120" i="1" s="1"/>
  <c r="Q120" i="1" s="1"/>
  <c r="O121" i="1"/>
  <c r="S121" i="1" a="1"/>
  <c r="S121" i="1"/>
  <c r="P121" i="1" a="1"/>
  <c r="P121" i="1" s="1"/>
  <c r="Q121" i="1" s="1"/>
  <c r="O122" i="1"/>
  <c r="S122" i="1" a="1"/>
  <c r="S122" i="1" s="1"/>
  <c r="P122" i="1" a="1"/>
  <c r="P122" i="1" s="1"/>
  <c r="Q122" i="1" s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45" i="3" s="1"/>
  <c r="G9" i="3"/>
  <c r="G8" i="3"/>
  <c r="G7" i="3"/>
  <c r="G6" i="3"/>
  <c r="G5" i="3"/>
  <c r="G4" i="3"/>
  <c r="E17" i="2"/>
  <c r="E16" i="2"/>
  <c r="E15" i="2"/>
  <c r="E14" i="2"/>
  <c r="E13" i="2"/>
  <c r="E12" i="2"/>
  <c r="E11" i="2"/>
  <c r="E10" i="2"/>
  <c r="E9" i="2"/>
  <c r="E18" i="2" s="1"/>
  <c r="E8" i="2"/>
  <c r="E7" i="2"/>
  <c r="E6" i="2"/>
  <c r="E5" i="2"/>
  <c r="E4" i="2"/>
  <c r="Q44" i="1" l="1"/>
  <c r="Q93" i="1"/>
  <c r="Q69" i="1"/>
  <c r="Q55" i="1"/>
  <c r="Q58" i="1"/>
  <c r="Q57" i="1" s="1"/>
  <c r="Q116" i="1"/>
  <c r="Q31" i="1"/>
  <c r="Q48" i="1"/>
  <c r="Q30" i="1"/>
  <c r="Q89" i="1"/>
  <c r="Q87" i="1" s="1"/>
  <c r="Q60" i="1"/>
  <c r="Q114" i="1"/>
  <c r="Q113" i="1" s="1"/>
  <c r="Q53" i="1"/>
  <c r="Q108" i="1"/>
  <c r="Q106" i="1" s="1"/>
  <c r="Q103" i="1" s="1"/>
  <c r="Q102" i="1" s="1"/>
  <c r="Q118" i="1"/>
  <c r="Q115" i="1" s="1"/>
  <c r="Q105" i="1"/>
  <c r="Q104" i="1" s="1"/>
  <c r="Q97" i="1"/>
  <c r="Q86" i="1"/>
  <c r="Q85" i="1" s="1"/>
  <c r="Q117" i="1"/>
  <c r="Q39" i="1"/>
  <c r="Q75" i="1"/>
  <c r="Q33" i="1"/>
  <c r="Q32" i="1" s="1"/>
  <c r="Q96" i="1"/>
  <c r="Q91" i="1"/>
  <c r="Q90" i="1" s="1"/>
  <c r="Q82" i="1"/>
  <c r="Q80" i="1" s="1"/>
  <c r="Q77" i="1" s="1"/>
  <c r="Q76" i="1" s="1"/>
  <c r="Q74" i="1"/>
  <c r="Q67" i="1" s="1"/>
  <c r="Q64" i="1" s="1"/>
  <c r="Q63" i="1" s="1"/>
  <c r="Q20" i="1"/>
  <c r="Q34" i="1"/>
  <c r="Q51" i="1"/>
  <c r="Q19" i="1"/>
  <c r="Q46" i="1"/>
  <c r="Q42" i="1" s="1"/>
  <c r="Q26" i="1"/>
  <c r="Q62" i="1"/>
  <c r="Q50" i="1"/>
  <c r="Q49" i="1" s="1"/>
  <c r="Q100" i="1"/>
  <c r="Q25" i="1"/>
  <c r="Q15" i="1"/>
  <c r="Q14" i="1" s="1"/>
  <c r="Q13" i="1"/>
  <c r="Q12" i="1" s="1"/>
  <c r="Q29" i="1" l="1"/>
  <c r="Q92" i="1"/>
  <c r="Q84" i="1" s="1"/>
  <c r="Q83" i="1" s="1"/>
  <c r="Q124" i="1"/>
  <c r="Q23" i="1"/>
  <c r="Q59" i="1"/>
  <c r="Q112" i="1"/>
  <c r="Q111" i="1" s="1"/>
  <c r="Q18" i="1"/>
  <c r="Q11" i="1" s="1"/>
  <c r="Q10" i="1" s="1"/>
  <c r="Q9" i="1" l="1"/>
  <c r="Q123" i="1" s="1"/>
  <c r="Q125" i="1"/>
</calcChain>
</file>

<file path=xl/sharedStrings.xml><?xml version="1.0" encoding="utf-8"?>
<sst xmlns="http://schemas.openxmlformats.org/spreadsheetml/2006/main" count="694" uniqueCount="195">
  <si>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1, 2, 3, 4, 5, 6, 7, 8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</si>
  <si>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</si>
  <si>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</si>
  <si>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</si>
  <si>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</si>
  <si>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</si>
  <si>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</si>
  <si>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</si>
  <si>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</si>
  <si>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</si>
  <si>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</si>
  <si>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</si>
  <si>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</si>
  <si>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Секция 7</t>
  </si>
  <si>
    <t>Секция 8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</si>
  <si>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</si>
  <si>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</si>
  <si>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</si>
  <si>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</si>
  <si>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</si>
  <si>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</si>
  <si>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</si>
  <si>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05.01</t>
  </si>
  <si>
    <t>Устройство декоративного "мокрого" фасада</t>
  </si>
  <si>
    <t>05.01.01</t>
  </si>
  <si>
    <t>Монтаж теплоизоляционной плиты</t>
  </si>
  <si>
    <t>05.01.01.00</t>
  </si>
  <si>
    <t>Работы:</t>
  </si>
  <si>
    <t>Грунтовка основания</t>
  </si>
  <si>
    <t>м2</t>
  </si>
  <si>
    <t>Материалы:</t>
  </si>
  <si>
    <t>1</t>
  </si>
  <si>
    <t>Грунтовка (л.)</t>
  </si>
  <si>
    <t>водно-дисперсионная глуб.проникновения</t>
  </si>
  <si>
    <t>л (дм3)</t>
  </si>
  <si>
    <t>CT17 CONCENTRATE</t>
  </si>
  <si>
    <t>Монтаж пенополистирола толщ.100мм</t>
  </si>
  <si>
    <t>утепление с отм -0,700 до отм +0,400, а также утепление стен цоколя внутри приямков</t>
  </si>
  <si>
    <t>Пенополистирол</t>
  </si>
  <si>
    <t>экструзионный 100мм 30 кг/м3</t>
  </si>
  <si>
    <t>м3</t>
  </si>
  <si>
    <t>2</t>
  </si>
  <si>
    <t>Мастика</t>
  </si>
  <si>
    <t>приклеивающая битумная холодная</t>
  </si>
  <si>
    <t>кг</t>
  </si>
  <si>
    <t>ТехноНиколь№27</t>
  </si>
  <si>
    <t>Монтаж пенополистирола толщ.150мм</t>
  </si>
  <si>
    <t>беспрессовый ППС25 150мм 25 кг/м3</t>
  </si>
  <si>
    <t>по узлу утепления наружных стен на участках открытых балконов</t>
  </si>
  <si>
    <t>Дюбель</t>
  </si>
  <si>
    <t>для теплоизоляции с термоголовкой 10х240</t>
  </si>
  <si>
    <t>шт</t>
  </si>
  <si>
    <t>3</t>
  </si>
  <si>
    <t>Клей</t>
  </si>
  <si>
    <t>для приклеивания и армирования теплоизоляции</t>
  </si>
  <si>
    <t>минеральной основе THERMO UNIVERSAL</t>
  </si>
  <si>
    <t>Монтаж пенополистирола толщ.30мм</t>
  </si>
  <si>
    <t>утепление наружных граней стен приямков</t>
  </si>
  <si>
    <t>экструзионный 30мм 30 кг/м3</t>
  </si>
  <si>
    <t>для теплоизоляции с термоголовкой 10х120</t>
  </si>
  <si>
    <t>Монтаж теплоизоляционной плиты в 2 слоя</t>
  </si>
  <si>
    <t>потолок тамбура, а также потолок входной зоны</t>
  </si>
  <si>
    <t>для теплоизоляции с термоголовкой 10х360</t>
  </si>
  <si>
    <t>Плита минераловатная</t>
  </si>
  <si>
    <t>100мм 110 кг/м3</t>
  </si>
  <si>
    <t>4</t>
  </si>
  <si>
    <t>150мм 110 кг/м3</t>
  </si>
  <si>
    <t>5</t>
  </si>
  <si>
    <t>Монтаж теплоизоляционной плиты толщ.100мм</t>
  </si>
  <si>
    <t>Секция 1-8: стены технических помещений, потолок лестничной клетки в подвале, стены вентшахт на кровле.
Секция 9: мокрый фасад, внутренние помещения</t>
  </si>
  <si>
    <t>для теплоизоляции с термоголовкой 10х180</t>
  </si>
  <si>
    <t>Пена монтажная</t>
  </si>
  <si>
    <t>профессиональная всесезонная</t>
  </si>
  <si>
    <t>баллон</t>
  </si>
  <si>
    <t>6</t>
  </si>
  <si>
    <t>Пластификатор</t>
  </si>
  <si>
    <t>противоморозный</t>
  </si>
  <si>
    <t>Хардасс 25</t>
  </si>
  <si>
    <t>Монтаж теплоизоляционной плиты толщ.150мм</t>
  </si>
  <si>
    <t>основной фасад, а также стены тамбура</t>
  </si>
  <si>
    <t>Монтаж теплоизоляционной плиты толщ.50мм</t>
  </si>
  <si>
    <t>Секция 1-8: утепление стен лоджий, стены лестничной клетки, потолок технических помещений в подвале.
Секция 9: мокрый фасад паркинга</t>
  </si>
  <si>
    <t>50мм 110 кг/м3</t>
  </si>
  <si>
    <t>05.01.02</t>
  </si>
  <si>
    <t>Устройство армирующего слоя</t>
  </si>
  <si>
    <t>05.01.02.00</t>
  </si>
  <si>
    <t>Профиль (пог.м.)</t>
  </si>
  <si>
    <t>капельник ПВХ с армирующей сеткой универсальный</t>
  </si>
  <si>
    <t>пог. м</t>
  </si>
  <si>
    <t>рустовочный ПВХ с армирующей сеткой 50х25</t>
  </si>
  <si>
    <t>угловой ПВХ с армирующей сеткой 100х150</t>
  </si>
  <si>
    <t>примыкающий оконный ПВХ с армирующей сеткой 6мм</t>
  </si>
  <si>
    <t>Сетка (м2)</t>
  </si>
  <si>
    <t>фасадная стеклотканевая 4х4 165 г/м2</t>
  </si>
  <si>
    <t>ISOMAX -165</t>
  </si>
  <si>
    <t>Праймер</t>
  </si>
  <si>
    <t>битумный</t>
  </si>
  <si>
    <t>ТехноНиколь№01</t>
  </si>
  <si>
    <t>7</t>
  </si>
  <si>
    <t>8</t>
  </si>
  <si>
    <t>Герметик (туб.)</t>
  </si>
  <si>
    <t>полиуретановый</t>
  </si>
  <si>
    <t>туб.</t>
  </si>
  <si>
    <t>Герметик Soudaflex 40 FC 600мл</t>
  </si>
  <si>
    <t>05.01.03</t>
  </si>
  <si>
    <t>Устройство антивандального слоя</t>
  </si>
  <si>
    <t>05.01.03.00</t>
  </si>
  <si>
    <t>штукатурная пластиковая щелочестойкая 15х15</t>
  </si>
  <si>
    <t>Сетка штукатурная стеклотканевая панцирная (усиленная)</t>
  </si>
  <si>
    <t>05.01.04</t>
  </si>
  <si>
    <t>Нанесение декоративной штукатурки</t>
  </si>
  <si>
    <t>05.01.04.00</t>
  </si>
  <si>
    <t>Нанесение декоративной мозаичной штукатурки на стену</t>
  </si>
  <si>
    <t>для подготовки оснований СТ 16</t>
  </si>
  <si>
    <t>Штукатурка</t>
  </si>
  <si>
    <t>декор."мозаичная" 1,4-2,0мм Tibet5</t>
  </si>
  <si>
    <t>декор. "короед" 2,0мм RAL7044</t>
  </si>
  <si>
    <t>Силикатно - силиконовая штукатурка</t>
  </si>
  <si>
    <t>декор. "короед" 2,0мм RAL9010</t>
  </si>
  <si>
    <t>декор. "короед" 2,0мм RAL1019</t>
  </si>
  <si>
    <t>декор. "короед" 2,0мм RAL8019</t>
  </si>
  <si>
    <t>декор. "короед" 2,0мм RAL7022</t>
  </si>
  <si>
    <t>декор. "короед" 2,0мм RAL7039</t>
  </si>
  <si>
    <t>декор. "короед" 2,0мм RAL5011</t>
  </si>
  <si>
    <t>9</t>
  </si>
  <si>
    <t>декор. "короед" 2,0мм RAL1011</t>
  </si>
  <si>
    <t>05.01.07</t>
  </si>
  <si>
    <t>Монтаж отливов</t>
  </si>
  <si>
    <t>05.01.07.00</t>
  </si>
  <si>
    <t>Монтаж отливов с герметизацией стыков</t>
  </si>
  <si>
    <t>верхняя грань стен приямков, а также отлив тип 5, узел Г, АСУ (лист 4)</t>
  </si>
  <si>
    <t>распорный полипропилен 6х80</t>
  </si>
  <si>
    <t>Отлив</t>
  </si>
  <si>
    <t>оцинк.сталь t=0,7мм 170мм RAL7024</t>
  </si>
  <si>
    <t>размеры уточнить по месту</t>
  </si>
  <si>
    <t>оцинк.сталь t=0,7мм 250мм RAL7024</t>
  </si>
  <si>
    <t>05.01.99</t>
  </si>
  <si>
    <t>Прочие работы</t>
  </si>
  <si>
    <t>05.01.99.00</t>
  </si>
  <si>
    <t>Устройство деформационного шва</t>
  </si>
  <si>
    <t>в т.ч. вертикальный и горизонтальный шов</t>
  </si>
  <si>
    <t>деформац. E-обр. ПВХ с армирующей сеткой</t>
  </si>
  <si>
    <t>герметизирующая двухкомпонентная</t>
  </si>
  <si>
    <t>30мм 40 кг/м3</t>
  </si>
  <si>
    <t>оцинк.сталь t=0,7мм 450мм RAL7024</t>
  </si>
  <si>
    <t>Жгут</t>
  </si>
  <si>
    <t>вспененный полиэтилен пустотелый 60/40мм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</si>
  <si>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</si>
  <si>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</si>
  <si>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</si>
  <si>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</si>
  <si>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</si>
  <si>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</si>
  <si>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</si>
  <si>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</si>
  <si>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</si>
  <si>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</si>
  <si>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</si>
  <si>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ГП-75.01.05.01 Секция 1_Устройство декоративного "мокрого" фасада №2</t>
  </si>
  <si>
    <t>b01e6ba0-708f-11f1-9618-db392af1e994</t>
  </si>
  <si>
    <t>ГП-75.02.05.01 Секция 2_Устройство декоративного "мокрого" фасада №1</t>
  </si>
  <si>
    <t>b87b46c4-708f-11f1-9618-db392af1e994</t>
  </si>
  <si>
    <t>ГП-75.03.05.01 Секция 3_Устройство декоративного "мокрого" фасада №1</t>
  </si>
  <si>
    <t>c00e7c1c-708f-11f1-9618-db392af1e994</t>
  </si>
  <si>
    <t>ГП-75.04.05.01 Секция 4_Устройство декоративного "мокрого" фасада №1</t>
  </si>
  <si>
    <t>c7e46fcc-708f-11f1-9618-db392af1e994</t>
  </si>
  <si>
    <t>ГП-75.05.05.01 Секция 5_Устройство декоративного "мокрого" фасада №1</t>
  </si>
  <si>
    <t>cf23fe15-708f-11f1-9618-db392af1e994</t>
  </si>
  <si>
    <t>ГП-75.06.05.01 Секция 6_Устройство декоративного "мокрого" фасада №1</t>
  </si>
  <si>
    <t>d6633eaa-708f-11f1-9618-db392af1e994</t>
  </si>
  <si>
    <t>ГП-75.07.05.01 Секция 7_Устройство декоративного "мокрого" фасада №1</t>
  </si>
  <si>
    <t>de7bdc38-708f-11f1-9618-db392af1e994</t>
  </si>
  <si>
    <t>ГП-75.08.05.01 Секция 8_Устройство декоративного "мокрого" фасада №1</t>
  </si>
  <si>
    <t>e5fc8830-708f-11f1-9618-db392af1e994</t>
  </si>
  <si>
    <t>Итог</t>
  </si>
  <si>
    <t xml:space="preserve">Ведомость объемов работ и расхода материалов по работе: Устройство декоративного "мокрого" фасада </t>
  </si>
  <si>
    <t>Локальный сметный расчет (ЛСР) №1</t>
  </si>
  <si>
    <t>ИТОГО по сметному расчету с НДС:</t>
  </si>
  <si>
    <t>в т.ч стоимость работ</t>
  </si>
  <si>
    <t>в т.ч  стоимость материалов</t>
  </si>
  <si>
    <t>в т.ч  НДС</t>
  </si>
  <si>
    <t>Примечания:</t>
  </si>
  <si>
    <t>-</t>
  </si>
  <si>
    <t>До начала работ необходимо предоставить ППР на согласование</t>
  </si>
  <si>
    <t>Работы по устройству Фасадов выполняются согласно СП 71.13330.2017, а также согласно ППР и технических регламентов ГК ЭНКО</t>
  </si>
  <si>
    <t>Комплекс работ должен включать мероприятия по О.Т при совмещении работ по одной вертикали (Защитные козырьки)</t>
  </si>
  <si>
    <t>В стоимости СМР "монтаж теплоизоляционной плиты", "монтаж пенополистирола" учитывать работу по устройству приклеивающего слоя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</si>
  <si>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</si>
  <si>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Применяемая фасадная система - Ceresit</t>
  </si>
  <si>
    <t>Стоимость материалов учитывает стоимость доставки</t>
  </si>
  <si>
    <t>Объем противоморозного пластификатора закрывается по факту применения, но не более чем предусмотрено локальным сметным расчетом (ЛСР). Объем противоморозного пластификатора в ЛСР рассчитывается исходя из графика производства работ (ГПР). В случае, если фактический объем превышает объем, указанный в ЛСР, заказчик вправе закрыть только объем указанный в ЛСР (т.к. превышение означает, что подрядчик не уложился в сроки производства работ согласно ГПР и данные затраты берет на себя)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</si>
  <si>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</si>
  <si>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СМР учитывает изменение налоговой нагрузки для Подрядчика</t>
  </si>
  <si>
    <t>В случае увеличения налоговой нагрузки подрядчика стоимость договора остается фиксированной и изменению не подлежит.</t>
  </si>
  <si>
    <t>В стоимости СМР "Нанесение декоративной штукатурки", "Нанесение декоративной мозаичной штукатурки на стену"  учитывать работу по огрунтовыванию поверхности перед оштукатуриванием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</si>
</sst>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00"/>
    <numFmt numFmtId="166" formatCode="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rgb="FFFF0000"/>
      <name val="Arial"/>
      <family val="2"/>
      <charset val="204"/>
    </font>
    <font>
      <b/>
      <u/>
      <sz val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/>
    <xf numFmtId="0" fontId="8" fillId="0" borderId="0" xfId="1" applyFont="1"/>
    <xf numFmtId="0" fontId="8" fillId="0" borderId="0" xfId="1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4" fontId="0" fillId="0" borderId="5" xfId="0" applyNumberFormat="1" applyBorder="1" applyAlignment="1" applyProtection="1">
      <alignment horizontal="right" vertical="center"/>
      <protection locked="0"/>
    </xf>
    <xf numFmtId="4" fontId="0" fillId="0" borderId="2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3 2 2 2" xfId="1" xr:uid="{544C7475-6FA1-46C4-8D92-DD2FC6F56B8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AAED35-86D4-4592-8A78-EDFA59D6EE24}" name="Р" displayName="Р" ref="A3:F18" totalsRowCount="1" headerRowDxfId="24" headerRowBorderDxfId="23" tableBorderDxfId="22" totalsRowBorderDxfId="21">
  <autoFilter ref="A3:F17" xr:uid="{EFAAED35-86D4-4592-8A78-EDFA59D6EE24}"/>
  <tableColumns count="6">
    <tableColumn id="1" xr3:uid="{EDC22711-D020-40BD-A4FA-BA987952A020}" name="Наименование" totalsRowLabel="Итог" dataDxfId="20" totalsRowDxfId="19"/>
    <tableColumn id="2" xr3:uid="{517C1CB2-7C00-4AEB-9AD4-1EC85CC2B618}" name="Ед. изм." dataDxfId="18" totalsRowDxfId="17"/>
    <tableColumn id="3" xr3:uid="{1DB267E3-4F75-4320-896D-49F653B41E6C}" name="Количество" dataDxfId="16" totalsRowDxfId="15"/>
    <tableColumn id="4" xr3:uid="{546E9E4B-8621-4E99-B75E-D53351A9D449}" name="Цена за ед., руб" dataDxfId="9" totalsRowDxfId="14"/>
    <tableColumn id="5" xr3:uid="{8A06E467-A215-4D1B-A545-8337E52D68E7}" name="Сумма, руб" totalsRowFunction="sum" dataDxfId="13" totalsRowDxfId="12">
      <calculatedColumnFormula>ROUND(Р[[#This Row],[Количество]]*Р[[#This Row],[Цена за ед., руб]],2)</calculatedColumnFormula>
    </tableColumn>
    <tableColumn id="6" xr3:uid="{14CB32CF-E0F9-479E-BB40-6F5B57572024}" name="Примечание" dataDxfId="11" totalsRow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D91266-5AC0-4EDA-8129-1DB0B096BBD1}" name="М" displayName="М" ref="A3:I45" totalsRowCount="1" headerRowDxfId="37" headerRowBorderDxfId="36" tableBorderDxfId="35" totalsRowBorderDxfId="34">
  <autoFilter ref="A3:I44" xr:uid="{A5D91266-5AC0-4EDA-8129-1DB0B096BBD1}"/>
  <tableColumns count="9">
    <tableColumn id="1" xr3:uid="{3E7242CB-5884-4F7B-8CC4-A3F0FE1BDB5C}" name="Наим." totalsRowLabel="Итог" dataDxfId="33" totalsRowDxfId="8"/>
    <tableColumn id="2" xr3:uid="{93395CF9-AA65-4BBD-B90B-8AB30CF40808}" name="Артикул, марка, произв." dataDxfId="32" totalsRowDxfId="7"/>
    <tableColumn id="3" xr3:uid="{25C8CB44-94EB-4CF6-A069-00C406512D71}" name="Хар-ка" dataDxfId="31" totalsRowDxfId="6"/>
    <tableColumn id="4" xr3:uid="{774AC872-6CC7-4AA3-8BD2-9ECDF2F510E2}" name="Ед. изм." dataDxfId="30" totalsRowDxfId="5"/>
    <tableColumn id="5" xr3:uid="{036BF59F-D609-4917-B868-6B21A8A95590}" name="Количество" dataDxfId="29" totalsRowDxfId="4"/>
    <tableColumn id="6" xr3:uid="{5CA9DE8F-FD3E-4C04-920C-53C8789CD886}" name="Цена за ед., руб" dataDxfId="28" totalsRowDxfId="3"/>
    <tableColumn id="7" xr3:uid="{86E85254-E841-43D1-9997-12537D0A7DE2}" name="Сумма, руб" totalsRowFunction="sum" dataDxfId="27" totalsRowDxfId="2">
      <calculatedColumnFormula>ROUND(М[[#This Row],[Количество]]*М[[#This Row],[Цена за ед., руб]],2)</calculatedColumnFormula>
    </tableColumn>
    <tableColumn id="8" xr3:uid="{B49DD66B-FBCD-410C-AFE0-42A88B40DD21}" name="Прим." dataDxfId="26" totalsRowDxfId="1"/>
    <tableColumn id="9" xr3:uid="{1AA34AFC-F66B-4FC7-86A6-F7C362FBC79F}" name="Форма закупа" dataDxfId="2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141"/>
  <sheetViews>
    <sheetView workbookViewId="0">
      <pane ySplit="7" topLeftCell="A117" activePane="bottomLeft" state="frozen"/>
      <selection pane="bottomLeft" activeCell="B129" sqref="B129:J141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4" width="10.5" style="1" customWidth="1"/>
    <col min="15" max="15" width="14.6640625" style="1" customWidth="1"/>
    <col min="16" max="16" width="16" style="1" customWidth="1"/>
    <col min="17" max="17" width="17" style="1" customWidth="1"/>
    <col min="18" max="18" width="35" style="1" customWidth="1"/>
    <col min="19" max="19" width="23.33203125" style="1" customWidth="1"/>
  </cols>
  <sheetData>
    <row r="1" spans="1:19" ht="11.1" customHeight="1" x14ac:dyDescent="0.2"/>
    <row r="2" spans="1:19" ht="11.1" customHeight="1" x14ac:dyDescent="0.2">
      <c r="B2" s="90" t="s">
        <v>176</v>
      </c>
      <c r="C2" s="90"/>
      <c r="D2" s="90"/>
      <c r="E2" s="90"/>
      <c r="F2" s="90"/>
      <c r="G2" s="90"/>
      <c r="H2" s="90"/>
      <c r="I2" s="90"/>
      <c r="J2" s="90"/>
    </row>
    <row r="3" spans="1:19" ht="23.1" customHeight="1" x14ac:dyDescent="0.2">
      <c r="B3" s="91" t="s">
        <v>0</v>
      </c>
      <c r="C3" s="91"/>
      <c r="D3" s="91"/>
      <c r="E3" s="91"/>
      <c r="F3" s="91"/>
      <c r="G3" s="91"/>
      <c r="H3" s="91"/>
      <c r="I3" s="91"/>
      <c r="J3" s="91"/>
    </row>
    <row r="4" spans="1:19" ht="23.1" customHeight="1" x14ac:dyDescent="0.2">
      <c r="B4" s="91" t="s">
        <v>175</v>
      </c>
      <c r="C4" s="91"/>
      <c r="D4" s="91"/>
      <c r="E4" s="91"/>
      <c r="F4" s="91"/>
      <c r="G4" s="91"/>
      <c r="H4" s="91"/>
      <c r="I4" s="91"/>
      <c r="J4" s="91"/>
    </row>
    <row r="5" spans="1:19" ht="11.1" customHeight="1" x14ac:dyDescent="0.2"/>
    <row r="6" spans="1:19" ht="11.1" customHeight="1" x14ac:dyDescent="0.2">
      <c r="A6" s="92" t="s">
        <v>1</v>
      </c>
      <c r="B6" s="92" t="s">
        <v>2</v>
      </c>
      <c r="C6" s="94" t="s">
        <v>3</v>
      </c>
      <c r="D6" s="96" t="s">
        <v>4</v>
      </c>
      <c r="E6" s="92" t="s">
        <v>5</v>
      </c>
      <c r="F6" s="98" t="s">
        <v>6</v>
      </c>
      <c r="G6" s="100" t="s">
        <v>7</v>
      </c>
      <c r="H6" s="100" t="s">
        <v>8</v>
      </c>
      <c r="I6" s="100" t="s">
        <v>9</v>
      </c>
      <c r="J6" s="100" t="s">
        <v>10</v>
      </c>
      <c r="K6" s="100" t="s">
        <v>11</v>
      </c>
      <c r="L6" s="100" t="s">
        <v>12</v>
      </c>
      <c r="M6" s="100" t="s">
        <v>13</v>
      </c>
      <c r="N6" s="100" t="s">
        <v>14</v>
      </c>
      <c r="O6" s="92" t="s">
        <v>15</v>
      </c>
      <c r="P6" s="98" t="s">
        <v>16</v>
      </c>
      <c r="Q6" s="98" t="s">
        <v>17</v>
      </c>
      <c r="R6" s="92" t="s">
        <v>18</v>
      </c>
      <c r="S6" s="98" t="s">
        <v>19</v>
      </c>
    </row>
    <row r="7" spans="1:19" ht="11.1" customHeight="1" x14ac:dyDescent="0.2">
      <c r="A7" s="93"/>
      <c r="B7" s="93"/>
      <c r="C7" s="95"/>
      <c r="D7" s="97"/>
      <c r="E7" s="93"/>
      <c r="F7" s="99"/>
      <c r="G7" s="101"/>
      <c r="H7" s="101"/>
      <c r="I7" s="101"/>
      <c r="J7" s="101"/>
      <c r="K7" s="101"/>
      <c r="L7" s="101"/>
      <c r="M7" s="101"/>
      <c r="N7" s="101"/>
      <c r="O7" s="93"/>
      <c r="P7" s="99"/>
      <c r="Q7" s="99"/>
      <c r="R7" s="93"/>
      <c r="S7" s="99"/>
    </row>
    <row r="8" spans="1:19" ht="11.1" customHeight="1" x14ac:dyDescent="0.2">
      <c r="A8" s="3" t="s">
        <v>20</v>
      </c>
      <c r="B8" s="4" t="s">
        <v>21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62"/>
      <c r="Q8" s="62"/>
      <c r="R8" s="5"/>
      <c r="S8" s="5"/>
    </row>
    <row r="9" spans="1:19" ht="23.1" customHeight="1" outlineLevel="1" x14ac:dyDescent="0.2">
      <c r="A9" s="8" t="s">
        <v>22</v>
      </c>
      <c r="B9" s="9" t="s">
        <v>23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63"/>
      <c r="Q9" s="63">
        <f>SUM($Q$111,$Q$102,$Q$83,$Q$76,$Q$63,$Q$10)</f>
        <v>0</v>
      </c>
      <c r="R9" s="10"/>
      <c r="S9" s="10"/>
    </row>
    <row r="10" spans="1:19" ht="11.1" customHeight="1" outlineLevel="2" x14ac:dyDescent="0.2">
      <c r="A10" s="13" t="s">
        <v>24</v>
      </c>
      <c r="B10" s="14" t="s">
        <v>25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64"/>
      <c r="Q10" s="64">
        <f>SUM($Q$11)</f>
        <v>0</v>
      </c>
      <c r="R10" s="19"/>
      <c r="S10" s="19"/>
    </row>
    <row r="11" spans="1:19" ht="11.1" customHeight="1" outlineLevel="3" x14ac:dyDescent="0.2">
      <c r="A11" s="13" t="s">
        <v>26</v>
      </c>
      <c r="B11" s="14" t="s">
        <v>25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64"/>
      <c r="Q11" s="64">
        <f>SUM($Q$59,$Q$57,$Q$51,$Q$49,$Q$42,$Q$40,$Q$34,$Q$32,$Q$29,$Q$27,$Q$23,$Q$21,$Q$18,$Q$16,$Q$14,$Q$12)</f>
        <v>0</v>
      </c>
      <c r="R11" s="19"/>
      <c r="S11" s="19"/>
    </row>
    <row r="12" spans="1:19" ht="11.1" customHeight="1" outlineLevel="4" x14ac:dyDescent="0.2">
      <c r="A12" s="20"/>
      <c r="B12" s="14" t="s">
        <v>27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65"/>
      <c r="Q12" s="66">
        <f>SUM($Q$13)</f>
        <v>0</v>
      </c>
      <c r="R12" s="18"/>
      <c r="S12" s="22"/>
    </row>
    <row r="13" spans="1:19" ht="11.1" customHeight="1" outlineLevel="4" x14ac:dyDescent="0.2">
      <c r="A13" s="23"/>
      <c r="B13" s="24" t="s">
        <v>28</v>
      </c>
      <c r="C13" s="25"/>
      <c r="D13" s="25"/>
      <c r="E13" s="26" t="s">
        <v>29</v>
      </c>
      <c r="F13" s="27"/>
      <c r="G13" s="28">
        <v>5406.49</v>
      </c>
      <c r="H13" s="28">
        <v>3448.15</v>
      </c>
      <c r="I13" s="28">
        <v>3788.97</v>
      </c>
      <c r="J13" s="28">
        <v>2040.03</v>
      </c>
      <c r="K13" s="28">
        <v>2130.84</v>
      </c>
      <c r="L13" s="28">
        <v>3850.06</v>
      </c>
      <c r="M13" s="29">
        <v>3639.1</v>
      </c>
      <c r="N13" s="28">
        <v>3549.65</v>
      </c>
      <c r="O13" s="28">
        <f>SUM($G$13:$N$13)</f>
        <v>27853.29</v>
      </c>
      <c r="P13" s="28">
        <f t="array" ref="P13">INDEX(Р[Цена за ед., руб],MATCH(1,IF(($B13=Р[Наименование])*($R13=Р[Примечание]),{1},($B13=Р[Наименование])*($R13=Р[Примечание])),0))</f>
        <v>0</v>
      </c>
      <c r="Q13" s="28">
        <f>ROUND($O$13*$P$13,2)</f>
        <v>0</v>
      </c>
      <c r="R13" s="25"/>
      <c r="S13" s="25"/>
    </row>
    <row r="14" spans="1:19" ht="11.1" customHeight="1" outlineLevel="4" x14ac:dyDescent="0.2">
      <c r="A14" s="20"/>
      <c r="B14" s="14" t="s">
        <v>30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65"/>
      <c r="Q14" s="66">
        <f>SUM($Q$15)</f>
        <v>0</v>
      </c>
      <c r="R14" s="18"/>
      <c r="S14" s="22"/>
    </row>
    <row r="15" spans="1:19" ht="47.1" customHeight="1" outlineLevel="4" x14ac:dyDescent="0.2">
      <c r="A15" s="23" t="s">
        <v>31</v>
      </c>
      <c r="B15" s="24" t="s">
        <v>32</v>
      </c>
      <c r="C15" s="25"/>
      <c r="D15" s="25" t="s">
        <v>33</v>
      </c>
      <c r="E15" s="26" t="s">
        <v>34</v>
      </c>
      <c r="F15" s="30">
        <v>0.02</v>
      </c>
      <c r="G15" s="31">
        <v>108.13</v>
      </c>
      <c r="H15" s="31">
        <v>68.959999999999994</v>
      </c>
      <c r="I15" s="31">
        <v>75.78</v>
      </c>
      <c r="J15" s="32">
        <v>40.799999999999997</v>
      </c>
      <c r="K15" s="31">
        <v>42.62</v>
      </c>
      <c r="L15" s="33">
        <v>77</v>
      </c>
      <c r="M15" s="31">
        <v>72.78</v>
      </c>
      <c r="N15" s="31">
        <v>70.989999999999995</v>
      </c>
      <c r="O15" s="31">
        <f>SUM($G$15:$N$15)</f>
        <v>557.05999999999995</v>
      </c>
      <c r="P15" s="28">
        <f t="array" ref="P15">INDEX(М[Цена за ед., руб],MATCH(1,IF(($B15=М[Наим.])*($C15=М[Артикул, марка, произв.])*($D15=М[Хар-ка])*($R15=М[Прим.]),{1},($B15=М[Наим.])*($C15=М[Артикул, марка, произв.])*($D15=М[Хар-ка])*($R15=М[Прим.])),0))</f>
        <v>0</v>
      </c>
      <c r="Q15" s="28">
        <f>ROUND($O$15*$P$15,2)</f>
        <v>0</v>
      </c>
      <c r="R15" s="25" t="s">
        <v>35</v>
      </c>
      <c r="S15" s="25" t="str">
        <f t="array" ref="S15">INDEX(М[Форма закупа],MATCH(1,IF(($B15=М[Наим.])*($C15=М[Артикул, марка, произв.])*($D15=М[Хар-ка])*($R15=М[Прим.]),{1},($B15=М[Наим.])*($C15=М[Артикул, марка, произв.])*($D15=М[Хар-ка])*($R15=М[Прим.])),0))</f>
        <v>Закупка подрядчик</v>
      </c>
    </row>
    <row r="16" spans="1:19" ht="11.1" customHeight="1" outlineLevel="4" x14ac:dyDescent="0.2">
      <c r="A16" s="20"/>
      <c r="B16" s="14" t="s">
        <v>27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65"/>
      <c r="Q16" s="66">
        <f>SUM($Q$17)</f>
        <v>0</v>
      </c>
      <c r="R16" s="18"/>
      <c r="S16" s="22"/>
    </row>
    <row r="17" spans="1:19" ht="35.1" customHeight="1" outlineLevel="4" x14ac:dyDescent="0.2">
      <c r="A17" s="23"/>
      <c r="B17" s="24" t="s">
        <v>36</v>
      </c>
      <c r="C17" s="25"/>
      <c r="D17" s="25"/>
      <c r="E17" s="26" t="s">
        <v>29</v>
      </c>
      <c r="F17" s="27"/>
      <c r="G17" s="31">
        <v>100.31</v>
      </c>
      <c r="H17" s="32">
        <v>84.3</v>
      </c>
      <c r="I17" s="31">
        <v>82.32</v>
      </c>
      <c r="J17" s="31">
        <v>66.260000000000005</v>
      </c>
      <c r="K17" s="31">
        <v>66.260000000000005</v>
      </c>
      <c r="L17" s="31">
        <v>82.32</v>
      </c>
      <c r="M17" s="32">
        <v>84.3</v>
      </c>
      <c r="N17" s="31">
        <v>84.02</v>
      </c>
      <c r="O17" s="31">
        <f>SUM($G$17:$N$17)</f>
        <v>650.08999999999992</v>
      </c>
      <c r="P17" s="28">
        <f t="array" ref="P17">INDEX(Р[Цена за ед., руб],MATCH(1,IF(($B17=Р[Наименование])*($R17=Р[Примечание]),{1},($B17=Р[Наименование])*($R17=Р[Примечание])),0))</f>
        <v>0</v>
      </c>
      <c r="Q17" s="28">
        <f>ROUND($O$17*$P$17,2)</f>
        <v>0</v>
      </c>
      <c r="R17" s="25" t="s">
        <v>37</v>
      </c>
      <c r="S17" s="25"/>
    </row>
    <row r="18" spans="1:19" ht="11.1" customHeight="1" outlineLevel="4" x14ac:dyDescent="0.2">
      <c r="A18" s="20"/>
      <c r="B18" s="14" t="s">
        <v>30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65"/>
      <c r="Q18" s="66">
        <f>SUM($Q$19:$Q$20)</f>
        <v>0</v>
      </c>
      <c r="R18" s="18"/>
      <c r="S18" s="22"/>
    </row>
    <row r="19" spans="1:19" ht="23.1" customHeight="1" outlineLevel="4" x14ac:dyDescent="0.2">
      <c r="A19" s="23" t="s">
        <v>31</v>
      </c>
      <c r="B19" s="24" t="s">
        <v>38</v>
      </c>
      <c r="C19" s="25"/>
      <c r="D19" s="25" t="s">
        <v>39</v>
      </c>
      <c r="E19" s="26" t="s">
        <v>40</v>
      </c>
      <c r="F19" s="30">
        <v>1.05</v>
      </c>
      <c r="G19" s="31">
        <v>10.53</v>
      </c>
      <c r="H19" s="31">
        <v>8.85</v>
      </c>
      <c r="I19" s="31">
        <v>8.64</v>
      </c>
      <c r="J19" s="31">
        <v>6.96</v>
      </c>
      <c r="K19" s="31">
        <v>6.96</v>
      </c>
      <c r="L19" s="31">
        <v>8.64</v>
      </c>
      <c r="M19" s="31">
        <v>8.85</v>
      </c>
      <c r="N19" s="31">
        <v>8.82</v>
      </c>
      <c r="O19" s="31">
        <f>SUM($G$19:$N$19)</f>
        <v>68.25</v>
      </c>
      <c r="P19" s="28">
        <f t="array" ref="P19">INDEX(М[Цена за ед., руб],MATCH(1,IF(($B19=М[Наим.])*($C19=М[Артикул, марка, произв.])*($D19=М[Хар-ка])*($R19=М[Прим.]),{1},($B19=М[Наим.])*($C19=М[Артикул, марка, произв.])*($D19=М[Хар-ка])*($R19=М[Прим.])),0))</f>
        <v>0</v>
      </c>
      <c r="Q19" s="28">
        <f>ROUND($O$19*$P$19,2)</f>
        <v>0</v>
      </c>
      <c r="R19" s="25"/>
      <c r="S19" s="25" t="str">
        <f t="array" ref="S19">INDEX(М[Форма закупа],MATCH(1,IF(($B19=М[Наим.])*($C19=М[Артикул, марка, произв.])*($D19=М[Хар-ка])*($R19=М[Прим.]),{1},($B19=М[Наим.])*($C19=М[Артикул, марка, произв.])*($D19=М[Хар-ка])*($R19=М[Прим.])),0))</f>
        <v>Закупка подрядчик</v>
      </c>
    </row>
    <row r="20" spans="1:19" ht="35.1" customHeight="1" outlineLevel="4" x14ac:dyDescent="0.2">
      <c r="A20" s="23" t="s">
        <v>41</v>
      </c>
      <c r="B20" s="24" t="s">
        <v>42</v>
      </c>
      <c r="C20" s="25"/>
      <c r="D20" s="25" t="s">
        <v>43</v>
      </c>
      <c r="E20" s="26" t="s">
        <v>44</v>
      </c>
      <c r="F20" s="30">
        <v>1</v>
      </c>
      <c r="G20" s="31">
        <v>100.31</v>
      </c>
      <c r="H20" s="32">
        <v>84.3</v>
      </c>
      <c r="I20" s="31">
        <v>82.32</v>
      </c>
      <c r="J20" s="31">
        <v>66.260000000000005</v>
      </c>
      <c r="K20" s="31">
        <v>66.260000000000005</v>
      </c>
      <c r="L20" s="31">
        <v>82.32</v>
      </c>
      <c r="M20" s="32">
        <v>84.3</v>
      </c>
      <c r="N20" s="31">
        <v>84.02</v>
      </c>
      <c r="O20" s="31">
        <f>SUM($G$20:$N$20)</f>
        <v>650.08999999999992</v>
      </c>
      <c r="P20" s="28">
        <f t="array" ref="P20">INDEX(М[Цена за ед., руб],MATCH(1,IF(($B20=М[Наим.])*($C20=М[Артикул, марка, произв.])*($D20=М[Хар-ка])*($R20=М[Прим.]),{1},($B20=М[Наим.])*($C20=М[Артикул, марка, произв.])*($D20=М[Хар-ка])*($R20=М[Прим.])),0))</f>
        <v>0</v>
      </c>
      <c r="Q20" s="28">
        <f>ROUND($O$20*$P$20,2)</f>
        <v>0</v>
      </c>
      <c r="R20" s="25" t="s">
        <v>45</v>
      </c>
      <c r="S20" s="25" t="str">
        <f t="array" ref="S20">INDEX(М[Форма закупа],MATCH(1,IF(($B20=М[Наим.])*($C20=М[Артикул, марка, произв.])*($D20=М[Хар-ка])*($R20=М[Прим.]),{1},($B20=М[Наим.])*($C20=М[Артикул, марка, произв.])*($D20=М[Хар-ка])*($R20=М[Прим.])),0))</f>
        <v>Закупка подрядчик</v>
      </c>
    </row>
    <row r="21" spans="1:19" ht="11.1" customHeight="1" outlineLevel="4" x14ac:dyDescent="0.2">
      <c r="A21" s="20"/>
      <c r="B21" s="14" t="s">
        <v>27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65"/>
      <c r="Q21" s="66">
        <f>SUM($Q$22)</f>
        <v>0</v>
      </c>
      <c r="R21" s="18"/>
      <c r="S21" s="22"/>
    </row>
    <row r="22" spans="1:19" ht="11.1" customHeight="1" outlineLevel="4" x14ac:dyDescent="0.2">
      <c r="A22" s="23"/>
      <c r="B22" s="24" t="s">
        <v>46</v>
      </c>
      <c r="C22" s="25"/>
      <c r="D22" s="25"/>
      <c r="E22" s="26" t="s">
        <v>29</v>
      </c>
      <c r="F22" s="27"/>
      <c r="G22" s="31">
        <v>148.07</v>
      </c>
      <c r="H22" s="31">
        <v>124.36</v>
      </c>
      <c r="I22" s="31">
        <v>94.92</v>
      </c>
      <c r="J22" s="31">
        <v>76.28</v>
      </c>
      <c r="K22" s="31">
        <v>76.28</v>
      </c>
      <c r="L22" s="31">
        <v>94.92</v>
      </c>
      <c r="M22" s="31">
        <v>92.29</v>
      </c>
      <c r="N22" s="31">
        <v>79.78</v>
      </c>
      <c r="O22" s="32">
        <f>SUM($G$22:$N$22)</f>
        <v>786.89999999999986</v>
      </c>
      <c r="P22" s="28">
        <f t="array" ref="P22">INDEX(Р[Цена за ед., руб],MATCH(1,IF(($B22=Р[Наименование])*($R22=Р[Примечание]),{1},($B22=Р[Наименование])*($R22=Р[Примечание])),0))</f>
        <v>0</v>
      </c>
      <c r="Q22" s="28">
        <f>ROUND($O$22*$P$22,2)</f>
        <v>0</v>
      </c>
      <c r="R22" s="25"/>
      <c r="S22" s="25"/>
    </row>
    <row r="23" spans="1:19" ht="11.1" customHeight="1" outlineLevel="4" x14ac:dyDescent="0.2">
      <c r="A23" s="20"/>
      <c r="B23" s="14" t="s">
        <v>30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65"/>
      <c r="Q23" s="66">
        <f>SUM($Q$24:$Q$26)</f>
        <v>0</v>
      </c>
      <c r="R23" s="18"/>
      <c r="S23" s="22"/>
    </row>
    <row r="24" spans="1:19" ht="35.1" customHeight="1" outlineLevel="4" x14ac:dyDescent="0.2">
      <c r="A24" s="23" t="s">
        <v>31</v>
      </c>
      <c r="B24" s="24" t="s">
        <v>38</v>
      </c>
      <c r="C24" s="25"/>
      <c r="D24" s="25" t="s">
        <v>47</v>
      </c>
      <c r="E24" s="26" t="s">
        <v>40</v>
      </c>
      <c r="F24" s="30">
        <v>1.05</v>
      </c>
      <c r="G24" s="31">
        <v>23.32</v>
      </c>
      <c r="H24" s="31">
        <v>19.59</v>
      </c>
      <c r="I24" s="31">
        <v>14.95</v>
      </c>
      <c r="J24" s="31">
        <v>12.01</v>
      </c>
      <c r="K24" s="31">
        <v>12.01</v>
      </c>
      <c r="L24" s="31">
        <v>14.95</v>
      </c>
      <c r="M24" s="31">
        <v>14.54</v>
      </c>
      <c r="N24" s="31">
        <v>12.57</v>
      </c>
      <c r="O24" s="31">
        <f>SUM($G$24:$N$24)</f>
        <v>123.94</v>
      </c>
      <c r="P24" s="28">
        <f t="array" ref="P24">INDEX(М[Цена за ед., руб],MATCH(1,IF(($B24=М[Наим.])*($C24=М[Артикул, марка, произв.])*($D24=М[Хар-ка])*($R24=М[Прим.]),{1},($B24=М[Наим.])*($C24=М[Артикул, марка, произв.])*($D24=М[Хар-ка])*($R24=М[Прим.])),0))</f>
        <v>0</v>
      </c>
      <c r="Q24" s="28">
        <f>ROUND($O$24*$P$24,2)</f>
        <v>0</v>
      </c>
      <c r="R24" s="25" t="s">
        <v>48</v>
      </c>
      <c r="S24" s="25" t="str">
        <f t="array" ref="S24">INDEX(М[Форма закупа],MATCH(1,IF(($B24=М[Наим.])*($C24=М[Артикул, марка, произв.])*($D24=М[Хар-ка])*($R24=М[Прим.]),{1},($B24=М[Наим.])*($C24=М[Артикул, марка, произв.])*($D24=М[Хар-ка])*($R24=М[Прим.])),0))</f>
        <v>Закупка подрядчик</v>
      </c>
    </row>
    <row r="25" spans="1:19" ht="47.1" customHeight="1" outlineLevel="4" x14ac:dyDescent="0.2">
      <c r="A25" s="23" t="s">
        <v>41</v>
      </c>
      <c r="B25" s="24" t="s">
        <v>49</v>
      </c>
      <c r="C25" s="25"/>
      <c r="D25" s="25" t="s">
        <v>50</v>
      </c>
      <c r="E25" s="26" t="s">
        <v>51</v>
      </c>
      <c r="F25" s="30">
        <v>8</v>
      </c>
      <c r="G25" s="34">
        <v>1185</v>
      </c>
      <c r="H25" s="33">
        <v>995</v>
      </c>
      <c r="I25" s="33">
        <v>759</v>
      </c>
      <c r="J25" s="33">
        <v>610</v>
      </c>
      <c r="K25" s="33">
        <v>610</v>
      </c>
      <c r="L25" s="33">
        <v>759</v>
      </c>
      <c r="M25" s="33">
        <v>738</v>
      </c>
      <c r="N25" s="33">
        <v>638</v>
      </c>
      <c r="O25" s="34">
        <f>SUM($G$25:$N$25)</f>
        <v>6294</v>
      </c>
      <c r="P25" s="28">
        <f t="array" ref="P25">INDEX(М[Цена за ед., руб],MATCH(1,IF(($B25=М[Наим.])*($C25=М[Артикул, марка, произв.])*($D25=М[Хар-ка])*($R25=М[Прим.]),{1},($B25=М[Наим.])*($C25=М[Артикул, марка, произв.])*($D25=М[Хар-ка])*($R25=М[Прим.])),0))</f>
        <v>0</v>
      </c>
      <c r="Q25" s="28">
        <f>ROUND($O$25*$P$25,2)</f>
        <v>0</v>
      </c>
      <c r="R25" s="25"/>
      <c r="S25" s="25" t="str">
        <f t="array" ref="S25">INDEX(М[Форма закупа],MATCH(1,IF(($B25=М[Наим.])*($C25=М[Артикул, марка, произв.])*($D25=М[Хар-ка])*($R25=М[Прим.]),{1},($B25=М[Наим.])*($C25=М[Артикул, марка, произв.])*($D25=М[Хар-ка])*($R25=М[Прим.])),0))</f>
        <v>Закупка подрядчик</v>
      </c>
    </row>
    <row r="26" spans="1:19" ht="35.1" customHeight="1" outlineLevel="4" x14ac:dyDescent="0.2">
      <c r="A26" s="23" t="s">
        <v>52</v>
      </c>
      <c r="B26" s="24" t="s">
        <v>53</v>
      </c>
      <c r="C26" s="25"/>
      <c r="D26" s="25" t="s">
        <v>54</v>
      </c>
      <c r="E26" s="26" t="s">
        <v>44</v>
      </c>
      <c r="F26" s="30">
        <v>6</v>
      </c>
      <c r="G26" s="31">
        <v>888.43</v>
      </c>
      <c r="H26" s="31">
        <v>746.17</v>
      </c>
      <c r="I26" s="31">
        <v>569.52</v>
      </c>
      <c r="J26" s="31">
        <v>457.65</v>
      </c>
      <c r="K26" s="31">
        <v>457.65</v>
      </c>
      <c r="L26" s="31">
        <v>569.52</v>
      </c>
      <c r="M26" s="31">
        <v>553.72</v>
      </c>
      <c r="N26" s="31">
        <v>478.66</v>
      </c>
      <c r="O26" s="28">
        <f>SUM($G$26:$N$26)</f>
        <v>4721.32</v>
      </c>
      <c r="P26" s="28">
        <f t="array" ref="P26">INDEX(М[Цена за ед., руб],MATCH(1,IF(($B26=М[Наим.])*($C26=М[Артикул, марка, произв.])*($D26=М[Хар-ка])*($R26=М[Прим.]),{1},($B26=М[Наим.])*($C26=М[Артикул, марка, произв.])*($D26=М[Хар-ка])*($R26=М[Прим.])),0))</f>
        <v>0</v>
      </c>
      <c r="Q26" s="28">
        <f>ROUND($O$26*$P$26,2)</f>
        <v>0</v>
      </c>
      <c r="R26" s="25" t="s">
        <v>55</v>
      </c>
      <c r="S26" s="25" t="str">
        <f t="array" ref="S26">INDEX(М[Форма закупа],MATCH(1,IF(($B26=М[Наим.])*($C26=М[Артикул, марка, произв.])*($D26=М[Хар-ка])*($R26=М[Прим.]),{1},($B26=М[Наим.])*($C26=М[Артикул, марка, произв.])*($D26=М[Хар-ка])*($R26=М[Прим.])),0))</f>
        <v>Закупка подрядчик</v>
      </c>
    </row>
    <row r="27" spans="1:19" ht="11.1" customHeight="1" outlineLevel="4" x14ac:dyDescent="0.2">
      <c r="A27" s="20"/>
      <c r="B27" s="14" t="s">
        <v>27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65"/>
      <c r="Q27" s="66">
        <f>SUM($Q$28)</f>
        <v>0</v>
      </c>
      <c r="R27" s="18"/>
      <c r="S27" s="22"/>
    </row>
    <row r="28" spans="1:19" ht="23.1" customHeight="1" outlineLevel="4" x14ac:dyDescent="0.2">
      <c r="A28" s="23"/>
      <c r="B28" s="24" t="s">
        <v>56</v>
      </c>
      <c r="C28" s="25"/>
      <c r="D28" s="25"/>
      <c r="E28" s="26" t="s">
        <v>29</v>
      </c>
      <c r="F28" s="27"/>
      <c r="G28" s="32">
        <v>2.7</v>
      </c>
      <c r="H28" s="32">
        <v>2.7</v>
      </c>
      <c r="I28" s="32">
        <v>2.7</v>
      </c>
      <c r="J28" s="32">
        <v>2.7</v>
      </c>
      <c r="K28" s="32">
        <v>2.7</v>
      </c>
      <c r="L28" s="32">
        <v>2.7</v>
      </c>
      <c r="M28" s="32">
        <v>2.7</v>
      </c>
      <c r="N28" s="32">
        <v>2.7</v>
      </c>
      <c r="O28" s="32">
        <f>SUM($G$28:$N$28)</f>
        <v>21.599999999999998</v>
      </c>
      <c r="P28" s="28">
        <f t="array" ref="P28">INDEX(Р[Цена за ед., руб],MATCH(1,IF(($B28=Р[Наименование])*($R28=Р[Примечание]),{1},($B28=Р[Наименование])*($R28=Р[Примечание])),0))</f>
        <v>0</v>
      </c>
      <c r="Q28" s="28">
        <f>ROUND($O$28*$P$28,2)</f>
        <v>0</v>
      </c>
      <c r="R28" s="25" t="s">
        <v>57</v>
      </c>
      <c r="S28" s="25"/>
    </row>
    <row r="29" spans="1:19" ht="11.1" customHeight="1" outlineLevel="4" x14ac:dyDescent="0.2">
      <c r="A29" s="20"/>
      <c r="B29" s="14" t="s">
        <v>30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65"/>
      <c r="Q29" s="66">
        <f>SUM($Q$30:$Q$31)</f>
        <v>0</v>
      </c>
      <c r="R29" s="18"/>
      <c r="S29" s="22"/>
    </row>
    <row r="30" spans="1:19" ht="23.1" customHeight="1" outlineLevel="4" x14ac:dyDescent="0.2">
      <c r="A30" s="23" t="s">
        <v>31</v>
      </c>
      <c r="B30" s="24" t="s">
        <v>38</v>
      </c>
      <c r="C30" s="25"/>
      <c r="D30" s="25" t="s">
        <v>58</v>
      </c>
      <c r="E30" s="26" t="s">
        <v>40</v>
      </c>
      <c r="F30" s="30">
        <v>1.05</v>
      </c>
      <c r="G30" s="31">
        <v>0.09</v>
      </c>
      <c r="H30" s="31">
        <v>0.09</v>
      </c>
      <c r="I30" s="31">
        <v>0.09</v>
      </c>
      <c r="J30" s="31">
        <v>0.09</v>
      </c>
      <c r="K30" s="31">
        <v>0.09</v>
      </c>
      <c r="L30" s="31">
        <v>0.09</v>
      </c>
      <c r="M30" s="31">
        <v>0.09</v>
      </c>
      <c r="N30" s="31">
        <v>0.09</v>
      </c>
      <c r="O30" s="31">
        <f>SUM($G$30:$N$30)</f>
        <v>0.71999999999999986</v>
      </c>
      <c r="P30" s="28">
        <f t="array" ref="P30">INDEX(М[Цена за ед., руб],MATCH(1,IF(($B30=М[Наим.])*($C30=М[Артикул, марка, произв.])*($D30=М[Хар-ка])*($R30=М[Прим.]),{1},($B30=М[Наим.])*($C30=М[Артикул, марка, произв.])*($D30=М[Хар-ка])*($R30=М[Прим.])),0))</f>
        <v>0</v>
      </c>
      <c r="Q30" s="28">
        <f>ROUND($O$30*$P$30,2)</f>
        <v>0</v>
      </c>
      <c r="R30" s="25"/>
      <c r="S30" s="25" t="str">
        <f t="array" ref="S30">INDEX(М[Форма закупа],MATCH(1,IF(($B30=М[Наим.])*($C30=М[Артикул, марка, произв.])*($D30=М[Хар-ка])*($R30=М[Прим.]),{1},($B30=М[Наим.])*($C30=М[Артикул, марка, произв.])*($D30=М[Хар-ка])*($R30=М[Прим.])),0))</f>
        <v>Закупка подрядчик</v>
      </c>
    </row>
    <row r="31" spans="1:19" ht="47.1" customHeight="1" outlineLevel="4" x14ac:dyDescent="0.2">
      <c r="A31" s="23" t="s">
        <v>41</v>
      </c>
      <c r="B31" s="24" t="s">
        <v>49</v>
      </c>
      <c r="C31" s="25"/>
      <c r="D31" s="25" t="s">
        <v>59</v>
      </c>
      <c r="E31" s="26" t="s">
        <v>51</v>
      </c>
      <c r="F31" s="30">
        <v>8</v>
      </c>
      <c r="G31" s="33">
        <v>22</v>
      </c>
      <c r="H31" s="33">
        <v>22</v>
      </c>
      <c r="I31" s="33">
        <v>22</v>
      </c>
      <c r="J31" s="33">
        <v>22</v>
      </c>
      <c r="K31" s="33">
        <v>22</v>
      </c>
      <c r="L31" s="33">
        <v>22</v>
      </c>
      <c r="M31" s="33">
        <v>22</v>
      </c>
      <c r="N31" s="33">
        <v>22</v>
      </c>
      <c r="O31" s="33">
        <f>SUM($G$31:$N$31)</f>
        <v>176</v>
      </c>
      <c r="P31" s="28">
        <f t="array" ref="P31">INDEX(М[Цена за ед., руб],MATCH(1,IF(($B31=М[Наим.])*($C31=М[Артикул, марка, произв.])*($D31=М[Хар-ка])*($R31=М[Прим.]),{1},($B31=М[Наим.])*($C31=М[Артикул, марка, произв.])*($D31=М[Хар-ка])*($R31=М[Прим.])),0))</f>
        <v>0</v>
      </c>
      <c r="Q31" s="28">
        <f>ROUND($O$31*$P$31,2)</f>
        <v>0</v>
      </c>
      <c r="R31" s="25"/>
      <c r="S31" s="25" t="str">
        <f t="array" ref="S31">INDEX(М[Форма закупа],MATCH(1,IF(($B31=М[Наим.])*($C31=М[Артикул, марка, произв.])*($D31=М[Хар-ка])*($R31=М[Прим.]),{1},($B31=М[Наим.])*($C31=М[Артикул, марка, произв.])*($D31=М[Хар-ка])*($R31=М[Прим.])),0))</f>
        <v>Закупка подрядчик</v>
      </c>
    </row>
    <row r="32" spans="1:19" ht="11.1" customHeight="1" outlineLevel="4" x14ac:dyDescent="0.2">
      <c r="A32" s="20"/>
      <c r="B32" s="14" t="s">
        <v>27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65"/>
      <c r="Q32" s="66">
        <f>SUM($Q$33)</f>
        <v>0</v>
      </c>
      <c r="R32" s="18"/>
      <c r="S32" s="22"/>
    </row>
    <row r="33" spans="1:19" ht="23.1" customHeight="1" outlineLevel="4" x14ac:dyDescent="0.2">
      <c r="A33" s="23"/>
      <c r="B33" s="24" t="s">
        <v>60</v>
      </c>
      <c r="C33" s="25"/>
      <c r="D33" s="25"/>
      <c r="E33" s="26" t="s">
        <v>29</v>
      </c>
      <c r="F33" s="27"/>
      <c r="G33" s="31">
        <v>21.53</v>
      </c>
      <c r="H33" s="32">
        <v>24.9</v>
      </c>
      <c r="I33" s="31">
        <v>18.72</v>
      </c>
      <c r="J33" s="31">
        <v>19.71</v>
      </c>
      <c r="K33" s="31">
        <v>19.71</v>
      </c>
      <c r="L33" s="31">
        <v>18.72</v>
      </c>
      <c r="M33" s="31">
        <v>21.47</v>
      </c>
      <c r="N33" s="31">
        <v>22.15</v>
      </c>
      <c r="O33" s="31">
        <f>SUM($G$33:$N$33)</f>
        <v>166.91000000000003</v>
      </c>
      <c r="P33" s="28">
        <f t="array" ref="P33">INDEX(Р[Цена за ед., руб],MATCH(1,IF(($B33=Р[Наименование])*($R33=Р[Примечание]),{1},($B33=Р[Наименование])*($R33=Р[Примечание])),0))</f>
        <v>0</v>
      </c>
      <c r="Q33" s="28">
        <f>ROUND($O$33*$P$33,2)</f>
        <v>0</v>
      </c>
      <c r="R33" s="25" t="s">
        <v>61</v>
      </c>
      <c r="S33" s="25"/>
    </row>
    <row r="34" spans="1:19" ht="11.1" customHeight="1" outlineLevel="4" x14ac:dyDescent="0.2">
      <c r="A34" s="20"/>
      <c r="B34" s="14" t="s">
        <v>30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65"/>
      <c r="Q34" s="66">
        <f>SUM($Q$35:$Q$39)</f>
        <v>0</v>
      </c>
      <c r="R34" s="18"/>
      <c r="S34" s="22"/>
    </row>
    <row r="35" spans="1:19" ht="47.1" customHeight="1" outlineLevel="4" x14ac:dyDescent="0.2">
      <c r="A35" s="23" t="s">
        <v>31</v>
      </c>
      <c r="B35" s="24" t="s">
        <v>49</v>
      </c>
      <c r="C35" s="25"/>
      <c r="D35" s="25" t="s">
        <v>50</v>
      </c>
      <c r="E35" s="26" t="s">
        <v>51</v>
      </c>
      <c r="F35" s="30">
        <v>8</v>
      </c>
      <c r="G35" s="33">
        <v>172</v>
      </c>
      <c r="H35" s="33">
        <v>199</v>
      </c>
      <c r="I35" s="33">
        <v>150</v>
      </c>
      <c r="J35" s="33">
        <v>157</v>
      </c>
      <c r="K35" s="33">
        <v>157</v>
      </c>
      <c r="L35" s="33">
        <v>150</v>
      </c>
      <c r="M35" s="33">
        <v>172</v>
      </c>
      <c r="N35" s="33">
        <v>177</v>
      </c>
      <c r="O35" s="34">
        <f>SUM($G$35:$N$35)</f>
        <v>1334</v>
      </c>
      <c r="P35" s="28">
        <f t="array" ref="P35">INDEX(М[Цена за ед., руб],MATCH(1,IF(($B35=М[Наим.])*($C35=М[Артикул, марка, произв.])*($D35=М[Хар-ка])*($R35=М[Прим.]),{1},($B35=М[Наим.])*($C35=М[Артикул, марка, произв.])*($D35=М[Хар-ка])*($R35=М[Прим.])),0))</f>
        <v>0</v>
      </c>
      <c r="Q35" s="28">
        <f>ROUND($O$35*$P$35,2)</f>
        <v>0</v>
      </c>
      <c r="R35" s="25"/>
      <c r="S35" s="25" t="str">
        <f t="array" ref="S35">INDEX(М[Форма закупа],MATCH(1,IF(($B35=М[Наим.])*($C35=М[Артикул, марка, произв.])*($D35=М[Хар-ка])*($R35=М[Прим.]),{1},($B35=М[Наим.])*($C35=М[Артикул, марка, произв.])*($D35=М[Хар-ка])*($R35=М[Прим.])),0))</f>
        <v>Закупка подрядчик</v>
      </c>
    </row>
    <row r="36" spans="1:19" ht="47.1" customHeight="1" outlineLevel="4" x14ac:dyDescent="0.2">
      <c r="A36" s="23" t="s">
        <v>41</v>
      </c>
      <c r="B36" s="24" t="s">
        <v>49</v>
      </c>
      <c r="C36" s="25"/>
      <c r="D36" s="25" t="s">
        <v>62</v>
      </c>
      <c r="E36" s="26" t="s">
        <v>51</v>
      </c>
      <c r="F36" s="30">
        <v>8</v>
      </c>
      <c r="G36" s="33">
        <v>172</v>
      </c>
      <c r="H36" s="33">
        <v>199</v>
      </c>
      <c r="I36" s="33">
        <v>150</v>
      </c>
      <c r="J36" s="33">
        <v>157</v>
      </c>
      <c r="K36" s="33">
        <v>157</v>
      </c>
      <c r="L36" s="33">
        <v>150</v>
      </c>
      <c r="M36" s="33">
        <v>172</v>
      </c>
      <c r="N36" s="33">
        <v>177</v>
      </c>
      <c r="O36" s="34">
        <f>SUM($G$36:$N$36)</f>
        <v>1334</v>
      </c>
      <c r="P36" s="28">
        <f t="array" ref="P36">INDEX(М[Цена за ед., руб],MATCH(1,IF(($B36=М[Наим.])*($C36=М[Артикул, марка, произв.])*($D36=М[Хар-ка])*($R36=М[Прим.]),{1},($B36=М[Наим.])*($C36=М[Артикул, марка, произв.])*($D36=М[Хар-ка])*($R36=М[Прим.])),0))</f>
        <v>0</v>
      </c>
      <c r="Q36" s="28">
        <f>ROUND($O$36*$P$36,2)</f>
        <v>0</v>
      </c>
      <c r="R36" s="25"/>
      <c r="S36" s="25" t="str">
        <f t="array" ref="S36">INDEX(М[Форма закупа],MATCH(1,IF(($B36=М[Наим.])*($C36=М[Артикул, марка, произв.])*($D36=М[Хар-ка])*($R36=М[Прим.]),{1},($B36=М[Наим.])*($C36=М[Артикул, марка, произв.])*($D36=М[Хар-ка])*($R36=М[Прим.])),0))</f>
        <v>Закупка подрядчик</v>
      </c>
    </row>
    <row r="37" spans="1:19" ht="11.1" customHeight="1" outlineLevel="4" x14ac:dyDescent="0.2">
      <c r="A37" s="23" t="s">
        <v>52</v>
      </c>
      <c r="B37" s="24" t="s">
        <v>63</v>
      </c>
      <c r="C37" s="25"/>
      <c r="D37" s="25" t="s">
        <v>64</v>
      </c>
      <c r="E37" s="26" t="s">
        <v>40</v>
      </c>
      <c r="F37" s="30">
        <v>1.07</v>
      </c>
      <c r="G37" s="32">
        <v>2.2999999999999998</v>
      </c>
      <c r="H37" s="31">
        <v>2.67</v>
      </c>
      <c r="I37" s="33">
        <v>2</v>
      </c>
      <c r="J37" s="31">
        <v>2.11</v>
      </c>
      <c r="K37" s="31">
        <v>2.11</v>
      </c>
      <c r="L37" s="33">
        <v>2</v>
      </c>
      <c r="M37" s="32">
        <v>2.2999999999999998</v>
      </c>
      <c r="N37" s="31">
        <v>2.37</v>
      </c>
      <c r="O37" s="31">
        <f>SUM($G$37:$N$37)</f>
        <v>17.86</v>
      </c>
      <c r="P37" s="28">
        <f t="array" ref="P37">INDEX(М[Цена за ед., руб],MATCH(1,IF(($B37=М[Наим.])*($C37=М[Артикул, марка, произв.])*($D37=М[Хар-ка])*($R37=М[Прим.]),{1},($B37=М[Наим.])*($C37=М[Артикул, марка, произв.])*($D37=М[Хар-ка])*($R37=М[Прим.])),0))</f>
        <v>0</v>
      </c>
      <c r="Q37" s="28">
        <f>ROUND($O$37*$P$37,2)</f>
        <v>0</v>
      </c>
      <c r="R37" s="25"/>
      <c r="S37" s="25" t="str">
        <f t="array" ref="S37">INDEX(М[Форма закупа],MATCH(1,IF(($B37=М[Наим.])*($C37=М[Артикул, марка, произв.])*($D37=М[Хар-ка])*($R37=М[Прим.]),{1},($B37=М[Наим.])*($C37=М[Артикул, марка, произв.])*($D37=М[Хар-ка])*($R37=М[Прим.])),0))</f>
        <v>Закупка подрядчик</v>
      </c>
    </row>
    <row r="38" spans="1:19" ht="11.1" customHeight="1" outlineLevel="4" x14ac:dyDescent="0.2">
      <c r="A38" s="23" t="s">
        <v>65</v>
      </c>
      <c r="B38" s="24" t="s">
        <v>63</v>
      </c>
      <c r="C38" s="25"/>
      <c r="D38" s="25" t="s">
        <v>66</v>
      </c>
      <c r="E38" s="26" t="s">
        <v>40</v>
      </c>
      <c r="F38" s="30">
        <v>1.07</v>
      </c>
      <c r="G38" s="31">
        <v>3.46</v>
      </c>
      <c r="H38" s="33">
        <v>4</v>
      </c>
      <c r="I38" s="31">
        <v>3.01</v>
      </c>
      <c r="J38" s="31">
        <v>3.16</v>
      </c>
      <c r="K38" s="31">
        <v>3.16</v>
      </c>
      <c r="L38" s="31">
        <v>3.01</v>
      </c>
      <c r="M38" s="31">
        <v>3.45</v>
      </c>
      <c r="N38" s="31">
        <v>3.55</v>
      </c>
      <c r="O38" s="32">
        <f>SUM($G$38:$N$38)</f>
        <v>26.799999999999997</v>
      </c>
      <c r="P38" s="28">
        <f t="array" ref="P38">INDEX(М[Цена за ед., руб],MATCH(1,IF(($B38=М[Наим.])*($C38=М[Артикул, марка, произв.])*($D38=М[Хар-ка])*($R38=М[Прим.]),{1},($B38=М[Наим.])*($C38=М[Артикул, марка, произв.])*($D38=М[Хар-ка])*($R38=М[Прим.])),0))</f>
        <v>0</v>
      </c>
      <c r="Q38" s="28">
        <f>ROUND($O$38*$P$38,2)</f>
        <v>0</v>
      </c>
      <c r="R38" s="25"/>
      <c r="S38" s="25" t="str">
        <f t="array" ref="S38">INDEX(М[Форма закупа],MATCH(1,IF(($B38=М[Наим.])*($C38=М[Артикул, марка, произв.])*($D38=М[Хар-ка])*($R38=М[Прим.]),{1},($B38=М[Наим.])*($C38=М[Артикул, марка, произв.])*($D38=М[Хар-ка])*($R38=М[Прим.])),0))</f>
        <v>Закупка подрядчик</v>
      </c>
    </row>
    <row r="39" spans="1:19" ht="35.1" customHeight="1" outlineLevel="4" x14ac:dyDescent="0.2">
      <c r="A39" s="23" t="s">
        <v>67</v>
      </c>
      <c r="B39" s="24" t="s">
        <v>53</v>
      </c>
      <c r="C39" s="25"/>
      <c r="D39" s="25" t="s">
        <v>54</v>
      </c>
      <c r="E39" s="26" t="s">
        <v>44</v>
      </c>
      <c r="F39" s="30">
        <v>6</v>
      </c>
      <c r="G39" s="31">
        <v>258.32</v>
      </c>
      <c r="H39" s="31">
        <v>298.82</v>
      </c>
      <c r="I39" s="31">
        <v>224.64</v>
      </c>
      <c r="J39" s="31">
        <v>236.57</v>
      </c>
      <c r="K39" s="31">
        <v>236.57</v>
      </c>
      <c r="L39" s="31">
        <v>224.64</v>
      </c>
      <c r="M39" s="31">
        <v>257.64</v>
      </c>
      <c r="N39" s="31">
        <v>265.76</v>
      </c>
      <c r="O39" s="28">
        <f>SUM($G$39:$N$39)</f>
        <v>2002.9599999999998</v>
      </c>
      <c r="P39" s="28">
        <f t="array" ref="P39">INDEX(М[Цена за ед., руб],MATCH(1,IF(($B39=М[Наим.])*($C39=М[Артикул, марка, произв.])*($D39=М[Хар-ка])*($R39=М[Прим.]),{1},($B39=М[Наим.])*($C39=М[Артикул, марка, произв.])*($D39=М[Хар-ка])*($R39=М[Прим.])),0))</f>
        <v>0</v>
      </c>
      <c r="Q39" s="28">
        <f>ROUND($O$39*$P$39,2)</f>
        <v>0</v>
      </c>
      <c r="R39" s="25" t="s">
        <v>55</v>
      </c>
      <c r="S39" s="25" t="str">
        <f t="array" ref="S39">INDEX(М[Форма закупа],MATCH(1,IF(($B39=М[Наим.])*($C39=М[Артикул, марка, произв.])*($D39=М[Хар-ка])*($R39=М[Прим.]),{1},($B39=М[Наим.])*($C39=М[Артикул, марка, произв.])*($D39=М[Хар-ка])*($R39=М[Прим.])),0))</f>
        <v>Закупка подрядчик</v>
      </c>
    </row>
    <row r="40" spans="1:19" ht="11.1" customHeight="1" outlineLevel="4" x14ac:dyDescent="0.2">
      <c r="A40" s="20"/>
      <c r="B40" s="14" t="s">
        <v>27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65"/>
      <c r="Q40" s="66">
        <f>SUM($Q$41)</f>
        <v>0</v>
      </c>
      <c r="R40" s="18"/>
      <c r="S40" s="22"/>
    </row>
    <row r="41" spans="1:19" ht="71.099999999999994" customHeight="1" outlineLevel="4" x14ac:dyDescent="0.2">
      <c r="A41" s="23"/>
      <c r="B41" s="24" t="s">
        <v>68</v>
      </c>
      <c r="C41" s="25"/>
      <c r="D41" s="25"/>
      <c r="E41" s="26" t="s">
        <v>29</v>
      </c>
      <c r="F41" s="27"/>
      <c r="G41" s="31">
        <v>41.38</v>
      </c>
      <c r="H41" s="31">
        <v>63.97</v>
      </c>
      <c r="I41" s="31">
        <v>45.32</v>
      </c>
      <c r="J41" s="31">
        <v>60.33</v>
      </c>
      <c r="K41" s="31">
        <v>100.25</v>
      </c>
      <c r="L41" s="31">
        <v>60.88</v>
      </c>
      <c r="M41" s="31">
        <v>58.35</v>
      </c>
      <c r="N41" s="31">
        <v>47.11</v>
      </c>
      <c r="O41" s="31">
        <f>SUM($G$41:$N$41)</f>
        <v>477.59000000000003</v>
      </c>
      <c r="P41" s="28">
        <f t="array" ref="P41">INDEX(Р[Цена за ед., руб],MATCH(1,IF(($B41=Р[Наименование])*($R41=Р[Примечание]),{1},($B41=Р[Наименование])*($R41=Р[Примечание])),0))</f>
        <v>0</v>
      </c>
      <c r="Q41" s="28">
        <f>ROUND($O$41*$P$41,2)</f>
        <v>0</v>
      </c>
      <c r="R41" s="25" t="s">
        <v>69</v>
      </c>
      <c r="S41" s="25"/>
    </row>
    <row r="42" spans="1:19" ht="11.1" customHeight="1" outlineLevel="4" x14ac:dyDescent="0.2">
      <c r="A42" s="20"/>
      <c r="B42" s="14" t="s">
        <v>30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65"/>
      <c r="Q42" s="66">
        <f>SUM($Q$43:$Q$48)</f>
        <v>0</v>
      </c>
      <c r="R42" s="18"/>
      <c r="S42" s="22"/>
    </row>
    <row r="43" spans="1:19" ht="47.1" customHeight="1" outlineLevel="4" x14ac:dyDescent="0.2">
      <c r="A43" s="23" t="s">
        <v>31</v>
      </c>
      <c r="B43" s="24" t="s">
        <v>49</v>
      </c>
      <c r="C43" s="25"/>
      <c r="D43" s="25" t="s">
        <v>50</v>
      </c>
      <c r="E43" s="26" t="s">
        <v>51</v>
      </c>
      <c r="F43" s="30">
        <v>8</v>
      </c>
      <c r="G43" s="33">
        <v>209</v>
      </c>
      <c r="H43" s="33">
        <v>355</v>
      </c>
      <c r="I43" s="33">
        <v>214</v>
      </c>
      <c r="J43" s="33">
        <v>371</v>
      </c>
      <c r="K43" s="33">
        <v>690</v>
      </c>
      <c r="L43" s="33">
        <v>338</v>
      </c>
      <c r="M43" s="33">
        <v>342</v>
      </c>
      <c r="N43" s="33">
        <v>250</v>
      </c>
      <c r="O43" s="34">
        <f>SUM($G$43:$N$43)</f>
        <v>2769</v>
      </c>
      <c r="P43" s="28">
        <f t="array" ref="P43">INDEX(М[Цена за ед., руб],MATCH(1,IF(($B43=М[Наим.])*($C43=М[Артикул, марка, произв.])*($D43=М[Хар-ка])*($R43=М[Прим.]),{1},($B43=М[Наим.])*($C43=М[Артикул, марка, произв.])*($D43=М[Хар-ка])*($R43=М[Прим.])),0))</f>
        <v>0</v>
      </c>
      <c r="Q43" s="28">
        <f>ROUND($O$43*$P$43,2)</f>
        <v>0</v>
      </c>
      <c r="R43" s="25"/>
      <c r="S43" s="25" t="str">
        <f t="array" ref="S43">INDEX(М[Форма закупа],MATCH(1,IF(($B43=М[Наим.])*($C43=М[Артикул, марка, произв.])*($D43=М[Хар-ка])*($R43=М[Прим.]),{1},($B43=М[Наим.])*($C43=М[Артикул, марка, произв.])*($D43=М[Хар-ка])*($R43=М[Прим.])),0))</f>
        <v>Закупка подрядчик</v>
      </c>
    </row>
    <row r="44" spans="1:19" ht="47.1" customHeight="1" outlineLevel="4" x14ac:dyDescent="0.2">
      <c r="A44" s="23" t="s">
        <v>41</v>
      </c>
      <c r="B44" s="24" t="s">
        <v>49</v>
      </c>
      <c r="C44" s="25"/>
      <c r="D44" s="25" t="s">
        <v>70</v>
      </c>
      <c r="E44" s="26" t="s">
        <v>51</v>
      </c>
      <c r="F44" s="30">
        <v>8</v>
      </c>
      <c r="G44" s="33">
        <v>123</v>
      </c>
      <c r="H44" s="33">
        <v>157</v>
      </c>
      <c r="I44" s="33">
        <v>149</v>
      </c>
      <c r="J44" s="33">
        <v>112</v>
      </c>
      <c r="K44" s="33">
        <v>112</v>
      </c>
      <c r="L44" s="33">
        <v>149</v>
      </c>
      <c r="M44" s="33">
        <v>125</v>
      </c>
      <c r="N44" s="33">
        <v>127</v>
      </c>
      <c r="O44" s="34">
        <f>SUM($G$44:$N$44)</f>
        <v>1054</v>
      </c>
      <c r="P44" s="28">
        <f t="array" ref="P44">INDEX(М[Цена за ед., руб],MATCH(1,IF(($B44=М[Наим.])*($C44=М[Артикул, марка, произв.])*($D44=М[Хар-ка])*($R44=М[Прим.]),{1},($B44=М[Наим.])*($C44=М[Артикул, марка, произв.])*($D44=М[Хар-ка])*($R44=М[Прим.])),0))</f>
        <v>0</v>
      </c>
      <c r="Q44" s="28">
        <f>ROUND($O$44*$P$44,2)</f>
        <v>0</v>
      </c>
      <c r="R44" s="25"/>
      <c r="S44" s="25" t="str">
        <f t="array" ref="S44">INDEX(М[Форма закупа],MATCH(1,IF(($B44=М[Наим.])*($C44=М[Артикул, марка, произв.])*($D44=М[Хар-ка])*($R44=М[Прим.]),{1},($B44=М[Наим.])*($C44=М[Артикул, марка, произв.])*($D44=М[Хар-ка])*($R44=М[Прим.])),0))</f>
        <v>Закупка подрядчик</v>
      </c>
    </row>
    <row r="45" spans="1:19" ht="11.1" customHeight="1" outlineLevel="4" x14ac:dyDescent="0.2">
      <c r="A45" s="23" t="s">
        <v>52</v>
      </c>
      <c r="B45" s="24" t="s">
        <v>63</v>
      </c>
      <c r="C45" s="25"/>
      <c r="D45" s="25" t="s">
        <v>64</v>
      </c>
      <c r="E45" s="26" t="s">
        <v>40</v>
      </c>
      <c r="F45" s="30">
        <v>1.07</v>
      </c>
      <c r="G45" s="31">
        <v>4.43</v>
      </c>
      <c r="H45" s="31">
        <v>6.84</v>
      </c>
      <c r="I45" s="31">
        <v>4.8499999999999996</v>
      </c>
      <c r="J45" s="31">
        <v>6.46</v>
      </c>
      <c r="K45" s="31">
        <v>10.73</v>
      </c>
      <c r="L45" s="31">
        <v>6.51</v>
      </c>
      <c r="M45" s="31">
        <v>6.24</v>
      </c>
      <c r="N45" s="31">
        <v>5.04</v>
      </c>
      <c r="O45" s="32">
        <f>SUM($G$45:$N$45)</f>
        <v>51.1</v>
      </c>
      <c r="P45" s="28">
        <f t="array" ref="P45">INDEX(М[Цена за ед., руб],MATCH(1,IF(($B45=М[Наим.])*($C45=М[Артикул, марка, произв.])*($D45=М[Хар-ка])*($R45=М[Прим.]),{1},($B45=М[Наим.])*($C45=М[Артикул, марка, произв.])*($D45=М[Хар-ка])*($R45=М[Прим.])),0))</f>
        <v>0</v>
      </c>
      <c r="Q45" s="28">
        <f>ROUND($O$45*$P$45,2)</f>
        <v>0</v>
      </c>
      <c r="R45" s="25"/>
      <c r="S45" s="25" t="str">
        <f t="array" ref="S45">INDEX(М[Форма закупа],MATCH(1,IF(($B45=М[Наим.])*($C45=М[Артикул, марка, произв.])*($D45=М[Хар-ка])*($R45=М[Прим.]),{1},($B45=М[Наим.])*($C45=М[Артикул, марка, произв.])*($D45=М[Хар-ка])*($R45=М[Прим.])),0))</f>
        <v>Закупка подрядчик</v>
      </c>
    </row>
    <row r="46" spans="1:19" ht="23.1" customHeight="1" outlineLevel="4" x14ac:dyDescent="0.2">
      <c r="A46" s="23" t="s">
        <v>65</v>
      </c>
      <c r="B46" s="24" t="s">
        <v>71</v>
      </c>
      <c r="C46" s="25"/>
      <c r="D46" s="25" t="s">
        <v>72</v>
      </c>
      <c r="E46" s="26" t="s">
        <v>73</v>
      </c>
      <c r="F46" s="30">
        <v>6.7000000000000004E-2</v>
      </c>
      <c r="G46" s="33">
        <v>1</v>
      </c>
      <c r="H46" s="33">
        <v>1</v>
      </c>
      <c r="I46" s="33">
        <v>1</v>
      </c>
      <c r="J46" s="33">
        <v>1</v>
      </c>
      <c r="K46" s="33">
        <v>1</v>
      </c>
      <c r="L46" s="33">
        <v>1</v>
      </c>
      <c r="M46" s="33">
        <v>1</v>
      </c>
      <c r="N46" s="33">
        <v>1</v>
      </c>
      <c r="O46" s="33">
        <f>SUM($G$46:$N$46)</f>
        <v>8</v>
      </c>
      <c r="P46" s="28">
        <f t="array" ref="P46">INDEX(М[Цена за ед., руб],MATCH(1,IF(($B46=М[Наим.])*($C46=М[Артикул, марка, произв.])*($D46=М[Хар-ка])*($R46=М[Прим.]),{1},($B46=М[Наим.])*($C46=М[Артикул, марка, произв.])*($D46=М[Хар-ка])*($R46=М[Прим.])),0))</f>
        <v>0</v>
      </c>
      <c r="Q46" s="28">
        <f>ROUND($O$46*$P$46,2)</f>
        <v>0</v>
      </c>
      <c r="R46" s="25"/>
      <c r="S46" s="25" t="str">
        <f t="array" ref="S46">INDEX(М[Форма закупа],MATCH(1,IF(($B46=М[Наим.])*($C46=М[Артикул, марка, произв.])*($D46=М[Хар-ка])*($R46=М[Прим.]),{1},($B46=М[Наим.])*($C46=М[Артикул, марка, произв.])*($D46=М[Хар-ка])*($R46=М[Прим.])),0))</f>
        <v>Закупка подрядчик</v>
      </c>
    </row>
    <row r="47" spans="1:19" ht="35.1" customHeight="1" outlineLevel="4" x14ac:dyDescent="0.2">
      <c r="A47" s="23" t="s">
        <v>67</v>
      </c>
      <c r="B47" s="24" t="s">
        <v>53</v>
      </c>
      <c r="C47" s="25"/>
      <c r="D47" s="25" t="s">
        <v>54</v>
      </c>
      <c r="E47" s="26" t="s">
        <v>44</v>
      </c>
      <c r="F47" s="30">
        <v>6</v>
      </c>
      <c r="G47" s="31">
        <v>248.26</v>
      </c>
      <c r="H47" s="32">
        <v>383.8</v>
      </c>
      <c r="I47" s="31">
        <v>271.92</v>
      </c>
      <c r="J47" s="31">
        <v>361.97</v>
      </c>
      <c r="K47" s="31">
        <v>601.47</v>
      </c>
      <c r="L47" s="31">
        <v>365.26</v>
      </c>
      <c r="M47" s="31">
        <v>350.12</v>
      </c>
      <c r="N47" s="31">
        <v>282.66000000000003</v>
      </c>
      <c r="O47" s="28">
        <f>SUM($G$47:$N$47)</f>
        <v>2865.46</v>
      </c>
      <c r="P47" s="28">
        <f t="array" ref="P47">INDEX(М[Цена за ед., руб],MATCH(1,IF(($B47=М[Наим.])*($C47=М[Артикул, марка, произв.])*($D47=М[Хар-ка])*($R47=М[Прим.]),{1},($B47=М[Наим.])*($C47=М[Артикул, марка, произв.])*($D47=М[Хар-ка])*($R47=М[Прим.])),0))</f>
        <v>0</v>
      </c>
      <c r="Q47" s="28">
        <f>ROUND($O$47*$P$47,2)</f>
        <v>0</v>
      </c>
      <c r="R47" s="25" t="s">
        <v>55</v>
      </c>
      <c r="S47" s="25" t="str">
        <f t="array" ref="S47">INDEX(М[Форма закупа],MATCH(1,IF(($B47=М[Наим.])*($C47=М[Артикул, марка, произв.])*($D47=М[Хар-ка])*($R47=М[Прим.]),{1},($B47=М[Наим.])*($C47=М[Артикул, марка, произв.])*($D47=М[Хар-ка])*($R47=М[Прим.])),0))</f>
        <v>Закупка подрядчик</v>
      </c>
    </row>
    <row r="48" spans="1:19" ht="11.1" customHeight="1" outlineLevel="4" x14ac:dyDescent="0.2">
      <c r="A48" s="23" t="s">
        <v>74</v>
      </c>
      <c r="B48" s="24" t="s">
        <v>75</v>
      </c>
      <c r="C48" s="25"/>
      <c r="D48" s="25" t="s">
        <v>76</v>
      </c>
      <c r="E48" s="26" t="s">
        <v>34</v>
      </c>
      <c r="F48" s="27"/>
      <c r="G48" s="33">
        <v>1</v>
      </c>
      <c r="H48" s="33">
        <v>1</v>
      </c>
      <c r="I48" s="33">
        <v>1</v>
      </c>
      <c r="J48" s="33">
        <v>1</v>
      </c>
      <c r="K48" s="33">
        <v>1</v>
      </c>
      <c r="L48" s="33">
        <v>1</v>
      </c>
      <c r="M48" s="33">
        <v>1</v>
      </c>
      <c r="N48" s="33">
        <v>1</v>
      </c>
      <c r="O48" s="33">
        <f>SUM($G$48:$N$48)</f>
        <v>8</v>
      </c>
      <c r="P48" s="28">
        <f t="array" ref="P48">INDEX(М[Цена за ед., руб],MATCH(1,IF(($B48=М[Наим.])*($C48=М[Артикул, марка, произв.])*($D48=М[Хар-ка])*($R48=М[Прим.]),{1},($B48=М[Наим.])*($C48=М[Артикул, марка, произв.])*($D48=М[Хар-ка])*($R48=М[Прим.])),0))</f>
        <v>0</v>
      </c>
      <c r="Q48" s="28">
        <f>ROUND($O$48*$P$48,2)</f>
        <v>0</v>
      </c>
      <c r="R48" s="25" t="s">
        <v>77</v>
      </c>
      <c r="S48" s="25" t="str">
        <f t="array" ref="S48">INDEX(М[Форма закупа],MATCH(1,IF(($B48=М[Наим.])*($C48=М[Артикул, марка, произв.])*($D48=М[Хар-ка])*($R48=М[Прим.]),{1},($B48=М[Наим.])*($C48=М[Артикул, марка, произв.])*($D48=М[Хар-ка])*($R48=М[Прим.])),0))</f>
        <v>Закупка подрядчик</v>
      </c>
    </row>
    <row r="49" spans="1:19" ht="11.1" customHeight="1" outlineLevel="4" x14ac:dyDescent="0.2">
      <c r="A49" s="20"/>
      <c r="B49" s="14" t="s">
        <v>27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65"/>
      <c r="Q49" s="66">
        <f>SUM($Q$50)</f>
        <v>0</v>
      </c>
      <c r="R49" s="18"/>
      <c r="S49" s="22"/>
    </row>
    <row r="50" spans="1:19" ht="23.1" customHeight="1" outlineLevel="4" x14ac:dyDescent="0.2">
      <c r="A50" s="23"/>
      <c r="B50" s="24" t="s">
        <v>78</v>
      </c>
      <c r="C50" s="25"/>
      <c r="D50" s="25"/>
      <c r="E50" s="26" t="s">
        <v>29</v>
      </c>
      <c r="F50" s="27"/>
      <c r="G50" s="28">
        <v>3888.13</v>
      </c>
      <c r="H50" s="28">
        <v>2373.15</v>
      </c>
      <c r="I50" s="28">
        <v>3565.64</v>
      </c>
      <c r="J50" s="28">
        <v>1828.07</v>
      </c>
      <c r="K50" s="34">
        <v>1839</v>
      </c>
      <c r="L50" s="29">
        <v>3566.3</v>
      </c>
      <c r="M50" s="29">
        <v>2600.3000000000002</v>
      </c>
      <c r="N50" s="28">
        <v>2638.99</v>
      </c>
      <c r="O50" s="28">
        <f>SUM($G$50:$N$50)</f>
        <v>22299.58</v>
      </c>
      <c r="P50" s="28">
        <f t="array" ref="P50">INDEX(Р[Цена за ед., руб],MATCH(1,IF(($B50=Р[Наименование])*($R50=Р[Примечание]),{1},($B50=Р[Наименование])*($R50=Р[Примечание])),0))</f>
        <v>0</v>
      </c>
      <c r="Q50" s="28">
        <f>ROUND($O$50*$P$50,2)</f>
        <v>0</v>
      </c>
      <c r="R50" s="25" t="s">
        <v>79</v>
      </c>
      <c r="S50" s="25"/>
    </row>
    <row r="51" spans="1:19" ht="11.1" customHeight="1" outlineLevel="4" x14ac:dyDescent="0.2">
      <c r="A51" s="20"/>
      <c r="B51" s="14" t="s">
        <v>30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65"/>
      <c r="Q51" s="66">
        <f>SUM($Q$52:$Q$56)</f>
        <v>0</v>
      </c>
      <c r="R51" s="18"/>
      <c r="S51" s="22"/>
    </row>
    <row r="52" spans="1:19" ht="47.1" customHeight="1" outlineLevel="4" x14ac:dyDescent="0.2">
      <c r="A52" s="23" t="s">
        <v>31</v>
      </c>
      <c r="B52" s="24" t="s">
        <v>49</v>
      </c>
      <c r="C52" s="25"/>
      <c r="D52" s="25" t="s">
        <v>50</v>
      </c>
      <c r="E52" s="26" t="s">
        <v>51</v>
      </c>
      <c r="F52" s="30">
        <v>8</v>
      </c>
      <c r="G52" s="34">
        <v>31105</v>
      </c>
      <c r="H52" s="34">
        <v>18985</v>
      </c>
      <c r="I52" s="34">
        <v>28525</v>
      </c>
      <c r="J52" s="34">
        <v>14624</v>
      </c>
      <c r="K52" s="34">
        <v>14712</v>
      </c>
      <c r="L52" s="34">
        <v>28531</v>
      </c>
      <c r="M52" s="34">
        <v>20802</v>
      </c>
      <c r="N52" s="34">
        <v>21112</v>
      </c>
      <c r="O52" s="34">
        <f>SUM($G$52:$N$52)</f>
        <v>178396</v>
      </c>
      <c r="P52" s="28">
        <f t="array" ref="P52">INDEX(М[Цена за ед., руб],MATCH(1,IF(($B52=М[Наим.])*($C52=М[Артикул, марка, произв.])*($D52=М[Хар-ка])*($R52=М[Прим.]),{1},($B52=М[Наим.])*($C52=М[Артикул, марка, произв.])*($D52=М[Хар-ка])*($R52=М[Прим.])),0))</f>
        <v>0</v>
      </c>
      <c r="Q52" s="28">
        <f>ROUND($O$52*$P$52,2)</f>
        <v>0</v>
      </c>
      <c r="R52" s="25"/>
      <c r="S52" s="25" t="str">
        <f t="array" ref="S52">INDEX(М[Форма закупа],MATCH(1,IF(($B52=М[Наим.])*($C52=М[Артикул, марка, произв.])*($D52=М[Хар-ка])*($R52=М[Прим.]),{1},($B52=М[Наим.])*($C52=М[Артикул, марка, произв.])*($D52=М[Хар-ка])*($R52=М[Прим.])),0))</f>
        <v>Закупка подрядчик</v>
      </c>
    </row>
    <row r="53" spans="1:19" ht="11.1" customHeight="1" outlineLevel="4" x14ac:dyDescent="0.2">
      <c r="A53" s="23" t="s">
        <v>41</v>
      </c>
      <c r="B53" s="24" t="s">
        <v>63</v>
      </c>
      <c r="C53" s="25"/>
      <c r="D53" s="25" t="s">
        <v>66</v>
      </c>
      <c r="E53" s="26" t="s">
        <v>40</v>
      </c>
      <c r="F53" s="30">
        <v>1.07</v>
      </c>
      <c r="G53" s="31">
        <v>624.04</v>
      </c>
      <c r="H53" s="31">
        <v>380.89</v>
      </c>
      <c r="I53" s="31">
        <v>572.29</v>
      </c>
      <c r="J53" s="31">
        <v>293.41000000000003</v>
      </c>
      <c r="K53" s="31">
        <v>295.16000000000003</v>
      </c>
      <c r="L53" s="31">
        <v>572.39</v>
      </c>
      <c r="M53" s="31">
        <v>417.35</v>
      </c>
      <c r="N53" s="31">
        <v>423.56</v>
      </c>
      <c r="O53" s="28">
        <f>SUM($G$53:$N$53)</f>
        <v>3579.0899999999997</v>
      </c>
      <c r="P53" s="28">
        <f t="array" ref="P53">INDEX(М[Цена за ед., руб],MATCH(1,IF(($B53=М[Наим.])*($C53=М[Артикул, марка, произв.])*($D53=М[Хар-ка])*($R53=М[Прим.]),{1},($B53=М[Наим.])*($C53=М[Артикул, марка, произв.])*($D53=М[Хар-ка])*($R53=М[Прим.])),0))</f>
        <v>0</v>
      </c>
      <c r="Q53" s="28">
        <f>ROUND($O$53*$P$53,2)</f>
        <v>0</v>
      </c>
      <c r="R53" s="25"/>
      <c r="S53" s="25" t="str">
        <f t="array" ref="S53">INDEX(М[Форма закупа],MATCH(1,IF(($B53=М[Наим.])*($C53=М[Артикул, марка, произв.])*($D53=М[Хар-ка])*($R53=М[Прим.]),{1},($B53=М[Наим.])*($C53=М[Артикул, марка, произв.])*($D53=М[Хар-ка])*($R53=М[Прим.])),0))</f>
        <v>Закупка подрядчик</v>
      </c>
    </row>
    <row r="54" spans="1:19" ht="23.1" customHeight="1" outlineLevel="4" x14ac:dyDescent="0.2">
      <c r="A54" s="23" t="s">
        <v>52</v>
      </c>
      <c r="B54" s="24" t="s">
        <v>71</v>
      </c>
      <c r="C54" s="25"/>
      <c r="D54" s="25" t="s">
        <v>72</v>
      </c>
      <c r="E54" s="26" t="s">
        <v>73</v>
      </c>
      <c r="F54" s="30">
        <v>6.7000000000000004E-2</v>
      </c>
      <c r="G54" s="33">
        <v>259</v>
      </c>
      <c r="H54" s="33">
        <v>157</v>
      </c>
      <c r="I54" s="33">
        <v>236</v>
      </c>
      <c r="J54" s="33">
        <v>121</v>
      </c>
      <c r="K54" s="33">
        <v>121</v>
      </c>
      <c r="L54" s="33">
        <v>236</v>
      </c>
      <c r="M54" s="33">
        <v>173</v>
      </c>
      <c r="N54" s="33">
        <v>175</v>
      </c>
      <c r="O54" s="34">
        <f>SUM($G$54:$N$54)</f>
        <v>1478</v>
      </c>
      <c r="P54" s="28">
        <f t="array" ref="P54">INDEX(М[Цена за ед., руб],MATCH(1,IF(($B54=М[Наим.])*($C54=М[Артикул, марка, произв.])*($D54=М[Хар-ка])*($R54=М[Прим.]),{1},($B54=М[Наим.])*($C54=М[Артикул, марка, произв.])*($D54=М[Хар-ка])*($R54=М[Прим.])),0))</f>
        <v>0</v>
      </c>
      <c r="Q54" s="28">
        <f>ROUND($O$54*$P$54,2)</f>
        <v>0</v>
      </c>
      <c r="R54" s="25"/>
      <c r="S54" s="25" t="str">
        <f t="array" ref="S54">INDEX(М[Форма закупа],MATCH(1,IF(($B54=М[Наим.])*($C54=М[Артикул, марка, произв.])*($D54=М[Хар-ка])*($R54=М[Прим.]),{1},($B54=М[Наим.])*($C54=М[Артикул, марка, произв.])*($D54=М[Хар-ка])*($R54=М[Прим.])),0))</f>
        <v>Закупка подрядчик</v>
      </c>
    </row>
    <row r="55" spans="1:19" ht="35.1" customHeight="1" outlineLevel="4" x14ac:dyDescent="0.2">
      <c r="A55" s="23" t="s">
        <v>65</v>
      </c>
      <c r="B55" s="24" t="s">
        <v>53</v>
      </c>
      <c r="C55" s="25"/>
      <c r="D55" s="25" t="s">
        <v>54</v>
      </c>
      <c r="E55" s="26" t="s">
        <v>44</v>
      </c>
      <c r="F55" s="30">
        <v>6</v>
      </c>
      <c r="G55" s="28">
        <v>23328.76</v>
      </c>
      <c r="H55" s="28">
        <v>14238.92</v>
      </c>
      <c r="I55" s="28">
        <v>21393.86</v>
      </c>
      <c r="J55" s="29">
        <v>10968.4</v>
      </c>
      <c r="K55" s="28">
        <v>11034.01</v>
      </c>
      <c r="L55" s="28">
        <v>21397.77</v>
      </c>
      <c r="M55" s="28">
        <v>15601.78</v>
      </c>
      <c r="N55" s="28">
        <v>15833.92</v>
      </c>
      <c r="O55" s="28">
        <f>SUM($G$55:$N$55)</f>
        <v>133797.42000000001</v>
      </c>
      <c r="P55" s="28">
        <f t="array" ref="P55">INDEX(М[Цена за ед., руб],MATCH(1,IF(($B55=М[Наим.])*($C55=М[Артикул, марка, произв.])*($D55=М[Хар-ка])*($R55=М[Прим.]),{1},($B55=М[Наим.])*($C55=М[Артикул, марка, произв.])*($D55=М[Хар-ка])*($R55=М[Прим.])),0))</f>
        <v>0</v>
      </c>
      <c r="Q55" s="28">
        <f>ROUND($O$55*$P$55,2)</f>
        <v>0</v>
      </c>
      <c r="R55" s="25" t="s">
        <v>55</v>
      </c>
      <c r="S55" s="25" t="str">
        <f t="array" ref="S55">INDEX(М[Форма закупа],MATCH(1,IF(($B55=М[Наим.])*($C55=М[Артикул, марка, произв.])*($D55=М[Хар-ка])*($R55=М[Прим.]),{1},($B55=М[Наим.])*($C55=М[Артикул, марка, произв.])*($D55=М[Хар-ка])*($R55=М[Прим.])),0))</f>
        <v>Закупка подрядчик</v>
      </c>
    </row>
    <row r="56" spans="1:19" ht="11.1" customHeight="1" outlineLevel="4" x14ac:dyDescent="0.2">
      <c r="A56" s="23" t="s">
        <v>67</v>
      </c>
      <c r="B56" s="24" t="s">
        <v>75</v>
      </c>
      <c r="C56" s="25"/>
      <c r="D56" s="25" t="s">
        <v>76</v>
      </c>
      <c r="E56" s="26" t="s">
        <v>34</v>
      </c>
      <c r="F56" s="27"/>
      <c r="G56" s="33">
        <v>34</v>
      </c>
      <c r="H56" s="33">
        <v>21</v>
      </c>
      <c r="I56" s="33">
        <v>31</v>
      </c>
      <c r="J56" s="33">
        <v>16</v>
      </c>
      <c r="K56" s="33">
        <v>16</v>
      </c>
      <c r="L56" s="33">
        <v>31</v>
      </c>
      <c r="M56" s="33">
        <v>23</v>
      </c>
      <c r="N56" s="33">
        <v>23</v>
      </c>
      <c r="O56" s="33">
        <f>SUM($G$56:$N$56)</f>
        <v>195</v>
      </c>
      <c r="P56" s="28">
        <f t="array" ref="P56">INDEX(М[Цена за ед., руб],MATCH(1,IF(($B56=М[Наим.])*($C56=М[Артикул, марка, произв.])*($D56=М[Хар-ка])*($R56=М[Прим.]),{1},($B56=М[Наим.])*($C56=М[Артикул, марка, произв.])*($D56=М[Хар-ка])*($R56=М[Прим.])),0))</f>
        <v>0</v>
      </c>
      <c r="Q56" s="28">
        <f>ROUND($O$56*$P$56,2)</f>
        <v>0</v>
      </c>
      <c r="R56" s="25" t="s">
        <v>77</v>
      </c>
      <c r="S56" s="25" t="str">
        <f t="array" ref="S56">INDEX(М[Форма закупа],MATCH(1,IF(($B56=М[Наим.])*($C56=М[Артикул, марка, произв.])*($D56=М[Хар-ка])*($R56=М[Прим.]),{1},($B56=М[Наим.])*($C56=М[Артикул, марка, произв.])*($D56=М[Хар-ка])*($R56=М[Прим.])),0))</f>
        <v>Закупка подрядчик</v>
      </c>
    </row>
    <row r="57" spans="1:19" ht="11.1" customHeight="1" outlineLevel="4" x14ac:dyDescent="0.2">
      <c r="A57" s="20"/>
      <c r="B57" s="14" t="s">
        <v>27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65"/>
      <c r="Q57" s="66">
        <f>SUM($Q$58)</f>
        <v>0</v>
      </c>
      <c r="R57" s="18"/>
      <c r="S57" s="22"/>
    </row>
    <row r="58" spans="1:19" ht="47.1" customHeight="1" outlineLevel="4" x14ac:dyDescent="0.2">
      <c r="A58" s="23"/>
      <c r="B58" s="24" t="s">
        <v>80</v>
      </c>
      <c r="C58" s="25"/>
      <c r="D58" s="25"/>
      <c r="E58" s="26" t="s">
        <v>29</v>
      </c>
      <c r="F58" s="27"/>
      <c r="G58" s="28">
        <v>1307.3900000000001</v>
      </c>
      <c r="H58" s="31">
        <v>861.76</v>
      </c>
      <c r="I58" s="31">
        <v>64.37</v>
      </c>
      <c r="J58" s="31">
        <v>55.65</v>
      </c>
      <c r="K58" s="31">
        <v>95.61</v>
      </c>
      <c r="L58" s="31">
        <v>109.25</v>
      </c>
      <c r="M58" s="31">
        <v>866.69</v>
      </c>
      <c r="N58" s="31">
        <v>761.63</v>
      </c>
      <c r="O58" s="28">
        <f>SUM($G$58:$N$58)</f>
        <v>4122.3500000000004</v>
      </c>
      <c r="P58" s="28">
        <f t="array" ref="P58">INDEX(Р[Цена за ед., руб],MATCH(1,IF(($B58=Р[Наименование])*($R58=Р[Примечание]),{1},($B58=Р[Наименование])*($R58=Р[Примечание])),0))</f>
        <v>0</v>
      </c>
      <c r="Q58" s="28">
        <f>ROUND($O$58*$P$58,2)</f>
        <v>0</v>
      </c>
      <c r="R58" s="25" t="s">
        <v>81</v>
      </c>
      <c r="S58" s="25"/>
    </row>
    <row r="59" spans="1:19" ht="11.1" customHeight="1" outlineLevel="4" x14ac:dyDescent="0.2">
      <c r="A59" s="20"/>
      <c r="B59" s="14" t="s">
        <v>30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65"/>
      <c r="Q59" s="66">
        <f>SUM($Q$60:$Q$62)</f>
        <v>0</v>
      </c>
      <c r="R59" s="18"/>
      <c r="S59" s="22"/>
    </row>
    <row r="60" spans="1:19" ht="47.1" customHeight="1" outlineLevel="4" x14ac:dyDescent="0.2">
      <c r="A60" s="23" t="s">
        <v>31</v>
      </c>
      <c r="B60" s="24" t="s">
        <v>49</v>
      </c>
      <c r="C60" s="25"/>
      <c r="D60" s="25" t="s">
        <v>59</v>
      </c>
      <c r="E60" s="26" t="s">
        <v>51</v>
      </c>
      <c r="F60" s="30">
        <v>8</v>
      </c>
      <c r="G60" s="34">
        <v>10459</v>
      </c>
      <c r="H60" s="34">
        <v>6894</v>
      </c>
      <c r="I60" s="33">
        <v>515</v>
      </c>
      <c r="J60" s="33">
        <v>445</v>
      </c>
      <c r="K60" s="33">
        <v>765</v>
      </c>
      <c r="L60" s="33">
        <v>874</v>
      </c>
      <c r="M60" s="34">
        <v>6934</v>
      </c>
      <c r="N60" s="34">
        <v>6093</v>
      </c>
      <c r="O60" s="34">
        <f>SUM($G$60:$N$60)</f>
        <v>32979</v>
      </c>
      <c r="P60" s="28">
        <f t="array" ref="P60">INDEX(М[Цена за ед., руб],MATCH(1,IF(($B60=М[Наим.])*($C60=М[Артикул, марка, произв.])*($D60=М[Хар-ка])*($R60=М[Прим.]),{1},($B60=М[Наим.])*($C60=М[Артикул, марка, произв.])*($D60=М[Хар-ка])*($R60=М[Прим.])),0))</f>
        <v>0</v>
      </c>
      <c r="Q60" s="28">
        <f>ROUND($O$60*$P$60,2)</f>
        <v>0</v>
      </c>
      <c r="R60" s="25"/>
      <c r="S60" s="25" t="str">
        <f t="array" ref="S60">INDEX(М[Форма закупа],MATCH(1,IF(($B60=М[Наим.])*($C60=М[Артикул, марка, произв.])*($D60=М[Хар-ка])*($R60=М[Прим.]),{1},($B60=М[Наим.])*($C60=М[Артикул, марка, произв.])*($D60=М[Хар-ка])*($R60=М[Прим.])),0))</f>
        <v>Закупка подрядчик</v>
      </c>
    </row>
    <row r="61" spans="1:19" ht="11.1" customHeight="1" outlineLevel="4" x14ac:dyDescent="0.2">
      <c r="A61" s="23" t="s">
        <v>41</v>
      </c>
      <c r="B61" s="24" t="s">
        <v>63</v>
      </c>
      <c r="C61" s="25"/>
      <c r="D61" s="25" t="s">
        <v>82</v>
      </c>
      <c r="E61" s="26" t="s">
        <v>40</v>
      </c>
      <c r="F61" s="30">
        <v>1.07</v>
      </c>
      <c r="G61" s="31">
        <v>69.95</v>
      </c>
      <c r="H61" s="32">
        <v>46.1</v>
      </c>
      <c r="I61" s="31">
        <v>3.44</v>
      </c>
      <c r="J61" s="31">
        <v>2.98</v>
      </c>
      <c r="K61" s="31">
        <v>5.12</v>
      </c>
      <c r="L61" s="31">
        <v>5.84</v>
      </c>
      <c r="M61" s="31">
        <v>46.37</v>
      </c>
      <c r="N61" s="31">
        <v>40.75</v>
      </c>
      <c r="O61" s="31">
        <f>SUM($G$61:$N$61)</f>
        <v>220.55</v>
      </c>
      <c r="P61" s="28">
        <f t="array" ref="P61">INDEX(М[Цена за ед., руб],MATCH(1,IF(($B61=М[Наим.])*($C61=М[Артикул, марка, произв.])*($D61=М[Хар-ка])*($R61=М[Прим.]),{1},($B61=М[Наим.])*($C61=М[Артикул, марка, произв.])*($D61=М[Хар-ка])*($R61=М[Прим.])),0))</f>
        <v>0</v>
      </c>
      <c r="Q61" s="28">
        <f>ROUND($O$61*$P$61,2)</f>
        <v>0</v>
      </c>
      <c r="R61" s="25"/>
      <c r="S61" s="25" t="str">
        <f t="array" ref="S61">INDEX(М[Форма закупа],MATCH(1,IF(($B61=М[Наим.])*($C61=М[Артикул, марка, произв.])*($D61=М[Хар-ка])*($R61=М[Прим.]),{1},($B61=М[Наим.])*($C61=М[Артикул, марка, произв.])*($D61=М[Хар-ка])*($R61=М[Прим.])),0))</f>
        <v>Закупка подрядчик</v>
      </c>
    </row>
    <row r="62" spans="1:19" ht="35.1" customHeight="1" outlineLevel="4" x14ac:dyDescent="0.2">
      <c r="A62" s="23" t="s">
        <v>52</v>
      </c>
      <c r="B62" s="24" t="s">
        <v>53</v>
      </c>
      <c r="C62" s="25"/>
      <c r="D62" s="25" t="s">
        <v>54</v>
      </c>
      <c r="E62" s="26" t="s">
        <v>44</v>
      </c>
      <c r="F62" s="30">
        <v>6</v>
      </c>
      <c r="G62" s="28">
        <v>7844.33</v>
      </c>
      <c r="H62" s="28">
        <v>5170.57</v>
      </c>
      <c r="I62" s="32">
        <v>386.2</v>
      </c>
      <c r="J62" s="32">
        <v>333.9</v>
      </c>
      <c r="K62" s="31">
        <v>573.64</v>
      </c>
      <c r="L62" s="31">
        <v>655.48</v>
      </c>
      <c r="M62" s="28">
        <v>5200.1499999999996</v>
      </c>
      <c r="N62" s="28">
        <v>4569.7700000000004</v>
      </c>
      <c r="O62" s="28">
        <f>SUM($G$62:$N$62)</f>
        <v>24734.039999999997</v>
      </c>
      <c r="P62" s="28">
        <f t="array" ref="P62">INDEX(М[Цена за ед., руб],MATCH(1,IF(($B62=М[Наим.])*($C62=М[Артикул, марка, произв.])*($D62=М[Хар-ка])*($R62=М[Прим.]),{1},($B62=М[Наим.])*($C62=М[Артикул, марка, произв.])*($D62=М[Хар-ка])*($R62=М[Прим.])),0))</f>
        <v>0</v>
      </c>
      <c r="Q62" s="28">
        <f>ROUND($O$62*$P$62,2)</f>
        <v>0</v>
      </c>
      <c r="R62" s="25" t="s">
        <v>55</v>
      </c>
      <c r="S62" s="25" t="str">
        <f t="array" ref="S62">INDEX(М[Форма закупа],MATCH(1,IF(($B62=М[Наим.])*($C62=М[Артикул, марка, произв.])*($D62=М[Хар-ка])*($R62=М[Прим.]),{1},($B62=М[Наим.])*($C62=М[Артикул, марка, произв.])*($D62=М[Хар-ка])*($R62=М[Прим.])),0))</f>
        <v>Закупка подрядчик</v>
      </c>
    </row>
    <row r="63" spans="1:19" ht="11.1" customHeight="1" outlineLevel="2" x14ac:dyDescent="0.2">
      <c r="A63" s="13" t="s">
        <v>83</v>
      </c>
      <c r="B63" s="14" t="s">
        <v>84</v>
      </c>
      <c r="C63" s="15"/>
      <c r="D63" s="15"/>
      <c r="E63" s="16"/>
      <c r="F63" s="17"/>
      <c r="G63" s="18"/>
      <c r="H63" s="18"/>
      <c r="I63" s="18"/>
      <c r="J63" s="18"/>
      <c r="K63" s="18"/>
      <c r="L63" s="18"/>
      <c r="M63" s="18"/>
      <c r="N63" s="18"/>
      <c r="O63" s="18"/>
      <c r="P63" s="64"/>
      <c r="Q63" s="64">
        <f>SUM($Q$64)</f>
        <v>0</v>
      </c>
      <c r="R63" s="19"/>
      <c r="S63" s="19"/>
    </row>
    <row r="64" spans="1:19" ht="11.1" customHeight="1" outlineLevel="3" x14ac:dyDescent="0.2">
      <c r="A64" s="13" t="s">
        <v>85</v>
      </c>
      <c r="B64" s="14" t="s">
        <v>84</v>
      </c>
      <c r="C64" s="15"/>
      <c r="D64" s="15"/>
      <c r="E64" s="16"/>
      <c r="F64" s="17"/>
      <c r="G64" s="18"/>
      <c r="H64" s="18"/>
      <c r="I64" s="18"/>
      <c r="J64" s="18"/>
      <c r="K64" s="18"/>
      <c r="L64" s="18"/>
      <c r="M64" s="18"/>
      <c r="N64" s="18"/>
      <c r="O64" s="18"/>
      <c r="P64" s="64"/>
      <c r="Q64" s="64">
        <f>SUM($Q$67,$Q$65)</f>
        <v>0</v>
      </c>
      <c r="R64" s="19"/>
      <c r="S64" s="19"/>
    </row>
    <row r="65" spans="1:19" ht="11.1" customHeight="1" outlineLevel="4" x14ac:dyDescent="0.2">
      <c r="A65" s="20"/>
      <c r="B65" s="14" t="s">
        <v>27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65"/>
      <c r="Q65" s="66">
        <f>SUM($Q$66)</f>
        <v>0</v>
      </c>
      <c r="R65" s="18"/>
      <c r="S65" s="22"/>
    </row>
    <row r="66" spans="1:19" ht="11.1" customHeight="1" outlineLevel="4" x14ac:dyDescent="0.2">
      <c r="A66" s="23"/>
      <c r="B66" s="24" t="s">
        <v>84</v>
      </c>
      <c r="C66" s="25"/>
      <c r="D66" s="25"/>
      <c r="E66" s="26" t="s">
        <v>29</v>
      </c>
      <c r="F66" s="27"/>
      <c r="G66" s="28">
        <v>6425.42</v>
      </c>
      <c r="H66" s="28">
        <v>4165.1899999999996</v>
      </c>
      <c r="I66" s="28">
        <v>4692.6899999999996</v>
      </c>
      <c r="J66" s="28">
        <v>2641.24</v>
      </c>
      <c r="K66" s="28">
        <v>2732.05</v>
      </c>
      <c r="L66" s="28">
        <v>4753.34</v>
      </c>
      <c r="M66" s="28">
        <v>4242.0600000000004</v>
      </c>
      <c r="N66" s="28">
        <v>4185.95</v>
      </c>
      <c r="O66" s="28">
        <f>SUM($G$66:$N$66)</f>
        <v>33837.94</v>
      </c>
      <c r="P66" s="28">
        <f t="array" ref="P66">INDEX(Р[Цена за ед., руб],MATCH(1,IF(($B66=Р[Наименование])*($R66=Р[Примечание]),{1},($B66=Р[Наименование])*($R66=Р[Примечание])),0))</f>
        <v>0</v>
      </c>
      <c r="Q66" s="28">
        <f>ROUND($O$66*$P$66,2)</f>
        <v>0</v>
      </c>
      <c r="R66" s="25"/>
      <c r="S66" s="25"/>
    </row>
    <row r="67" spans="1:19" ht="11.1" customHeight="1" outlineLevel="4" x14ac:dyDescent="0.2">
      <c r="A67" s="20"/>
      <c r="B67" s="14" t="s">
        <v>30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65"/>
      <c r="Q67" s="66">
        <f>SUM($Q$68:$Q$75)</f>
        <v>0</v>
      </c>
      <c r="R67" s="18"/>
      <c r="S67" s="22"/>
    </row>
    <row r="68" spans="1:19" ht="47.1" customHeight="1" outlineLevel="4" x14ac:dyDescent="0.2">
      <c r="A68" s="23" t="s">
        <v>31</v>
      </c>
      <c r="B68" s="24" t="s">
        <v>86</v>
      </c>
      <c r="C68" s="25"/>
      <c r="D68" s="25" t="s">
        <v>87</v>
      </c>
      <c r="E68" s="26" t="s">
        <v>88</v>
      </c>
      <c r="F68" s="30">
        <v>1.1000000000000001</v>
      </c>
      <c r="G68" s="32">
        <v>932.5</v>
      </c>
      <c r="H68" s="31">
        <v>765.95</v>
      </c>
      <c r="I68" s="31">
        <v>808.25</v>
      </c>
      <c r="J68" s="31">
        <v>415.05</v>
      </c>
      <c r="K68" s="31">
        <v>415.05</v>
      </c>
      <c r="L68" s="31">
        <v>808.25</v>
      </c>
      <c r="M68" s="31">
        <v>836.78</v>
      </c>
      <c r="N68" s="31">
        <v>689.93</v>
      </c>
      <c r="O68" s="28">
        <f>SUM($G$68:$N$68)</f>
        <v>5671.76</v>
      </c>
      <c r="P68" s="28">
        <f t="array" ref="P68">INDEX(М[Цена за ед., руб],MATCH(1,IF(($B68=М[Наим.])*($C68=М[Артикул, марка, произв.])*($D68=М[Хар-ка])*($R68=М[Прим.]),{1},($B68=М[Наим.])*($C68=М[Артикул, марка, произв.])*($D68=М[Хар-ка])*($R68=М[Прим.])),0))</f>
        <v>0</v>
      </c>
      <c r="Q68" s="28">
        <f>ROUND($O$68*$P$68,2)</f>
        <v>0</v>
      </c>
      <c r="R68" s="25"/>
      <c r="S68" s="25" t="str">
        <f t="array" ref="S68">INDEX(М[Форма закупа],MATCH(1,IF(($B68=М[Наим.])*($C68=М[Артикул, марка, произв.])*($D68=М[Хар-ка])*($R68=М[Прим.]),{1},($B68=М[Наим.])*($C68=М[Артикул, марка, произв.])*($D68=М[Хар-ка])*($R68=М[Прим.])),0))</f>
        <v>Закупка подрядчик</v>
      </c>
    </row>
    <row r="69" spans="1:19" ht="35.1" customHeight="1" outlineLevel="4" x14ac:dyDescent="0.2">
      <c r="A69" s="23" t="s">
        <v>41</v>
      </c>
      <c r="B69" s="24" t="s">
        <v>86</v>
      </c>
      <c r="C69" s="25"/>
      <c r="D69" s="25" t="s">
        <v>89</v>
      </c>
      <c r="E69" s="26" t="s">
        <v>88</v>
      </c>
      <c r="F69" s="30">
        <v>1.1000000000000001</v>
      </c>
      <c r="G69" s="33">
        <v>33</v>
      </c>
      <c r="H69" s="27"/>
      <c r="I69" s="31">
        <v>32.43</v>
      </c>
      <c r="J69" s="27"/>
      <c r="K69" s="27"/>
      <c r="L69" s="31">
        <v>32.43</v>
      </c>
      <c r="M69" s="31">
        <v>16.54</v>
      </c>
      <c r="N69" s="31">
        <v>49.63</v>
      </c>
      <c r="O69" s="31">
        <f>SUM($G$69:$N$69)</f>
        <v>164.03</v>
      </c>
      <c r="P69" s="28">
        <f t="array" ref="P69">INDEX(М[Цена за ед., руб],MATCH(1,IF(($B69=М[Наим.])*($C69=М[Артикул, марка, произв.])*($D69=М[Хар-ка])*($R69=М[Прим.]),{1},($B69=М[Наим.])*($C69=М[Артикул, марка, произв.])*($D69=М[Хар-ка])*($R69=М[Прим.])),0))</f>
        <v>0</v>
      </c>
      <c r="Q69" s="28">
        <f>ROUND($O$69*$P$69,2)</f>
        <v>0</v>
      </c>
      <c r="R69" s="25"/>
      <c r="S69" s="25" t="str">
        <f t="array" ref="S69">INDEX(М[Форма закупа],MATCH(1,IF(($B69=М[Наим.])*($C69=М[Артикул, марка, произв.])*($D69=М[Хар-ка])*($R69=М[Прим.]),{1},($B69=М[Наим.])*($C69=М[Артикул, марка, произв.])*($D69=М[Хар-ка])*($R69=М[Прим.])),0))</f>
        <v>Закупка подрядчик</v>
      </c>
    </row>
    <row r="70" spans="1:19" ht="35.1" customHeight="1" outlineLevel="4" x14ac:dyDescent="0.2">
      <c r="A70" s="23" t="s">
        <v>52</v>
      </c>
      <c r="B70" s="24" t="s">
        <v>86</v>
      </c>
      <c r="C70" s="25"/>
      <c r="D70" s="25" t="s">
        <v>90</v>
      </c>
      <c r="E70" s="26" t="s">
        <v>88</v>
      </c>
      <c r="F70" s="30">
        <v>1.1000000000000001</v>
      </c>
      <c r="G70" s="28">
        <v>5099.34</v>
      </c>
      <c r="H70" s="28">
        <v>3988.29</v>
      </c>
      <c r="I70" s="28">
        <v>4319.4399999999996</v>
      </c>
      <c r="J70" s="28">
        <v>2734.58</v>
      </c>
      <c r="K70" s="28">
        <v>2755.35</v>
      </c>
      <c r="L70" s="28">
        <v>4322.7700000000004</v>
      </c>
      <c r="M70" s="28">
        <v>3627.28</v>
      </c>
      <c r="N70" s="28">
        <v>3199.17</v>
      </c>
      <c r="O70" s="28">
        <f>SUM($G$70:$N$70)</f>
        <v>30046.22</v>
      </c>
      <c r="P70" s="28">
        <f t="array" ref="P70">INDEX(М[Цена за ед., руб],MATCH(1,IF(($B70=М[Наим.])*($C70=М[Артикул, марка, произв.])*($D70=М[Хар-ка])*($R70=М[Прим.]),{1},($B70=М[Наим.])*($C70=М[Артикул, марка, произв.])*($D70=М[Хар-ка])*($R70=М[Прим.])),0))</f>
        <v>0</v>
      </c>
      <c r="Q70" s="28">
        <f>ROUND($O$70*$P$70,2)</f>
        <v>0</v>
      </c>
      <c r="R70" s="25"/>
      <c r="S70" s="25" t="str">
        <f t="array" ref="S70">INDEX(М[Форма закупа],MATCH(1,IF(($B70=М[Наим.])*($C70=М[Артикул, марка, произв.])*($D70=М[Хар-ка])*($R70=М[Прим.]),{1},($B70=М[Наим.])*($C70=М[Артикул, марка, произв.])*($D70=М[Хар-ка])*($R70=М[Прим.])),0))</f>
        <v>Закупка подрядчик</v>
      </c>
    </row>
    <row r="71" spans="1:19" ht="47.1" customHeight="1" outlineLevel="4" x14ac:dyDescent="0.2">
      <c r="A71" s="23" t="s">
        <v>65</v>
      </c>
      <c r="B71" s="24" t="s">
        <v>86</v>
      </c>
      <c r="C71" s="25"/>
      <c r="D71" s="25" t="s">
        <v>91</v>
      </c>
      <c r="E71" s="26" t="s">
        <v>88</v>
      </c>
      <c r="F71" s="30">
        <v>1.1000000000000001</v>
      </c>
      <c r="G71" s="28">
        <v>3544.78</v>
      </c>
      <c r="H71" s="28">
        <v>2821.35</v>
      </c>
      <c r="I71" s="28">
        <v>3150.82</v>
      </c>
      <c r="J71" s="28">
        <v>1957.22</v>
      </c>
      <c r="K71" s="28">
        <v>1957.22</v>
      </c>
      <c r="L71" s="28">
        <v>3150.71</v>
      </c>
      <c r="M71" s="28">
        <v>2740.01</v>
      </c>
      <c r="N71" s="28">
        <v>2359.34</v>
      </c>
      <c r="O71" s="28">
        <f>SUM($G$71:$N$71)</f>
        <v>21681.45</v>
      </c>
      <c r="P71" s="28">
        <f t="array" ref="P71">INDEX(М[Цена за ед., руб],MATCH(1,IF(($B71=М[Наим.])*($C71=М[Артикул, марка, произв.])*($D71=М[Хар-ка])*($R71=М[Прим.]),{1},($B71=М[Наим.])*($C71=М[Артикул, марка, произв.])*($D71=М[Хар-ка])*($R71=М[Прим.])),0))</f>
        <v>0</v>
      </c>
      <c r="Q71" s="28">
        <f>ROUND($O$71*$P$71,2)</f>
        <v>0</v>
      </c>
      <c r="R71" s="25"/>
      <c r="S71" s="25" t="str">
        <f t="array" ref="S71">INDEX(М[Форма закупа],MATCH(1,IF(($B71=М[Наим.])*($C71=М[Артикул, марка, произв.])*($D71=М[Хар-ка])*($R71=М[Прим.]),{1},($B71=М[Наим.])*($C71=М[Артикул, марка, произв.])*($D71=М[Хар-ка])*($R71=М[Прим.])),0))</f>
        <v>Закупка подрядчик</v>
      </c>
    </row>
    <row r="72" spans="1:19" ht="35.1" customHeight="1" outlineLevel="4" x14ac:dyDescent="0.2">
      <c r="A72" s="23" t="s">
        <v>67</v>
      </c>
      <c r="B72" s="24" t="s">
        <v>92</v>
      </c>
      <c r="C72" s="25"/>
      <c r="D72" s="25" t="s">
        <v>93</v>
      </c>
      <c r="E72" s="26" t="s">
        <v>29</v>
      </c>
      <c r="F72" s="30">
        <v>1.2</v>
      </c>
      <c r="G72" s="28">
        <v>7948.97</v>
      </c>
      <c r="H72" s="29">
        <v>5182.7</v>
      </c>
      <c r="I72" s="28">
        <v>5837.73</v>
      </c>
      <c r="J72" s="29">
        <v>3297.8</v>
      </c>
      <c r="K72" s="28">
        <v>3406.77</v>
      </c>
      <c r="L72" s="28">
        <v>5910.51</v>
      </c>
      <c r="M72" s="28">
        <v>5274.93</v>
      </c>
      <c r="N72" s="28">
        <v>5182.55</v>
      </c>
      <c r="O72" s="28">
        <f>SUM($G$72:$N$72)</f>
        <v>42041.960000000006</v>
      </c>
      <c r="P72" s="28">
        <f t="array" ref="P72">INDEX(М[Цена за ед., руб],MATCH(1,IF(($B72=М[Наим.])*($C72=М[Артикул, марка, произв.])*($D72=М[Хар-ка])*($R72=М[Прим.]),{1},($B72=М[Наим.])*($C72=М[Артикул, марка, произв.])*($D72=М[Хар-ка])*($R72=М[Прим.])),0))</f>
        <v>0</v>
      </c>
      <c r="Q72" s="28">
        <f>ROUND($O$72*$P$72,2)</f>
        <v>0</v>
      </c>
      <c r="R72" s="25" t="s">
        <v>94</v>
      </c>
      <c r="S72" s="25" t="str">
        <f t="array" ref="S72">INDEX(М[Форма закупа],MATCH(1,IF(($B72=М[Наим.])*($C72=М[Артикул, марка, произв.])*($D72=М[Хар-ка])*($R72=М[Прим.]),{1},($B72=М[Наим.])*($C72=М[Артикул, марка, произв.])*($D72=М[Хар-ка])*($R72=М[Прим.])),0))</f>
        <v>Закупка подрядчик</v>
      </c>
    </row>
    <row r="73" spans="1:19" ht="11.1" customHeight="1" outlineLevel="4" x14ac:dyDescent="0.2">
      <c r="A73" s="23" t="s">
        <v>74</v>
      </c>
      <c r="B73" s="24" t="s">
        <v>95</v>
      </c>
      <c r="C73" s="25"/>
      <c r="D73" s="25" t="s">
        <v>96</v>
      </c>
      <c r="E73" s="26" t="s">
        <v>34</v>
      </c>
      <c r="F73" s="30">
        <v>0.45</v>
      </c>
      <c r="G73" s="32">
        <v>19.5</v>
      </c>
      <c r="H73" s="31">
        <v>16.88</v>
      </c>
      <c r="I73" s="31">
        <v>16.55</v>
      </c>
      <c r="J73" s="31">
        <v>13.93</v>
      </c>
      <c r="K73" s="31">
        <v>13.93</v>
      </c>
      <c r="L73" s="31">
        <v>16.55</v>
      </c>
      <c r="M73" s="31">
        <v>16.88</v>
      </c>
      <c r="N73" s="31">
        <v>16.829999999999998</v>
      </c>
      <c r="O73" s="31">
        <f>SUM($G$73:$N$73)</f>
        <v>131.04999999999998</v>
      </c>
      <c r="P73" s="28">
        <f t="array" ref="P73">INDEX(М[Цена за ед., руб],MATCH(1,IF(($B73=М[Наим.])*($C73=М[Артикул, марка, произв.])*($D73=М[Хар-ка])*($R73=М[Прим.]),{1},($B73=М[Наим.])*($C73=М[Артикул, марка, произв.])*($D73=М[Хар-ка])*($R73=М[Прим.])),0))</f>
        <v>0</v>
      </c>
      <c r="Q73" s="28">
        <f>ROUND($O$73*$P$73,2)</f>
        <v>0</v>
      </c>
      <c r="R73" s="25" t="s">
        <v>97</v>
      </c>
      <c r="S73" s="25" t="str">
        <f t="array" ref="S73">INDEX(М[Форма закупа],MATCH(1,IF(($B73=М[Наим.])*($C73=М[Артикул, марка, произв.])*($D73=М[Хар-ка])*($R73=М[Прим.]),{1},($B73=М[Наим.])*($C73=М[Артикул, марка, произв.])*($D73=М[Хар-ка])*($R73=М[Прим.])),0))</f>
        <v>Закупка подрядчик</v>
      </c>
    </row>
    <row r="74" spans="1:19" ht="35.1" customHeight="1" outlineLevel="4" x14ac:dyDescent="0.2">
      <c r="A74" s="23" t="s">
        <v>98</v>
      </c>
      <c r="B74" s="24" t="s">
        <v>53</v>
      </c>
      <c r="C74" s="25"/>
      <c r="D74" s="25" t="s">
        <v>54</v>
      </c>
      <c r="E74" s="26" t="s">
        <v>44</v>
      </c>
      <c r="F74" s="30">
        <v>6</v>
      </c>
      <c r="G74" s="28">
        <v>38552.53</v>
      </c>
      <c r="H74" s="28">
        <v>24991.16</v>
      </c>
      <c r="I74" s="28">
        <v>28156.16</v>
      </c>
      <c r="J74" s="28">
        <v>15847.45</v>
      </c>
      <c r="K74" s="28">
        <v>16392.310000000001</v>
      </c>
      <c r="L74" s="28">
        <v>28520.05</v>
      </c>
      <c r="M74" s="28">
        <v>25452.35</v>
      </c>
      <c r="N74" s="28">
        <v>25115.69</v>
      </c>
      <c r="O74" s="29">
        <f>SUM($G$74:$N$74)</f>
        <v>203027.7</v>
      </c>
      <c r="P74" s="28">
        <f t="array" ref="P74">INDEX(М[Цена за ед., руб],MATCH(1,IF(($B74=М[Наим.])*($C74=М[Артикул, марка, произв.])*($D74=М[Хар-ка])*($R74=М[Прим.]),{1},($B74=М[Наим.])*($C74=М[Артикул, марка, произв.])*($D74=М[Хар-ка])*($R74=М[Прим.])),0))</f>
        <v>0</v>
      </c>
      <c r="Q74" s="28">
        <f>ROUND($O$74*$P$74,2)</f>
        <v>0</v>
      </c>
      <c r="R74" s="25" t="s">
        <v>55</v>
      </c>
      <c r="S74" s="25" t="str">
        <f t="array" ref="S74">INDEX(М[Форма закупа],MATCH(1,IF(($B74=М[Наим.])*($C74=М[Артикул, марка, произв.])*($D74=М[Хар-ка])*($R74=М[Прим.]),{1},($B74=М[Наим.])*($C74=М[Артикул, марка, произв.])*($D74=М[Хар-ка])*($R74=М[Прим.])),0))</f>
        <v>Закупка подрядчик</v>
      </c>
    </row>
    <row r="75" spans="1:19" ht="11.1" customHeight="1" outlineLevel="4" x14ac:dyDescent="0.2">
      <c r="A75" s="23" t="s">
        <v>99</v>
      </c>
      <c r="B75" s="24" t="s">
        <v>100</v>
      </c>
      <c r="C75" s="25"/>
      <c r="D75" s="25" t="s">
        <v>101</v>
      </c>
      <c r="E75" s="26" t="s">
        <v>102</v>
      </c>
      <c r="F75" s="30">
        <v>0.21</v>
      </c>
      <c r="G75" s="33">
        <v>7</v>
      </c>
      <c r="H75" s="27"/>
      <c r="I75" s="33">
        <v>7</v>
      </c>
      <c r="J75" s="27"/>
      <c r="K75" s="27"/>
      <c r="L75" s="33">
        <v>7</v>
      </c>
      <c r="M75" s="33">
        <v>3</v>
      </c>
      <c r="N75" s="33">
        <v>10</v>
      </c>
      <c r="O75" s="33">
        <f>SUM($G$75:$N$75)</f>
        <v>34</v>
      </c>
      <c r="P75" s="28">
        <f t="array" ref="P75">INDEX(М[Цена за ед., руб],MATCH(1,IF(($B75=М[Наим.])*($C75=М[Артикул, марка, произв.])*($D75=М[Хар-ка])*($R75=М[Прим.]),{1},($B75=М[Наим.])*($C75=М[Артикул, марка, произв.])*($D75=М[Хар-ка])*($R75=М[Прим.])),0))</f>
        <v>0</v>
      </c>
      <c r="Q75" s="28">
        <f>ROUND($O$75*$P$75,2)</f>
        <v>0</v>
      </c>
      <c r="R75" s="25" t="s">
        <v>103</v>
      </c>
      <c r="S75" s="25" t="str">
        <f t="array" ref="S75">INDEX(М[Форма закупа],MATCH(1,IF(($B75=М[Наим.])*($C75=М[Артикул, марка, произв.])*($D75=М[Хар-ка])*($R75=М[Прим.]),{1},($B75=М[Наим.])*($C75=М[Артикул, марка, произв.])*($D75=М[Хар-ка])*($R75=М[Прим.])),0))</f>
        <v>Закупка подрядчик</v>
      </c>
    </row>
    <row r="76" spans="1:19" ht="11.1" customHeight="1" outlineLevel="2" x14ac:dyDescent="0.2">
      <c r="A76" s="13" t="s">
        <v>104</v>
      </c>
      <c r="B76" s="14" t="s">
        <v>105</v>
      </c>
      <c r="C76" s="15"/>
      <c r="D76" s="15"/>
      <c r="E76" s="16"/>
      <c r="F76" s="17"/>
      <c r="G76" s="18"/>
      <c r="H76" s="18"/>
      <c r="I76" s="18"/>
      <c r="J76" s="18"/>
      <c r="K76" s="18"/>
      <c r="L76" s="18"/>
      <c r="M76" s="18"/>
      <c r="N76" s="18"/>
      <c r="O76" s="18"/>
      <c r="P76" s="64"/>
      <c r="Q76" s="64">
        <f>SUM($Q$77)</f>
        <v>0</v>
      </c>
      <c r="R76" s="19"/>
      <c r="S76" s="19"/>
    </row>
    <row r="77" spans="1:19" ht="11.1" customHeight="1" outlineLevel="3" x14ac:dyDescent="0.2">
      <c r="A77" s="13" t="s">
        <v>106</v>
      </c>
      <c r="B77" s="14" t="s">
        <v>105</v>
      </c>
      <c r="C77" s="15"/>
      <c r="D77" s="15"/>
      <c r="E77" s="16"/>
      <c r="F77" s="17"/>
      <c r="G77" s="18"/>
      <c r="H77" s="18"/>
      <c r="I77" s="18"/>
      <c r="J77" s="18"/>
      <c r="K77" s="18"/>
      <c r="L77" s="18"/>
      <c r="M77" s="18"/>
      <c r="N77" s="18"/>
      <c r="O77" s="18"/>
      <c r="P77" s="64"/>
      <c r="Q77" s="64">
        <f>SUM($Q$80,$Q$78)</f>
        <v>0</v>
      </c>
      <c r="R77" s="19"/>
      <c r="S77" s="19"/>
    </row>
    <row r="78" spans="1:19" ht="11.1" customHeight="1" outlineLevel="4" x14ac:dyDescent="0.2">
      <c r="A78" s="20"/>
      <c r="B78" s="14" t="s">
        <v>27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65"/>
      <c r="Q78" s="66">
        <f>SUM($Q$79)</f>
        <v>0</v>
      </c>
      <c r="R78" s="18"/>
      <c r="S78" s="22"/>
    </row>
    <row r="79" spans="1:19" ht="11.1" customHeight="1" outlineLevel="4" x14ac:dyDescent="0.2">
      <c r="A79" s="23"/>
      <c r="B79" s="24" t="s">
        <v>105</v>
      </c>
      <c r="C79" s="25"/>
      <c r="D79" s="25"/>
      <c r="E79" s="26" t="s">
        <v>29</v>
      </c>
      <c r="F79" s="27"/>
      <c r="G79" s="31">
        <v>43.33</v>
      </c>
      <c r="H79" s="31">
        <v>164.15</v>
      </c>
      <c r="I79" s="31">
        <v>134.86000000000001</v>
      </c>
      <c r="J79" s="31">
        <v>108.11</v>
      </c>
      <c r="K79" s="31">
        <v>108.11</v>
      </c>
      <c r="L79" s="31">
        <v>135.29</v>
      </c>
      <c r="M79" s="31">
        <v>164.15</v>
      </c>
      <c r="N79" s="31">
        <v>37.409999999999997</v>
      </c>
      <c r="O79" s="31">
        <f>SUM($G$79:$N$79)</f>
        <v>895.41</v>
      </c>
      <c r="P79" s="28">
        <f t="array" ref="P79">INDEX(Р[Цена за ед., руб],MATCH(1,IF(($B79=Р[Наименование])*($R79=Р[Примечание]),{1},($B79=Р[Наименование])*($R79=Р[Примечание])),0))</f>
        <v>0</v>
      </c>
      <c r="Q79" s="28">
        <f>ROUND($O$79*$P$79,2)</f>
        <v>0</v>
      </c>
      <c r="R79" s="25"/>
      <c r="S79" s="25"/>
    </row>
    <row r="80" spans="1:19" ht="11.1" customHeight="1" outlineLevel="4" x14ac:dyDescent="0.2">
      <c r="A80" s="20"/>
      <c r="B80" s="14" t="s">
        <v>30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65"/>
      <c r="Q80" s="66">
        <f>SUM($Q$81:$Q$82)</f>
        <v>0</v>
      </c>
      <c r="R80" s="18"/>
      <c r="S80" s="22"/>
    </row>
    <row r="81" spans="1:19" ht="47.1" customHeight="1" outlineLevel="4" x14ac:dyDescent="0.2">
      <c r="A81" s="23" t="s">
        <v>31</v>
      </c>
      <c r="B81" s="24" t="s">
        <v>92</v>
      </c>
      <c r="C81" s="25"/>
      <c r="D81" s="25" t="s">
        <v>107</v>
      </c>
      <c r="E81" s="26" t="s">
        <v>29</v>
      </c>
      <c r="F81" s="30">
        <v>1.1000000000000001</v>
      </c>
      <c r="G81" s="31">
        <v>47.66</v>
      </c>
      <c r="H81" s="31">
        <v>185.32</v>
      </c>
      <c r="I81" s="31">
        <v>151.52000000000001</v>
      </c>
      <c r="J81" s="31">
        <v>122.09</v>
      </c>
      <c r="K81" s="31">
        <v>122.09</v>
      </c>
      <c r="L81" s="31">
        <v>151.97999999999999</v>
      </c>
      <c r="M81" s="31">
        <v>185.32</v>
      </c>
      <c r="N81" s="31">
        <v>41.15</v>
      </c>
      <c r="O81" s="28">
        <f>SUM($G$81:$N$81)</f>
        <v>1007.13</v>
      </c>
      <c r="P81" s="28">
        <f t="array" ref="P81">INDEX(М[Цена за ед., руб],MATCH(1,IF(($B81=М[Наим.])*($C81=М[Артикул, марка, произв.])*($D81=М[Хар-ка])*($R81=М[Прим.]),{1},($B81=М[Наим.])*($C81=М[Артикул, марка, произв.])*($D81=М[Хар-ка])*($R81=М[Прим.])),0))</f>
        <v>0</v>
      </c>
      <c r="Q81" s="28">
        <f>ROUND($O$81*$P$81,2)</f>
        <v>0</v>
      </c>
      <c r="R81" s="25" t="s">
        <v>108</v>
      </c>
      <c r="S81" s="25" t="str">
        <f t="array" ref="S81">INDEX(М[Форма закупа],MATCH(1,IF(($B81=М[Наим.])*($C81=М[Артикул, марка, произв.])*($D81=М[Хар-ка])*($R81=М[Прим.]),{1},($B81=М[Наим.])*($C81=М[Артикул, марка, произв.])*($D81=М[Хар-ка])*($R81=М[Прим.])),0))</f>
        <v>Закупка подрядчик</v>
      </c>
    </row>
    <row r="82" spans="1:19" ht="35.1" customHeight="1" outlineLevel="4" x14ac:dyDescent="0.2">
      <c r="A82" s="23" t="s">
        <v>41</v>
      </c>
      <c r="B82" s="24" t="s">
        <v>53</v>
      </c>
      <c r="C82" s="25"/>
      <c r="D82" s="25" t="s">
        <v>54</v>
      </c>
      <c r="E82" s="26" t="s">
        <v>44</v>
      </c>
      <c r="F82" s="30">
        <v>11</v>
      </c>
      <c r="G82" s="31">
        <v>476.62</v>
      </c>
      <c r="H82" s="28">
        <v>1805.68</v>
      </c>
      <c r="I82" s="29">
        <v>1483.5</v>
      </c>
      <c r="J82" s="29">
        <v>1189.2</v>
      </c>
      <c r="K82" s="29">
        <v>1189.2</v>
      </c>
      <c r="L82" s="28">
        <v>1488.15</v>
      </c>
      <c r="M82" s="28">
        <v>1805.64</v>
      </c>
      <c r="N82" s="31">
        <v>411.46</v>
      </c>
      <c r="O82" s="28">
        <f>SUM($G$82:$N$82)</f>
        <v>9849.4499999999989</v>
      </c>
      <c r="P82" s="28">
        <f t="array" ref="P82">INDEX(М[Цена за ед., руб],MATCH(1,IF(($B82=М[Наим.])*($C82=М[Артикул, марка, произв.])*($D82=М[Хар-ка])*($R82=М[Прим.]),{1},($B82=М[Наим.])*($C82=М[Артикул, марка, произв.])*($D82=М[Хар-ка])*($R82=М[Прим.])),0))</f>
        <v>0</v>
      </c>
      <c r="Q82" s="28">
        <f>ROUND($O$82*$P$82,2)</f>
        <v>0</v>
      </c>
      <c r="R82" s="25" t="s">
        <v>55</v>
      </c>
      <c r="S82" s="25" t="str">
        <f t="array" ref="S82">INDEX(М[Форма закупа],MATCH(1,IF(($B82=М[Наим.])*($C82=М[Артикул, марка, произв.])*($D82=М[Хар-ка])*($R82=М[Прим.]),{1},($B82=М[Наим.])*($C82=М[Артикул, марка, произв.])*($D82=М[Хар-ка])*($R82=М[Прим.])),0))</f>
        <v>Закупка подрядчик</v>
      </c>
    </row>
    <row r="83" spans="1:19" ht="11.1" customHeight="1" outlineLevel="2" x14ac:dyDescent="0.2">
      <c r="A83" s="13" t="s">
        <v>109</v>
      </c>
      <c r="B83" s="14" t="s">
        <v>110</v>
      </c>
      <c r="C83" s="15"/>
      <c r="D83" s="15"/>
      <c r="E83" s="16"/>
      <c r="F83" s="17"/>
      <c r="G83" s="18"/>
      <c r="H83" s="18"/>
      <c r="I83" s="18"/>
      <c r="J83" s="18"/>
      <c r="K83" s="18"/>
      <c r="L83" s="18"/>
      <c r="M83" s="18"/>
      <c r="N83" s="18"/>
      <c r="O83" s="18"/>
      <c r="P83" s="64"/>
      <c r="Q83" s="64">
        <f>SUM($Q$84)</f>
        <v>0</v>
      </c>
      <c r="R83" s="19"/>
      <c r="S83" s="19"/>
    </row>
    <row r="84" spans="1:19" ht="11.1" customHeight="1" outlineLevel="3" x14ac:dyDescent="0.2">
      <c r="A84" s="13" t="s">
        <v>111</v>
      </c>
      <c r="B84" s="14" t="s">
        <v>110</v>
      </c>
      <c r="C84" s="15"/>
      <c r="D84" s="15"/>
      <c r="E84" s="16"/>
      <c r="F84" s="17"/>
      <c r="G84" s="18"/>
      <c r="H84" s="18"/>
      <c r="I84" s="18"/>
      <c r="J84" s="18"/>
      <c r="K84" s="18"/>
      <c r="L84" s="18"/>
      <c r="M84" s="18"/>
      <c r="N84" s="18"/>
      <c r="O84" s="18"/>
      <c r="P84" s="64"/>
      <c r="Q84" s="64">
        <f>SUM($Q$92,$Q$90,$Q$87,$Q$85)</f>
        <v>0</v>
      </c>
      <c r="R84" s="19"/>
      <c r="S84" s="19"/>
    </row>
    <row r="85" spans="1:19" ht="11.1" customHeight="1" outlineLevel="4" x14ac:dyDescent="0.2">
      <c r="A85" s="20"/>
      <c r="B85" s="14" t="s">
        <v>27</v>
      </c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65"/>
      <c r="Q85" s="66">
        <f>SUM($Q$86)</f>
        <v>0</v>
      </c>
      <c r="R85" s="18"/>
      <c r="S85" s="22"/>
    </row>
    <row r="86" spans="1:19" ht="23.1" customHeight="1" outlineLevel="4" x14ac:dyDescent="0.2">
      <c r="A86" s="23"/>
      <c r="B86" s="24" t="s">
        <v>112</v>
      </c>
      <c r="C86" s="25"/>
      <c r="D86" s="25"/>
      <c r="E86" s="26" t="s">
        <v>29</v>
      </c>
      <c r="F86" s="27"/>
      <c r="G86" s="31">
        <v>43.33</v>
      </c>
      <c r="H86" s="31">
        <v>37.51</v>
      </c>
      <c r="I86" s="31">
        <v>36.79</v>
      </c>
      <c r="J86" s="31">
        <v>30.95</v>
      </c>
      <c r="K86" s="31">
        <v>30.95</v>
      </c>
      <c r="L86" s="31">
        <v>36.79</v>
      </c>
      <c r="M86" s="31">
        <v>37.51</v>
      </c>
      <c r="N86" s="31">
        <v>37.409999999999997</v>
      </c>
      <c r="O86" s="31">
        <f>SUM($G$86:$N$86)</f>
        <v>291.23999999999995</v>
      </c>
      <c r="P86" s="28">
        <f t="array" ref="P86">INDEX(Р[Цена за ед., руб],MATCH(1,IF(($B86=Р[Наименование])*($R86=Р[Примечание]),{1},($B86=Р[Наименование])*($R86=Р[Примечание])),0))</f>
        <v>0</v>
      </c>
      <c r="Q86" s="28">
        <f>ROUND($O$86*$P$86,2)</f>
        <v>0</v>
      </c>
      <c r="R86" s="25"/>
      <c r="S86" s="25"/>
    </row>
    <row r="87" spans="1:19" ht="11.1" customHeight="1" outlineLevel="4" x14ac:dyDescent="0.2">
      <c r="A87" s="20"/>
      <c r="B87" s="14" t="s">
        <v>30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65"/>
      <c r="Q87" s="66">
        <f>SUM($Q$88:$Q$89)</f>
        <v>0</v>
      </c>
      <c r="R87" s="18"/>
      <c r="S87" s="22"/>
    </row>
    <row r="88" spans="1:19" ht="47.1" customHeight="1" outlineLevel="4" x14ac:dyDescent="0.2">
      <c r="A88" s="23" t="s">
        <v>31</v>
      </c>
      <c r="B88" s="24" t="s">
        <v>32</v>
      </c>
      <c r="C88" s="25"/>
      <c r="D88" s="25" t="s">
        <v>33</v>
      </c>
      <c r="E88" s="26" t="s">
        <v>34</v>
      </c>
      <c r="F88" s="30">
        <v>0.25</v>
      </c>
      <c r="G88" s="31">
        <v>10.83</v>
      </c>
      <c r="H88" s="31">
        <v>9.3800000000000008</v>
      </c>
      <c r="I88" s="32">
        <v>9.1999999999999993</v>
      </c>
      <c r="J88" s="31">
        <v>7.74</v>
      </c>
      <c r="K88" s="31">
        <v>7.74</v>
      </c>
      <c r="L88" s="32">
        <v>9.1999999999999993</v>
      </c>
      <c r="M88" s="31">
        <v>9.3800000000000008</v>
      </c>
      <c r="N88" s="31">
        <v>9.35</v>
      </c>
      <c r="O88" s="31">
        <f>SUM($G$88:$N$88)</f>
        <v>72.820000000000007</v>
      </c>
      <c r="P88" s="28">
        <f t="array" ref="P88">INDEX(М[Цена за ед., руб],MATCH(1,IF(($B88=М[Наим.])*($C88=М[Артикул, марка, произв.])*($D88=М[Хар-ка])*($R88=М[Прим.]),{1},($B88=М[Наим.])*($C88=М[Артикул, марка, произв.])*($D88=М[Хар-ка])*($R88=М[Прим.])),0))</f>
        <v>0</v>
      </c>
      <c r="Q88" s="28">
        <f>ROUND($O$88*$P$88,2)</f>
        <v>0</v>
      </c>
      <c r="R88" s="25" t="s">
        <v>113</v>
      </c>
      <c r="S88" s="25" t="str">
        <f t="array" ref="S88">INDEX(М[Форма закупа],MATCH(1,IF(($B88=М[Наим.])*($C88=М[Артикул, марка, произв.])*($D88=М[Хар-ка])*($R88=М[Прим.]),{1},($B88=М[Наим.])*($C88=М[Артикул, марка, произв.])*($D88=М[Хар-ка])*($R88=М[Прим.])),0))</f>
        <v>Закупка подрядчик</v>
      </c>
    </row>
    <row r="89" spans="1:19" ht="23.1" customHeight="1" outlineLevel="4" x14ac:dyDescent="0.2">
      <c r="A89" s="23" t="s">
        <v>41</v>
      </c>
      <c r="B89" s="24" t="s">
        <v>114</v>
      </c>
      <c r="C89" s="25"/>
      <c r="D89" s="25" t="s">
        <v>115</v>
      </c>
      <c r="E89" s="26" t="s">
        <v>44</v>
      </c>
      <c r="F89" s="30">
        <v>5</v>
      </c>
      <c r="G89" s="31">
        <v>216.65</v>
      </c>
      <c r="H89" s="31">
        <v>187.53</v>
      </c>
      <c r="I89" s="31">
        <v>183.93</v>
      </c>
      <c r="J89" s="31">
        <v>154.72999999999999</v>
      </c>
      <c r="K89" s="31">
        <v>154.72999999999999</v>
      </c>
      <c r="L89" s="31">
        <v>183.93</v>
      </c>
      <c r="M89" s="31">
        <v>187.53</v>
      </c>
      <c r="N89" s="31">
        <v>187.03</v>
      </c>
      <c r="O89" s="28">
        <f>SUM($G$89:$N$89)</f>
        <v>1456.06</v>
      </c>
      <c r="P89" s="28">
        <f t="array" ref="P89">INDEX(М[Цена за ед., руб],MATCH(1,IF(($B89=М[Наим.])*($C89=М[Артикул, марка, произв.])*($D89=М[Хар-ка])*($R89=М[Прим.]),{1},($B89=М[Наим.])*($C89=М[Артикул, марка, произв.])*($D89=М[Хар-ка])*($R89=М[Прим.])),0))</f>
        <v>0</v>
      </c>
      <c r="Q89" s="28">
        <f>ROUND($O$89*$P$89,2)</f>
        <v>0</v>
      </c>
      <c r="R89" s="25"/>
      <c r="S89" s="25" t="str">
        <f t="array" ref="S89">INDEX(М[Форма закупа],MATCH(1,IF(($B89=М[Наим.])*($C89=М[Артикул, марка, произв.])*($D89=М[Хар-ка])*($R89=М[Прим.]),{1},($B89=М[Наим.])*($C89=М[Артикул, марка, произв.])*($D89=М[Хар-ка])*($R89=М[Прим.])),0))</f>
        <v>Закупка подрядчик</v>
      </c>
    </row>
    <row r="90" spans="1:19" ht="11.1" customHeight="1" outlineLevel="4" x14ac:dyDescent="0.2">
      <c r="A90" s="20"/>
      <c r="B90" s="14" t="s">
        <v>27</v>
      </c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65"/>
      <c r="Q90" s="66">
        <f>SUM($Q$91)</f>
        <v>0</v>
      </c>
      <c r="R90" s="18"/>
      <c r="S90" s="22"/>
    </row>
    <row r="91" spans="1:19" ht="11.1" customHeight="1" outlineLevel="4" x14ac:dyDescent="0.2">
      <c r="A91" s="23"/>
      <c r="B91" s="24" t="s">
        <v>110</v>
      </c>
      <c r="C91" s="25"/>
      <c r="D91" s="25"/>
      <c r="E91" s="26" t="s">
        <v>29</v>
      </c>
      <c r="F91" s="27"/>
      <c r="G91" s="28">
        <v>6104.64</v>
      </c>
      <c r="H91" s="28">
        <v>3987.15</v>
      </c>
      <c r="I91" s="28">
        <v>4460.83</v>
      </c>
      <c r="J91" s="28">
        <v>2473.71</v>
      </c>
      <c r="K91" s="28">
        <v>2484.65</v>
      </c>
      <c r="L91" s="28">
        <v>4461.54</v>
      </c>
      <c r="M91" s="28">
        <v>4045.04</v>
      </c>
      <c r="N91" s="28">
        <v>3901.61</v>
      </c>
      <c r="O91" s="28">
        <f>SUM($G$91:$N$91)</f>
        <v>31919.170000000006</v>
      </c>
      <c r="P91" s="28">
        <f t="array" ref="P91">INDEX(Р[Цена за ед., руб],MATCH(1,IF(($B91=Р[Наименование])*($R91=Р[Примечание]),{1},($B91=Р[Наименование])*($R91=Р[Примечание])),0))</f>
        <v>0</v>
      </c>
      <c r="Q91" s="28">
        <f>ROUND($O$91*$P$91,2)</f>
        <v>0</v>
      </c>
      <c r="R91" s="25"/>
      <c r="S91" s="25"/>
    </row>
    <row r="92" spans="1:19" ht="11.1" customHeight="1" outlineLevel="4" x14ac:dyDescent="0.2">
      <c r="A92" s="20"/>
      <c r="B92" s="14" t="s">
        <v>30</v>
      </c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65"/>
      <c r="Q92" s="66">
        <f>SUM($Q$93:$Q$101)</f>
        <v>0</v>
      </c>
      <c r="R92" s="18"/>
      <c r="S92" s="22"/>
    </row>
    <row r="93" spans="1:19" ht="47.1" customHeight="1" outlineLevel="4" x14ac:dyDescent="0.2">
      <c r="A93" s="23" t="s">
        <v>31</v>
      </c>
      <c r="B93" s="24" t="s">
        <v>32</v>
      </c>
      <c r="C93" s="25"/>
      <c r="D93" s="25" t="s">
        <v>33</v>
      </c>
      <c r="E93" s="26" t="s">
        <v>34</v>
      </c>
      <c r="F93" s="30">
        <v>0.25</v>
      </c>
      <c r="G93" s="28">
        <v>1526.16</v>
      </c>
      <c r="H93" s="31">
        <v>996.79</v>
      </c>
      <c r="I93" s="28">
        <v>1115.21</v>
      </c>
      <c r="J93" s="31">
        <v>618.42999999999995</v>
      </c>
      <c r="K93" s="31">
        <v>621.16</v>
      </c>
      <c r="L93" s="28">
        <v>1115.3900000000001</v>
      </c>
      <c r="M93" s="28">
        <v>1011.26</v>
      </c>
      <c r="N93" s="32">
        <v>975.4</v>
      </c>
      <c r="O93" s="29">
        <f>SUM($G$93:$N$93)</f>
        <v>7979.8</v>
      </c>
      <c r="P93" s="28">
        <f t="array" ref="P93">INDEX(М[Цена за ед., руб],MATCH(1,IF(($B93=М[Наим.])*($C93=М[Артикул, марка, произв.])*($D93=М[Хар-ка])*($R93=М[Прим.]),{1},($B93=М[Наим.])*($C93=М[Артикул, марка, произв.])*($D93=М[Хар-ка])*($R93=М[Прим.])),0))</f>
        <v>0</v>
      </c>
      <c r="Q93" s="28">
        <f>ROUND($O$93*$P$93,2)</f>
        <v>0</v>
      </c>
      <c r="R93" s="25" t="s">
        <v>113</v>
      </c>
      <c r="S93" s="25" t="str">
        <f t="array" ref="S93">INDEX(М[Форма закупа],MATCH(1,IF(($B93=М[Наим.])*($C93=М[Артикул, марка, произв.])*($D93=М[Хар-ка])*($R93=М[Прим.]),{1},($B93=М[Наим.])*($C93=М[Артикул, марка, произв.])*($D93=М[Хар-ка])*($R93=М[Прим.])),0))</f>
        <v>Закупка подрядчик</v>
      </c>
    </row>
    <row r="94" spans="1:19" ht="23.1" customHeight="1" outlineLevel="4" x14ac:dyDescent="0.2">
      <c r="A94" s="23" t="s">
        <v>41</v>
      </c>
      <c r="B94" s="24" t="s">
        <v>114</v>
      </c>
      <c r="C94" s="25"/>
      <c r="D94" s="25" t="s">
        <v>116</v>
      </c>
      <c r="E94" s="26" t="s">
        <v>44</v>
      </c>
      <c r="F94" s="30">
        <v>2.7</v>
      </c>
      <c r="G94" s="27"/>
      <c r="H94" s="28">
        <v>4771.8100000000004</v>
      </c>
      <c r="I94" s="27"/>
      <c r="J94" s="28">
        <v>1238.48</v>
      </c>
      <c r="K94" s="32">
        <v>765.2</v>
      </c>
      <c r="L94" s="31">
        <v>601.25</v>
      </c>
      <c r="M94" s="28">
        <v>7302.95</v>
      </c>
      <c r="N94" s="27"/>
      <c r="O94" s="28">
        <f>SUM($G$94:$N$94)</f>
        <v>14679.69</v>
      </c>
      <c r="P94" s="28">
        <f t="array" ref="P94">INDEX(М[Цена за ед., руб],MATCH(1,IF(($B94=М[Наим.])*($C94=М[Артикул, марка, произв.])*($D94=М[Хар-ка])*($R94=М[Прим.]),{1},($B94=М[Наим.])*($C94=М[Артикул, марка, произв.])*($D94=М[Хар-ка])*($R94=М[Прим.])),0))</f>
        <v>0</v>
      </c>
      <c r="Q94" s="28">
        <f>ROUND($O$94*$P$94,2)</f>
        <v>0</v>
      </c>
      <c r="R94" s="25" t="s">
        <v>117</v>
      </c>
      <c r="S94" s="25" t="str">
        <f t="array" ref="S94">INDEX(М[Форма закупа],MATCH(1,IF(($B94=М[Наим.])*($C94=М[Артикул, марка, произв.])*($D94=М[Хар-ка])*($R94=М[Прим.]),{1},($B94=М[Наим.])*($C94=М[Артикул, марка, произв.])*($D94=М[Хар-ка])*($R94=М[Прим.])),0))</f>
        <v>Закупка подрядчик</v>
      </c>
    </row>
    <row r="95" spans="1:19" ht="23.1" customHeight="1" outlineLevel="4" x14ac:dyDescent="0.2">
      <c r="A95" s="23" t="s">
        <v>52</v>
      </c>
      <c r="B95" s="24" t="s">
        <v>114</v>
      </c>
      <c r="C95" s="25"/>
      <c r="D95" s="25" t="s">
        <v>118</v>
      </c>
      <c r="E95" s="26" t="s">
        <v>44</v>
      </c>
      <c r="F95" s="30">
        <v>2.7</v>
      </c>
      <c r="G95" s="28">
        <v>2652.22</v>
      </c>
      <c r="H95" s="28">
        <v>3816.83</v>
      </c>
      <c r="I95" s="28">
        <v>1847.38</v>
      </c>
      <c r="J95" s="28">
        <v>2415.08</v>
      </c>
      <c r="K95" s="31">
        <v>336.38</v>
      </c>
      <c r="L95" s="28">
        <v>8965.65</v>
      </c>
      <c r="M95" s="28">
        <v>1079.22</v>
      </c>
      <c r="N95" s="28">
        <v>2983.28</v>
      </c>
      <c r="O95" s="28">
        <f>SUM($G$95:$N$95)</f>
        <v>24096.04</v>
      </c>
      <c r="P95" s="28">
        <f t="array" ref="P95">INDEX(М[Цена за ед., руб],MATCH(1,IF(($B95=М[Наим.])*($C95=М[Артикул, марка, произв.])*($D95=М[Хар-ка])*($R95=М[Прим.]),{1},($B95=М[Наим.])*($C95=М[Артикул, марка, произв.])*($D95=М[Хар-ка])*($R95=М[Прим.])),0))</f>
        <v>0</v>
      </c>
      <c r="Q95" s="28">
        <f>ROUND($O$95*$P$95,2)</f>
        <v>0</v>
      </c>
      <c r="R95" s="25" t="s">
        <v>117</v>
      </c>
      <c r="S95" s="25" t="str">
        <f t="array" ref="S95">INDEX(М[Форма закупа],MATCH(1,IF(($B95=М[Наим.])*($C95=М[Артикул, марка, произв.])*($D95=М[Хар-ка])*($R95=М[Прим.]),{1},($B95=М[Наим.])*($C95=М[Артикул, марка, произв.])*($D95=М[Хар-ка])*($R95=М[Прим.])),0))</f>
        <v>Закупка подрядчик</v>
      </c>
    </row>
    <row r="96" spans="1:19" ht="23.1" customHeight="1" outlineLevel="4" x14ac:dyDescent="0.2">
      <c r="A96" s="23" t="s">
        <v>65</v>
      </c>
      <c r="B96" s="24" t="s">
        <v>114</v>
      </c>
      <c r="C96" s="25"/>
      <c r="D96" s="25" t="s">
        <v>119</v>
      </c>
      <c r="E96" s="26" t="s">
        <v>44</v>
      </c>
      <c r="F96" s="30">
        <v>2.7</v>
      </c>
      <c r="G96" s="28">
        <v>11241.23</v>
      </c>
      <c r="H96" s="27"/>
      <c r="I96" s="27"/>
      <c r="J96" s="32">
        <v>868.8</v>
      </c>
      <c r="K96" s="28">
        <v>3655.29</v>
      </c>
      <c r="L96" s="27"/>
      <c r="M96" s="28">
        <v>1342.07</v>
      </c>
      <c r="N96" s="27"/>
      <c r="O96" s="28">
        <f>SUM($G$96:$N$96)</f>
        <v>17107.39</v>
      </c>
      <c r="P96" s="28">
        <f t="array" ref="P96">INDEX(М[Цена за ед., руб],MATCH(1,IF(($B96=М[Наим.])*($C96=М[Артикул, марка, произв.])*($D96=М[Хар-ка])*($R96=М[Прим.]),{1},($B96=М[Наим.])*($C96=М[Артикул, марка, произв.])*($D96=М[Хар-ка])*($R96=М[Прим.])),0))</f>
        <v>0</v>
      </c>
      <c r="Q96" s="28">
        <f>ROUND($O$96*$P$96,2)</f>
        <v>0</v>
      </c>
      <c r="R96" s="25" t="s">
        <v>117</v>
      </c>
      <c r="S96" s="25" t="str">
        <f t="array" ref="S96">INDEX(М[Форма закупа],MATCH(1,IF(($B96=М[Наим.])*($C96=М[Артикул, марка, произв.])*($D96=М[Хар-ка])*($R96=М[Прим.]),{1},($B96=М[Наим.])*($C96=М[Артикул, марка, произв.])*($D96=М[Хар-ка])*($R96=М[Прим.])),0))</f>
        <v>Закупка подрядчик</v>
      </c>
    </row>
    <row r="97" spans="1:19" ht="23.1" customHeight="1" outlineLevel="4" x14ac:dyDescent="0.2">
      <c r="A97" s="23" t="s">
        <v>67</v>
      </c>
      <c r="B97" s="24" t="s">
        <v>114</v>
      </c>
      <c r="C97" s="25"/>
      <c r="D97" s="25" t="s">
        <v>120</v>
      </c>
      <c r="E97" s="26" t="s">
        <v>44</v>
      </c>
      <c r="F97" s="30">
        <v>2.7</v>
      </c>
      <c r="G97" s="28">
        <v>2357.5700000000002</v>
      </c>
      <c r="H97" s="27"/>
      <c r="I97" s="31">
        <v>123.53</v>
      </c>
      <c r="J97" s="27"/>
      <c r="K97" s="27"/>
      <c r="L97" s="27"/>
      <c r="M97" s="27"/>
      <c r="N97" s="27"/>
      <c r="O97" s="29">
        <f>SUM($G$97:$N$97)</f>
        <v>2481.1000000000004</v>
      </c>
      <c r="P97" s="28">
        <f t="array" ref="P97">INDEX(М[Цена за ед., руб],MATCH(1,IF(($B97=М[Наим.])*($C97=М[Артикул, марка, произв.])*($D97=М[Хар-ка])*($R97=М[Прим.]),{1},($B97=М[Наим.])*($C97=М[Артикул, марка, произв.])*($D97=М[Хар-ка])*($R97=М[Прим.])),0))</f>
        <v>0</v>
      </c>
      <c r="Q97" s="28">
        <f>ROUND($O$97*$P$97,2)</f>
        <v>0</v>
      </c>
      <c r="R97" s="25" t="s">
        <v>117</v>
      </c>
      <c r="S97" s="25" t="str">
        <f t="array" ref="S97">INDEX(М[Форма закупа],MATCH(1,IF(($B97=М[Наим.])*($C97=М[Артикул, марка, произв.])*($D97=М[Хар-ка])*($R97=М[Прим.]),{1},($B97=М[Наим.])*($C97=М[Артикул, марка, произв.])*($D97=М[Хар-ка])*($R97=М[Прим.])),0))</f>
        <v>Закупка подрядчик</v>
      </c>
    </row>
    <row r="98" spans="1:19" ht="23.1" customHeight="1" outlineLevel="4" x14ac:dyDescent="0.2">
      <c r="A98" s="23" t="s">
        <v>74</v>
      </c>
      <c r="B98" s="24" t="s">
        <v>114</v>
      </c>
      <c r="C98" s="25"/>
      <c r="D98" s="25" t="s">
        <v>121</v>
      </c>
      <c r="E98" s="26" t="s">
        <v>44</v>
      </c>
      <c r="F98" s="30">
        <v>2.7</v>
      </c>
      <c r="G98" s="31">
        <v>231.51</v>
      </c>
      <c r="H98" s="31">
        <v>327.74</v>
      </c>
      <c r="I98" s="27"/>
      <c r="J98" s="31">
        <v>323.25</v>
      </c>
      <c r="K98" s="32">
        <v>676.2</v>
      </c>
      <c r="L98" s="28">
        <v>2479.27</v>
      </c>
      <c r="M98" s="31">
        <v>204.46</v>
      </c>
      <c r="N98" s="31">
        <v>100.63</v>
      </c>
      <c r="O98" s="28">
        <f>SUM($G$98:$N$98)</f>
        <v>4343.0600000000004</v>
      </c>
      <c r="P98" s="28">
        <f t="array" ref="P98">INDEX(М[Цена за ед., руб],MATCH(1,IF(($B98=М[Наим.])*($C98=М[Артикул, марка, произв.])*($D98=М[Хар-ка])*($R98=М[Прим.]),{1},($B98=М[Наим.])*($C98=М[Артикул, марка, произв.])*($D98=М[Хар-ка])*($R98=М[Прим.])),0))</f>
        <v>0</v>
      </c>
      <c r="Q98" s="28">
        <f>ROUND($O$98*$P$98,2)</f>
        <v>0</v>
      </c>
      <c r="R98" s="25" t="s">
        <v>117</v>
      </c>
      <c r="S98" s="25" t="str">
        <f t="array" ref="S98">INDEX(М[Форма закупа],MATCH(1,IF(($B98=М[Наим.])*($C98=М[Артикул, марка, произв.])*($D98=М[Хар-ка])*($R98=М[Прим.]),{1},($B98=М[Наим.])*($C98=М[Артикул, марка, произв.])*($D98=М[Хар-ка])*($R98=М[Прим.])),0))</f>
        <v>Закупка подрядчик</v>
      </c>
    </row>
    <row r="99" spans="1:19" ht="23.1" customHeight="1" outlineLevel="4" x14ac:dyDescent="0.2">
      <c r="A99" s="23" t="s">
        <v>98</v>
      </c>
      <c r="B99" s="24" t="s">
        <v>114</v>
      </c>
      <c r="C99" s="25"/>
      <c r="D99" s="25" t="s">
        <v>122</v>
      </c>
      <c r="E99" s="26" t="s">
        <v>44</v>
      </c>
      <c r="F99" s="30">
        <v>2.7</v>
      </c>
      <c r="G99" s="27"/>
      <c r="H99" s="28">
        <v>1848.92</v>
      </c>
      <c r="I99" s="27"/>
      <c r="J99" s="27"/>
      <c r="K99" s="27"/>
      <c r="L99" s="27"/>
      <c r="M99" s="32">
        <v>992.9</v>
      </c>
      <c r="N99" s="27"/>
      <c r="O99" s="28">
        <f>SUM($G$99:$N$99)</f>
        <v>2841.82</v>
      </c>
      <c r="P99" s="28">
        <f t="array" ref="P99">INDEX(М[Цена за ед., руб],MATCH(1,IF(($B99=М[Наим.])*($C99=М[Артикул, марка, произв.])*($D99=М[Хар-ка])*($R99=М[Прим.]),{1},($B99=М[Наим.])*($C99=М[Артикул, марка, произв.])*($D99=М[Хар-ка])*($R99=М[Прим.])),0))</f>
        <v>0</v>
      </c>
      <c r="Q99" s="28">
        <f>ROUND($O$99*$P$99,2)</f>
        <v>0</v>
      </c>
      <c r="R99" s="25" t="s">
        <v>117</v>
      </c>
      <c r="S99" s="25" t="str">
        <f t="array" ref="S99">INDEX(М[Форма закупа],MATCH(1,IF(($B99=М[Наим.])*($C99=М[Артикул, марка, произв.])*($D99=М[Хар-ка])*($R99=М[Прим.]),{1},($B99=М[Наим.])*($C99=М[Артикул, марка, произв.])*($D99=М[Хар-ка])*($R99=М[Прим.])),0))</f>
        <v>Закупка подрядчик</v>
      </c>
    </row>
    <row r="100" spans="1:19" ht="23.1" customHeight="1" outlineLevel="4" x14ac:dyDescent="0.2">
      <c r="A100" s="23" t="s">
        <v>99</v>
      </c>
      <c r="B100" s="24" t="s">
        <v>114</v>
      </c>
      <c r="C100" s="25"/>
      <c r="D100" s="25" t="s">
        <v>123</v>
      </c>
      <c r="E100" s="26" t="s">
        <v>44</v>
      </c>
      <c r="F100" s="30">
        <v>2.7</v>
      </c>
      <c r="G100" s="27"/>
      <c r="H100" s="27"/>
      <c r="I100" s="27"/>
      <c r="J100" s="29">
        <v>1833.4</v>
      </c>
      <c r="K100" s="28">
        <v>1275.47</v>
      </c>
      <c r="L100" s="27"/>
      <c r="M100" s="27"/>
      <c r="N100" s="27"/>
      <c r="O100" s="28">
        <f>SUM($G$100:$N$100)</f>
        <v>3108.87</v>
      </c>
      <c r="P100" s="28">
        <f t="array" ref="P100">INDEX(М[Цена за ед., руб],MATCH(1,IF(($B100=М[Наим.])*($C100=М[Артикул, марка, произв.])*($D100=М[Хар-ка])*($R100=М[Прим.]),{1},($B100=М[Наим.])*($C100=М[Артикул, марка, произв.])*($D100=М[Хар-ка])*($R100=М[Прим.])),0))</f>
        <v>0</v>
      </c>
      <c r="Q100" s="28">
        <f>ROUND($O$100*$P$100,2)</f>
        <v>0</v>
      </c>
      <c r="R100" s="25" t="s">
        <v>117</v>
      </c>
      <c r="S100" s="25" t="str">
        <f t="array" ref="S100">INDEX(М[Форма закупа],MATCH(1,IF(($B100=М[Наим.])*($C100=М[Артикул, марка, произв.])*($D100=М[Хар-ка])*($R100=М[Прим.]),{1},($B100=М[Наим.])*($C100=М[Артикул, марка, произв.])*($D100=М[Хар-ка])*($R100=М[Прим.])),0))</f>
        <v>Закупка подрядчик</v>
      </c>
    </row>
    <row r="101" spans="1:19" ht="23.1" customHeight="1" outlineLevel="4" x14ac:dyDescent="0.2">
      <c r="A101" s="23" t="s">
        <v>124</v>
      </c>
      <c r="B101" s="24" t="s">
        <v>114</v>
      </c>
      <c r="C101" s="25"/>
      <c r="D101" s="25" t="s">
        <v>125</v>
      </c>
      <c r="E101" s="26" t="s">
        <v>44</v>
      </c>
      <c r="F101" s="30">
        <v>2.7</v>
      </c>
      <c r="G101" s="27"/>
      <c r="H101" s="27"/>
      <c r="I101" s="28">
        <v>10073.33</v>
      </c>
      <c r="J101" s="27"/>
      <c r="K101" s="27"/>
      <c r="L101" s="27"/>
      <c r="M101" s="27"/>
      <c r="N101" s="28">
        <v>7450.43</v>
      </c>
      <c r="O101" s="28">
        <f>SUM($G$101:$N$101)</f>
        <v>17523.760000000002</v>
      </c>
      <c r="P101" s="28">
        <f t="array" ref="P101">INDEX(М[Цена за ед., руб],MATCH(1,IF(($B101=М[Наим.])*($C101=М[Артикул, марка, произв.])*($D101=М[Хар-ка])*($R101=М[Прим.]),{1},($B101=М[Наим.])*($C101=М[Артикул, марка, произв.])*($D101=М[Хар-ка])*($R101=М[Прим.])),0))</f>
        <v>0</v>
      </c>
      <c r="Q101" s="28">
        <f>ROUND($O$101*$P$101,2)</f>
        <v>0</v>
      </c>
      <c r="R101" s="25" t="s">
        <v>117</v>
      </c>
      <c r="S101" s="25" t="str">
        <f t="array" ref="S101">INDEX(М[Форма закупа],MATCH(1,IF(($B101=М[Наим.])*($C101=М[Артикул, марка, произв.])*($D101=М[Хар-ка])*($R101=М[Прим.]),{1},($B101=М[Наим.])*($C101=М[Артикул, марка, произв.])*($D101=М[Хар-ка])*($R101=М[Прим.])),0))</f>
        <v>Закупка подрядчик</v>
      </c>
    </row>
    <row r="102" spans="1:19" ht="11.1" customHeight="1" outlineLevel="2" x14ac:dyDescent="0.2">
      <c r="A102" s="13" t="s">
        <v>126</v>
      </c>
      <c r="B102" s="14" t="s">
        <v>127</v>
      </c>
      <c r="C102" s="15"/>
      <c r="D102" s="15"/>
      <c r="E102" s="16"/>
      <c r="F102" s="17"/>
      <c r="G102" s="18"/>
      <c r="H102" s="18"/>
      <c r="I102" s="18"/>
      <c r="J102" s="18"/>
      <c r="K102" s="18"/>
      <c r="L102" s="18"/>
      <c r="M102" s="18"/>
      <c r="N102" s="18"/>
      <c r="O102" s="18"/>
      <c r="P102" s="64"/>
      <c r="Q102" s="64">
        <f>SUM($Q$103)</f>
        <v>0</v>
      </c>
      <c r="R102" s="19"/>
      <c r="S102" s="19"/>
    </row>
    <row r="103" spans="1:19" ht="11.1" customHeight="1" outlineLevel="3" x14ac:dyDescent="0.2">
      <c r="A103" s="13" t="s">
        <v>128</v>
      </c>
      <c r="B103" s="14" t="s">
        <v>127</v>
      </c>
      <c r="C103" s="15"/>
      <c r="D103" s="15"/>
      <c r="E103" s="16"/>
      <c r="F103" s="17"/>
      <c r="G103" s="18"/>
      <c r="H103" s="18"/>
      <c r="I103" s="18"/>
      <c r="J103" s="18"/>
      <c r="K103" s="18"/>
      <c r="L103" s="18"/>
      <c r="M103" s="18"/>
      <c r="N103" s="18"/>
      <c r="O103" s="18"/>
      <c r="P103" s="64"/>
      <c r="Q103" s="64">
        <f>SUM($Q$106,$Q$104)</f>
        <v>0</v>
      </c>
      <c r="R103" s="19"/>
      <c r="S103" s="19"/>
    </row>
    <row r="104" spans="1:19" ht="11.1" customHeight="1" outlineLevel="4" x14ac:dyDescent="0.2">
      <c r="A104" s="20"/>
      <c r="B104" s="14" t="s">
        <v>27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65"/>
      <c r="Q104" s="66">
        <f>SUM($Q$105)</f>
        <v>0</v>
      </c>
      <c r="R104" s="18"/>
      <c r="S104" s="22"/>
    </row>
    <row r="105" spans="1:19" ht="23.1" customHeight="1" outlineLevel="4" x14ac:dyDescent="0.2">
      <c r="A105" s="23"/>
      <c r="B105" s="24" t="s">
        <v>129</v>
      </c>
      <c r="C105" s="25"/>
      <c r="D105" s="25"/>
      <c r="E105" s="26" t="s">
        <v>88</v>
      </c>
      <c r="F105" s="27"/>
      <c r="G105" s="31">
        <v>306.66000000000003</v>
      </c>
      <c r="H105" s="31">
        <v>333.72</v>
      </c>
      <c r="I105" s="31">
        <v>514.12</v>
      </c>
      <c r="J105" s="31">
        <v>414.99</v>
      </c>
      <c r="K105" s="31">
        <v>414.99</v>
      </c>
      <c r="L105" s="31">
        <v>514.12</v>
      </c>
      <c r="M105" s="31">
        <v>172.44</v>
      </c>
      <c r="N105" s="31">
        <v>153.32</v>
      </c>
      <c r="O105" s="28">
        <f>SUM($G$105:$N$105)</f>
        <v>2824.36</v>
      </c>
      <c r="P105" s="28">
        <f t="array" ref="P105">INDEX(Р[Цена за ед., руб],MATCH(1,IF(($B105=Р[Наименование])*($R105=Р[Примечание]),{1},($B105=Р[Наименование])*($R105=Р[Примечание])),0))</f>
        <v>0</v>
      </c>
      <c r="Q105" s="28">
        <f>ROUND($O$105*$P$105,2)</f>
        <v>0</v>
      </c>
      <c r="R105" s="25" t="s">
        <v>130</v>
      </c>
      <c r="S105" s="25"/>
    </row>
    <row r="106" spans="1:19" ht="11.1" customHeight="1" outlineLevel="4" x14ac:dyDescent="0.2">
      <c r="A106" s="20"/>
      <c r="B106" s="14" t="s">
        <v>30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65"/>
      <c r="Q106" s="66">
        <f>SUM($Q$107:$Q$110)</f>
        <v>0</v>
      </c>
      <c r="R106" s="18"/>
      <c r="S106" s="22"/>
    </row>
    <row r="107" spans="1:19" ht="35.1" customHeight="1" outlineLevel="4" x14ac:dyDescent="0.2">
      <c r="A107" s="23" t="s">
        <v>31</v>
      </c>
      <c r="B107" s="24" t="s">
        <v>49</v>
      </c>
      <c r="C107" s="25"/>
      <c r="D107" s="25" t="s">
        <v>131</v>
      </c>
      <c r="E107" s="26" t="s">
        <v>51</v>
      </c>
      <c r="F107" s="27"/>
      <c r="G107" s="33">
        <v>511</v>
      </c>
      <c r="H107" s="33">
        <v>556</v>
      </c>
      <c r="I107" s="33">
        <v>857</v>
      </c>
      <c r="J107" s="33">
        <v>692</v>
      </c>
      <c r="K107" s="33">
        <v>692</v>
      </c>
      <c r="L107" s="33">
        <v>857</v>
      </c>
      <c r="M107" s="33">
        <v>287</v>
      </c>
      <c r="N107" s="33">
        <v>256</v>
      </c>
      <c r="O107" s="34">
        <f>SUM($G$107:$N$107)</f>
        <v>4708</v>
      </c>
      <c r="P107" s="28">
        <f t="array" ref="P107">INDEX(М[Цена за ед., руб],MATCH(1,IF(($B107=М[Наим.])*($C107=М[Артикул, марка, произв.])*($D107=М[Хар-ка])*($R107=М[Прим.]),{1},($B107=М[Наим.])*($C107=М[Артикул, марка, произв.])*($D107=М[Хар-ка])*($R107=М[Прим.])),0))</f>
        <v>0</v>
      </c>
      <c r="Q107" s="28">
        <f>ROUND($O$107*$P$107,2)</f>
        <v>0</v>
      </c>
      <c r="R107" s="25"/>
      <c r="S107" s="25" t="str">
        <f t="array" ref="S107">INDEX(М[Форма закупа],MATCH(1,IF(($B107=М[Наим.])*($C107=М[Артикул, марка, произв.])*($D107=М[Хар-ка])*($R107=М[Прим.]),{1},($B107=М[Наим.])*($C107=М[Артикул, марка, произв.])*($D107=М[Хар-ка])*($R107=М[Прим.])),0))</f>
        <v>Закупка подрядчик</v>
      </c>
    </row>
    <row r="108" spans="1:19" ht="35.1" customHeight="1" outlineLevel="4" x14ac:dyDescent="0.2">
      <c r="A108" s="23" t="s">
        <v>41</v>
      </c>
      <c r="B108" s="24" t="s">
        <v>132</v>
      </c>
      <c r="C108" s="25"/>
      <c r="D108" s="25" t="s">
        <v>133</v>
      </c>
      <c r="E108" s="26" t="s">
        <v>88</v>
      </c>
      <c r="F108" s="30">
        <v>1.1000000000000001</v>
      </c>
      <c r="G108" s="32">
        <v>9.9</v>
      </c>
      <c r="H108" s="32">
        <v>9.9</v>
      </c>
      <c r="I108" s="32">
        <v>9.9</v>
      </c>
      <c r="J108" s="32">
        <v>9.9</v>
      </c>
      <c r="K108" s="32">
        <v>9.9</v>
      </c>
      <c r="L108" s="32">
        <v>9.9</v>
      </c>
      <c r="M108" s="32">
        <v>9.9</v>
      </c>
      <c r="N108" s="32">
        <v>9.9</v>
      </c>
      <c r="O108" s="32">
        <f>SUM($G$108:$N$108)</f>
        <v>79.2</v>
      </c>
      <c r="P108" s="28">
        <f t="array" ref="P108">INDEX(М[Цена за ед., руб],MATCH(1,IF(($B108=М[Наим.])*($C108=М[Артикул, марка, произв.])*($D108=М[Хар-ка])*($R108=М[Прим.]),{1},($B108=М[Наим.])*($C108=М[Артикул, марка, произв.])*($D108=М[Хар-ка])*($R108=М[Прим.])),0))</f>
        <v>0</v>
      </c>
      <c r="Q108" s="28">
        <f>ROUND($O$108*$P$108,2)</f>
        <v>0</v>
      </c>
      <c r="R108" s="25" t="s">
        <v>134</v>
      </c>
      <c r="S108" s="25" t="str">
        <f t="array" ref="S108">INDEX(М[Форма закупа],MATCH(1,IF(($B108=М[Наим.])*($C108=М[Артикул, марка, произв.])*($D108=М[Хар-ка])*($R108=М[Прим.]),{1},($B108=М[Наим.])*($C108=М[Артикул, марка, произв.])*($D108=М[Хар-ка])*($R108=М[Прим.])),0))</f>
        <v>Закупка подрядчик</v>
      </c>
    </row>
    <row r="109" spans="1:19" ht="35.1" customHeight="1" outlineLevel="4" x14ac:dyDescent="0.2">
      <c r="A109" s="23" t="s">
        <v>52</v>
      </c>
      <c r="B109" s="24" t="s">
        <v>132</v>
      </c>
      <c r="C109" s="25"/>
      <c r="D109" s="25" t="s">
        <v>135</v>
      </c>
      <c r="E109" s="26" t="s">
        <v>88</v>
      </c>
      <c r="F109" s="30">
        <v>1.1000000000000001</v>
      </c>
      <c r="G109" s="31">
        <v>327.43</v>
      </c>
      <c r="H109" s="31">
        <v>357.19</v>
      </c>
      <c r="I109" s="31">
        <v>555.63</v>
      </c>
      <c r="J109" s="31">
        <v>446.59</v>
      </c>
      <c r="K109" s="31">
        <v>446.59</v>
      </c>
      <c r="L109" s="31">
        <v>555.63</v>
      </c>
      <c r="M109" s="31">
        <v>179.78</v>
      </c>
      <c r="N109" s="31">
        <v>158.75</v>
      </c>
      <c r="O109" s="28">
        <f>SUM($G$109:$N$109)</f>
        <v>3027.59</v>
      </c>
      <c r="P109" s="28">
        <f t="array" ref="P109">INDEX(М[Цена за ед., руб],MATCH(1,IF(($B109=М[Наим.])*($C109=М[Артикул, марка, произв.])*($D109=М[Хар-ка])*($R109=М[Прим.]),{1},($B109=М[Наим.])*($C109=М[Артикул, марка, произв.])*($D109=М[Хар-ка])*($R109=М[Прим.])),0))</f>
        <v>0</v>
      </c>
      <c r="Q109" s="28">
        <f>ROUND($O$109*$P$109,2)</f>
        <v>0</v>
      </c>
      <c r="R109" s="25" t="s">
        <v>134</v>
      </c>
      <c r="S109" s="25" t="str">
        <f t="array" ref="S109">INDEX(М[Форма закупа],MATCH(1,IF(($B109=М[Наим.])*($C109=М[Артикул, марка, произв.])*($D109=М[Хар-ка])*($R109=М[Прим.]),{1},($B109=М[Наим.])*($C109=М[Артикул, марка, произв.])*($D109=М[Хар-ка])*($R109=М[Прим.])),0))</f>
        <v>Закупка подрядчик</v>
      </c>
    </row>
    <row r="110" spans="1:19" ht="11.1" customHeight="1" outlineLevel="4" x14ac:dyDescent="0.2">
      <c r="A110" s="23" t="s">
        <v>65</v>
      </c>
      <c r="B110" s="24" t="s">
        <v>100</v>
      </c>
      <c r="C110" s="25"/>
      <c r="D110" s="25" t="s">
        <v>101</v>
      </c>
      <c r="E110" s="26" t="s">
        <v>102</v>
      </c>
      <c r="F110" s="30">
        <v>0.2</v>
      </c>
      <c r="G110" s="33">
        <v>61</v>
      </c>
      <c r="H110" s="33">
        <v>66</v>
      </c>
      <c r="I110" s="33">
        <v>103</v>
      </c>
      <c r="J110" s="33">
        <v>83</v>
      </c>
      <c r="K110" s="33">
        <v>83</v>
      </c>
      <c r="L110" s="33">
        <v>103</v>
      </c>
      <c r="M110" s="33">
        <v>34</v>
      </c>
      <c r="N110" s="33">
        <v>30</v>
      </c>
      <c r="O110" s="33">
        <f>SUM($G$110:$N$110)</f>
        <v>563</v>
      </c>
      <c r="P110" s="28">
        <f t="array" ref="P110">INDEX(М[Цена за ед., руб],MATCH(1,IF(($B110=М[Наим.])*($C110=М[Артикул, марка, произв.])*($D110=М[Хар-ка])*($R110=М[Прим.]),{1},($B110=М[Наим.])*($C110=М[Артикул, марка, произв.])*($D110=М[Хар-ка])*($R110=М[Прим.])),0))</f>
        <v>0</v>
      </c>
      <c r="Q110" s="28">
        <f>ROUND($O$110*$P$110,2)</f>
        <v>0</v>
      </c>
      <c r="R110" s="25" t="s">
        <v>103</v>
      </c>
      <c r="S110" s="25" t="str">
        <f t="array" ref="S110">INDEX(М[Форма закупа],MATCH(1,IF(($B110=М[Наим.])*($C110=М[Артикул, марка, произв.])*($D110=М[Хар-ка])*($R110=М[Прим.]),{1},($B110=М[Наим.])*($C110=М[Артикул, марка, произв.])*($D110=М[Хар-ка])*($R110=М[Прим.])),0))</f>
        <v>Закупка подрядчик</v>
      </c>
    </row>
    <row r="111" spans="1:19" ht="11.1" customHeight="1" outlineLevel="2" x14ac:dyDescent="0.2">
      <c r="A111" s="13" t="s">
        <v>136</v>
      </c>
      <c r="B111" s="14" t="s">
        <v>137</v>
      </c>
      <c r="C111" s="15"/>
      <c r="D111" s="15"/>
      <c r="E111" s="16"/>
      <c r="F111" s="17"/>
      <c r="G111" s="18"/>
      <c r="H111" s="18"/>
      <c r="I111" s="18"/>
      <c r="J111" s="18"/>
      <c r="K111" s="18"/>
      <c r="L111" s="18"/>
      <c r="M111" s="18"/>
      <c r="N111" s="18"/>
      <c r="O111" s="18"/>
      <c r="P111" s="64"/>
      <c r="Q111" s="64">
        <f>SUM($Q$112)</f>
        <v>0</v>
      </c>
      <c r="R111" s="19"/>
      <c r="S111" s="19"/>
    </row>
    <row r="112" spans="1:19" ht="11.1" customHeight="1" outlineLevel="3" x14ac:dyDescent="0.2">
      <c r="A112" s="13" t="s">
        <v>138</v>
      </c>
      <c r="B112" s="14" t="s">
        <v>137</v>
      </c>
      <c r="C112" s="15"/>
      <c r="D112" s="15"/>
      <c r="E112" s="16"/>
      <c r="F112" s="17"/>
      <c r="G112" s="18"/>
      <c r="H112" s="18"/>
      <c r="I112" s="18"/>
      <c r="J112" s="18"/>
      <c r="K112" s="18"/>
      <c r="L112" s="18"/>
      <c r="M112" s="18"/>
      <c r="N112" s="18"/>
      <c r="O112" s="18"/>
      <c r="P112" s="64"/>
      <c r="Q112" s="64">
        <f>SUM($Q$115,$Q$113)</f>
        <v>0</v>
      </c>
      <c r="R112" s="19"/>
      <c r="S112" s="19"/>
    </row>
    <row r="113" spans="1:19" ht="11.1" customHeight="1" outlineLevel="4" x14ac:dyDescent="0.2">
      <c r="A113" s="20"/>
      <c r="B113" s="14" t="s">
        <v>27</v>
      </c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65"/>
      <c r="Q113" s="66">
        <f>SUM($Q$114)</f>
        <v>0</v>
      </c>
      <c r="R113" s="18"/>
      <c r="S113" s="22"/>
    </row>
    <row r="114" spans="1:19" ht="23.1" customHeight="1" outlineLevel="4" x14ac:dyDescent="0.2">
      <c r="A114" s="23"/>
      <c r="B114" s="24" t="s">
        <v>139</v>
      </c>
      <c r="C114" s="25"/>
      <c r="D114" s="25"/>
      <c r="E114" s="26" t="s">
        <v>88</v>
      </c>
      <c r="F114" s="27"/>
      <c r="G114" s="31">
        <v>208.71</v>
      </c>
      <c r="H114" s="31">
        <v>153.16</v>
      </c>
      <c r="I114" s="31">
        <v>208.13</v>
      </c>
      <c r="J114" s="31">
        <v>144.31</v>
      </c>
      <c r="K114" s="31">
        <v>142.31</v>
      </c>
      <c r="L114" s="31">
        <v>210.75</v>
      </c>
      <c r="M114" s="31">
        <v>137.26</v>
      </c>
      <c r="N114" s="31">
        <v>120.45</v>
      </c>
      <c r="O114" s="28">
        <f>SUM($G$114:$N$114)</f>
        <v>1325.08</v>
      </c>
      <c r="P114" s="28">
        <f t="array" ref="P114">INDEX(Р[Цена за ед., руб],MATCH(1,IF(($B114=Р[Наименование])*($R114=Р[Примечание]),{1},($B114=Р[Наименование])*($R114=Р[Примечание])),0))</f>
        <v>0</v>
      </c>
      <c r="Q114" s="28">
        <f>ROUND($O$114*$P$114,2)</f>
        <v>0</v>
      </c>
      <c r="R114" s="25" t="s">
        <v>140</v>
      </c>
      <c r="S114" s="25"/>
    </row>
    <row r="115" spans="1:19" ht="11.1" customHeight="1" outlineLevel="4" x14ac:dyDescent="0.2">
      <c r="A115" s="20"/>
      <c r="B115" s="14" t="s">
        <v>30</v>
      </c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65"/>
      <c r="Q115" s="66">
        <f>SUM($Q$116:$Q$122)</f>
        <v>0</v>
      </c>
      <c r="R115" s="18"/>
      <c r="S115" s="22"/>
    </row>
    <row r="116" spans="1:19" ht="47.1" customHeight="1" outlineLevel="4" x14ac:dyDescent="0.2">
      <c r="A116" s="23" t="s">
        <v>31</v>
      </c>
      <c r="B116" s="24" t="s">
        <v>86</v>
      </c>
      <c r="C116" s="25"/>
      <c r="D116" s="25" t="s">
        <v>141</v>
      </c>
      <c r="E116" s="26" t="s">
        <v>88</v>
      </c>
      <c r="F116" s="30">
        <v>1.1000000000000001</v>
      </c>
      <c r="G116" s="31">
        <v>131.08000000000001</v>
      </c>
      <c r="H116" s="31">
        <v>135.26</v>
      </c>
      <c r="I116" s="31">
        <v>126.46</v>
      </c>
      <c r="J116" s="32">
        <v>126.9</v>
      </c>
      <c r="K116" s="32">
        <v>124.7</v>
      </c>
      <c r="L116" s="31">
        <v>131.08000000000001</v>
      </c>
      <c r="M116" s="31">
        <v>113.26</v>
      </c>
      <c r="N116" s="32">
        <v>50.6</v>
      </c>
      <c r="O116" s="31">
        <f>SUM($G$116:$N$116)</f>
        <v>939.34000000000015</v>
      </c>
      <c r="P116" s="28">
        <f t="array" ref="P116">INDEX(М[Цена за ед., руб],MATCH(1,IF(($B116=М[Наим.])*($C116=М[Артикул, марка, произв.])*($D116=М[Хар-ка])*($R116=М[Прим.]),{1},($B116=М[Наим.])*($C116=М[Артикул, марка, произв.])*($D116=М[Хар-ка])*($R116=М[Прим.])),0))</f>
        <v>0</v>
      </c>
      <c r="Q116" s="28">
        <f>ROUND($O$116*$P$116,2)</f>
        <v>0</v>
      </c>
      <c r="R116" s="25"/>
      <c r="S116" s="25" t="str">
        <f t="array" ref="S116">INDEX(М[Форма закупа],MATCH(1,IF(($B116=М[Наим.])*($C116=М[Артикул, марка, произв.])*($D116=М[Хар-ка])*($R116=М[Прим.]),{1},($B116=М[Наим.])*($C116=М[Артикул, марка, произв.])*($D116=М[Хар-ка])*($R116=М[Прим.])),0))</f>
        <v>Закупка подрядчик</v>
      </c>
    </row>
    <row r="117" spans="1:19" ht="35.1" customHeight="1" outlineLevel="4" x14ac:dyDescent="0.2">
      <c r="A117" s="23" t="s">
        <v>41</v>
      </c>
      <c r="B117" s="24" t="s">
        <v>86</v>
      </c>
      <c r="C117" s="25"/>
      <c r="D117" s="25" t="s">
        <v>90</v>
      </c>
      <c r="E117" s="26" t="s">
        <v>88</v>
      </c>
      <c r="F117" s="30">
        <v>1.1000000000000001</v>
      </c>
      <c r="G117" s="31">
        <v>98.51</v>
      </c>
      <c r="H117" s="31">
        <v>33.22</v>
      </c>
      <c r="I117" s="31">
        <v>56.05</v>
      </c>
      <c r="J117" s="31">
        <v>31.85</v>
      </c>
      <c r="K117" s="31">
        <v>31.85</v>
      </c>
      <c r="L117" s="31">
        <v>56.05</v>
      </c>
      <c r="M117" s="31">
        <v>37.72</v>
      </c>
      <c r="N117" s="32">
        <v>81.900000000000006</v>
      </c>
      <c r="O117" s="31">
        <f>SUM($G$117:$N$117)</f>
        <v>427.15</v>
      </c>
      <c r="P117" s="28">
        <f t="array" ref="P117">INDEX(М[Цена за ед., руб],MATCH(1,IF(($B117=М[Наим.])*($C117=М[Артикул, марка, произв.])*($D117=М[Хар-ка])*($R117=М[Прим.]),{1},($B117=М[Наим.])*($C117=М[Артикул, марка, произв.])*($D117=М[Хар-ка])*($R117=М[Прим.])),0))</f>
        <v>0</v>
      </c>
      <c r="Q117" s="28">
        <f>ROUND($O$117*$P$117,2)</f>
        <v>0</v>
      </c>
      <c r="R117" s="25"/>
      <c r="S117" s="25" t="str">
        <f t="array" ref="S117">INDEX(М[Форма закупа],MATCH(1,IF(($B117=М[Наим.])*($C117=М[Артикул, марка, произв.])*($D117=М[Хар-ка])*($R117=М[Прим.]),{1},($B117=М[Наим.])*($C117=М[Артикул, марка, произв.])*($D117=М[Хар-ка])*($R117=М[Прим.])),0))</f>
        <v>Закупка подрядчик</v>
      </c>
    </row>
    <row r="118" spans="1:19" ht="35.1" customHeight="1" outlineLevel="4" x14ac:dyDescent="0.2">
      <c r="A118" s="23" t="s">
        <v>52</v>
      </c>
      <c r="B118" s="24" t="s">
        <v>42</v>
      </c>
      <c r="C118" s="25"/>
      <c r="D118" s="25" t="s">
        <v>142</v>
      </c>
      <c r="E118" s="26" t="s">
        <v>44</v>
      </c>
      <c r="F118" s="30">
        <v>2</v>
      </c>
      <c r="G118" s="31">
        <v>417.42</v>
      </c>
      <c r="H118" s="31">
        <v>306.32</v>
      </c>
      <c r="I118" s="31">
        <v>416.26</v>
      </c>
      <c r="J118" s="31">
        <v>288.62</v>
      </c>
      <c r="K118" s="31">
        <v>284.62</v>
      </c>
      <c r="L118" s="32">
        <v>421.5</v>
      </c>
      <c r="M118" s="31">
        <v>274.51</v>
      </c>
      <c r="N118" s="32">
        <v>240.9</v>
      </c>
      <c r="O118" s="28">
        <f>SUM($G$118:$N$118)</f>
        <v>2650.15</v>
      </c>
      <c r="P118" s="28">
        <f t="array" ref="P118">INDEX(М[Цена за ед., руб],MATCH(1,IF(($B118=М[Наим.])*($C118=М[Артикул, марка, произв.])*($D118=М[Хар-ка])*($R118=М[Прим.]),{1},($B118=М[Наим.])*($C118=М[Артикул, марка, произв.])*($D118=М[Хар-ка])*($R118=М[Прим.])),0))</f>
        <v>0</v>
      </c>
      <c r="Q118" s="28">
        <f>ROUND($O$118*$P$118,2)</f>
        <v>0</v>
      </c>
      <c r="R118" s="25"/>
      <c r="S118" s="25" t="str">
        <f t="array" ref="S118">INDEX(М[Форма закупа],MATCH(1,IF(($B118=М[Наим.])*($C118=М[Артикул, марка, произв.])*($D118=М[Хар-ка])*($R118=М[Прим.]),{1},($B118=М[Наим.])*($C118=М[Артикул, марка, произв.])*($D118=М[Хар-ка])*($R118=М[Прим.])),0))</f>
        <v>Закупка подрядчик</v>
      </c>
    </row>
    <row r="119" spans="1:19" ht="11.1" customHeight="1" outlineLevel="4" x14ac:dyDescent="0.2">
      <c r="A119" s="23" t="s">
        <v>65</v>
      </c>
      <c r="B119" s="24" t="s">
        <v>63</v>
      </c>
      <c r="C119" s="25"/>
      <c r="D119" s="25" t="s">
        <v>143</v>
      </c>
      <c r="E119" s="26" t="s">
        <v>40</v>
      </c>
      <c r="F119" s="30">
        <v>1.07</v>
      </c>
      <c r="G119" s="31">
        <v>0.23</v>
      </c>
      <c r="H119" s="31">
        <v>0.08</v>
      </c>
      <c r="I119" s="31">
        <v>0.24</v>
      </c>
      <c r="J119" s="31">
        <v>7.0000000000000007E-2</v>
      </c>
      <c r="K119" s="31">
        <v>7.0000000000000007E-2</v>
      </c>
      <c r="L119" s="31">
        <v>0.24</v>
      </c>
      <c r="M119" s="31">
        <v>0.09</v>
      </c>
      <c r="N119" s="31">
        <v>0.19</v>
      </c>
      <c r="O119" s="31">
        <f>SUM($G$119:$N$119)</f>
        <v>1.2100000000000002</v>
      </c>
      <c r="P119" s="28">
        <f t="array" ref="P119">INDEX(М[Цена за ед., руб],MATCH(1,IF(($B119=М[Наим.])*($C119=М[Артикул, марка, произв.])*($D119=М[Хар-ка])*($R119=М[Прим.]),{1},($B119=М[Наим.])*($C119=М[Артикул, марка, произв.])*($D119=М[Хар-ка])*($R119=М[Прим.])),0))</f>
        <v>0</v>
      </c>
      <c r="Q119" s="28">
        <f>ROUND($O$119*$P$119,2)</f>
        <v>0</v>
      </c>
      <c r="R119" s="25"/>
      <c r="S119" s="25" t="str">
        <f t="array" ref="S119">INDEX(М[Форма закупа],MATCH(1,IF(($B119=М[Наим.])*($C119=М[Артикул, марка, произв.])*($D119=М[Хар-ка])*($R119=М[Прим.]),{1},($B119=М[Наим.])*($C119=М[Артикул, марка, произв.])*($D119=М[Хар-ка])*($R119=М[Прим.])),0))</f>
        <v>Закупка подрядчик</v>
      </c>
    </row>
    <row r="120" spans="1:19" ht="23.1" customHeight="1" outlineLevel="4" x14ac:dyDescent="0.2">
      <c r="A120" s="23" t="s">
        <v>67</v>
      </c>
      <c r="B120" s="24" t="s">
        <v>71</v>
      </c>
      <c r="C120" s="25"/>
      <c r="D120" s="25" t="s">
        <v>72</v>
      </c>
      <c r="E120" s="26" t="s">
        <v>73</v>
      </c>
      <c r="F120" s="30">
        <v>0.5</v>
      </c>
      <c r="G120" s="33">
        <v>60</v>
      </c>
      <c r="H120" s="33">
        <v>62</v>
      </c>
      <c r="I120" s="33">
        <v>58</v>
      </c>
      <c r="J120" s="33">
        <v>58</v>
      </c>
      <c r="K120" s="33">
        <v>57</v>
      </c>
      <c r="L120" s="33">
        <v>60</v>
      </c>
      <c r="M120" s="33">
        <v>52</v>
      </c>
      <c r="N120" s="33">
        <v>23</v>
      </c>
      <c r="O120" s="33">
        <f>SUM($G$120:$N$120)</f>
        <v>430</v>
      </c>
      <c r="P120" s="28">
        <f t="array" ref="P120">INDEX(М[Цена за ед., руб],MATCH(1,IF(($B120=М[Наим.])*($C120=М[Артикул, марка, произв.])*($D120=М[Хар-ка])*($R120=М[Прим.]),{1},($B120=М[Наим.])*($C120=М[Артикул, марка, произв.])*($D120=М[Хар-ка])*($R120=М[Прим.])),0))</f>
        <v>0</v>
      </c>
      <c r="Q120" s="28">
        <f>ROUND($O$120*$P$120,2)</f>
        <v>0</v>
      </c>
      <c r="R120" s="25"/>
      <c r="S120" s="25" t="str">
        <f t="array" ref="S120">INDEX(М[Форма закупа],MATCH(1,IF(($B120=М[Наим.])*($C120=М[Артикул, марка, произв.])*($D120=М[Хар-ка])*($R120=М[Прим.]),{1},($B120=М[Наим.])*($C120=М[Артикул, марка, произв.])*($D120=М[Хар-ка])*($R120=М[Прим.])),0))</f>
        <v>Закупка подрядчик</v>
      </c>
    </row>
    <row r="121" spans="1:19" ht="35.1" customHeight="1" outlineLevel="4" x14ac:dyDescent="0.2">
      <c r="A121" s="23" t="s">
        <v>74</v>
      </c>
      <c r="B121" s="24" t="s">
        <v>132</v>
      </c>
      <c r="C121" s="25"/>
      <c r="D121" s="25" t="s">
        <v>144</v>
      </c>
      <c r="E121" s="26" t="s">
        <v>88</v>
      </c>
      <c r="F121" s="30">
        <v>1.1000000000000001</v>
      </c>
      <c r="G121" s="33">
        <v>99</v>
      </c>
      <c r="H121" s="33">
        <v>33</v>
      </c>
      <c r="I121" s="33">
        <v>56</v>
      </c>
      <c r="J121" s="33">
        <v>32</v>
      </c>
      <c r="K121" s="33">
        <v>32</v>
      </c>
      <c r="L121" s="33">
        <v>56</v>
      </c>
      <c r="M121" s="33">
        <v>38</v>
      </c>
      <c r="N121" s="33">
        <v>82</v>
      </c>
      <c r="O121" s="33">
        <f>SUM($G$121:$N$121)</f>
        <v>428</v>
      </c>
      <c r="P121" s="28">
        <f t="array" ref="P121">INDEX(М[Цена за ед., руб],MATCH(1,IF(($B121=М[Наим.])*($C121=М[Артикул, марка, произв.])*($D121=М[Хар-ка])*($R121=М[Прим.]),{1},($B121=М[Наим.])*($C121=М[Артикул, марка, произв.])*($D121=М[Хар-ка])*($R121=М[Прим.])),0))</f>
        <v>0</v>
      </c>
      <c r="Q121" s="28">
        <f>ROUND($O$121*$P$121,2)</f>
        <v>0</v>
      </c>
      <c r="R121" s="25" t="s">
        <v>134</v>
      </c>
      <c r="S121" s="25" t="str">
        <f t="array" ref="S121">INDEX(М[Форма закупа],MATCH(1,IF(($B121=М[Наим.])*($C121=М[Артикул, марка, произв.])*($D121=М[Хар-ка])*($R121=М[Прим.]),{1},($B121=М[Наим.])*($C121=М[Артикул, марка, произв.])*($D121=М[Хар-ка])*($R121=М[Прим.])),0))</f>
        <v>Закупка подрядчик</v>
      </c>
    </row>
    <row r="122" spans="1:19" ht="47.1" customHeight="1" outlineLevel="4" x14ac:dyDescent="0.2">
      <c r="A122" s="23" t="s">
        <v>98</v>
      </c>
      <c r="B122" s="24" t="s">
        <v>145</v>
      </c>
      <c r="C122" s="25"/>
      <c r="D122" s="25" t="s">
        <v>146</v>
      </c>
      <c r="E122" s="26" t="s">
        <v>88</v>
      </c>
      <c r="F122" s="30">
        <v>1.05</v>
      </c>
      <c r="G122" s="31">
        <v>219.12</v>
      </c>
      <c r="H122" s="31">
        <v>161.11000000000001</v>
      </c>
      <c r="I122" s="31">
        <v>218.71</v>
      </c>
      <c r="J122" s="31">
        <v>151.13</v>
      </c>
      <c r="K122" s="31">
        <v>149.03</v>
      </c>
      <c r="L122" s="31">
        <v>221.12</v>
      </c>
      <c r="M122" s="31">
        <v>144.11000000000001</v>
      </c>
      <c r="N122" s="32">
        <v>126.3</v>
      </c>
      <c r="O122" s="28">
        <f>SUM($G$122:$N$122)</f>
        <v>1390.6299999999999</v>
      </c>
      <c r="P122" s="28">
        <f t="array" ref="P122">INDEX(М[Цена за ед., руб],MATCH(1,IF(($B122=М[Наим.])*($C122=М[Артикул, марка, произв.])*($D122=М[Хар-ка])*($R122=М[Прим.]),{1},($B122=М[Наим.])*($C122=М[Артикул, марка, произв.])*($D122=М[Хар-ка])*($R122=М[Прим.])),0))</f>
        <v>0</v>
      </c>
      <c r="Q122" s="28">
        <f>ROUND($O$122*$P$122,2)</f>
        <v>0</v>
      </c>
      <c r="R122" s="25"/>
      <c r="S122" s="25" t="str">
        <f t="array" ref="S122">INDEX(М[Форма закупа],MATCH(1,IF(($B122=М[Наим.])*($C122=М[Артикул, марка, произв.])*($D122=М[Хар-ка])*($R122=М[Прим.]),{1},($B122=М[Наим.])*($C122=М[Артикул, марка, произв.])*($D122=М[Хар-ка])*($R122=М[Прим.])),0))</f>
        <v>Закупка подрядчик</v>
      </c>
    </row>
    <row r="123" spans="1:19" ht="11.1" customHeight="1" x14ac:dyDescent="0.2">
      <c r="A123" s="35"/>
      <c r="B123" s="36"/>
      <c r="C123" s="36"/>
      <c r="D123" s="36"/>
      <c r="E123" s="36"/>
      <c r="F123" s="36"/>
      <c r="G123" s="37"/>
      <c r="H123" s="37"/>
      <c r="I123" s="37"/>
      <c r="J123" s="37"/>
      <c r="K123" s="37"/>
      <c r="L123" s="37"/>
      <c r="M123" s="37"/>
      <c r="N123" s="87" t="s">
        <v>177</v>
      </c>
      <c r="O123" s="88"/>
      <c r="P123" s="89"/>
      <c r="Q123" s="67">
        <f>$Q$9</f>
        <v>0</v>
      </c>
      <c r="R123" s="38"/>
      <c r="S123" s="38"/>
    </row>
    <row r="124" spans="1:19" ht="11.1" customHeight="1" x14ac:dyDescent="0.2">
      <c r="A124" s="35"/>
      <c r="B124" s="36"/>
      <c r="C124" s="36"/>
      <c r="D124" s="36"/>
      <c r="E124" s="36"/>
      <c r="F124" s="36"/>
      <c r="G124" s="39"/>
      <c r="H124" s="39"/>
      <c r="I124" s="39"/>
      <c r="J124" s="39"/>
      <c r="K124" s="39"/>
      <c r="L124" s="39"/>
      <c r="M124" s="39"/>
      <c r="N124" s="39"/>
      <c r="O124" s="102" t="s">
        <v>178</v>
      </c>
      <c r="P124" s="103"/>
      <c r="Q124" s="67">
        <f>SUM($Q$113,$Q$104,$Q$90,$Q$85,$Q$78,$Q$65,$Q$57,$Q$49,$Q$40,$Q$32,$Q$27,$Q$21,$Q$16,$Q$12)</f>
        <v>0</v>
      </c>
      <c r="R124" s="38"/>
      <c r="S124" s="38"/>
    </row>
    <row r="125" spans="1:19" ht="11.1" customHeight="1" x14ac:dyDescent="0.2">
      <c r="A125" s="35"/>
      <c r="B125" s="36"/>
      <c r="C125" s="36"/>
      <c r="D125" s="36"/>
      <c r="E125" s="36"/>
      <c r="F125" s="36"/>
      <c r="G125" s="39"/>
      <c r="H125" s="39"/>
      <c r="I125" s="39"/>
      <c r="J125" s="39"/>
      <c r="K125" s="39"/>
      <c r="L125" s="39"/>
      <c r="M125" s="39"/>
      <c r="N125" s="39"/>
      <c r="O125" s="102" t="s">
        <v>179</v>
      </c>
      <c r="P125" s="103"/>
      <c r="Q125" s="67">
        <f>SUM($Q$115,$Q$106,$Q$92,$Q$87,$Q$80,$Q$67,$Q$59,$Q$51,$Q$42,$Q$34,$Q$29,$Q$23,$Q$18,$Q$14)</f>
        <v>0</v>
      </c>
      <c r="R125" s="38"/>
      <c r="S125" s="38"/>
    </row>
    <row r="126" spans="1:19" ht="11.1" customHeight="1" x14ac:dyDescent="0.2">
      <c r="A126" s="35"/>
      <c r="B126" s="36"/>
      <c r="C126" s="36"/>
      <c r="D126" s="36"/>
      <c r="E126" s="36"/>
      <c r="F126" s="36"/>
      <c r="G126" s="39"/>
      <c r="H126" s="39"/>
      <c r="I126" s="39"/>
      <c r="J126" s="39"/>
      <c r="K126" s="39"/>
      <c r="L126" s="39"/>
      <c r="M126" s="39"/>
      <c r="N126" s="39"/>
      <c r="O126" s="102" t="s">
        <v>180</v>
      </c>
      <c r="P126" s="103"/>
      <c r="Q126" s="68"/>
      <c r="R126" s="69"/>
      <c r="S126" s="38"/>
    </row>
    <row r="127" spans="1:19" ht="11.1" customHeight="1" x14ac:dyDescent="0.2">
      <c r="A127" s="40"/>
      <c r="B127" s="104" t="s">
        <v>147</v>
      </c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5"/>
      <c r="Q127" s="105"/>
      <c r="R127" s="104"/>
      <c r="S127" s="40"/>
    </row>
    <row r="128" spans="1:19" ht="11.1" customHeight="1" x14ac:dyDescent="0.2">
      <c r="B128" s="106"/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7"/>
      <c r="Q128" s="107"/>
      <c r="R128" s="106"/>
    </row>
    <row r="129" spans="1:10" ht="11.45" customHeight="1" x14ac:dyDescent="0.2">
      <c r="A129" s="70"/>
      <c r="B129" s="71" t="s">
        <v>181</v>
      </c>
      <c r="C129" s="72"/>
      <c r="D129" s="72"/>
      <c r="E129" s="72"/>
      <c r="F129" s="72"/>
      <c r="G129" s="73"/>
      <c r="H129" s="74"/>
      <c r="I129" s="75"/>
      <c r="J129" s="76"/>
    </row>
    <row r="130" spans="1:10" ht="11.45" customHeight="1" x14ac:dyDescent="0.2">
      <c r="A130" s="74" t="s">
        <v>182</v>
      </c>
      <c r="B130" s="86" t="s">
        <v>183</v>
      </c>
      <c r="C130" s="86"/>
      <c r="D130" s="86"/>
      <c r="E130" s="86"/>
      <c r="F130" s="86"/>
      <c r="G130" s="86"/>
      <c r="H130" s="86"/>
      <c r="I130" s="86"/>
      <c r="J130" s="86"/>
    </row>
    <row r="131" spans="1:10" ht="11.45" customHeight="1" x14ac:dyDescent="0.2">
      <c r="A131" s="74" t="s">
        <v>182</v>
      </c>
      <c r="B131" s="86" t="s">
        <v>184</v>
      </c>
      <c r="C131" s="86"/>
      <c r="D131" s="86"/>
      <c r="E131" s="86"/>
      <c r="F131" s="86"/>
      <c r="G131" s="86"/>
      <c r="H131" s="86"/>
      <c r="I131" s="86"/>
      <c r="J131" s="86"/>
    </row>
    <row r="132" spans="1:10" ht="11.45" customHeight="1" x14ac:dyDescent="0.2">
      <c r="A132" s="74" t="s">
        <v>182</v>
      </c>
      <c r="B132" s="86" t="s">
        <v>185</v>
      </c>
      <c r="C132" s="86"/>
      <c r="D132" s="86"/>
      <c r="E132" s="86"/>
      <c r="F132" s="86"/>
      <c r="G132" s="86"/>
      <c r="H132" s="86"/>
      <c r="I132" s="86"/>
      <c r="J132" s="86"/>
    </row>
    <row r="133" spans="1:10" ht="11.45" customHeight="1" x14ac:dyDescent="0.2">
      <c r="A133" s="74" t="s">
        <v>182</v>
      </c>
      <c r="B133" s="77" t="s">
        <v>186</v>
      </c>
      <c r="C133" s="77"/>
      <c r="D133" s="77"/>
      <c r="E133" s="77"/>
      <c r="F133" s="77"/>
      <c r="G133" s="77"/>
      <c r="H133" s="77"/>
      <c r="I133" s="77"/>
      <c r="J133" s="77"/>
    </row>
    <row r="134" spans="1:10" ht="27" customHeight="1" x14ac:dyDescent="0.2">
      <c r="A134" s="74" t="s">
        <v>182</v>
      </c>
      <c r="B134" s="83" t="s">
        <v>194</v>
      </c>
      <c r="C134" s="83"/>
      <c r="D134" s="83"/>
      <c r="E134" s="83"/>
      <c r="F134" s="83"/>
      <c r="G134" s="83"/>
      <c r="H134" s="83"/>
      <c r="I134" s="83"/>
      <c r="J134" s="77"/>
    </row>
    <row r="135" spans="1:10" ht="11.45" customHeight="1" x14ac:dyDescent="0.2">
      <c r="A135" s="74" t="s">
        <v>182</v>
      </c>
      <c r="B135" s="83" t="s">
        <v>187</v>
      </c>
      <c r="C135" s="83"/>
      <c r="D135" s="83"/>
      <c r="E135" s="83"/>
      <c r="F135" s="83"/>
      <c r="G135" s="83"/>
      <c r="H135" s="83"/>
      <c r="I135" s="83"/>
      <c r="J135" s="78"/>
    </row>
    <row r="136" spans="1:10" ht="11.45" customHeight="1" x14ac:dyDescent="0.2">
      <c r="A136" s="74" t="s">
        <v>182</v>
      </c>
      <c r="B136" s="79" t="s">
        <v>188</v>
      </c>
      <c r="C136" s="79"/>
      <c r="D136" s="79"/>
      <c r="E136" s="79"/>
      <c r="F136" s="79"/>
      <c r="G136" s="79"/>
      <c r="H136" s="79"/>
      <c r="I136" s="79"/>
      <c r="J136" s="77"/>
    </row>
    <row r="137" spans="1:10" ht="11.45" customHeight="1" x14ac:dyDescent="0.2">
      <c r="A137" s="74" t="s">
        <v>182</v>
      </c>
      <c r="B137" s="73" t="s">
        <v>189</v>
      </c>
      <c r="C137" s="73"/>
      <c r="D137" s="73"/>
      <c r="E137" s="73"/>
      <c r="F137" s="73"/>
      <c r="G137" s="73"/>
      <c r="H137" s="73"/>
      <c r="I137" s="73"/>
      <c r="J137" s="80"/>
    </row>
    <row r="138" spans="1:10" ht="11.45" customHeight="1" x14ac:dyDescent="0.2">
      <c r="A138" s="74" t="s">
        <v>182</v>
      </c>
      <c r="B138" s="84" t="s">
        <v>190</v>
      </c>
      <c r="C138" s="84"/>
      <c r="D138" s="84"/>
      <c r="E138" s="84"/>
      <c r="F138" s="84"/>
      <c r="G138" s="84"/>
      <c r="H138" s="84"/>
      <c r="I138" s="84"/>
      <c r="J138" s="73"/>
    </row>
    <row r="139" spans="1:10" ht="11.45" customHeight="1" x14ac:dyDescent="0.2">
      <c r="A139" s="74" t="s">
        <v>182</v>
      </c>
      <c r="B139" s="83" t="s">
        <v>191</v>
      </c>
      <c r="C139" s="83"/>
      <c r="D139" s="83"/>
      <c r="E139" s="83"/>
      <c r="F139" s="83"/>
      <c r="G139" s="83"/>
      <c r="H139" s="83"/>
      <c r="I139" s="83"/>
      <c r="J139" s="79"/>
    </row>
    <row r="140" spans="1:10" ht="11.45" customHeight="1" x14ac:dyDescent="0.2">
      <c r="A140" s="74" t="s">
        <v>182</v>
      </c>
      <c r="B140" s="73" t="s">
        <v>192</v>
      </c>
      <c r="C140" s="73"/>
      <c r="D140" s="73"/>
      <c r="E140" s="73"/>
      <c r="F140" s="73"/>
      <c r="G140" s="73"/>
      <c r="H140" s="73"/>
      <c r="I140" s="73"/>
      <c r="J140" s="81"/>
    </row>
    <row r="141" spans="1:10" ht="11.45" customHeight="1" x14ac:dyDescent="0.2">
      <c r="A141" s="74" t="s">
        <v>182</v>
      </c>
      <c r="B141" s="82" t="s">
        <v>193</v>
      </c>
      <c r="C141" s="82"/>
      <c r="D141" s="82"/>
      <c r="E141" s="82"/>
      <c r="F141" s="82"/>
      <c r="G141" s="82"/>
      <c r="H141" s="82"/>
      <c r="I141" s="82"/>
      <c r="J141"/>
    </row>
  </sheetData>
  <sheetProtection algorithmName="SHA-512" hashValue="8wYXlvnG3IAFKWkSHt3jVFvXYACHU1lWs8FCUcwrtDzeJZpYzzCclz93lVDch+Wq6v5sszQst44g4oM4Di+K2Q==" saltValue="XtznQKUNRePeYfI/71Qb0Q==" spinCount="100000" sheet="1" objects="1" scenarios="1" selectLockedCells="1" selectUnlockedCells="1"/>
  <mergeCells count="35">
    <mergeCell ref="S6:S7"/>
    <mergeCell ref="K6:K7"/>
    <mergeCell ref="L6:L7"/>
    <mergeCell ref="M6:M7"/>
    <mergeCell ref="N6:N7"/>
    <mergeCell ref="O6:O7"/>
    <mergeCell ref="P6:P7"/>
    <mergeCell ref="Q6:Q7"/>
    <mergeCell ref="R6:R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38:I138"/>
    <mergeCell ref="B139:I139"/>
    <mergeCell ref="N123:P123"/>
    <mergeCell ref="B130:J130"/>
    <mergeCell ref="B131:J131"/>
    <mergeCell ref="B132:J132"/>
    <mergeCell ref="B134:I134"/>
    <mergeCell ref="B135:I135"/>
    <mergeCell ref="O124:P124"/>
    <mergeCell ref="O125:P125"/>
    <mergeCell ref="B127:R127"/>
    <mergeCell ref="B128:R128"/>
    <mergeCell ref="O126:P12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32"/>
  <sheetViews>
    <sheetView workbookViewId="0">
      <pane ySplit="3" topLeftCell="A4" activePane="bottomLeft" state="frozen"/>
      <selection pane="bottomLeft" activeCell="D4" sqref="D4:D17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5" t="s">
        <v>148</v>
      </c>
      <c r="B1" s="85"/>
      <c r="C1" s="85"/>
      <c r="D1" s="85"/>
      <c r="E1" s="85"/>
      <c r="F1" s="85"/>
    </row>
    <row r="3" spans="1:6" ht="11.1" customHeight="1" x14ac:dyDescent="0.2">
      <c r="A3" s="51" t="s">
        <v>2</v>
      </c>
      <c r="B3" s="2" t="s">
        <v>5</v>
      </c>
      <c r="C3" s="2" t="s">
        <v>15</v>
      </c>
      <c r="D3" s="58" t="s">
        <v>16</v>
      </c>
      <c r="E3" s="58" t="s">
        <v>17</v>
      </c>
      <c r="F3" s="52" t="s">
        <v>18</v>
      </c>
    </row>
    <row r="4" spans="1:6" ht="11.1" customHeight="1" x14ac:dyDescent="0.2">
      <c r="A4" s="49" t="s">
        <v>28</v>
      </c>
      <c r="B4" s="41" t="s">
        <v>29</v>
      </c>
      <c r="C4" s="42">
        <v>27853.29</v>
      </c>
      <c r="D4" s="108"/>
      <c r="E4" s="42">
        <f>ROUND(Р[[#This Row],[Количество]]*Р[[#This Row],[Цена за ед., руб]],2)</f>
        <v>0</v>
      </c>
      <c r="F4" s="50"/>
    </row>
    <row r="5" spans="1:6" ht="35.1" customHeight="1" x14ac:dyDescent="0.2">
      <c r="A5" s="49" t="s">
        <v>36</v>
      </c>
      <c r="B5" s="41" t="s">
        <v>29</v>
      </c>
      <c r="C5" s="44">
        <v>650.09</v>
      </c>
      <c r="D5" s="108"/>
      <c r="E5" s="42">
        <f>ROUND(Р[[#This Row],[Количество]]*Р[[#This Row],[Цена за ед., руб]],2)</f>
        <v>0</v>
      </c>
      <c r="F5" s="50" t="s">
        <v>37</v>
      </c>
    </row>
    <row r="6" spans="1:6" ht="11.1" customHeight="1" x14ac:dyDescent="0.2">
      <c r="A6" s="49" t="s">
        <v>46</v>
      </c>
      <c r="B6" s="41" t="s">
        <v>29</v>
      </c>
      <c r="C6" s="45">
        <v>786.9</v>
      </c>
      <c r="D6" s="108"/>
      <c r="E6" s="42">
        <f>ROUND(Р[[#This Row],[Количество]]*Р[[#This Row],[Цена за ед., руб]],2)</f>
        <v>0</v>
      </c>
      <c r="F6" s="50"/>
    </row>
    <row r="7" spans="1:6" ht="23.1" customHeight="1" x14ac:dyDescent="0.2">
      <c r="A7" s="49" t="s">
        <v>56</v>
      </c>
      <c r="B7" s="41" t="s">
        <v>29</v>
      </c>
      <c r="C7" s="45">
        <v>21.6</v>
      </c>
      <c r="D7" s="108"/>
      <c r="E7" s="42">
        <f>ROUND(Р[[#This Row],[Количество]]*Р[[#This Row],[Цена за ед., руб]],2)</f>
        <v>0</v>
      </c>
      <c r="F7" s="50" t="s">
        <v>57</v>
      </c>
    </row>
    <row r="8" spans="1:6" ht="23.1" customHeight="1" x14ac:dyDescent="0.2">
      <c r="A8" s="49" t="s">
        <v>60</v>
      </c>
      <c r="B8" s="41" t="s">
        <v>29</v>
      </c>
      <c r="C8" s="44">
        <v>166.91</v>
      </c>
      <c r="D8" s="108"/>
      <c r="E8" s="42">
        <f>ROUND(Р[[#This Row],[Количество]]*Р[[#This Row],[Цена за ед., руб]],2)</f>
        <v>0</v>
      </c>
      <c r="F8" s="50" t="s">
        <v>61</v>
      </c>
    </row>
    <row r="9" spans="1:6" ht="59.1" customHeight="1" x14ac:dyDescent="0.2">
      <c r="A9" s="49" t="s">
        <v>68</v>
      </c>
      <c r="B9" s="41" t="s">
        <v>29</v>
      </c>
      <c r="C9" s="44">
        <v>477.59</v>
      </c>
      <c r="D9" s="108"/>
      <c r="E9" s="42">
        <f>ROUND(Р[[#This Row],[Количество]]*Р[[#This Row],[Цена за ед., руб]],2)</f>
        <v>0</v>
      </c>
      <c r="F9" s="50" t="s">
        <v>69</v>
      </c>
    </row>
    <row r="10" spans="1:6" ht="11.1" customHeight="1" x14ac:dyDescent="0.2">
      <c r="A10" s="49" t="s">
        <v>78</v>
      </c>
      <c r="B10" s="41" t="s">
        <v>29</v>
      </c>
      <c r="C10" s="42">
        <v>22299.58</v>
      </c>
      <c r="D10" s="108"/>
      <c r="E10" s="42">
        <f>ROUND(Р[[#This Row],[Количество]]*Р[[#This Row],[Цена за ед., руб]],2)</f>
        <v>0</v>
      </c>
      <c r="F10" s="50" t="s">
        <v>79</v>
      </c>
    </row>
    <row r="11" spans="1:6" ht="47.1" customHeight="1" x14ac:dyDescent="0.2">
      <c r="A11" s="49" t="s">
        <v>80</v>
      </c>
      <c r="B11" s="41" t="s">
        <v>29</v>
      </c>
      <c r="C11" s="42">
        <v>4122.3500000000004</v>
      </c>
      <c r="D11" s="108"/>
      <c r="E11" s="42">
        <f>ROUND(Р[[#This Row],[Количество]]*Р[[#This Row],[Цена за ед., руб]],2)</f>
        <v>0</v>
      </c>
      <c r="F11" s="50" t="s">
        <v>81</v>
      </c>
    </row>
    <row r="12" spans="1:6" ht="11.1" customHeight="1" x14ac:dyDescent="0.2">
      <c r="A12" s="49" t="s">
        <v>84</v>
      </c>
      <c r="B12" s="41" t="s">
        <v>29</v>
      </c>
      <c r="C12" s="42">
        <v>33837.94</v>
      </c>
      <c r="D12" s="108"/>
      <c r="E12" s="42">
        <f>ROUND(Р[[#This Row],[Количество]]*Р[[#This Row],[Цена за ед., руб]],2)</f>
        <v>0</v>
      </c>
      <c r="F12" s="50"/>
    </row>
    <row r="13" spans="1:6" ht="11.1" customHeight="1" x14ac:dyDescent="0.2">
      <c r="A13" s="49" t="s">
        <v>105</v>
      </c>
      <c r="B13" s="41" t="s">
        <v>29</v>
      </c>
      <c r="C13" s="44">
        <v>895.41</v>
      </c>
      <c r="D13" s="108"/>
      <c r="E13" s="42">
        <f>ROUND(Р[[#This Row],[Количество]]*Р[[#This Row],[Цена за ед., руб]],2)</f>
        <v>0</v>
      </c>
      <c r="F13" s="50"/>
    </row>
    <row r="14" spans="1:6" ht="11.1" customHeight="1" x14ac:dyDescent="0.2">
      <c r="A14" s="49" t="s">
        <v>112</v>
      </c>
      <c r="B14" s="41" t="s">
        <v>29</v>
      </c>
      <c r="C14" s="44">
        <v>291.24</v>
      </c>
      <c r="D14" s="108"/>
      <c r="E14" s="42">
        <f>ROUND(Р[[#This Row],[Количество]]*Р[[#This Row],[Цена за ед., руб]],2)</f>
        <v>0</v>
      </c>
      <c r="F14" s="50"/>
    </row>
    <row r="15" spans="1:6" ht="11.1" customHeight="1" x14ac:dyDescent="0.2">
      <c r="A15" s="49" t="s">
        <v>110</v>
      </c>
      <c r="B15" s="41" t="s">
        <v>29</v>
      </c>
      <c r="C15" s="42">
        <v>31919.17</v>
      </c>
      <c r="D15" s="108"/>
      <c r="E15" s="42">
        <f>ROUND(Р[[#This Row],[Количество]]*Р[[#This Row],[Цена за ед., руб]],2)</f>
        <v>0</v>
      </c>
      <c r="F15" s="50"/>
    </row>
    <row r="16" spans="1:6" ht="23.1" customHeight="1" x14ac:dyDescent="0.2">
      <c r="A16" s="49" t="s">
        <v>129</v>
      </c>
      <c r="B16" s="41" t="s">
        <v>88</v>
      </c>
      <c r="C16" s="42">
        <v>2824.36</v>
      </c>
      <c r="D16" s="108"/>
      <c r="E16" s="42">
        <f>ROUND(Р[[#This Row],[Количество]]*Р[[#This Row],[Цена за ед., руб]],2)</f>
        <v>0</v>
      </c>
      <c r="F16" s="50" t="s">
        <v>130</v>
      </c>
    </row>
    <row r="17" spans="1:9" ht="23.1" customHeight="1" x14ac:dyDescent="0.2">
      <c r="A17" s="53" t="s">
        <v>139</v>
      </c>
      <c r="B17" s="54" t="s">
        <v>88</v>
      </c>
      <c r="C17" s="55">
        <v>1325.08</v>
      </c>
      <c r="D17" s="109"/>
      <c r="E17" s="55">
        <f>ROUND(Р[[#This Row],[Количество]]*Р[[#This Row],[Цена за ед., руб]],2)</f>
        <v>0</v>
      </c>
      <c r="F17" s="57" t="s">
        <v>140</v>
      </c>
    </row>
    <row r="18" spans="1:9" ht="11.45" customHeight="1" x14ac:dyDescent="0.2">
      <c r="A18" s="53" t="s">
        <v>174</v>
      </c>
      <c r="B18" s="54"/>
      <c r="C18" s="56"/>
      <c r="D18" s="55"/>
      <c r="E18" s="55">
        <f>SUBTOTAL(109,Р[Сумма, руб])</f>
        <v>0</v>
      </c>
      <c r="F18" s="57"/>
    </row>
    <row r="20" spans="1:9" ht="11.45" customHeight="1" x14ac:dyDescent="0.2">
      <c r="A20" s="71" t="s">
        <v>181</v>
      </c>
      <c r="B20" s="72"/>
      <c r="C20" s="72"/>
      <c r="D20" s="72"/>
      <c r="E20" s="72"/>
      <c r="F20" s="73"/>
      <c r="G20" s="74"/>
      <c r="H20" s="75"/>
      <c r="I20" s="76"/>
    </row>
    <row r="21" spans="1:9" ht="11.45" customHeight="1" x14ac:dyDescent="0.2">
      <c r="A21" s="86" t="s">
        <v>183</v>
      </c>
      <c r="B21" s="86"/>
      <c r="C21" s="86"/>
      <c r="D21" s="86"/>
      <c r="E21" s="86"/>
      <c r="F21" s="86"/>
      <c r="G21" s="86"/>
      <c r="H21" s="86"/>
      <c r="I21" s="86"/>
    </row>
    <row r="22" spans="1:9" ht="11.45" customHeight="1" x14ac:dyDescent="0.2">
      <c r="A22" s="86" t="s">
        <v>184</v>
      </c>
      <c r="B22" s="86"/>
      <c r="C22" s="86"/>
      <c r="D22" s="86"/>
      <c r="E22" s="86"/>
      <c r="F22" s="86"/>
      <c r="G22" s="86"/>
      <c r="H22" s="86"/>
      <c r="I22" s="86"/>
    </row>
    <row r="23" spans="1:9" ht="11.45" customHeight="1" x14ac:dyDescent="0.2">
      <c r="A23" s="86" t="s">
        <v>185</v>
      </c>
      <c r="B23" s="86"/>
      <c r="C23" s="86"/>
      <c r="D23" s="86"/>
      <c r="E23" s="86"/>
      <c r="F23" s="86"/>
      <c r="G23" s="86"/>
      <c r="H23" s="86"/>
      <c r="I23" s="86"/>
    </row>
    <row r="24" spans="1:9" ht="11.45" customHeight="1" x14ac:dyDescent="0.2">
      <c r="A24" s="77" t="s">
        <v>186</v>
      </c>
      <c r="B24" s="77"/>
      <c r="C24" s="77"/>
      <c r="D24" s="77"/>
      <c r="E24" s="77"/>
      <c r="F24" s="77"/>
      <c r="G24" s="77"/>
      <c r="H24" s="77"/>
      <c r="I24" s="77"/>
    </row>
    <row r="25" spans="1:9" ht="11.45" customHeight="1" x14ac:dyDescent="0.2">
      <c r="A25" s="83" t="s">
        <v>194</v>
      </c>
      <c r="B25" s="83"/>
      <c r="C25" s="83"/>
      <c r="D25" s="83"/>
      <c r="E25" s="83"/>
      <c r="F25" s="83"/>
      <c r="G25" s="83"/>
      <c r="H25" s="83"/>
      <c r="I25" s="77"/>
    </row>
    <row r="26" spans="1:9" ht="11.45" customHeight="1" x14ac:dyDescent="0.2">
      <c r="A26" s="83" t="s">
        <v>187</v>
      </c>
      <c r="B26" s="83"/>
      <c r="C26" s="83"/>
      <c r="D26" s="83"/>
      <c r="E26" s="83"/>
      <c r="F26" s="83"/>
      <c r="G26" s="83"/>
      <c r="H26" s="83"/>
      <c r="I26" s="78"/>
    </row>
    <row r="27" spans="1:9" ht="11.45" customHeight="1" x14ac:dyDescent="0.2">
      <c r="A27" s="79" t="s">
        <v>188</v>
      </c>
      <c r="B27" s="79"/>
      <c r="C27" s="79"/>
      <c r="D27" s="79"/>
      <c r="E27" s="79"/>
      <c r="F27" s="79"/>
      <c r="G27" s="79"/>
      <c r="H27" s="79"/>
      <c r="I27" s="77"/>
    </row>
    <row r="28" spans="1:9" ht="11.45" customHeight="1" x14ac:dyDescent="0.2">
      <c r="A28" s="73" t="s">
        <v>189</v>
      </c>
      <c r="B28" s="73"/>
      <c r="C28" s="73"/>
      <c r="D28" s="73"/>
      <c r="E28" s="73"/>
      <c r="F28" s="73"/>
      <c r="G28" s="73"/>
      <c r="H28" s="73"/>
      <c r="I28" s="80"/>
    </row>
    <row r="29" spans="1:9" ht="11.45" customHeight="1" x14ac:dyDescent="0.2">
      <c r="A29" s="84" t="s">
        <v>190</v>
      </c>
      <c r="B29" s="84"/>
      <c r="C29" s="84"/>
      <c r="D29" s="84"/>
      <c r="E29" s="84"/>
      <c r="F29" s="84"/>
      <c r="G29" s="84"/>
      <c r="H29" s="84"/>
      <c r="I29" s="73"/>
    </row>
    <row r="30" spans="1:9" ht="11.45" customHeight="1" x14ac:dyDescent="0.2">
      <c r="A30" s="83" t="s">
        <v>191</v>
      </c>
      <c r="B30" s="83"/>
      <c r="C30" s="83"/>
      <c r="D30" s="83"/>
      <c r="E30" s="83"/>
      <c r="F30" s="83"/>
      <c r="G30" s="83"/>
      <c r="H30" s="83"/>
      <c r="I30" s="79"/>
    </row>
    <row r="31" spans="1:9" ht="11.45" customHeight="1" x14ac:dyDescent="0.2">
      <c r="A31" s="73" t="s">
        <v>192</v>
      </c>
      <c r="B31" s="73"/>
      <c r="C31" s="73"/>
      <c r="D31" s="73"/>
      <c r="E31" s="73"/>
      <c r="F31" s="73"/>
      <c r="G31" s="73"/>
      <c r="H31" s="73"/>
      <c r="I31" s="81"/>
    </row>
    <row r="32" spans="1:9" ht="11.45" customHeight="1" x14ac:dyDescent="0.2">
      <c r="A32" s="82" t="s">
        <v>193</v>
      </c>
      <c r="B32" s="82"/>
      <c r="C32" s="82"/>
      <c r="D32" s="82"/>
      <c r="E32" s="82"/>
      <c r="F32" s="82"/>
      <c r="G32" s="82"/>
      <c r="H32" s="82"/>
    </row>
  </sheetData>
  <sheetProtection algorithmName="SHA-512" hashValue="kuwMW/DlC8UaQIVkn7WJ8YXPg4qPveGP3e4prPg84RVhQ0GzRLdJjp+apqsqFusP79pp/NyMjEjO6OAta0ffyA==" saltValue="DxM62ZM3QggR1HZZpeF39A==" spinCount="100000" sheet="1" objects="1" scenarios="1" selectLockedCells="1"/>
  <mergeCells count="8">
    <mergeCell ref="A29:H29"/>
    <mergeCell ref="A30:H30"/>
    <mergeCell ref="A1:F1"/>
    <mergeCell ref="A21:I21"/>
    <mergeCell ref="A22:I22"/>
    <mergeCell ref="A23:I23"/>
    <mergeCell ref="A25:H25"/>
    <mergeCell ref="A26:H26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9"/>
  <sheetViews>
    <sheetView tabSelected="1" workbookViewId="0">
      <pane ySplit="3" topLeftCell="A22" activePane="bottomLeft" state="frozen"/>
      <selection pane="bottomLeft" activeCell="F27" sqref="F2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5" t="s">
        <v>149</v>
      </c>
      <c r="B1" s="85"/>
      <c r="C1" s="85"/>
      <c r="D1" s="85"/>
      <c r="E1" s="85"/>
      <c r="F1" s="85"/>
      <c r="G1" s="85"/>
      <c r="H1" s="85"/>
    </row>
    <row r="2" spans="1:9" ht="11.1" customHeight="1" x14ac:dyDescent="0.2"/>
    <row r="3" spans="1:9" ht="23.1" customHeight="1" x14ac:dyDescent="0.2">
      <c r="A3" s="51" t="s">
        <v>150</v>
      </c>
      <c r="B3" s="59" t="s">
        <v>151</v>
      </c>
      <c r="C3" s="52" t="s">
        <v>152</v>
      </c>
      <c r="D3" s="2" t="s">
        <v>5</v>
      </c>
      <c r="E3" s="2" t="s">
        <v>15</v>
      </c>
      <c r="F3" s="58" t="s">
        <v>16</v>
      </c>
      <c r="G3" s="58" t="s">
        <v>17</v>
      </c>
      <c r="H3" s="2" t="s">
        <v>153</v>
      </c>
      <c r="I3" s="52" t="s">
        <v>154</v>
      </c>
    </row>
    <row r="4" spans="1:9" ht="23.1" customHeight="1" x14ac:dyDescent="0.2">
      <c r="A4" s="49" t="s">
        <v>32</v>
      </c>
      <c r="B4" s="43"/>
      <c r="C4" s="43" t="s">
        <v>33</v>
      </c>
      <c r="D4" s="41" t="s">
        <v>34</v>
      </c>
      <c r="E4" s="44">
        <v>557.05999999999995</v>
      </c>
      <c r="F4" s="42"/>
      <c r="G4" s="42">
        <f>ROUND(М[[#This Row],[Количество]]*М[[#This Row],[Цена за ед., руб]],2)</f>
        <v>0</v>
      </c>
      <c r="H4" s="43" t="s">
        <v>35</v>
      </c>
      <c r="I4" s="50" t="s">
        <v>155</v>
      </c>
    </row>
    <row r="5" spans="1:9" ht="23.1" customHeight="1" x14ac:dyDescent="0.2">
      <c r="A5" s="49" t="s">
        <v>32</v>
      </c>
      <c r="B5" s="43"/>
      <c r="C5" s="43" t="s">
        <v>33</v>
      </c>
      <c r="D5" s="41" t="s">
        <v>34</v>
      </c>
      <c r="E5" s="42">
        <v>8052.62</v>
      </c>
      <c r="F5" s="42"/>
      <c r="G5" s="42">
        <f>ROUND(М[[#This Row],[Количество]]*М[[#This Row],[Цена за ед., руб]],2)</f>
        <v>0</v>
      </c>
      <c r="H5" s="43" t="s">
        <v>113</v>
      </c>
      <c r="I5" s="50" t="s">
        <v>155</v>
      </c>
    </row>
    <row r="6" spans="1:9" ht="23.1" customHeight="1" x14ac:dyDescent="0.2">
      <c r="A6" s="49" t="s">
        <v>38</v>
      </c>
      <c r="B6" s="43"/>
      <c r="C6" s="43" t="s">
        <v>47</v>
      </c>
      <c r="D6" s="41" t="s">
        <v>40</v>
      </c>
      <c r="E6" s="44">
        <v>123.94</v>
      </c>
      <c r="F6" s="42"/>
      <c r="G6" s="42">
        <f>ROUND(М[[#This Row],[Количество]]*М[[#This Row],[Цена за ед., руб]],2)</f>
        <v>0</v>
      </c>
      <c r="H6" s="43" t="s">
        <v>48</v>
      </c>
      <c r="I6" s="50" t="s">
        <v>155</v>
      </c>
    </row>
    <row r="7" spans="1:9" ht="11.1" customHeight="1" x14ac:dyDescent="0.2">
      <c r="A7" s="49" t="s">
        <v>38</v>
      </c>
      <c r="B7" s="43"/>
      <c r="C7" s="43" t="s">
        <v>39</v>
      </c>
      <c r="D7" s="41" t="s">
        <v>40</v>
      </c>
      <c r="E7" s="44">
        <v>68.25</v>
      </c>
      <c r="F7" s="42"/>
      <c r="G7" s="42">
        <f>ROUND(М[[#This Row],[Количество]]*М[[#This Row],[Цена за ед., руб]],2)</f>
        <v>0</v>
      </c>
      <c r="H7" s="43"/>
      <c r="I7" s="50" t="s">
        <v>155</v>
      </c>
    </row>
    <row r="8" spans="1:9" ht="11.1" customHeight="1" x14ac:dyDescent="0.2">
      <c r="A8" s="49" t="s">
        <v>38</v>
      </c>
      <c r="B8" s="43"/>
      <c r="C8" s="43" t="s">
        <v>58</v>
      </c>
      <c r="D8" s="41" t="s">
        <v>40</v>
      </c>
      <c r="E8" s="44">
        <v>0.72</v>
      </c>
      <c r="F8" s="42"/>
      <c r="G8" s="42">
        <f>ROUND(М[[#This Row],[Количество]]*М[[#This Row],[Цена за ед., руб]],2)</f>
        <v>0</v>
      </c>
      <c r="H8" s="43"/>
      <c r="I8" s="50" t="s">
        <v>155</v>
      </c>
    </row>
    <row r="9" spans="1:9" ht="23.1" customHeight="1" x14ac:dyDescent="0.2">
      <c r="A9" s="49" t="s">
        <v>49</v>
      </c>
      <c r="B9" s="43"/>
      <c r="C9" s="43" t="s">
        <v>50</v>
      </c>
      <c r="D9" s="41" t="s">
        <v>51</v>
      </c>
      <c r="E9" s="46">
        <v>188793</v>
      </c>
      <c r="F9" s="42"/>
      <c r="G9" s="42">
        <f>ROUND(М[[#This Row],[Количество]]*М[[#This Row],[Цена за ед., руб]],2)</f>
        <v>0</v>
      </c>
      <c r="H9" s="43"/>
      <c r="I9" s="50" t="s">
        <v>155</v>
      </c>
    </row>
    <row r="10" spans="1:9" ht="23.1" customHeight="1" x14ac:dyDescent="0.2">
      <c r="A10" s="49" t="s">
        <v>49</v>
      </c>
      <c r="B10" s="43"/>
      <c r="C10" s="43" t="s">
        <v>59</v>
      </c>
      <c r="D10" s="41" t="s">
        <v>51</v>
      </c>
      <c r="E10" s="46">
        <v>33155</v>
      </c>
      <c r="F10" s="42"/>
      <c r="G10" s="42">
        <f>ROUND(М[[#This Row],[Количество]]*М[[#This Row],[Цена за ед., руб]],2)</f>
        <v>0</v>
      </c>
      <c r="H10" s="43"/>
      <c r="I10" s="50" t="s">
        <v>155</v>
      </c>
    </row>
    <row r="11" spans="1:9" ht="11.1" customHeight="1" x14ac:dyDescent="0.2">
      <c r="A11" s="49" t="s">
        <v>49</v>
      </c>
      <c r="B11" s="43"/>
      <c r="C11" s="43" t="s">
        <v>131</v>
      </c>
      <c r="D11" s="41" t="s">
        <v>51</v>
      </c>
      <c r="E11" s="46">
        <v>4708</v>
      </c>
      <c r="F11" s="42"/>
      <c r="G11" s="42">
        <f>ROUND(М[[#This Row],[Количество]]*М[[#This Row],[Цена за ед., руб]],2)</f>
        <v>0</v>
      </c>
      <c r="H11" s="43"/>
      <c r="I11" s="50" t="s">
        <v>155</v>
      </c>
    </row>
    <row r="12" spans="1:9" ht="23.1" customHeight="1" x14ac:dyDescent="0.2">
      <c r="A12" s="49" t="s">
        <v>49</v>
      </c>
      <c r="B12" s="43"/>
      <c r="C12" s="43" t="s">
        <v>62</v>
      </c>
      <c r="D12" s="41" t="s">
        <v>51</v>
      </c>
      <c r="E12" s="46">
        <v>1334</v>
      </c>
      <c r="F12" s="42"/>
      <c r="G12" s="42">
        <f>ROUND(М[[#This Row],[Количество]]*М[[#This Row],[Цена за ед., руб]],2)</f>
        <v>0</v>
      </c>
      <c r="H12" s="43"/>
      <c r="I12" s="50" t="s">
        <v>155</v>
      </c>
    </row>
    <row r="13" spans="1:9" ht="23.1" customHeight="1" x14ac:dyDescent="0.2">
      <c r="A13" s="49" t="s">
        <v>49</v>
      </c>
      <c r="B13" s="43"/>
      <c r="C13" s="43" t="s">
        <v>70</v>
      </c>
      <c r="D13" s="41" t="s">
        <v>51</v>
      </c>
      <c r="E13" s="46">
        <v>1054</v>
      </c>
      <c r="F13" s="42"/>
      <c r="G13" s="42">
        <f>ROUND(М[[#This Row],[Количество]]*М[[#This Row],[Цена за ед., руб]],2)</f>
        <v>0</v>
      </c>
      <c r="H13" s="43"/>
      <c r="I13" s="50" t="s">
        <v>155</v>
      </c>
    </row>
    <row r="14" spans="1:9" ht="23.1" customHeight="1" x14ac:dyDescent="0.2">
      <c r="A14" s="49" t="s">
        <v>86</v>
      </c>
      <c r="B14" s="43"/>
      <c r="C14" s="43" t="s">
        <v>141</v>
      </c>
      <c r="D14" s="41" t="s">
        <v>88</v>
      </c>
      <c r="E14" s="44">
        <v>939.34</v>
      </c>
      <c r="F14" s="42"/>
      <c r="G14" s="42">
        <f>ROUND(М[[#This Row],[Количество]]*М[[#This Row],[Цена за ед., руб]],2)</f>
        <v>0</v>
      </c>
      <c r="H14" s="43"/>
      <c r="I14" s="50" t="s">
        <v>155</v>
      </c>
    </row>
    <row r="15" spans="1:9" ht="23.1" customHeight="1" x14ac:dyDescent="0.2">
      <c r="A15" s="49" t="s">
        <v>86</v>
      </c>
      <c r="B15" s="43"/>
      <c r="C15" s="43" t="s">
        <v>87</v>
      </c>
      <c r="D15" s="41" t="s">
        <v>88</v>
      </c>
      <c r="E15" s="42">
        <v>5671.76</v>
      </c>
      <c r="F15" s="42"/>
      <c r="G15" s="42">
        <f>ROUND(М[[#This Row],[Количество]]*М[[#This Row],[Цена за ед., руб]],2)</f>
        <v>0</v>
      </c>
      <c r="H15" s="43"/>
      <c r="I15" s="50" t="s">
        <v>155</v>
      </c>
    </row>
    <row r="16" spans="1:9" ht="23.1" customHeight="1" x14ac:dyDescent="0.2">
      <c r="A16" s="49" t="s">
        <v>86</v>
      </c>
      <c r="B16" s="43"/>
      <c r="C16" s="43" t="s">
        <v>89</v>
      </c>
      <c r="D16" s="41" t="s">
        <v>88</v>
      </c>
      <c r="E16" s="44">
        <v>164.03</v>
      </c>
      <c r="F16" s="42"/>
      <c r="G16" s="42">
        <f>ROUND(М[[#This Row],[Количество]]*М[[#This Row],[Цена за ед., руб]],2)</f>
        <v>0</v>
      </c>
      <c r="H16" s="43"/>
      <c r="I16" s="50" t="s">
        <v>155</v>
      </c>
    </row>
    <row r="17" spans="1:9" ht="23.1" customHeight="1" x14ac:dyDescent="0.2">
      <c r="A17" s="49" t="s">
        <v>86</v>
      </c>
      <c r="B17" s="43"/>
      <c r="C17" s="43" t="s">
        <v>90</v>
      </c>
      <c r="D17" s="41" t="s">
        <v>88</v>
      </c>
      <c r="E17" s="42">
        <v>30473.37</v>
      </c>
      <c r="F17" s="42"/>
      <c r="G17" s="42">
        <f>ROUND(М[[#This Row],[Количество]]*М[[#This Row],[Цена за ед., руб]],2)</f>
        <v>0</v>
      </c>
      <c r="H17" s="43"/>
      <c r="I17" s="50" t="s">
        <v>155</v>
      </c>
    </row>
    <row r="18" spans="1:9" ht="23.1" customHeight="1" x14ac:dyDescent="0.2">
      <c r="A18" s="49" t="s">
        <v>86</v>
      </c>
      <c r="B18" s="43"/>
      <c r="C18" s="43" t="s">
        <v>91</v>
      </c>
      <c r="D18" s="41" t="s">
        <v>88</v>
      </c>
      <c r="E18" s="42">
        <v>21681.45</v>
      </c>
      <c r="F18" s="42"/>
      <c r="G18" s="42">
        <f>ROUND(М[[#This Row],[Количество]]*М[[#This Row],[Цена за ед., руб]],2)</f>
        <v>0</v>
      </c>
      <c r="H18" s="43"/>
      <c r="I18" s="50" t="s">
        <v>155</v>
      </c>
    </row>
    <row r="19" spans="1:9" ht="23.1" customHeight="1" x14ac:dyDescent="0.2">
      <c r="A19" s="49" t="s">
        <v>42</v>
      </c>
      <c r="B19" s="43"/>
      <c r="C19" s="43" t="s">
        <v>142</v>
      </c>
      <c r="D19" s="41" t="s">
        <v>44</v>
      </c>
      <c r="E19" s="42">
        <v>2650.15</v>
      </c>
      <c r="F19" s="42"/>
      <c r="G19" s="42">
        <f>ROUND(М[[#This Row],[Количество]]*М[[#This Row],[Цена за ед., руб]],2)</f>
        <v>0</v>
      </c>
      <c r="H19" s="43"/>
      <c r="I19" s="50" t="s">
        <v>155</v>
      </c>
    </row>
    <row r="20" spans="1:9" ht="23.1" customHeight="1" x14ac:dyDescent="0.2">
      <c r="A20" s="49" t="s">
        <v>42</v>
      </c>
      <c r="B20" s="43"/>
      <c r="C20" s="43" t="s">
        <v>43</v>
      </c>
      <c r="D20" s="41" t="s">
        <v>44</v>
      </c>
      <c r="E20" s="44">
        <v>650.09</v>
      </c>
      <c r="F20" s="42"/>
      <c r="G20" s="42">
        <f>ROUND(М[[#This Row],[Количество]]*М[[#This Row],[Цена за ед., руб]],2)</f>
        <v>0</v>
      </c>
      <c r="H20" s="43" t="s">
        <v>45</v>
      </c>
      <c r="I20" s="50" t="s">
        <v>155</v>
      </c>
    </row>
    <row r="21" spans="1:9" ht="23.1" customHeight="1" x14ac:dyDescent="0.2">
      <c r="A21" s="49" t="s">
        <v>92</v>
      </c>
      <c r="B21" s="43"/>
      <c r="C21" s="43" t="s">
        <v>93</v>
      </c>
      <c r="D21" s="41" t="s">
        <v>29</v>
      </c>
      <c r="E21" s="42">
        <v>42041.96</v>
      </c>
      <c r="F21" s="42"/>
      <c r="G21" s="42">
        <f>ROUND(М[[#This Row],[Количество]]*М[[#This Row],[Цена за ед., руб]],2)</f>
        <v>0</v>
      </c>
      <c r="H21" s="43" t="s">
        <v>94</v>
      </c>
      <c r="I21" s="50" t="s">
        <v>155</v>
      </c>
    </row>
    <row r="22" spans="1:9" ht="23.1" customHeight="1" x14ac:dyDescent="0.2">
      <c r="A22" s="49" t="s">
        <v>92</v>
      </c>
      <c r="B22" s="43"/>
      <c r="C22" s="43" t="s">
        <v>107</v>
      </c>
      <c r="D22" s="41" t="s">
        <v>29</v>
      </c>
      <c r="E22" s="42">
        <v>1007.13</v>
      </c>
      <c r="F22" s="108"/>
      <c r="G22" s="42">
        <f>ROUND(М[[#This Row],[Количество]]*М[[#This Row],[Цена за ед., руб]],2)</f>
        <v>0</v>
      </c>
      <c r="H22" s="43" t="s">
        <v>108</v>
      </c>
      <c r="I22" s="50" t="s">
        <v>155</v>
      </c>
    </row>
    <row r="23" spans="1:9" ht="11.1" customHeight="1" x14ac:dyDescent="0.2">
      <c r="A23" s="49" t="s">
        <v>63</v>
      </c>
      <c r="B23" s="43"/>
      <c r="C23" s="43" t="s">
        <v>64</v>
      </c>
      <c r="D23" s="41" t="s">
        <v>40</v>
      </c>
      <c r="E23" s="44">
        <v>68.959999999999994</v>
      </c>
      <c r="F23" s="108"/>
      <c r="G23" s="42">
        <f>ROUND(М[[#This Row],[Количество]]*М[[#This Row],[Цена за ед., руб]],2)</f>
        <v>0</v>
      </c>
      <c r="H23" s="43"/>
      <c r="I23" s="50" t="s">
        <v>155</v>
      </c>
    </row>
    <row r="24" spans="1:9" ht="11.1" customHeight="1" x14ac:dyDescent="0.2">
      <c r="A24" s="49" t="s">
        <v>63</v>
      </c>
      <c r="B24" s="43"/>
      <c r="C24" s="43" t="s">
        <v>66</v>
      </c>
      <c r="D24" s="41" t="s">
        <v>40</v>
      </c>
      <c r="E24" s="42">
        <v>3605.89</v>
      </c>
      <c r="F24" s="108"/>
      <c r="G24" s="42">
        <f>ROUND(М[[#This Row],[Количество]]*М[[#This Row],[Цена за ед., руб]],2)</f>
        <v>0</v>
      </c>
      <c r="H24" s="43"/>
      <c r="I24" s="50" t="s">
        <v>155</v>
      </c>
    </row>
    <row r="25" spans="1:9" ht="11.1" customHeight="1" x14ac:dyDescent="0.2">
      <c r="A25" s="49" t="s">
        <v>63</v>
      </c>
      <c r="B25" s="43"/>
      <c r="C25" s="43" t="s">
        <v>82</v>
      </c>
      <c r="D25" s="41" t="s">
        <v>40</v>
      </c>
      <c r="E25" s="44">
        <v>220.55</v>
      </c>
      <c r="F25" s="108"/>
      <c r="G25" s="42">
        <f>ROUND(М[[#This Row],[Количество]]*М[[#This Row],[Цена за ед., руб]],2)</f>
        <v>0</v>
      </c>
      <c r="H25" s="43"/>
      <c r="I25" s="50" t="s">
        <v>155</v>
      </c>
    </row>
    <row r="26" spans="1:9" ht="11.1" customHeight="1" x14ac:dyDescent="0.2">
      <c r="A26" s="49" t="s">
        <v>63</v>
      </c>
      <c r="B26" s="43"/>
      <c r="C26" s="43" t="s">
        <v>143</v>
      </c>
      <c r="D26" s="41" t="s">
        <v>40</v>
      </c>
      <c r="E26" s="44">
        <v>1.21</v>
      </c>
      <c r="F26" s="108"/>
      <c r="G26" s="42">
        <f>ROUND(М[[#This Row],[Количество]]*М[[#This Row],[Цена за ед., руб]],2)</f>
        <v>0</v>
      </c>
      <c r="H26" s="43"/>
      <c r="I26" s="50" t="s">
        <v>155</v>
      </c>
    </row>
    <row r="27" spans="1:9" ht="11.1" customHeight="1" x14ac:dyDescent="0.2">
      <c r="A27" s="49" t="s">
        <v>95</v>
      </c>
      <c r="B27" s="43"/>
      <c r="C27" s="43" t="s">
        <v>96</v>
      </c>
      <c r="D27" s="41" t="s">
        <v>34</v>
      </c>
      <c r="E27" s="44">
        <v>131.05000000000001</v>
      </c>
      <c r="F27" s="108"/>
      <c r="G27" s="42">
        <f>ROUND(М[[#This Row],[Количество]]*М[[#This Row],[Цена за ед., руб]],2)</f>
        <v>0</v>
      </c>
      <c r="H27" s="43" t="s">
        <v>97</v>
      </c>
      <c r="I27" s="50" t="s">
        <v>155</v>
      </c>
    </row>
    <row r="28" spans="1:9" ht="11.1" customHeight="1" x14ac:dyDescent="0.2">
      <c r="A28" s="49" t="s">
        <v>114</v>
      </c>
      <c r="B28" s="43"/>
      <c r="C28" s="43" t="s">
        <v>116</v>
      </c>
      <c r="D28" s="41" t="s">
        <v>44</v>
      </c>
      <c r="E28" s="42">
        <v>14679.69</v>
      </c>
      <c r="F28" s="108"/>
      <c r="G28" s="42">
        <f>ROUND(М[[#This Row],[Количество]]*М[[#This Row],[Цена за ед., руб]],2)</f>
        <v>0</v>
      </c>
      <c r="H28" s="43" t="s">
        <v>117</v>
      </c>
      <c r="I28" s="50" t="s">
        <v>155</v>
      </c>
    </row>
    <row r="29" spans="1:9" ht="11.1" customHeight="1" x14ac:dyDescent="0.2">
      <c r="A29" s="49" t="s">
        <v>114</v>
      </c>
      <c r="B29" s="43"/>
      <c r="C29" s="43" t="s">
        <v>118</v>
      </c>
      <c r="D29" s="41" t="s">
        <v>44</v>
      </c>
      <c r="E29" s="42">
        <v>24096.04</v>
      </c>
      <c r="F29" s="108"/>
      <c r="G29" s="42">
        <f>ROUND(М[[#This Row],[Количество]]*М[[#This Row],[Цена за ед., руб]],2)</f>
        <v>0</v>
      </c>
      <c r="H29" s="43" t="s">
        <v>117</v>
      </c>
      <c r="I29" s="50" t="s">
        <v>155</v>
      </c>
    </row>
    <row r="30" spans="1:9" ht="23.1" customHeight="1" x14ac:dyDescent="0.2">
      <c r="A30" s="49" t="s">
        <v>114</v>
      </c>
      <c r="B30" s="43"/>
      <c r="C30" s="43" t="s">
        <v>115</v>
      </c>
      <c r="D30" s="41" t="s">
        <v>44</v>
      </c>
      <c r="E30" s="42">
        <v>1456.06</v>
      </c>
      <c r="F30" s="108"/>
      <c r="G30" s="42">
        <f>ROUND(М[[#This Row],[Количество]]*М[[#This Row],[Цена за ед., руб]],2)</f>
        <v>0</v>
      </c>
      <c r="H30" s="43"/>
      <c r="I30" s="50" t="s">
        <v>155</v>
      </c>
    </row>
    <row r="31" spans="1:9" ht="11.1" customHeight="1" x14ac:dyDescent="0.2">
      <c r="A31" s="49" t="s">
        <v>114</v>
      </c>
      <c r="B31" s="43"/>
      <c r="C31" s="43" t="s">
        <v>119</v>
      </c>
      <c r="D31" s="41" t="s">
        <v>44</v>
      </c>
      <c r="E31" s="42">
        <v>17107.39</v>
      </c>
      <c r="F31" s="108"/>
      <c r="G31" s="42">
        <f>ROUND(М[[#This Row],[Количество]]*М[[#This Row],[Цена за ед., руб]],2)</f>
        <v>0</v>
      </c>
      <c r="H31" s="43" t="s">
        <v>117</v>
      </c>
      <c r="I31" s="50" t="s">
        <v>155</v>
      </c>
    </row>
    <row r="32" spans="1:9" ht="11.1" customHeight="1" x14ac:dyDescent="0.2">
      <c r="A32" s="49" t="s">
        <v>114</v>
      </c>
      <c r="B32" s="43"/>
      <c r="C32" s="43" t="s">
        <v>120</v>
      </c>
      <c r="D32" s="41" t="s">
        <v>44</v>
      </c>
      <c r="E32" s="47">
        <v>2481.1</v>
      </c>
      <c r="F32" s="108"/>
      <c r="G32" s="42">
        <f>ROUND(М[[#This Row],[Количество]]*М[[#This Row],[Цена за ед., руб]],2)</f>
        <v>0</v>
      </c>
      <c r="H32" s="43" t="s">
        <v>117</v>
      </c>
      <c r="I32" s="50" t="s">
        <v>155</v>
      </c>
    </row>
    <row r="33" spans="1:9" ht="11.1" customHeight="1" x14ac:dyDescent="0.2">
      <c r="A33" s="49" t="s">
        <v>114</v>
      </c>
      <c r="B33" s="43"/>
      <c r="C33" s="43" t="s">
        <v>121</v>
      </c>
      <c r="D33" s="41" t="s">
        <v>44</v>
      </c>
      <c r="E33" s="42">
        <v>4343.0600000000004</v>
      </c>
      <c r="F33" s="108"/>
      <c r="G33" s="42">
        <f>ROUND(М[[#This Row],[Количество]]*М[[#This Row],[Цена за ед., руб]],2)</f>
        <v>0</v>
      </c>
      <c r="H33" s="43" t="s">
        <v>117</v>
      </c>
      <c r="I33" s="50" t="s">
        <v>155</v>
      </c>
    </row>
    <row r="34" spans="1:9" ht="11.1" customHeight="1" x14ac:dyDescent="0.2">
      <c r="A34" s="49" t="s">
        <v>114</v>
      </c>
      <c r="B34" s="43"/>
      <c r="C34" s="43" t="s">
        <v>122</v>
      </c>
      <c r="D34" s="41" t="s">
        <v>44</v>
      </c>
      <c r="E34" s="42">
        <v>2841.82</v>
      </c>
      <c r="F34" s="108"/>
      <c r="G34" s="42">
        <f>ROUND(М[[#This Row],[Количество]]*М[[#This Row],[Цена за ед., руб]],2)</f>
        <v>0</v>
      </c>
      <c r="H34" s="43" t="s">
        <v>117</v>
      </c>
      <c r="I34" s="50" t="s">
        <v>155</v>
      </c>
    </row>
    <row r="35" spans="1:9" ht="11.1" customHeight="1" x14ac:dyDescent="0.2">
      <c r="A35" s="49" t="s">
        <v>114</v>
      </c>
      <c r="B35" s="43"/>
      <c r="C35" s="43" t="s">
        <v>123</v>
      </c>
      <c r="D35" s="41" t="s">
        <v>44</v>
      </c>
      <c r="E35" s="42">
        <v>3108.87</v>
      </c>
      <c r="F35" s="108"/>
      <c r="G35" s="42">
        <f>ROUND(М[[#This Row],[Количество]]*М[[#This Row],[Цена за ед., руб]],2)</f>
        <v>0</v>
      </c>
      <c r="H35" s="43" t="s">
        <v>117</v>
      </c>
      <c r="I35" s="50" t="s">
        <v>155</v>
      </c>
    </row>
    <row r="36" spans="1:9" ht="11.1" customHeight="1" x14ac:dyDescent="0.2">
      <c r="A36" s="49" t="s">
        <v>114</v>
      </c>
      <c r="B36" s="43"/>
      <c r="C36" s="43" t="s">
        <v>125</v>
      </c>
      <c r="D36" s="41" t="s">
        <v>44</v>
      </c>
      <c r="E36" s="42">
        <v>17523.759999999998</v>
      </c>
      <c r="F36" s="108"/>
      <c r="G36" s="42">
        <f>ROUND(М[[#This Row],[Количество]]*М[[#This Row],[Цена за ед., руб]],2)</f>
        <v>0</v>
      </c>
      <c r="H36" s="43" t="s">
        <v>117</v>
      </c>
      <c r="I36" s="50" t="s">
        <v>155</v>
      </c>
    </row>
    <row r="37" spans="1:9" ht="23.1" customHeight="1" x14ac:dyDescent="0.2">
      <c r="A37" s="49" t="s">
        <v>71</v>
      </c>
      <c r="B37" s="43"/>
      <c r="C37" s="43" t="s">
        <v>72</v>
      </c>
      <c r="D37" s="41" t="s">
        <v>73</v>
      </c>
      <c r="E37" s="46">
        <v>1916</v>
      </c>
      <c r="F37" s="108"/>
      <c r="G37" s="42">
        <f>ROUND(М[[#This Row],[Количество]]*М[[#This Row],[Цена за ед., руб]],2)</f>
        <v>0</v>
      </c>
      <c r="H37" s="43"/>
      <c r="I37" s="50" t="s">
        <v>155</v>
      </c>
    </row>
    <row r="38" spans="1:9" ht="23.1" customHeight="1" x14ac:dyDescent="0.2">
      <c r="A38" s="49" t="s">
        <v>53</v>
      </c>
      <c r="B38" s="43"/>
      <c r="C38" s="43" t="s">
        <v>54</v>
      </c>
      <c r="D38" s="41" t="s">
        <v>44</v>
      </c>
      <c r="E38" s="42">
        <v>380998.35</v>
      </c>
      <c r="F38" s="108"/>
      <c r="G38" s="42">
        <f>ROUND(М[[#This Row],[Количество]]*М[[#This Row],[Цена за ед., руб]],2)</f>
        <v>0</v>
      </c>
      <c r="H38" s="43" t="s">
        <v>55</v>
      </c>
      <c r="I38" s="50" t="s">
        <v>155</v>
      </c>
    </row>
    <row r="39" spans="1:9" ht="23.1" customHeight="1" x14ac:dyDescent="0.2">
      <c r="A39" s="49" t="s">
        <v>132</v>
      </c>
      <c r="B39" s="43"/>
      <c r="C39" s="43" t="s">
        <v>133</v>
      </c>
      <c r="D39" s="41" t="s">
        <v>88</v>
      </c>
      <c r="E39" s="45">
        <v>79.2</v>
      </c>
      <c r="F39" s="108"/>
      <c r="G39" s="42">
        <f>ROUND(М[[#This Row],[Количество]]*М[[#This Row],[Цена за ед., руб]],2)</f>
        <v>0</v>
      </c>
      <c r="H39" s="43" t="s">
        <v>134</v>
      </c>
      <c r="I39" s="50" t="s">
        <v>155</v>
      </c>
    </row>
    <row r="40" spans="1:9" ht="23.1" customHeight="1" x14ac:dyDescent="0.2">
      <c r="A40" s="49" t="s">
        <v>132</v>
      </c>
      <c r="B40" s="43"/>
      <c r="C40" s="43" t="s">
        <v>144</v>
      </c>
      <c r="D40" s="41" t="s">
        <v>88</v>
      </c>
      <c r="E40" s="48">
        <v>428</v>
      </c>
      <c r="F40" s="108"/>
      <c r="G40" s="42">
        <f>ROUND(М[[#This Row],[Количество]]*М[[#This Row],[Цена за ед., руб]],2)</f>
        <v>0</v>
      </c>
      <c r="H40" s="43" t="s">
        <v>134</v>
      </c>
      <c r="I40" s="50" t="s">
        <v>155</v>
      </c>
    </row>
    <row r="41" spans="1:9" ht="23.1" customHeight="1" x14ac:dyDescent="0.2">
      <c r="A41" s="49" t="s">
        <v>132</v>
      </c>
      <c r="B41" s="43"/>
      <c r="C41" s="43" t="s">
        <v>135</v>
      </c>
      <c r="D41" s="41" t="s">
        <v>88</v>
      </c>
      <c r="E41" s="42">
        <v>3027.59</v>
      </c>
      <c r="F41" s="108"/>
      <c r="G41" s="42">
        <f>ROUND(М[[#This Row],[Количество]]*М[[#This Row],[Цена за ед., руб]],2)</f>
        <v>0</v>
      </c>
      <c r="H41" s="43" t="s">
        <v>134</v>
      </c>
      <c r="I41" s="50" t="s">
        <v>155</v>
      </c>
    </row>
    <row r="42" spans="1:9" ht="11.1" customHeight="1" x14ac:dyDescent="0.2">
      <c r="A42" s="49" t="s">
        <v>100</v>
      </c>
      <c r="B42" s="43"/>
      <c r="C42" s="43" t="s">
        <v>101</v>
      </c>
      <c r="D42" s="41" t="s">
        <v>102</v>
      </c>
      <c r="E42" s="48">
        <v>597</v>
      </c>
      <c r="F42" s="108"/>
      <c r="G42" s="42">
        <f>ROUND(М[[#This Row],[Количество]]*М[[#This Row],[Цена за ед., руб]],2)</f>
        <v>0</v>
      </c>
      <c r="H42" s="43" t="s">
        <v>103</v>
      </c>
      <c r="I42" s="50" t="s">
        <v>155</v>
      </c>
    </row>
    <row r="43" spans="1:9" ht="23.1" customHeight="1" x14ac:dyDescent="0.2">
      <c r="A43" s="49" t="s">
        <v>145</v>
      </c>
      <c r="B43" s="43"/>
      <c r="C43" s="43" t="s">
        <v>146</v>
      </c>
      <c r="D43" s="41" t="s">
        <v>88</v>
      </c>
      <c r="E43" s="42">
        <v>1390.63</v>
      </c>
      <c r="F43" s="108"/>
      <c r="G43" s="42">
        <f>ROUND(М[[#This Row],[Количество]]*М[[#This Row],[Цена за ед., руб]],2)</f>
        <v>0</v>
      </c>
      <c r="H43" s="43"/>
      <c r="I43" s="50" t="s">
        <v>155</v>
      </c>
    </row>
    <row r="44" spans="1:9" ht="11.1" customHeight="1" x14ac:dyDescent="0.2">
      <c r="A44" s="53" t="s">
        <v>75</v>
      </c>
      <c r="B44" s="60"/>
      <c r="C44" s="60" t="s">
        <v>76</v>
      </c>
      <c r="D44" s="54" t="s">
        <v>34</v>
      </c>
      <c r="E44" s="61">
        <v>203</v>
      </c>
      <c r="F44" s="109"/>
      <c r="G44" s="55">
        <f>ROUND(М[[#This Row],[Количество]]*М[[#This Row],[Цена за ед., руб]],2)</f>
        <v>0</v>
      </c>
      <c r="H44" s="60" t="s">
        <v>77</v>
      </c>
      <c r="I44" s="57" t="s">
        <v>155</v>
      </c>
    </row>
    <row r="45" spans="1:9" ht="11.45" customHeight="1" x14ac:dyDescent="0.2">
      <c r="A45" s="53" t="s">
        <v>174</v>
      </c>
      <c r="B45" s="60"/>
      <c r="C45" s="60"/>
      <c r="D45" s="54"/>
      <c r="E45" s="56"/>
      <c r="F45" s="55"/>
      <c r="G45" s="55">
        <f>SUBTOTAL(109,М[Сумма, руб])</f>
        <v>0</v>
      </c>
      <c r="H45" s="60"/>
      <c r="I45" s="57"/>
    </row>
    <row r="47" spans="1:9" ht="11.45" customHeight="1" x14ac:dyDescent="0.2">
      <c r="A47" s="71" t="s">
        <v>181</v>
      </c>
      <c r="B47" s="72"/>
      <c r="C47" s="72"/>
      <c r="D47" s="72"/>
      <c r="E47" s="72"/>
      <c r="F47" s="73"/>
      <c r="G47" s="74"/>
      <c r="H47" s="75"/>
      <c r="I47" s="76"/>
    </row>
    <row r="48" spans="1:9" ht="11.45" customHeight="1" x14ac:dyDescent="0.2">
      <c r="A48" s="86" t="s">
        <v>183</v>
      </c>
      <c r="B48" s="86"/>
      <c r="C48" s="86"/>
      <c r="D48" s="86"/>
      <c r="E48" s="86"/>
      <c r="F48" s="86"/>
      <c r="G48" s="86"/>
      <c r="H48" s="86"/>
      <c r="I48" s="86"/>
    </row>
    <row r="49" spans="1:9" ht="11.45" customHeight="1" x14ac:dyDescent="0.2">
      <c r="A49" s="86" t="s">
        <v>184</v>
      </c>
      <c r="B49" s="86"/>
      <c r="C49" s="86"/>
      <c r="D49" s="86"/>
      <c r="E49" s="86"/>
      <c r="F49" s="86"/>
      <c r="G49" s="86"/>
      <c r="H49" s="86"/>
      <c r="I49" s="86"/>
    </row>
    <row r="50" spans="1:9" ht="11.45" customHeight="1" x14ac:dyDescent="0.2">
      <c r="A50" s="86" t="s">
        <v>185</v>
      </c>
      <c r="B50" s="86"/>
      <c r="C50" s="86"/>
      <c r="D50" s="86"/>
      <c r="E50" s="86"/>
      <c r="F50" s="86"/>
      <c r="G50" s="86"/>
      <c r="H50" s="86"/>
      <c r="I50" s="86"/>
    </row>
    <row r="51" spans="1:9" ht="11.45" customHeight="1" x14ac:dyDescent="0.2">
      <c r="A51" s="77" t="s">
        <v>186</v>
      </c>
      <c r="B51" s="77"/>
      <c r="C51" s="77"/>
      <c r="D51" s="77"/>
      <c r="E51" s="77"/>
      <c r="F51" s="77"/>
      <c r="G51" s="77"/>
      <c r="H51" s="77"/>
      <c r="I51" s="77"/>
    </row>
    <row r="52" spans="1:9" ht="25.5" customHeight="1" x14ac:dyDescent="0.2">
      <c r="A52" s="83" t="s">
        <v>194</v>
      </c>
      <c r="B52" s="83"/>
      <c r="C52" s="83"/>
      <c r="D52" s="83"/>
      <c r="E52" s="83"/>
      <c r="F52" s="83"/>
      <c r="G52" s="83"/>
      <c r="H52" s="83"/>
      <c r="I52" s="77"/>
    </row>
    <row r="53" spans="1:9" ht="11.45" customHeight="1" x14ac:dyDescent="0.2">
      <c r="A53" s="83" t="s">
        <v>187</v>
      </c>
      <c r="B53" s="83"/>
      <c r="C53" s="83"/>
      <c r="D53" s="83"/>
      <c r="E53" s="83"/>
      <c r="F53" s="83"/>
      <c r="G53" s="83"/>
      <c r="H53" s="83"/>
      <c r="I53" s="78"/>
    </row>
    <row r="54" spans="1:9" ht="11.45" customHeight="1" x14ac:dyDescent="0.2">
      <c r="A54" s="79" t="s">
        <v>188</v>
      </c>
      <c r="B54" s="79"/>
      <c r="C54" s="79"/>
      <c r="D54" s="79"/>
      <c r="E54" s="79"/>
      <c r="F54" s="79"/>
      <c r="G54" s="79"/>
      <c r="H54" s="79"/>
      <c r="I54" s="77"/>
    </row>
    <row r="55" spans="1:9" ht="11.45" customHeight="1" x14ac:dyDescent="0.2">
      <c r="A55" s="73" t="s">
        <v>189</v>
      </c>
      <c r="B55" s="73"/>
      <c r="C55" s="73"/>
      <c r="D55" s="73"/>
      <c r="E55" s="73"/>
      <c r="F55" s="73"/>
      <c r="G55" s="73"/>
      <c r="H55" s="73"/>
      <c r="I55" s="80"/>
    </row>
    <row r="56" spans="1:9" ht="11.45" customHeight="1" x14ac:dyDescent="0.2">
      <c r="A56" s="84" t="s">
        <v>190</v>
      </c>
      <c r="B56" s="84"/>
      <c r="C56" s="84"/>
      <c r="D56" s="84"/>
      <c r="E56" s="84"/>
      <c r="F56" s="84"/>
      <c r="G56" s="84"/>
      <c r="H56" s="84"/>
      <c r="I56" s="73"/>
    </row>
    <row r="57" spans="1:9" ht="11.45" customHeight="1" x14ac:dyDescent="0.2">
      <c r="A57" s="83" t="s">
        <v>191</v>
      </c>
      <c r="B57" s="83"/>
      <c r="C57" s="83"/>
      <c r="D57" s="83"/>
      <c r="E57" s="83"/>
      <c r="F57" s="83"/>
      <c r="G57" s="83"/>
      <c r="H57" s="83"/>
      <c r="I57" s="79"/>
    </row>
    <row r="58" spans="1:9" ht="11.45" customHeight="1" x14ac:dyDescent="0.2">
      <c r="A58" s="73" t="s">
        <v>192</v>
      </c>
      <c r="B58" s="73"/>
      <c r="C58" s="73"/>
      <c r="D58" s="73"/>
      <c r="E58" s="73"/>
      <c r="F58" s="73"/>
      <c r="G58" s="73"/>
      <c r="H58" s="73"/>
      <c r="I58" s="81"/>
    </row>
    <row r="59" spans="1:9" ht="11.45" customHeight="1" x14ac:dyDescent="0.2">
      <c r="A59" s="82" t="s">
        <v>193</v>
      </c>
      <c r="B59" s="82"/>
      <c r="C59" s="82"/>
      <c r="D59" s="82"/>
      <c r="E59" s="82"/>
      <c r="F59" s="82"/>
      <c r="G59" s="82"/>
      <c r="H59" s="82"/>
      <c r="I59"/>
    </row>
  </sheetData>
  <sheetProtection algorithmName="SHA-512" hashValue="FuL0/LU5L3jy7LXDw0gCXnxjLT0OyryRQMieghLBYav2w8clHS6j76s+bEbvGdXB4wkGpCKA0f/2n0hTTucbBQ==" saltValue="CSbK51O3T/atR0y2hEZenw==" spinCount="100000" sheet="1" objects="1" scenarios="1" selectLockedCells="1"/>
  <mergeCells count="8">
    <mergeCell ref="A53:H53"/>
    <mergeCell ref="A56:H56"/>
    <mergeCell ref="A57:H57"/>
    <mergeCell ref="A1:H1"/>
    <mergeCell ref="A48:I48"/>
    <mergeCell ref="A49:I49"/>
    <mergeCell ref="A50:I50"/>
    <mergeCell ref="A52:H52"/>
  </mergeCells>
  <dataValidations count="1">
    <dataValidation type="list" errorStyle="information" allowBlank="1" showInputMessage="1" showErrorMessage="1" sqref="I3:I44" xr:uid="{75619A1C-BD43-4C66-B104-F1D7262311A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9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156</v>
      </c>
      <c r="B1" s="1" t="s">
        <v>157</v>
      </c>
    </row>
    <row r="2" spans="1:2" ht="11.1" customHeight="1" x14ac:dyDescent="0.2">
      <c r="A2" s="1" t="s">
        <v>158</v>
      </c>
      <c r="B2" s="1" t="s">
        <v>159</v>
      </c>
    </row>
    <row r="3" spans="1:2" ht="11.1" customHeight="1" x14ac:dyDescent="0.2">
      <c r="A3" s="1" t="s">
        <v>160</v>
      </c>
      <c r="B3" s="1" t="s">
        <v>161</v>
      </c>
    </row>
    <row r="4" spans="1:2" ht="11.1" customHeight="1" x14ac:dyDescent="0.2">
      <c r="A4" s="1" t="s">
        <v>162</v>
      </c>
      <c r="B4" s="1" t="s">
        <v>163</v>
      </c>
    </row>
    <row r="5" spans="1:2" ht="11.1" customHeight="1" x14ac:dyDescent="0.2">
      <c r="A5" s="1" t="s">
        <v>164</v>
      </c>
      <c r="B5" s="1" t="s">
        <v>165</v>
      </c>
    </row>
    <row r="6" spans="1:2" ht="11.1" customHeight="1" x14ac:dyDescent="0.2">
      <c r="A6" s="1" t="s">
        <v>166</v>
      </c>
      <c r="B6" s="1" t="s">
        <v>167</v>
      </c>
    </row>
    <row r="7" spans="1:2" ht="11.1" customHeight="1" x14ac:dyDescent="0.2">
      <c r="A7" s="1" t="s">
        <v>168</v>
      </c>
      <c r="B7" s="1" t="s">
        <v>169</v>
      </c>
    </row>
    <row r="8" spans="1:2" ht="11.1" customHeight="1" x14ac:dyDescent="0.2">
      <c r="A8" s="1" t="s">
        <v>170</v>
      </c>
      <c r="B8" s="1" t="s">
        <v>171</v>
      </c>
    </row>
    <row r="9" spans="1:2" ht="11.1" customHeight="1" x14ac:dyDescent="0.2">
      <c r="A9" s="1" t="s">
        <v>172</v>
      </c>
      <c r="B9" s="1" t="s">
        <v>173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2026-06-30T08:08:32Z</dcterms:modified>
</cp:coreProperties>
</file>