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Кровля\"/>
    </mc:Choice>
  </mc:AlternateContent>
  <xr:revisionPtr revIDLastSave="0" documentId="13_ncr:1_{7A7AA6B2-D65A-4C9D-97FA-B0B89BE4FB9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" i="1" l="1"/>
  <c r="P13" i="1" a="1"/>
  <c r="P13" i="1" s="1"/>
  <c r="Q13" i="1" s="1"/>
  <c r="Q12" i="1" s="1"/>
  <c r="O15" i="1"/>
  <c r="S15" i="1" a="1"/>
  <c r="S15" i="1" s="1"/>
  <c r="P15" i="1" a="1"/>
  <c r="P15" i="1" s="1"/>
  <c r="O17" i="1"/>
  <c r="P17" i="1" a="1"/>
  <c r="P17" i="1" s="1"/>
  <c r="Q17" i="1" s="1"/>
  <c r="Q16" i="1" s="1"/>
  <c r="O19" i="1"/>
  <c r="S19" i="1" a="1"/>
  <c r="S19" i="1" s="1"/>
  <c r="P19" i="1" a="1"/>
  <c r="P19" i="1" s="1"/>
  <c r="O20" i="1"/>
  <c r="S20" i="1" a="1"/>
  <c r="S20" i="1" s="1"/>
  <c r="P20" i="1" a="1"/>
  <c r="P20" i="1" s="1"/>
  <c r="O22" i="1"/>
  <c r="P22" i="1" a="1"/>
  <c r="P22" i="1" s="1"/>
  <c r="Q22" i="1" s="1"/>
  <c r="Q21" i="1" s="1"/>
  <c r="O24" i="1"/>
  <c r="S24" i="1" a="1"/>
  <c r="S24" i="1" s="1"/>
  <c r="P24" i="1" a="1"/>
  <c r="P24" i="1" s="1"/>
  <c r="Q24" i="1" s="1"/>
  <c r="O25" i="1"/>
  <c r="S25" i="1" a="1"/>
  <c r="S25" i="1" s="1"/>
  <c r="P25" i="1" a="1"/>
  <c r="P25" i="1" s="1"/>
  <c r="O27" i="1"/>
  <c r="P27" i="1" a="1"/>
  <c r="P27" i="1" s="1"/>
  <c r="Q27" i="1" s="1"/>
  <c r="Q26" i="1" s="1"/>
  <c r="O29" i="1"/>
  <c r="S29" i="1" a="1"/>
  <c r="S29" i="1" s="1"/>
  <c r="P29" i="1" a="1"/>
  <c r="P29" i="1" s="1"/>
  <c r="O30" i="1"/>
  <c r="S30" i="1" a="1"/>
  <c r="S30" i="1" s="1"/>
  <c r="P30" i="1" a="1"/>
  <c r="P30" i="1" s="1"/>
  <c r="Q30" i="1" s="1"/>
  <c r="O32" i="1"/>
  <c r="P32" i="1" a="1"/>
  <c r="P32" i="1" s="1"/>
  <c r="Q32" i="1" s="1"/>
  <c r="Q31" i="1" s="1"/>
  <c r="O34" i="1"/>
  <c r="S34" i="1" a="1"/>
  <c r="S34" i="1" s="1"/>
  <c r="P34" i="1" a="1"/>
  <c r="P34" i="1" s="1"/>
  <c r="Q34" i="1" s="1"/>
  <c r="O35" i="1"/>
  <c r="S35" i="1" a="1"/>
  <c r="S35" i="1" s="1"/>
  <c r="P35" i="1" a="1"/>
  <c r="P35" i="1" s="1"/>
  <c r="O37" i="1"/>
  <c r="P37" i="1" a="1"/>
  <c r="P37" i="1" s="1"/>
  <c r="Q37" i="1" s="1"/>
  <c r="Q36" i="1" s="1"/>
  <c r="O39" i="1"/>
  <c r="S39" i="1" a="1"/>
  <c r="S39" i="1"/>
  <c r="P39" i="1" a="1"/>
  <c r="P39" i="1" s="1"/>
  <c r="O40" i="1"/>
  <c r="S40" i="1" a="1"/>
  <c r="S40" i="1" s="1"/>
  <c r="P40" i="1" a="1"/>
  <c r="P40" i="1" s="1"/>
  <c r="O41" i="1"/>
  <c r="S41" i="1" a="1"/>
  <c r="S41" i="1" s="1"/>
  <c r="P41" i="1" a="1"/>
  <c r="P41" i="1" s="1"/>
  <c r="O43" i="1"/>
  <c r="P43" i="1" a="1"/>
  <c r="P43" i="1" s="1"/>
  <c r="O45" i="1"/>
  <c r="S45" i="1" a="1"/>
  <c r="S45" i="1" s="1"/>
  <c r="P45" i="1" a="1"/>
  <c r="P45" i="1" s="1"/>
  <c r="O46" i="1"/>
  <c r="S46" i="1" a="1"/>
  <c r="S46" i="1"/>
  <c r="P46" i="1" a="1"/>
  <c r="P46" i="1" s="1"/>
  <c r="O47" i="1"/>
  <c r="S47" i="1" a="1"/>
  <c r="S47" i="1" s="1"/>
  <c r="P47" i="1" a="1"/>
  <c r="P47" i="1" s="1"/>
  <c r="O49" i="1"/>
  <c r="P49" i="1" a="1"/>
  <c r="P49" i="1" s="1"/>
  <c r="O51" i="1"/>
  <c r="S51" i="1" a="1"/>
  <c r="S51" i="1" s="1"/>
  <c r="P51" i="1" a="1"/>
  <c r="P51" i="1" s="1"/>
  <c r="O53" i="1"/>
  <c r="P53" i="1" a="1"/>
  <c r="P53" i="1" s="1"/>
  <c r="O55" i="1"/>
  <c r="S55" i="1" a="1"/>
  <c r="S55" i="1" s="1"/>
  <c r="P55" i="1" a="1"/>
  <c r="P55" i="1" s="1"/>
  <c r="O56" i="1"/>
  <c r="S56" i="1" a="1"/>
  <c r="S56" i="1" s="1"/>
  <c r="P56" i="1" a="1"/>
  <c r="P56" i="1" s="1"/>
  <c r="O60" i="1"/>
  <c r="P60" i="1" a="1"/>
  <c r="P60" i="1" s="1"/>
  <c r="Q60" i="1" s="1"/>
  <c r="Q59" i="1" s="1"/>
  <c r="O62" i="1"/>
  <c r="S62" i="1" a="1"/>
  <c r="S62" i="1" s="1"/>
  <c r="P62" i="1" a="1"/>
  <c r="P62" i="1" s="1"/>
  <c r="O63" i="1"/>
  <c r="S63" i="1" a="1"/>
  <c r="S63" i="1" s="1"/>
  <c r="P63" i="1" a="1"/>
  <c r="P63" i="1" s="1"/>
  <c r="O64" i="1"/>
  <c r="S64" i="1" a="1"/>
  <c r="S64" i="1" s="1"/>
  <c r="P64" i="1" a="1"/>
  <c r="P64" i="1" s="1"/>
  <c r="O66" i="1"/>
  <c r="P66" i="1" a="1"/>
  <c r="P66" i="1" s="1"/>
  <c r="O68" i="1"/>
  <c r="S68" i="1" a="1"/>
  <c r="S68" i="1" s="1"/>
  <c r="P68" i="1" a="1"/>
  <c r="P68" i="1" s="1"/>
  <c r="Q68" i="1" s="1"/>
  <c r="O69" i="1"/>
  <c r="S69" i="1" a="1"/>
  <c r="S69" i="1" s="1"/>
  <c r="P69" i="1" a="1"/>
  <c r="P69" i="1" s="1"/>
  <c r="O71" i="1"/>
  <c r="P71" i="1" a="1"/>
  <c r="P71" i="1" s="1"/>
  <c r="Q71" i="1" s="1"/>
  <c r="Q70" i="1" s="1"/>
  <c r="O73" i="1"/>
  <c r="S73" i="1" a="1"/>
  <c r="S73" i="1" s="1"/>
  <c r="P73" i="1" a="1"/>
  <c r="P73" i="1" s="1"/>
  <c r="Q73" i="1" s="1"/>
  <c r="O74" i="1"/>
  <c r="S74" i="1" a="1"/>
  <c r="S74" i="1" s="1"/>
  <c r="P74" i="1" a="1"/>
  <c r="P74" i="1" s="1"/>
  <c r="O76" i="1"/>
  <c r="P76" i="1" a="1"/>
  <c r="P76" i="1" s="1"/>
  <c r="Q76" i="1" s="1"/>
  <c r="Q75" i="1" s="1"/>
  <c r="O78" i="1"/>
  <c r="S78" i="1" a="1"/>
  <c r="S78" i="1" s="1"/>
  <c r="P78" i="1" a="1"/>
  <c r="P78" i="1" s="1"/>
  <c r="O80" i="1"/>
  <c r="P80" i="1" a="1"/>
  <c r="P80" i="1" s="1"/>
  <c r="O82" i="1"/>
  <c r="S82" i="1" a="1"/>
  <c r="S82" i="1" s="1"/>
  <c r="P82" i="1" a="1"/>
  <c r="P82" i="1" s="1"/>
  <c r="O83" i="1"/>
  <c r="S83" i="1" a="1"/>
  <c r="S83" i="1" s="1"/>
  <c r="P83" i="1" a="1"/>
  <c r="P83" i="1" s="1"/>
  <c r="O84" i="1"/>
  <c r="S84" i="1" a="1"/>
  <c r="S84" i="1" s="1"/>
  <c r="P84" i="1" a="1"/>
  <c r="P84" i="1" s="1"/>
  <c r="O85" i="1"/>
  <c r="S85" i="1" a="1"/>
  <c r="S85" i="1" s="1"/>
  <c r="P85" i="1" a="1"/>
  <c r="P85" i="1" s="1"/>
  <c r="Q85" i="1" s="1"/>
  <c r="O86" i="1"/>
  <c r="S86" i="1" a="1"/>
  <c r="S86" i="1" s="1"/>
  <c r="P86" i="1" a="1"/>
  <c r="P86" i="1" s="1"/>
  <c r="O87" i="1"/>
  <c r="S87" i="1" a="1"/>
  <c r="S87" i="1" s="1"/>
  <c r="P87" i="1" a="1"/>
  <c r="P87" i="1" s="1"/>
  <c r="O89" i="1"/>
  <c r="P89" i="1" a="1"/>
  <c r="P89" i="1"/>
  <c r="O91" i="1"/>
  <c r="S91" i="1" a="1"/>
  <c r="S91" i="1" s="1"/>
  <c r="P91" i="1" a="1"/>
  <c r="P91" i="1" s="1"/>
  <c r="Q91" i="1" s="1"/>
  <c r="O92" i="1"/>
  <c r="S92" i="1" a="1"/>
  <c r="S92" i="1" s="1"/>
  <c r="P92" i="1" a="1"/>
  <c r="P92" i="1" s="1"/>
  <c r="O94" i="1"/>
  <c r="P94" i="1" a="1"/>
  <c r="P94" i="1" s="1"/>
  <c r="O96" i="1"/>
  <c r="S96" i="1" a="1"/>
  <c r="S96" i="1" s="1"/>
  <c r="P96" i="1" a="1"/>
  <c r="P96" i="1" s="1"/>
  <c r="Q96" i="1" s="1"/>
  <c r="O97" i="1"/>
  <c r="S97" i="1" a="1"/>
  <c r="S97" i="1" s="1"/>
  <c r="P97" i="1" a="1"/>
  <c r="P97" i="1" s="1"/>
  <c r="O98" i="1"/>
  <c r="S98" i="1" a="1"/>
  <c r="S98" i="1" s="1"/>
  <c r="P98" i="1" a="1"/>
  <c r="P98" i="1" s="1"/>
  <c r="O100" i="1"/>
  <c r="P100" i="1" a="1"/>
  <c r="P100" i="1" s="1"/>
  <c r="O102" i="1"/>
  <c r="S102" i="1" a="1"/>
  <c r="S102" i="1" s="1"/>
  <c r="P102" i="1" a="1"/>
  <c r="P102" i="1" s="1"/>
  <c r="O103" i="1"/>
  <c r="S103" i="1" a="1"/>
  <c r="S103" i="1" s="1"/>
  <c r="P103" i="1" a="1"/>
  <c r="P103" i="1" s="1"/>
  <c r="O104" i="1"/>
  <c r="S104" i="1" a="1"/>
  <c r="S104" i="1" s="1"/>
  <c r="P104" i="1" a="1"/>
  <c r="P104" i="1" s="1"/>
  <c r="O106" i="1"/>
  <c r="P106" i="1" a="1"/>
  <c r="P106" i="1" s="1"/>
  <c r="O108" i="1"/>
  <c r="S108" i="1" a="1"/>
  <c r="S108" i="1" s="1"/>
  <c r="P108" i="1" a="1"/>
  <c r="P108" i="1" s="1"/>
  <c r="O109" i="1"/>
  <c r="S109" i="1" a="1"/>
  <c r="S109" i="1" s="1"/>
  <c r="P109" i="1" a="1"/>
  <c r="P109" i="1" s="1"/>
  <c r="O113" i="1"/>
  <c r="P113" i="1" a="1"/>
  <c r="P113" i="1" s="1"/>
  <c r="O115" i="1"/>
  <c r="S115" i="1" a="1"/>
  <c r="S115" i="1" s="1"/>
  <c r="P115" i="1" a="1"/>
  <c r="P115" i="1" s="1"/>
  <c r="O116" i="1"/>
  <c r="S116" i="1" a="1"/>
  <c r="S116" i="1" s="1"/>
  <c r="P116" i="1" a="1"/>
  <c r="P116" i="1" s="1"/>
  <c r="O117" i="1"/>
  <c r="S117" i="1" a="1"/>
  <c r="S117" i="1" s="1"/>
  <c r="P117" i="1" a="1"/>
  <c r="P117" i="1" s="1"/>
  <c r="O119" i="1"/>
  <c r="P119" i="1" a="1"/>
  <c r="P119" i="1" s="1"/>
  <c r="O121" i="1"/>
  <c r="S121" i="1" a="1"/>
  <c r="S121" i="1" s="1"/>
  <c r="P121" i="1" a="1"/>
  <c r="P121" i="1" s="1"/>
  <c r="O122" i="1"/>
  <c r="S122" i="1" a="1"/>
  <c r="S122" i="1" s="1"/>
  <c r="P122" i="1" a="1"/>
  <c r="P122" i="1" s="1"/>
  <c r="O123" i="1"/>
  <c r="S123" i="1" a="1"/>
  <c r="S123" i="1" s="1"/>
  <c r="P123" i="1" a="1"/>
  <c r="P123" i="1" s="1"/>
  <c r="Q123" i="1" s="1"/>
  <c r="O127" i="1"/>
  <c r="P127" i="1" a="1"/>
  <c r="P127" i="1" s="1"/>
  <c r="O129" i="1"/>
  <c r="S129" i="1" a="1"/>
  <c r="S129" i="1" s="1"/>
  <c r="P129" i="1" a="1"/>
  <c r="P129" i="1" s="1"/>
  <c r="O130" i="1"/>
  <c r="S130" i="1" a="1"/>
  <c r="S130" i="1" s="1"/>
  <c r="P130" i="1" a="1"/>
  <c r="P130" i="1" s="1"/>
  <c r="O131" i="1"/>
  <c r="S131" i="1" a="1"/>
  <c r="S131" i="1" s="1"/>
  <c r="P131" i="1" a="1"/>
  <c r="P131" i="1" s="1"/>
  <c r="O132" i="1"/>
  <c r="S132" i="1" a="1"/>
  <c r="S132" i="1" s="1"/>
  <c r="P132" i="1" a="1"/>
  <c r="P132" i="1" s="1"/>
  <c r="O133" i="1"/>
  <c r="S133" i="1" a="1"/>
  <c r="S133" i="1" s="1"/>
  <c r="P133" i="1" a="1"/>
  <c r="P133" i="1" s="1"/>
  <c r="O134" i="1"/>
  <c r="S134" i="1" a="1"/>
  <c r="S134" i="1" s="1"/>
  <c r="P134" i="1" a="1"/>
  <c r="P134" i="1" s="1"/>
  <c r="O135" i="1"/>
  <c r="S135" i="1" a="1"/>
  <c r="S135" i="1" s="1"/>
  <c r="P135" i="1" a="1"/>
  <c r="P135" i="1" s="1"/>
  <c r="Q135" i="1" s="1"/>
  <c r="O136" i="1"/>
  <c r="S136" i="1" a="1"/>
  <c r="S136" i="1" s="1"/>
  <c r="P136" i="1" a="1"/>
  <c r="P136" i="1" s="1"/>
  <c r="O140" i="1"/>
  <c r="P140" i="1" a="1"/>
  <c r="P140" i="1" s="1"/>
  <c r="O142" i="1"/>
  <c r="S142" i="1" a="1"/>
  <c r="S142" i="1" s="1"/>
  <c r="P142" i="1" a="1"/>
  <c r="P142" i="1" s="1"/>
  <c r="O143" i="1"/>
  <c r="S143" i="1" a="1"/>
  <c r="S143" i="1" s="1"/>
  <c r="P143" i="1" a="1"/>
  <c r="P143" i="1" s="1"/>
  <c r="O144" i="1"/>
  <c r="S144" i="1" a="1"/>
  <c r="S144" i="1" s="1"/>
  <c r="P144" i="1" a="1"/>
  <c r="P144" i="1" s="1"/>
  <c r="O145" i="1"/>
  <c r="S145" i="1" a="1"/>
  <c r="S145" i="1" s="1"/>
  <c r="P145" i="1" a="1"/>
  <c r="P145" i="1" s="1"/>
  <c r="O146" i="1"/>
  <c r="S146" i="1" a="1"/>
  <c r="S146" i="1" s="1"/>
  <c r="P146" i="1" a="1"/>
  <c r="P146" i="1" s="1"/>
  <c r="O147" i="1"/>
  <c r="S147" i="1" a="1"/>
  <c r="S147" i="1" s="1"/>
  <c r="P147" i="1" a="1"/>
  <c r="P147" i="1" s="1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7" i="3" s="1"/>
  <c r="G4" i="3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26" i="2" s="1"/>
  <c r="E6" i="2"/>
  <c r="E5" i="2"/>
  <c r="E4" i="2"/>
  <c r="Q62" i="1" l="1"/>
  <c r="Q86" i="1"/>
  <c r="Q146" i="1"/>
  <c r="Q109" i="1"/>
  <c r="Q129" i="1"/>
  <c r="Q143" i="1"/>
  <c r="Q115" i="1"/>
  <c r="Q40" i="1"/>
  <c r="Q87" i="1"/>
  <c r="Q78" i="1"/>
  <c r="Q77" i="1" s="1"/>
  <c r="Q132" i="1"/>
  <c r="Q131" i="1"/>
  <c r="Q92" i="1"/>
  <c r="Q90" i="1" s="1"/>
  <c r="Q144" i="1"/>
  <c r="Q100" i="1"/>
  <c r="Q99" i="1" s="1"/>
  <c r="Q84" i="1"/>
  <c r="Q45" i="1"/>
  <c r="Q108" i="1"/>
  <c r="Q41" i="1"/>
  <c r="Q127" i="1"/>
  <c r="Q126" i="1" s="1"/>
  <c r="Q39" i="1"/>
  <c r="Q119" i="1"/>
  <c r="Q118" i="1" s="1"/>
  <c r="Q53" i="1"/>
  <c r="Q52" i="1" s="1"/>
  <c r="Q63" i="1"/>
  <c r="Q121" i="1"/>
  <c r="Q104" i="1"/>
  <c r="Q69" i="1"/>
  <c r="Q67" i="1" s="1"/>
  <c r="Q51" i="1"/>
  <c r="Q50" i="1" s="1"/>
  <c r="Q142" i="1"/>
  <c r="Q134" i="1"/>
  <c r="Q130" i="1"/>
  <c r="Q140" i="1"/>
  <c r="Q139" i="1" s="1"/>
  <c r="Q103" i="1"/>
  <c r="Q97" i="1"/>
  <c r="Q95" i="1" s="1"/>
  <c r="Q49" i="1"/>
  <c r="Q48" i="1" s="1"/>
  <c r="Q145" i="1"/>
  <c r="Q133" i="1"/>
  <c r="Q89" i="1"/>
  <c r="Q88" i="1" s="1"/>
  <c r="Q35" i="1"/>
  <c r="Q102" i="1"/>
  <c r="Q74" i="1"/>
  <c r="Q64" i="1"/>
  <c r="Q61" i="1" s="1"/>
  <c r="Q136" i="1"/>
  <c r="Q83" i="1"/>
  <c r="Q47" i="1"/>
  <c r="Q82" i="1"/>
  <c r="Q46" i="1"/>
  <c r="Q106" i="1"/>
  <c r="Q105" i="1" s="1"/>
  <c r="Q98" i="1"/>
  <c r="Q147" i="1"/>
  <c r="Q43" i="1"/>
  <c r="Q42" i="1" s="1"/>
  <c r="Q113" i="1"/>
  <c r="Q112" i="1" s="1"/>
  <c r="Q29" i="1"/>
  <c r="Q28" i="1" s="1"/>
  <c r="Q20" i="1"/>
  <c r="Q66" i="1"/>
  <c r="Q65" i="1" s="1"/>
  <c r="Q56" i="1"/>
  <c r="Q33" i="1"/>
  <c r="Q19" i="1"/>
  <c r="Q18" i="1" s="1"/>
  <c r="Q72" i="1"/>
  <c r="Q117" i="1"/>
  <c r="Q94" i="1"/>
  <c r="Q93" i="1" s="1"/>
  <c r="Q55" i="1"/>
  <c r="Q25" i="1"/>
  <c r="Q23" i="1" s="1"/>
  <c r="Q15" i="1"/>
  <c r="Q14" i="1" s="1"/>
  <c r="Q116" i="1"/>
  <c r="Q80" i="1"/>
  <c r="Q79" i="1" s="1"/>
  <c r="Q122" i="1"/>
  <c r="Q120" i="1" s="1"/>
  <c r="Q81" i="1" l="1"/>
  <c r="Q38" i="1"/>
  <c r="Q107" i="1"/>
  <c r="Q101" i="1"/>
  <c r="Q44" i="1"/>
  <c r="Q128" i="1"/>
  <c r="Q125" i="1" s="1"/>
  <c r="Q124" i="1" s="1"/>
  <c r="Q114" i="1"/>
  <c r="Q141" i="1"/>
  <c r="Q138" i="1" s="1"/>
  <c r="Q137" i="1" s="1"/>
  <c r="Q149" i="1"/>
  <c r="Q111" i="1"/>
  <c r="Q110" i="1" s="1"/>
  <c r="Q58" i="1"/>
  <c r="Q57" i="1" s="1"/>
  <c r="Q54" i="1"/>
  <c r="Q11" i="1" s="1"/>
  <c r="Q10" i="1" s="1"/>
  <c r="Q9" i="1" l="1"/>
  <c r="Q148" i="1" s="1"/>
  <c r="Q150" i="1"/>
</calcChain>
</file>

<file path=xl/sharedStrings.xml><?xml version="1.0" encoding="utf-8"?>
<sst xmlns="http://schemas.openxmlformats.org/spreadsheetml/2006/main" count="729" uniqueCount="210">
  <si>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1, 2, 3, 4, 5, 6, 7, 8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</si>
  <si>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</si>
  <si>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</si>
  <si>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</si>
  <si>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</si>
  <si>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</si>
  <si>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</si>
  <si>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</si>
  <si>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</si>
  <si>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</si>
  <si>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</si>
  <si>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</si>
  <si>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Секция 6</t>
  </si>
  <si>
    <t>Секция 7</t>
  </si>
  <si>
    <t>Секция 8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</si>
  <si>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</si>
  <si>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</si>
  <si>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</si>
  <si>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</si>
  <si>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</si>
  <si>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04</t>
  </si>
  <si>
    <t>Кровля</t>
  </si>
  <si>
    <t>04.01</t>
  </si>
  <si>
    <t>Устройство кровли</t>
  </si>
  <si>
    <t>04.01.01</t>
  </si>
  <si>
    <t>Устройство основного пирога наплавляемой кровли</t>
  </si>
  <si>
    <t>04.01.01.00</t>
  </si>
  <si>
    <t>Устройство основного пирога кровли</t>
  </si>
  <si>
    <t>Работы:</t>
  </si>
  <si>
    <t>Нанесение битумного праймера под гидроизоляцию</t>
  </si>
  <si>
    <t>м2</t>
  </si>
  <si>
    <t>Тип кровли по проекту К1, К2, К2</t>
  </si>
  <si>
    <t>Материалы:</t>
  </si>
  <si>
    <t>1</t>
  </si>
  <si>
    <t>Праймер</t>
  </si>
  <si>
    <t>№01, Технониколь</t>
  </si>
  <si>
    <t>битумный</t>
  </si>
  <si>
    <t>л (дм3)</t>
  </si>
  <si>
    <t>Технониколь №01</t>
  </si>
  <si>
    <t>Укладка пароизоляции по подготовленному основанию насухо (с проклейкой швов)</t>
  </si>
  <si>
    <t>Пленка строительная</t>
  </si>
  <si>
    <t>гидропароизоляционная</t>
  </si>
  <si>
    <t>Изоспан D</t>
  </si>
  <si>
    <t>2</t>
  </si>
  <si>
    <t>Лента клейкая (шт.)</t>
  </si>
  <si>
    <t>KL+, Изоспан</t>
  </si>
  <si>
    <t>усиленная двухсторонняя 25мм,25м</t>
  </si>
  <si>
    <t>шт</t>
  </si>
  <si>
    <t>Лента Изоспан KL+</t>
  </si>
  <si>
    <t>Укладка утеплителя толщ. 150мм.</t>
  </si>
  <si>
    <t>Тип кровли по проекту К2</t>
  </si>
  <si>
    <t>Пенополистирол</t>
  </si>
  <si>
    <t>экструзионный 150мм 35кг/м3</t>
  </si>
  <si>
    <t>м3</t>
  </si>
  <si>
    <t>Пена монтажная</t>
  </si>
  <si>
    <t>противопожарная</t>
  </si>
  <si>
    <t>баллон</t>
  </si>
  <si>
    <t>Укладка утеплителя толщ. 200мм.</t>
  </si>
  <si>
    <t>Тип кровли по проекту К1</t>
  </si>
  <si>
    <t>экструзионный 1180х580х100мм 35кг/м3</t>
  </si>
  <si>
    <t>В два слоя</t>
  </si>
  <si>
    <t>Укладка утеплителя толщ. 50мм.</t>
  </si>
  <si>
    <t>Тип кровли по проекту К3</t>
  </si>
  <si>
    <t>Плита минераловатная</t>
  </si>
  <si>
    <t>50мм 130 кг/м3</t>
  </si>
  <si>
    <t>Устройство кровель плоских из наплавляемых материалов в 2 слоя</t>
  </si>
  <si>
    <t>Унифлекс</t>
  </si>
  <si>
    <t>ЭКП 10х1м</t>
  </si>
  <si>
    <t>ЭПП 10х1м</t>
  </si>
  <si>
    <t>3</t>
  </si>
  <si>
    <t>Газ-пропан</t>
  </si>
  <si>
    <t>Устройство стяжек сборных из плоских асбестоцементных листов плоских (2слоя)</t>
  </si>
  <si>
    <t>Лист асбестоцементный</t>
  </si>
  <si>
    <t>ЛП-П 10мм</t>
  </si>
  <si>
    <t>в 2 слоя</t>
  </si>
  <si>
    <t>Кляймер</t>
  </si>
  <si>
    <t>10мм двойной гнутый для плоского шифера</t>
  </si>
  <si>
    <t>Саморезы (шт)</t>
  </si>
  <si>
    <t>по дереву 3,5х45</t>
  </si>
  <si>
    <t>Устройство уклонообразующего слоя из керамзита с разуклонкой</t>
  </si>
  <si>
    <t>толщ.50-160мм. Тип кровли по проекту К2</t>
  </si>
  <si>
    <t>Керамзит</t>
  </si>
  <si>
    <t>фр.10-20мм</t>
  </si>
  <si>
    <t>Утепление парапетов</t>
  </si>
  <si>
    <t>0,83 м - высота утепления парапета, 1,2м+0,1м+0,25м - высота утепления присоединение секций</t>
  </si>
  <si>
    <t>Дюбель</t>
  </si>
  <si>
    <t>для теплоизоляции с термоголовкой 10х160</t>
  </si>
  <si>
    <t>100мм 130 кг/м3</t>
  </si>
  <si>
    <t>04.01.02</t>
  </si>
  <si>
    <t>Устройство примыканий наплавляемой кровли</t>
  </si>
  <si>
    <t>04.01.02.00</t>
  </si>
  <si>
    <t>Монтаж краевой рейки в примыканию к парапету с герметизацией по верху</t>
  </si>
  <si>
    <t>пог. м</t>
  </si>
  <si>
    <t>Рейка краевая</t>
  </si>
  <si>
    <t>алюминиевая 3000х32х3,0</t>
  </si>
  <si>
    <t>Герметик (туб.)</t>
  </si>
  <si>
    <t>полиуретановый</t>
  </si>
  <si>
    <t>туб.</t>
  </si>
  <si>
    <t>Дюбель-гвоздь</t>
  </si>
  <si>
    <t>6х40</t>
  </si>
  <si>
    <t>Монтаж утеплителя (минплита) толщ.100мм</t>
  </si>
  <si>
    <t>Утеплитель до пола (вентшахты) по узлам АТР</t>
  </si>
  <si>
    <t>Монтаж утеплителя (минплита) толщ.150мм</t>
  </si>
  <si>
    <t>для теплоизоляции с термоголовкой 10х220</t>
  </si>
  <si>
    <t>150мм 130 кг/м3</t>
  </si>
  <si>
    <t>в местах примыкания</t>
  </si>
  <si>
    <t>Обшивка асбестоцементными листами</t>
  </si>
  <si>
    <t>вентшахты, парапет</t>
  </si>
  <si>
    <t>рамный металлический 10х202</t>
  </si>
  <si>
    <t>рамный металлический 10х152</t>
  </si>
  <si>
    <t>4</t>
  </si>
  <si>
    <t>Доска (м3)</t>
  </si>
  <si>
    <t>обрезная антисептированная 50х100х6000</t>
  </si>
  <si>
    <t>5</t>
  </si>
  <si>
    <t>обрезная антисептированная 50х150х6000</t>
  </si>
  <si>
    <t>6</t>
  </si>
  <si>
    <t>Усиление примыканий, углов и стыков АЦЛ</t>
  </si>
  <si>
    <t>200мм-углы, 150мм-стыки</t>
  </si>
  <si>
    <t>Устройство галтели в примыканиях из асбестоцементных листов</t>
  </si>
  <si>
    <t>шаг 300мм примыкание только к АЦЛ</t>
  </si>
  <si>
    <t>шаг 300мм, примыкание только к парапету</t>
  </si>
  <si>
    <t>Устройство примыканий водоизоляционного слоя и оклеечная гидроизоляция (2 слоя)</t>
  </si>
  <si>
    <t>Устройство примыканий пароизоляционного слоя к вертикальным конструкциям</t>
  </si>
  <si>
    <t>на высоту 250мм + узел 4,5, 4.8 АСУ</t>
  </si>
  <si>
    <t>Изоспан KL+</t>
  </si>
  <si>
    <t>04.01.05</t>
  </si>
  <si>
    <t>Монтаж водоприемных воронок, монтаж аэраторов</t>
  </si>
  <si>
    <t>04.01.05.00</t>
  </si>
  <si>
    <t>Монтаж водоприемных воронок, Монтаж аэраторов</t>
  </si>
  <si>
    <t>Монтаж аэраторов</t>
  </si>
  <si>
    <t>Аэратор</t>
  </si>
  <si>
    <t>160х460мм</t>
  </si>
  <si>
    <t>Технониколь или анолог по согласованию</t>
  </si>
  <si>
    <t>Монтаж водоприемных воронок</t>
  </si>
  <si>
    <t>Воронка кровельная</t>
  </si>
  <si>
    <t>DN-110</t>
  </si>
  <si>
    <t>Воронки водоприемные с дождеприемной решёткой 150х150 мм, с надставными элементами, листоуловителем, с зажимным элементом из нерж. стали, без ГИ полотна, с вертикальным выпуском, с электроподогревом от сети 220В, 10-30Вт, на трубу Ø110 (HL62.1H) либо аналог по согласованию</t>
  </si>
  <si>
    <t>04.01.06</t>
  </si>
  <si>
    <t>Монтаж фартука металлического</t>
  </si>
  <si>
    <t>04.01.06.00</t>
  </si>
  <si>
    <t>распорный полипропилен 6х120</t>
  </si>
  <si>
    <t>Фартук кровельный</t>
  </si>
  <si>
    <t>пристенный накладной сталь оцинк. 20х100х400х100 0,7мм RAL7024</t>
  </si>
  <si>
    <t>Присоединение секций - 1 часть. Размеры уточнить по месту.</t>
  </si>
  <si>
    <t>пристенный накладной сталь оцинк. 20х100х160х100 0,7мм RAL7024</t>
  </si>
  <si>
    <t>Присоединение секций - 2 часть. Размеры уточнить по месту.</t>
  </si>
  <si>
    <t>пристенный накладной сталь оцинк. 80х190х60х20 0,7мм RAL7024</t>
  </si>
  <si>
    <t>Узел А, АСУ, лист 7. Размеры уточнить по месту.</t>
  </si>
  <si>
    <t>пристенный накладной сталь оцинк. 80х140х60х20 RAL7024</t>
  </si>
  <si>
    <t>Отлив</t>
  </si>
  <si>
    <t>оцинк.сталь t=0,7мм RAL7024</t>
  </si>
  <si>
    <t>Ширина развертки - 100х80х20. Отлив в месте выхода на кровлю. Размеры уточнить по месту.</t>
  </si>
  <si>
    <t>7</t>
  </si>
  <si>
    <t>Soudaseal 240 FC, Soudal</t>
  </si>
  <si>
    <t>гибридный полимерный</t>
  </si>
  <si>
    <t>Soudaseal 240 FC (герметизация стыков)</t>
  </si>
  <si>
    <t>8</t>
  </si>
  <si>
    <t>кровельные 4,8х120</t>
  </si>
  <si>
    <t>04.01.07</t>
  </si>
  <si>
    <t>Монтаж парапетных крышек</t>
  </si>
  <si>
    <t>04.01.07.00</t>
  </si>
  <si>
    <t>Костыль кровельный</t>
  </si>
  <si>
    <t>Для монолитного парапета, шаг 500 мм из полосы 40х4 мм, ширина развертки 230х30х190х70х40 мм. Размеры уточнить по месту.</t>
  </si>
  <si>
    <t>Крепление с шагом в 200мм</t>
  </si>
  <si>
    <t>Крышка парапетная</t>
  </si>
  <si>
    <t>оцинк.сталь 600мм 0,7мм RAL7024</t>
  </si>
  <si>
    <t>Ширина развертки - 20х50х90х600х120х50х20 мм.
10см перехлест, 2м длина профиля. Размеры уточнить по месту. Основная кровля.</t>
  </si>
  <si>
    <t>оцинк.сталь 860мм 0,7мм RAL7024</t>
  </si>
  <si>
    <t>Ширина развертки - 20х70х380х100х380х70х20 мм.
10см перехлест, 2м длина профиля. Размеры уточнить по месту. Присоединение секций 4,5.</t>
  </si>
  <si>
    <t>ИТОГО по сметному расчету: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</si>
  <si>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</si>
  <si>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</si>
  <si>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</si>
  <si>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</si>
  <si>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</si>
  <si>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</si>
  <si>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</si>
  <si>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</si>
  <si>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</si>
  <si>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</si>
  <si>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</si>
  <si>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ГП-75.01.04.01 Секция 1_Устройство кровли №1</t>
  </si>
  <si>
    <t>6c160b22-9196-11f1-9619-cc5d3c3b48f3</t>
  </si>
  <si>
    <t>ГП-75.02.04.01 Секция 2_Устройство кровли №1</t>
  </si>
  <si>
    <t>723760df-9196-11f1-9619-cc5d3c3b48f3</t>
  </si>
  <si>
    <t>ГП-75.03.04.01 Секция 3_Устройство кровли №1</t>
  </si>
  <si>
    <t>7e72f7ec-9196-11f1-9619-cc5d3c3b48f3</t>
  </si>
  <si>
    <t>ГП-75.04.04.01 Секция 4_Устройство кровли №1</t>
  </si>
  <si>
    <t>8dede0cf-9196-11f1-9619-cc5d3c3b48f3</t>
  </si>
  <si>
    <t>ГП-75.05.04.01 Секция 5_Устройство кровли №1</t>
  </si>
  <si>
    <t>9b31b780-9196-11f1-9619-cc5d3c3b48f3</t>
  </si>
  <si>
    <t>ГП-75.06.04.01 Секция 6_Устройство кровли №1</t>
  </si>
  <si>
    <t>a129bc1b-9196-11f1-9619-cc5d3c3b48f3</t>
  </si>
  <si>
    <t>ГП-75.07.04.01 Секция 7_Устройство кровли №1</t>
  </si>
  <si>
    <t>ad2bb899-9196-11f1-9619-cc5d3c3b48f3</t>
  </si>
  <si>
    <t>ГП-75.08.04.01 Секция 8_Устройство кровли №1</t>
  </si>
  <si>
    <t>baf0766c-9196-11f1-9619-cc5d3c3b48f3</t>
  </si>
  <si>
    <t>Итог</t>
  </si>
  <si>
    <t>Локальный сметный расчет (ЛСР) №1</t>
  </si>
  <si>
    <t xml:space="preserve"> Устройство кровли </t>
  </si>
  <si>
    <t>в т.ч стоимость работ</t>
  </si>
  <si>
    <t>в т.ч  стоимость материалов</t>
  </si>
  <si>
    <t>в т.ч НДС</t>
  </si>
  <si>
    <t>В стоимости СМР учитывать:</t>
  </si>
  <si>
    <t>-</t>
  </si>
  <si>
    <t>При устройстве примыканий учитывать примыкания к фановым трубам!</t>
  </si>
  <si>
    <t>Перед устройством кровли подготовить основание: очистка от  пыли, мусора (снега), посторонних предметов, удаление наплывов бетона</t>
  </si>
  <si>
    <t>Стоимость материалов учитывает стоимость доставки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</si>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</sst>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5" xfId="0" applyFill="1" applyBorder="1" applyAlignment="1">
      <alignment horizontal="left" wrapText="1"/>
    </xf>
    <xf numFmtId="0" fontId="0" fillId="8" borderId="5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right" vertical="center"/>
    </xf>
    <xf numFmtId="2" fontId="0" fillId="8" borderId="5" xfId="0" applyNumberFormat="1" applyFill="1" applyBorder="1" applyAlignment="1">
      <alignment horizontal="right" vertical="center"/>
    </xf>
    <xf numFmtId="164" fontId="0" fillId="8" borderId="5" xfId="0" applyNumberFormat="1" applyFill="1" applyBorder="1" applyAlignment="1">
      <alignment horizontal="right" vertical="center"/>
    </xf>
    <xf numFmtId="1" fontId="0" fillId="8" borderId="5" xfId="0" applyNumberFormat="1" applyFill="1" applyBorder="1" applyAlignment="1">
      <alignment horizontal="right" vertical="center"/>
    </xf>
    <xf numFmtId="4" fontId="0" fillId="8" borderId="5" xfId="0" applyNumberFormat="1" applyFill="1" applyBorder="1" applyAlignment="1">
      <alignment horizontal="right" vertical="center"/>
    </xf>
    <xf numFmtId="0" fontId="0" fillId="8" borderId="0" xfId="0" applyFill="1"/>
    <xf numFmtId="0" fontId="5" fillId="0" borderId="0" xfId="0" applyFont="1" applyAlignment="1">
      <alignment horizontal="center" wrapText="1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7" xfId="0" applyFill="1" applyBorder="1" applyAlignment="1">
      <alignment horizontal="right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4" fontId="6" fillId="0" borderId="0" xfId="0" applyNumberFormat="1" applyFont="1"/>
    <xf numFmtId="0" fontId="6" fillId="0" borderId="0" xfId="0" applyFont="1" applyAlignment="1">
      <alignment horizont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</cellXfs>
  <cellStyles count="2">
    <cellStyle name="Обычный" xfId="0" builtinId="0"/>
    <cellStyle name="Обычный 3 2 2" xfId="1" xr:uid="{57F4B845-B25E-4E93-A53F-8F146FB27189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66D1D6-AB38-47E4-AE07-0EF9E50AD6F2}" name="Р" displayName="Р" ref="A3:F26" totalsRowCount="1" headerRowDxfId="37" headerRowBorderDxfId="36" tableBorderDxfId="35" totalsRowBorderDxfId="34">
  <autoFilter ref="A3:F25" xr:uid="{3366D1D6-AB38-47E4-AE07-0EF9E50AD6F2}"/>
  <tableColumns count="6">
    <tableColumn id="1" xr3:uid="{7FEF8DB4-F721-46C8-A777-AD598860E7AD}" name="Наименование" totalsRowLabel="Итог" dataDxfId="33" totalsRowDxfId="32"/>
    <tableColumn id="2" xr3:uid="{393C989E-2BFA-484C-9568-31B86C2CE8D1}" name="Ед. изм." dataDxfId="31" totalsRowDxfId="30"/>
    <tableColumn id="3" xr3:uid="{B18C9544-24AA-4A71-A5DD-2C8ABEA40FC1}" name="Количество" dataDxfId="29" totalsRowDxfId="28"/>
    <tableColumn id="4" xr3:uid="{09B27680-9885-48B4-ACA1-4D8A1F686D54}" name="Цена за ед., руб" dataDxfId="27" totalsRowDxfId="26"/>
    <tableColumn id="5" xr3:uid="{44C9F717-4348-44D8-BDA4-DB7356F7D5F7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2D0E0EA2-F0B5-4D32-9742-A6E003C53B11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5B8FA0E-1BFE-4522-BB9F-542BFDD478CD}" name="М" displayName="М" ref="A3:I47" totalsRowCount="1" headerRowDxfId="21" headerRowBorderDxfId="20" tableBorderDxfId="19" totalsRowBorderDxfId="18">
  <autoFilter ref="A3:I46" xr:uid="{75B8FA0E-1BFE-4522-BB9F-542BFDD478CD}"/>
  <tableColumns count="9">
    <tableColumn id="1" xr3:uid="{F226421D-94E0-4B64-A023-B4C4D2A16137}" name="Наим." totalsRowLabel="Итог" dataDxfId="17" totalsRowDxfId="16"/>
    <tableColumn id="2" xr3:uid="{3BA10CA0-06A2-4E19-84C8-DC1B8700F2FE}" name="Артикул, марка, произв." dataDxfId="15" totalsRowDxfId="14"/>
    <tableColumn id="3" xr3:uid="{197B510B-0ED0-437C-AC6E-AE9F24E50DA9}" name="Хар-ка" dataDxfId="13" totalsRowDxfId="12"/>
    <tableColumn id="4" xr3:uid="{F1D240C8-C184-4039-8C5E-EE76338CB9BD}" name="Ед. изм." dataDxfId="11" totalsRowDxfId="10"/>
    <tableColumn id="5" xr3:uid="{A1A5179E-1834-4511-A9D2-3C1EF5637F7A}" name="Количество" dataDxfId="9" totalsRowDxfId="8"/>
    <tableColumn id="6" xr3:uid="{FA6EA6C1-1EAF-4718-A7A5-DAE6A3D58DB7}" name="Цена за ед., руб" dataDxfId="7" totalsRowDxfId="6"/>
    <tableColumn id="7" xr3:uid="{89588458-2B3E-48EA-8B78-A4328AFC0B77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5C21F4AD-57E6-4AF9-A322-797842CAD72A}" name="Прим." dataDxfId="3" totalsRowDxfId="2"/>
    <tableColumn id="9" xr3:uid="{035D5C76-BB54-46E6-8C7B-E885965C69C4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G159"/>
  <sheetViews>
    <sheetView tabSelected="1" view="pageBreakPreview" zoomScaleNormal="100" zoomScaleSheetLayoutView="100" workbookViewId="0">
      <pane ySplit="7" topLeftCell="A8" activePane="bottomLeft" state="frozen"/>
      <selection pane="bottomLeft" activeCell="M165" sqref="M165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4" width="10.5" style="1" customWidth="1"/>
    <col min="15" max="15" width="14.6640625" style="1" customWidth="1"/>
    <col min="16" max="16" width="16" style="1" customWidth="1"/>
    <col min="17" max="17" width="17" style="1" customWidth="1"/>
    <col min="18" max="18" width="35" style="1" customWidth="1"/>
    <col min="19" max="19" width="23.33203125" style="1" customWidth="1"/>
  </cols>
  <sheetData>
    <row r="1" spans="1:19" ht="11.1" customHeight="1" x14ac:dyDescent="0.2"/>
    <row r="2" spans="1:19" ht="11.1" customHeight="1" x14ac:dyDescent="0.2">
      <c r="B2" s="83" t="s">
        <v>198</v>
      </c>
      <c r="C2" s="83"/>
      <c r="D2" s="83"/>
      <c r="E2" s="83"/>
      <c r="F2" s="83"/>
      <c r="G2" s="83"/>
      <c r="H2" s="83"/>
      <c r="I2" s="83"/>
      <c r="J2" s="83"/>
    </row>
    <row r="3" spans="1:19" ht="23.1" customHeight="1" x14ac:dyDescent="0.2">
      <c r="B3" s="84" t="s">
        <v>0</v>
      </c>
      <c r="C3" s="84"/>
      <c r="D3" s="84"/>
      <c r="E3" s="84"/>
      <c r="F3" s="84"/>
      <c r="G3" s="84"/>
      <c r="H3" s="84"/>
      <c r="I3" s="84"/>
      <c r="J3" s="84"/>
    </row>
    <row r="4" spans="1:19" ht="11.1" customHeight="1" x14ac:dyDescent="0.2">
      <c r="B4" s="100" t="s">
        <v>199</v>
      </c>
      <c r="C4" s="84"/>
      <c r="D4" s="84"/>
      <c r="E4" s="84"/>
      <c r="F4" s="84"/>
      <c r="G4" s="84"/>
      <c r="H4" s="84"/>
      <c r="I4" s="84"/>
      <c r="J4" s="84"/>
    </row>
    <row r="5" spans="1:19" ht="11.1" customHeight="1" x14ac:dyDescent="0.2"/>
    <row r="6" spans="1:19" ht="11.1" customHeight="1" x14ac:dyDescent="0.2">
      <c r="A6" s="77" t="s">
        <v>1</v>
      </c>
      <c r="B6" s="77" t="s">
        <v>2</v>
      </c>
      <c r="C6" s="85" t="s">
        <v>3</v>
      </c>
      <c r="D6" s="87" t="s">
        <v>4</v>
      </c>
      <c r="E6" s="77" t="s">
        <v>5</v>
      </c>
      <c r="F6" s="75" t="s">
        <v>6</v>
      </c>
      <c r="G6" s="81" t="s">
        <v>7</v>
      </c>
      <c r="H6" s="81" t="s">
        <v>8</v>
      </c>
      <c r="I6" s="81" t="s">
        <v>9</v>
      </c>
      <c r="J6" s="81" t="s">
        <v>10</v>
      </c>
      <c r="K6" s="81" t="s">
        <v>11</v>
      </c>
      <c r="L6" s="81" t="s">
        <v>12</v>
      </c>
      <c r="M6" s="81" t="s">
        <v>13</v>
      </c>
      <c r="N6" s="81" t="s">
        <v>14</v>
      </c>
      <c r="O6" s="77" t="s">
        <v>15</v>
      </c>
      <c r="P6" s="75" t="s">
        <v>16</v>
      </c>
      <c r="Q6" s="75" t="s">
        <v>17</v>
      </c>
      <c r="R6" s="77" t="s">
        <v>18</v>
      </c>
      <c r="S6" s="75" t="s">
        <v>19</v>
      </c>
    </row>
    <row r="7" spans="1:19" ht="11.1" customHeight="1" x14ac:dyDescent="0.2">
      <c r="A7" s="78"/>
      <c r="B7" s="78"/>
      <c r="C7" s="86"/>
      <c r="D7" s="88"/>
      <c r="E7" s="78"/>
      <c r="F7" s="76"/>
      <c r="G7" s="82"/>
      <c r="H7" s="82"/>
      <c r="I7" s="82"/>
      <c r="J7" s="82"/>
      <c r="K7" s="82"/>
      <c r="L7" s="82"/>
      <c r="M7" s="82"/>
      <c r="N7" s="82"/>
      <c r="O7" s="78"/>
      <c r="P7" s="76"/>
      <c r="Q7" s="76"/>
      <c r="R7" s="78"/>
      <c r="S7" s="76"/>
    </row>
    <row r="8" spans="1:19" ht="11.1" customHeight="1" x14ac:dyDescent="0.2">
      <c r="A8" s="3" t="s">
        <v>20</v>
      </c>
      <c r="B8" s="4" t="s">
        <v>21</v>
      </c>
      <c r="C8" s="5"/>
      <c r="D8" s="5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63"/>
      <c r="Q8" s="63"/>
      <c r="R8" s="5"/>
      <c r="S8" s="5"/>
    </row>
    <row r="9" spans="1:19" ht="11.1" customHeight="1" outlineLevel="1" x14ac:dyDescent="0.2">
      <c r="A9" s="8" t="s">
        <v>22</v>
      </c>
      <c r="B9" s="9" t="s">
        <v>23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12"/>
      <c r="N9" s="12"/>
      <c r="O9" s="12"/>
      <c r="P9" s="64"/>
      <c r="Q9" s="64">
        <f>SUM($Q$137,$Q$124,$Q$110,$Q$57,$Q$10)</f>
        <v>0</v>
      </c>
      <c r="R9" s="10"/>
      <c r="S9" s="10"/>
    </row>
    <row r="10" spans="1:19" ht="23.1" customHeight="1" outlineLevel="2" x14ac:dyDescent="0.2">
      <c r="A10" s="13" t="s">
        <v>24</v>
      </c>
      <c r="B10" s="14" t="s">
        <v>25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18"/>
      <c r="N10" s="18"/>
      <c r="O10" s="18"/>
      <c r="P10" s="65"/>
      <c r="Q10" s="65">
        <f>SUM($Q$11)</f>
        <v>0</v>
      </c>
      <c r="R10" s="19"/>
      <c r="S10" s="19"/>
    </row>
    <row r="11" spans="1:19" ht="23.1" customHeight="1" outlineLevel="3" x14ac:dyDescent="0.2">
      <c r="A11" s="13" t="s">
        <v>26</v>
      </c>
      <c r="B11" s="14" t="s">
        <v>27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65"/>
      <c r="Q11" s="65">
        <f>SUM($Q$54,$Q$52,$Q$50,$Q$48,$Q$44,$Q$42,$Q$38,$Q$36,$Q$33,$Q$31,$Q$28,$Q$26,$Q$23,$Q$21,$Q$18,$Q$16,$Q$14,$Q$12)</f>
        <v>0</v>
      </c>
      <c r="R11" s="19"/>
      <c r="S11" s="19"/>
    </row>
    <row r="12" spans="1:19" ht="11.1" customHeight="1" outlineLevel="4" x14ac:dyDescent="0.2">
      <c r="A12" s="20"/>
      <c r="B12" s="14" t="s">
        <v>28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66"/>
      <c r="Q12" s="67">
        <f>SUM($Q$13)</f>
        <v>0</v>
      </c>
      <c r="R12" s="18"/>
      <c r="S12" s="22"/>
    </row>
    <row r="13" spans="1:19" ht="23.1" customHeight="1" outlineLevel="4" x14ac:dyDescent="0.2">
      <c r="A13" s="23"/>
      <c r="B13" s="24" t="s">
        <v>29</v>
      </c>
      <c r="C13" s="25"/>
      <c r="D13" s="25"/>
      <c r="E13" s="26" t="s">
        <v>30</v>
      </c>
      <c r="F13" s="27"/>
      <c r="G13" s="28">
        <v>434.34</v>
      </c>
      <c r="H13" s="28">
        <v>443.81</v>
      </c>
      <c r="I13" s="28">
        <v>431.91</v>
      </c>
      <c r="J13" s="28">
        <v>310.01</v>
      </c>
      <c r="K13" s="29">
        <v>320.7</v>
      </c>
      <c r="L13" s="29">
        <v>432.1</v>
      </c>
      <c r="M13" s="28">
        <v>443.48</v>
      </c>
      <c r="N13" s="28">
        <v>440.94</v>
      </c>
      <c r="O13" s="30">
        <f>SUM($G$13:$N$13)</f>
        <v>3257.29</v>
      </c>
      <c r="P13" s="30">
        <f t="array" ref="P13">INDEX(Р[Цена за ед., руб],MATCH(1,IF(($B13=Р[Наименование])*($R13=Р[Примечание]),{1},($B13=Р[Наименование])*($R13=Р[Примечание])),0))</f>
        <v>0</v>
      </c>
      <c r="Q13" s="30">
        <f>ROUND($O$13*$P$13,2)</f>
        <v>0</v>
      </c>
      <c r="R13" s="25" t="s">
        <v>31</v>
      </c>
      <c r="S13" s="25"/>
    </row>
    <row r="14" spans="1:19" ht="11.1" customHeight="1" outlineLevel="4" x14ac:dyDescent="0.2">
      <c r="A14" s="20"/>
      <c r="B14" s="14" t="s">
        <v>32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66"/>
      <c r="Q14" s="67">
        <f>SUM($Q$15)</f>
        <v>0</v>
      </c>
      <c r="R14" s="18"/>
      <c r="S14" s="22"/>
    </row>
    <row r="15" spans="1:19" ht="23.1" customHeight="1" outlineLevel="4" x14ac:dyDescent="0.2">
      <c r="A15" s="23" t="s">
        <v>33</v>
      </c>
      <c r="B15" s="24" t="s">
        <v>34</v>
      </c>
      <c r="C15" s="25" t="s">
        <v>35</v>
      </c>
      <c r="D15" s="25" t="s">
        <v>36</v>
      </c>
      <c r="E15" s="26" t="s">
        <v>37</v>
      </c>
      <c r="F15" s="31">
        <v>0.3</v>
      </c>
      <c r="G15" s="29">
        <v>130.30000000000001</v>
      </c>
      <c r="H15" s="28">
        <v>133.13999999999999</v>
      </c>
      <c r="I15" s="28">
        <v>129.57</v>
      </c>
      <c r="J15" s="32">
        <v>93</v>
      </c>
      <c r="K15" s="28">
        <v>96.21</v>
      </c>
      <c r="L15" s="28">
        <v>129.63</v>
      </c>
      <c r="M15" s="28">
        <v>133.04</v>
      </c>
      <c r="N15" s="28">
        <v>132.28</v>
      </c>
      <c r="O15" s="28">
        <f>SUM($G$15:$N$15)</f>
        <v>977.17</v>
      </c>
      <c r="P15" s="30">
        <f t="array" ref="P15">INDEX(М[Цена за ед., руб],MATCH(1,IF(($B15=М[Наим.])*($C15=М[Артикул, марка, произв.])*($D15=М[Хар-ка])*($R15=М[Прим.]),{1},($B15=М[Наим.])*($C15=М[Артикул, марка, произв.])*($D15=М[Хар-ка])*($R15=М[Прим.])),0))</f>
        <v>0</v>
      </c>
      <c r="Q15" s="30">
        <f>ROUND($O$15*$P$15,2)</f>
        <v>0</v>
      </c>
      <c r="R15" s="25" t="s">
        <v>38</v>
      </c>
      <c r="S15" s="25" t="str">
        <f t="array" ref="S15">INDEX(М[Форма закупа],MATCH(1,IF(($B15=М[Наим.])*($C15=М[Артикул, марка, произв.])*($D15=М[Хар-ка])*($R15=М[Прим.]),{1},($B15=М[Наим.])*($C15=М[Артикул, марка, произв.])*($D15=М[Хар-ка])*($R15=М[Прим.])),0))</f>
        <v>Закупка подрядчик</v>
      </c>
    </row>
    <row r="16" spans="1:19" ht="11.1" customHeight="1" outlineLevel="4" x14ac:dyDescent="0.2">
      <c r="A16" s="20"/>
      <c r="B16" s="14" t="s">
        <v>28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66"/>
      <c r="Q16" s="67">
        <f>SUM($Q$17)</f>
        <v>0</v>
      </c>
      <c r="R16" s="18"/>
      <c r="S16" s="22"/>
    </row>
    <row r="17" spans="1:19" ht="35.1" customHeight="1" outlineLevel="4" x14ac:dyDescent="0.2">
      <c r="A17" s="23"/>
      <c r="B17" s="24" t="s">
        <v>39</v>
      </c>
      <c r="C17" s="25"/>
      <c r="D17" s="25"/>
      <c r="E17" s="26" t="s">
        <v>30</v>
      </c>
      <c r="F17" s="27"/>
      <c r="G17" s="28">
        <v>434.34</v>
      </c>
      <c r="H17" s="28">
        <v>443.81</v>
      </c>
      <c r="I17" s="28">
        <v>431.91</v>
      </c>
      <c r="J17" s="28">
        <v>310.01</v>
      </c>
      <c r="K17" s="29">
        <v>320.7</v>
      </c>
      <c r="L17" s="29">
        <v>432.1</v>
      </c>
      <c r="M17" s="28">
        <v>443.48</v>
      </c>
      <c r="N17" s="28">
        <v>440.94</v>
      </c>
      <c r="O17" s="30">
        <f>SUM($G$17:$N$17)</f>
        <v>3257.29</v>
      </c>
      <c r="P17" s="30">
        <f t="array" ref="P17">INDEX(Р[Цена за ед., руб],MATCH(1,IF(($B17=Р[Наименование])*($R17=Р[Примечание]),{1},($B17=Р[Наименование])*($R17=Р[Примечание])),0))</f>
        <v>0</v>
      </c>
      <c r="Q17" s="30">
        <f>ROUND($O$17*$P$17,2)</f>
        <v>0</v>
      </c>
      <c r="R17" s="25" t="s">
        <v>31</v>
      </c>
      <c r="S17" s="25"/>
    </row>
    <row r="18" spans="1:19" ht="11.1" customHeight="1" outlineLevel="4" x14ac:dyDescent="0.2">
      <c r="A18" s="20"/>
      <c r="B18" s="14" t="s">
        <v>32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66"/>
      <c r="Q18" s="67">
        <f>SUM($Q$19:$Q$20)</f>
        <v>0</v>
      </c>
      <c r="R18" s="18"/>
      <c r="S18" s="22"/>
    </row>
    <row r="19" spans="1:19" ht="23.1" customHeight="1" outlineLevel="4" x14ac:dyDescent="0.2">
      <c r="A19" s="23" t="s">
        <v>33</v>
      </c>
      <c r="B19" s="24" t="s">
        <v>40</v>
      </c>
      <c r="C19" s="25"/>
      <c r="D19" s="25" t="s">
        <v>41</v>
      </c>
      <c r="E19" s="26" t="s">
        <v>30</v>
      </c>
      <c r="F19" s="31">
        <v>1.1000000000000001</v>
      </c>
      <c r="G19" s="32">
        <v>480</v>
      </c>
      <c r="H19" s="32">
        <v>495</v>
      </c>
      <c r="I19" s="32">
        <v>485</v>
      </c>
      <c r="J19" s="32">
        <v>345</v>
      </c>
      <c r="K19" s="32">
        <v>355</v>
      </c>
      <c r="L19" s="32">
        <v>485</v>
      </c>
      <c r="M19" s="32">
        <v>495</v>
      </c>
      <c r="N19" s="32">
        <v>490</v>
      </c>
      <c r="O19" s="33">
        <f>SUM($G$19:$N$19)</f>
        <v>3630</v>
      </c>
      <c r="P19" s="30">
        <f t="array" ref="P19">INDEX(М[Цена за ед., руб],MATCH(1,IF(($B19=М[Наим.])*($C19=М[Артикул, марка, произв.])*($D19=М[Хар-ка])*($R19=М[Прим.]),{1},($B19=М[Наим.])*($C19=М[Артикул, марка, произв.])*($D19=М[Хар-ка])*($R19=М[Прим.])),0))</f>
        <v>0</v>
      </c>
      <c r="Q19" s="30">
        <f>ROUND($O$19*$P$19,2)</f>
        <v>0</v>
      </c>
      <c r="R19" s="25" t="s">
        <v>42</v>
      </c>
      <c r="S19" s="25" t="str">
        <f t="array" ref="S19">INDEX(М[Форма закупа],MATCH(1,IF(($B19=М[Наим.])*($C19=М[Артикул, марка, произв.])*($D19=М[Хар-ка])*($R19=М[Прим.]),{1},($B19=М[Наим.])*($C19=М[Артикул, марка, произв.])*($D19=М[Хар-ка])*($R19=М[Прим.])),0))</f>
        <v>Закупка подрядчик</v>
      </c>
    </row>
    <row r="20" spans="1:19" ht="35.1" customHeight="1" outlineLevel="4" x14ac:dyDescent="0.2">
      <c r="A20" s="23" t="s">
        <v>43</v>
      </c>
      <c r="B20" s="24" t="s">
        <v>44</v>
      </c>
      <c r="C20" s="25" t="s">
        <v>45</v>
      </c>
      <c r="D20" s="25" t="s">
        <v>46</v>
      </c>
      <c r="E20" s="26" t="s">
        <v>47</v>
      </c>
      <c r="F20" s="27"/>
      <c r="G20" s="32">
        <v>14</v>
      </c>
      <c r="H20" s="32">
        <v>14</v>
      </c>
      <c r="I20" s="32">
        <v>14</v>
      </c>
      <c r="J20" s="32">
        <v>10</v>
      </c>
      <c r="K20" s="32">
        <v>11</v>
      </c>
      <c r="L20" s="32">
        <v>14</v>
      </c>
      <c r="M20" s="32">
        <v>14</v>
      </c>
      <c r="N20" s="32">
        <v>14</v>
      </c>
      <c r="O20" s="32">
        <f>SUM($G$20:$N$20)</f>
        <v>105</v>
      </c>
      <c r="P20" s="30">
        <f t="array" ref="P20">INDEX(М[Цена за ед., руб],MATCH(1,IF(($B20=М[Наим.])*($C20=М[Артикул, марка, произв.])*($D20=М[Хар-ка])*($R20=М[Прим.]),{1},($B20=М[Наим.])*($C20=М[Артикул, марка, произв.])*($D20=М[Хар-ка])*($R20=М[Прим.])),0))</f>
        <v>0</v>
      </c>
      <c r="Q20" s="30">
        <f>ROUND($O$20*$P$20,2)</f>
        <v>0</v>
      </c>
      <c r="R20" s="25" t="s">
        <v>48</v>
      </c>
      <c r="S20" s="25" t="str">
        <f t="array" ref="S20">INDEX(М[Форма закупа],MATCH(1,IF(($B20=М[Наим.])*($C20=М[Артикул, марка, произв.])*($D20=М[Хар-ка])*($R20=М[Прим.]),{1},($B20=М[Наим.])*($C20=М[Артикул, марка, произв.])*($D20=М[Хар-ка])*($R20=М[Прим.])),0))</f>
        <v>Закупка подрядчик</v>
      </c>
    </row>
    <row r="21" spans="1:19" ht="11.1" customHeight="1" outlineLevel="4" x14ac:dyDescent="0.2">
      <c r="A21" s="20"/>
      <c r="B21" s="14" t="s">
        <v>28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66"/>
      <c r="Q21" s="67">
        <f>SUM($Q$22)</f>
        <v>0</v>
      </c>
      <c r="R21" s="18"/>
      <c r="S21" s="22"/>
    </row>
    <row r="22" spans="1:19" ht="11.1" customHeight="1" outlineLevel="4" x14ac:dyDescent="0.2">
      <c r="A22" s="23"/>
      <c r="B22" s="24" t="s">
        <v>49</v>
      </c>
      <c r="C22" s="25"/>
      <c r="D22" s="25"/>
      <c r="E22" s="26" t="s">
        <v>30</v>
      </c>
      <c r="F22" s="27"/>
      <c r="G22" s="28">
        <v>4.17</v>
      </c>
      <c r="H22" s="29">
        <v>4.0999999999999996</v>
      </c>
      <c r="I22" s="28">
        <v>4.13</v>
      </c>
      <c r="J22" s="28">
        <v>3.64</v>
      </c>
      <c r="K22" s="28">
        <v>3.64</v>
      </c>
      <c r="L22" s="28">
        <v>4.37</v>
      </c>
      <c r="M22" s="28">
        <v>4.01</v>
      </c>
      <c r="N22" s="28">
        <v>3.91</v>
      </c>
      <c r="O22" s="28">
        <f>SUM($G$22:$N$22)</f>
        <v>31.970000000000002</v>
      </c>
      <c r="P22" s="30">
        <f t="array" ref="P22">INDEX(Р[Цена за ед., руб],MATCH(1,IF(($B22=Р[Наименование])*($R22=Р[Примечание]),{1},($B22=Р[Наименование])*($R22=Р[Примечание])),0))</f>
        <v>0</v>
      </c>
      <c r="Q22" s="30">
        <f>ROUND($O$22*$P$22,2)</f>
        <v>0</v>
      </c>
      <c r="R22" s="25" t="s">
        <v>50</v>
      </c>
      <c r="S22" s="25"/>
    </row>
    <row r="23" spans="1:19" ht="11.1" customHeight="1" outlineLevel="4" x14ac:dyDescent="0.2">
      <c r="A23" s="20"/>
      <c r="B23" s="14" t="s">
        <v>32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66"/>
      <c r="Q23" s="67">
        <f>SUM($Q$24:$Q$25)</f>
        <v>0</v>
      </c>
      <c r="R23" s="18"/>
      <c r="S23" s="22"/>
    </row>
    <row r="24" spans="1:19" ht="23.1" customHeight="1" outlineLevel="4" x14ac:dyDescent="0.2">
      <c r="A24" s="23" t="s">
        <v>33</v>
      </c>
      <c r="B24" s="24" t="s">
        <v>51</v>
      </c>
      <c r="C24" s="25"/>
      <c r="D24" s="25" t="s">
        <v>52</v>
      </c>
      <c r="E24" s="26" t="s">
        <v>53</v>
      </c>
      <c r="F24" s="31">
        <v>1.03</v>
      </c>
      <c r="G24" s="28">
        <v>0.64</v>
      </c>
      <c r="H24" s="28">
        <v>0.63</v>
      </c>
      <c r="I24" s="28">
        <v>0.64</v>
      </c>
      <c r="J24" s="28">
        <v>0.56000000000000005</v>
      </c>
      <c r="K24" s="28">
        <v>0.56000000000000005</v>
      </c>
      <c r="L24" s="28">
        <v>0.68</v>
      </c>
      <c r="M24" s="28">
        <v>0.62</v>
      </c>
      <c r="N24" s="29">
        <v>0.6</v>
      </c>
      <c r="O24" s="28">
        <f>SUM($G$24:$N$24)</f>
        <v>4.93</v>
      </c>
      <c r="P24" s="30">
        <f t="array" ref="P24">INDEX(М[Цена за ед., руб],MATCH(1,IF(($B24=М[Наим.])*($C24=М[Артикул, марка, произв.])*($D24=М[Хар-ка])*($R24=М[Прим.]),{1},($B24=М[Наим.])*($C24=М[Артикул, марка, произв.])*($D24=М[Хар-ка])*($R24=М[Прим.])),0))</f>
        <v>0</v>
      </c>
      <c r="Q24" s="30">
        <f>ROUND($O$24*$P$24,2)</f>
        <v>0</v>
      </c>
      <c r="R24" s="25"/>
      <c r="S24" s="25" t="str">
        <f t="array" ref="S24">INDEX(М[Форма закупа],MATCH(1,IF(($B24=М[Наим.])*($C24=М[Артикул, марка, произв.])*($D24=М[Хар-ка])*($R24=М[Прим.]),{1},($B24=М[Наим.])*($C24=М[Артикул, марка, произв.])*($D24=М[Хар-ка])*($R24=М[Прим.])),0))</f>
        <v>Закупка подрядчик</v>
      </c>
    </row>
    <row r="25" spans="1:19" ht="11.1" customHeight="1" outlineLevel="4" x14ac:dyDescent="0.2">
      <c r="A25" s="23" t="s">
        <v>43</v>
      </c>
      <c r="B25" s="24" t="s">
        <v>54</v>
      </c>
      <c r="C25" s="25"/>
      <c r="D25" s="25" t="s">
        <v>55</v>
      </c>
      <c r="E25" s="26" t="s">
        <v>56</v>
      </c>
      <c r="F25" s="27"/>
      <c r="G25" s="32">
        <v>1</v>
      </c>
      <c r="H25" s="32">
        <v>1</v>
      </c>
      <c r="I25" s="32">
        <v>1</v>
      </c>
      <c r="J25" s="32">
        <v>1</v>
      </c>
      <c r="K25" s="32">
        <v>1</v>
      </c>
      <c r="L25" s="32">
        <v>1</v>
      </c>
      <c r="M25" s="32">
        <v>1</v>
      </c>
      <c r="N25" s="32">
        <v>1</v>
      </c>
      <c r="O25" s="32">
        <f>SUM($G$25:$N$25)</f>
        <v>8</v>
      </c>
      <c r="P25" s="30">
        <f t="array" ref="P25">INDEX(М[Цена за ед., руб],MATCH(1,IF(($B25=М[Наим.])*($C25=М[Артикул, марка, произв.])*($D25=М[Хар-ка])*($R25=М[Прим.]),{1},($B25=М[Наим.])*($C25=М[Артикул, марка, произв.])*($D25=М[Хар-ка])*($R25=М[Прим.])),0))</f>
        <v>0</v>
      </c>
      <c r="Q25" s="30">
        <f>ROUND($O$25*$P$25,2)</f>
        <v>0</v>
      </c>
      <c r="R25" s="25"/>
      <c r="S25" s="25" t="str">
        <f t="array" ref="S25">INDEX(М[Форма закупа],MATCH(1,IF(($B25=М[Наим.])*($C25=М[Артикул, марка, произв.])*($D25=М[Хар-ка])*($R25=М[Прим.]),{1},($B25=М[Наим.])*($C25=М[Артикул, марка, произв.])*($D25=М[Хар-ка])*($R25=М[Прим.])),0))</f>
        <v>Закупка подрядчик</v>
      </c>
    </row>
    <row r="26" spans="1:19" ht="11.1" customHeight="1" outlineLevel="4" x14ac:dyDescent="0.2">
      <c r="A26" s="20"/>
      <c r="B26" s="14" t="s">
        <v>28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66"/>
      <c r="Q26" s="67">
        <f>SUM($Q$27)</f>
        <v>0</v>
      </c>
      <c r="R26" s="18"/>
      <c r="S26" s="22"/>
    </row>
    <row r="27" spans="1:19" ht="11.1" customHeight="1" outlineLevel="4" x14ac:dyDescent="0.2">
      <c r="A27" s="23"/>
      <c r="B27" s="24" t="s">
        <v>57</v>
      </c>
      <c r="C27" s="25"/>
      <c r="D27" s="25"/>
      <c r="E27" s="26" t="s">
        <v>30</v>
      </c>
      <c r="F27" s="27"/>
      <c r="G27" s="28">
        <v>421.15</v>
      </c>
      <c r="H27" s="28">
        <v>424.91</v>
      </c>
      <c r="I27" s="28">
        <v>414.07</v>
      </c>
      <c r="J27" s="28">
        <v>297.52999999999997</v>
      </c>
      <c r="K27" s="28">
        <v>308.22000000000003</v>
      </c>
      <c r="L27" s="28">
        <v>413.98</v>
      </c>
      <c r="M27" s="28">
        <v>428.29</v>
      </c>
      <c r="N27" s="28">
        <v>420.12</v>
      </c>
      <c r="O27" s="30">
        <f>SUM($G$27:$N$27)</f>
        <v>3128.2699999999995</v>
      </c>
      <c r="P27" s="30">
        <f t="array" ref="P27">INDEX(Р[Цена за ед., руб],MATCH(1,IF(($B27=Р[Наименование])*($R27=Р[Примечание]),{1},($B27=Р[Наименование])*($R27=Р[Примечание])),0))</f>
        <v>0</v>
      </c>
      <c r="Q27" s="30">
        <f>ROUND($O$27*$P$27,2)</f>
        <v>0</v>
      </c>
      <c r="R27" s="25" t="s">
        <v>58</v>
      </c>
      <c r="S27" s="25"/>
    </row>
    <row r="28" spans="1:19" ht="11.1" customHeight="1" outlineLevel="4" x14ac:dyDescent="0.2">
      <c r="A28" s="20"/>
      <c r="B28" s="14" t="s">
        <v>32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66"/>
      <c r="Q28" s="67">
        <f>SUM($Q$29:$Q$30)</f>
        <v>0</v>
      </c>
      <c r="R28" s="18"/>
      <c r="S28" s="22"/>
    </row>
    <row r="29" spans="1:19" ht="35.1" customHeight="1" outlineLevel="4" x14ac:dyDescent="0.2">
      <c r="A29" s="23" t="s">
        <v>33</v>
      </c>
      <c r="B29" s="24" t="s">
        <v>51</v>
      </c>
      <c r="C29" s="25"/>
      <c r="D29" s="25" t="s">
        <v>59</v>
      </c>
      <c r="E29" s="26" t="s">
        <v>53</v>
      </c>
      <c r="F29" s="31">
        <v>1.03</v>
      </c>
      <c r="G29" s="28">
        <v>86.76</v>
      </c>
      <c r="H29" s="28">
        <v>87.53</v>
      </c>
      <c r="I29" s="29">
        <v>85.3</v>
      </c>
      <c r="J29" s="28">
        <v>61.29</v>
      </c>
      <c r="K29" s="28">
        <v>63.49</v>
      </c>
      <c r="L29" s="28">
        <v>85.28</v>
      </c>
      <c r="M29" s="28">
        <v>88.23</v>
      </c>
      <c r="N29" s="28">
        <v>86.54</v>
      </c>
      <c r="O29" s="28">
        <f>SUM($G$29:$N$29)</f>
        <v>644.42000000000007</v>
      </c>
      <c r="P29" s="30">
        <f t="array" ref="P29">INDEX(М[Цена за ед., руб],MATCH(1,IF(($B29=М[Наим.])*($C29=М[Артикул, марка, произв.])*($D29=М[Хар-ка])*($R29=М[Прим.]),{1},($B29=М[Наим.])*($C29=М[Артикул, марка, произв.])*($D29=М[Хар-ка])*($R29=М[Прим.])),0))</f>
        <v>0</v>
      </c>
      <c r="Q29" s="30">
        <f>ROUND($O$29*$P$29,2)</f>
        <v>0</v>
      </c>
      <c r="R29" s="25" t="s">
        <v>60</v>
      </c>
      <c r="S29" s="25" t="str">
        <f t="array" ref="S29">INDEX(М[Форма закупа],MATCH(1,IF(($B29=М[Наим.])*($C29=М[Артикул, марка, произв.])*($D29=М[Хар-ка])*($R29=М[Прим.]),{1},($B29=М[Наим.])*($C29=М[Артикул, марка, произв.])*($D29=М[Хар-ка])*($R29=М[Прим.])),0))</f>
        <v>Закупка подрядчик</v>
      </c>
    </row>
    <row r="30" spans="1:19" ht="11.1" customHeight="1" outlineLevel="4" x14ac:dyDescent="0.2">
      <c r="A30" s="23" t="s">
        <v>43</v>
      </c>
      <c r="B30" s="24" t="s">
        <v>54</v>
      </c>
      <c r="C30" s="25"/>
      <c r="D30" s="25" t="s">
        <v>55</v>
      </c>
      <c r="E30" s="26" t="s">
        <v>56</v>
      </c>
      <c r="F30" s="27"/>
      <c r="G30" s="32">
        <v>17</v>
      </c>
      <c r="H30" s="32">
        <v>17</v>
      </c>
      <c r="I30" s="32">
        <v>17</v>
      </c>
      <c r="J30" s="32">
        <v>12</v>
      </c>
      <c r="K30" s="32">
        <v>12</v>
      </c>
      <c r="L30" s="32">
        <v>17</v>
      </c>
      <c r="M30" s="32">
        <v>17</v>
      </c>
      <c r="N30" s="32">
        <v>17</v>
      </c>
      <c r="O30" s="32">
        <f>SUM($G$30:$N$30)</f>
        <v>126</v>
      </c>
      <c r="P30" s="30">
        <f t="array" ref="P30">INDEX(М[Цена за ед., руб],MATCH(1,IF(($B30=М[Наим.])*($C30=М[Артикул, марка, произв.])*($D30=М[Хар-ка])*($R30=М[Прим.]),{1},($B30=М[Наим.])*($C30=М[Артикул, марка, произв.])*($D30=М[Хар-ка])*($R30=М[Прим.])),0))</f>
        <v>0</v>
      </c>
      <c r="Q30" s="30">
        <f>ROUND($O$30*$P$30,2)</f>
        <v>0</v>
      </c>
      <c r="R30" s="25"/>
      <c r="S30" s="25" t="str">
        <f t="array" ref="S30">INDEX(М[Форма закупа],MATCH(1,IF(($B30=М[Наим.])*($C30=М[Артикул, марка, произв.])*($D30=М[Хар-ка])*($R30=М[Прим.]),{1},($B30=М[Наим.])*($C30=М[Артикул, марка, произв.])*($D30=М[Хар-ка])*($R30=М[Прим.])),0))</f>
        <v>Закупка подрядчик</v>
      </c>
    </row>
    <row r="31" spans="1:19" ht="11.1" customHeight="1" outlineLevel="4" x14ac:dyDescent="0.2">
      <c r="A31" s="20"/>
      <c r="B31" s="14" t="s">
        <v>28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66"/>
      <c r="Q31" s="67">
        <f>SUM($Q$32)</f>
        <v>0</v>
      </c>
      <c r="R31" s="18"/>
      <c r="S31" s="22"/>
    </row>
    <row r="32" spans="1:19" ht="11.1" customHeight="1" outlineLevel="4" x14ac:dyDescent="0.2">
      <c r="A32" s="23"/>
      <c r="B32" s="24" t="s">
        <v>61</v>
      </c>
      <c r="C32" s="25"/>
      <c r="D32" s="25"/>
      <c r="E32" s="26" t="s">
        <v>30</v>
      </c>
      <c r="F32" s="27"/>
      <c r="G32" s="28">
        <v>9.02</v>
      </c>
      <c r="H32" s="29">
        <v>14.8</v>
      </c>
      <c r="I32" s="28">
        <v>13.71</v>
      </c>
      <c r="J32" s="28">
        <v>8.84</v>
      </c>
      <c r="K32" s="28">
        <v>8.84</v>
      </c>
      <c r="L32" s="28">
        <v>13.75</v>
      </c>
      <c r="M32" s="28">
        <v>11.18</v>
      </c>
      <c r="N32" s="28">
        <v>16.91</v>
      </c>
      <c r="O32" s="28">
        <f>SUM($G$32:$N$32)</f>
        <v>97.050000000000011</v>
      </c>
      <c r="P32" s="30">
        <f t="array" ref="P32">INDEX(Р[Цена за ед., руб],MATCH(1,IF(($B32=Р[Наименование])*($R32=Р[Примечание]),{1},($B32=Р[Наименование])*($R32=Р[Примечание])),0))</f>
        <v>0</v>
      </c>
      <c r="Q32" s="30">
        <f>ROUND($O$32*$P$32,2)</f>
        <v>0</v>
      </c>
      <c r="R32" s="25" t="s">
        <v>62</v>
      </c>
      <c r="S32" s="25"/>
    </row>
    <row r="33" spans="1:19" ht="11.1" customHeight="1" outlineLevel="4" x14ac:dyDescent="0.2">
      <c r="A33" s="20"/>
      <c r="B33" s="14" t="s">
        <v>32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66"/>
      <c r="Q33" s="67">
        <f>SUM($Q$34:$Q$35)</f>
        <v>0</v>
      </c>
      <c r="R33" s="18"/>
      <c r="S33" s="22"/>
    </row>
    <row r="34" spans="1:19" ht="11.1" customHeight="1" outlineLevel="4" x14ac:dyDescent="0.2">
      <c r="A34" s="23" t="s">
        <v>33</v>
      </c>
      <c r="B34" s="24" t="s">
        <v>63</v>
      </c>
      <c r="C34" s="25"/>
      <c r="D34" s="25" t="s">
        <v>64</v>
      </c>
      <c r="E34" s="26" t="s">
        <v>53</v>
      </c>
      <c r="F34" s="31">
        <v>1.07</v>
      </c>
      <c r="G34" s="28">
        <v>0.48</v>
      </c>
      <c r="H34" s="28">
        <v>0.79</v>
      </c>
      <c r="I34" s="28">
        <v>0.73</v>
      </c>
      <c r="J34" s="28">
        <v>0.47</v>
      </c>
      <c r="K34" s="28">
        <v>0.47</v>
      </c>
      <c r="L34" s="28">
        <v>0.74</v>
      </c>
      <c r="M34" s="29">
        <v>0.6</v>
      </c>
      <c r="N34" s="28">
        <v>0.91</v>
      </c>
      <c r="O34" s="28">
        <f>SUM($G$34:$N$34)</f>
        <v>5.1899999999999995</v>
      </c>
      <c r="P34" s="30">
        <f t="array" ref="P34">INDEX(М[Цена за ед., руб],MATCH(1,IF(($B34=М[Наим.])*($C34=М[Артикул, марка, произв.])*($D34=М[Хар-ка])*($R34=М[Прим.]),{1},($B34=М[Наим.])*($C34=М[Артикул, марка, произв.])*($D34=М[Хар-ка])*($R34=М[Прим.])),0))</f>
        <v>0</v>
      </c>
      <c r="Q34" s="30">
        <f>ROUND($O$34*$P$34,2)</f>
        <v>0</v>
      </c>
      <c r="R34" s="25"/>
      <c r="S34" s="25" t="str">
        <f t="array" ref="S34">INDEX(М[Форма закупа],MATCH(1,IF(($B34=М[Наим.])*($C34=М[Артикул, марка, произв.])*($D34=М[Хар-ка])*($R34=М[Прим.]),{1},($B34=М[Наим.])*($C34=М[Артикул, марка, произв.])*($D34=М[Хар-ка])*($R34=М[Прим.])),0))</f>
        <v>Закупка подрядчик</v>
      </c>
    </row>
    <row r="35" spans="1:19" ht="11.1" customHeight="1" outlineLevel="4" x14ac:dyDescent="0.2">
      <c r="A35" s="23" t="s">
        <v>43</v>
      </c>
      <c r="B35" s="24" t="s">
        <v>54</v>
      </c>
      <c r="C35" s="25"/>
      <c r="D35" s="25" t="s">
        <v>55</v>
      </c>
      <c r="E35" s="26" t="s">
        <v>56</v>
      </c>
      <c r="F35" s="27"/>
      <c r="G35" s="32">
        <v>1</v>
      </c>
      <c r="H35" s="32">
        <v>1</v>
      </c>
      <c r="I35" s="32">
        <v>1</v>
      </c>
      <c r="J35" s="32">
        <v>1</v>
      </c>
      <c r="K35" s="32">
        <v>1</v>
      </c>
      <c r="L35" s="32">
        <v>1</v>
      </c>
      <c r="M35" s="32">
        <v>1</v>
      </c>
      <c r="N35" s="32">
        <v>1</v>
      </c>
      <c r="O35" s="32">
        <f>SUM($G$35:$N$35)</f>
        <v>8</v>
      </c>
      <c r="P35" s="30">
        <f t="array" ref="P35">INDEX(М[Цена за ед., руб],MATCH(1,IF(($B35=М[Наим.])*($C35=М[Артикул, марка, произв.])*($D35=М[Хар-ка])*($R35=М[Прим.]),{1},($B35=М[Наим.])*($C35=М[Артикул, марка, произв.])*($D35=М[Хар-ка])*($R35=М[Прим.])),0))</f>
        <v>0</v>
      </c>
      <c r="Q35" s="30">
        <f>ROUND($O$35*$P$35,2)</f>
        <v>0</v>
      </c>
      <c r="R35" s="25"/>
      <c r="S35" s="25" t="str">
        <f t="array" ref="S35">INDEX(М[Форма закупа],MATCH(1,IF(($B35=М[Наим.])*($C35=М[Артикул, марка, произв.])*($D35=М[Хар-ка])*($R35=М[Прим.]),{1},($B35=М[Наим.])*($C35=М[Артикул, марка, произв.])*($D35=М[Хар-ка])*($R35=М[Прим.])),0))</f>
        <v>Закупка подрядчик</v>
      </c>
    </row>
    <row r="36" spans="1:19" ht="11.1" customHeight="1" outlineLevel="4" x14ac:dyDescent="0.2">
      <c r="A36" s="20"/>
      <c r="B36" s="14" t="s">
        <v>28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66"/>
      <c r="Q36" s="67">
        <f>SUM($Q$37)</f>
        <v>0</v>
      </c>
      <c r="R36" s="18"/>
      <c r="S36" s="22"/>
    </row>
    <row r="37" spans="1:19" ht="23.1" customHeight="1" outlineLevel="4" x14ac:dyDescent="0.2">
      <c r="A37" s="23"/>
      <c r="B37" s="24" t="s">
        <v>65</v>
      </c>
      <c r="C37" s="25"/>
      <c r="D37" s="25"/>
      <c r="E37" s="26" t="s">
        <v>30</v>
      </c>
      <c r="F37" s="27"/>
      <c r="G37" s="28">
        <v>434.34</v>
      </c>
      <c r="H37" s="28">
        <v>443.81</v>
      </c>
      <c r="I37" s="28">
        <v>431.91</v>
      </c>
      <c r="J37" s="28">
        <v>310.01</v>
      </c>
      <c r="K37" s="29">
        <v>320.7</v>
      </c>
      <c r="L37" s="29">
        <v>432.1</v>
      </c>
      <c r="M37" s="28">
        <v>443.48</v>
      </c>
      <c r="N37" s="28">
        <v>440.94</v>
      </c>
      <c r="O37" s="30">
        <f>SUM($G$37:$N$37)</f>
        <v>3257.29</v>
      </c>
      <c r="P37" s="30">
        <f t="array" ref="P37">INDEX(Р[Цена за ед., руб],MATCH(1,IF(($B37=Р[Наименование])*($R37=Р[Примечание]),{1},($B37=Р[Наименование])*($R37=Р[Примечание])),0))</f>
        <v>0</v>
      </c>
      <c r="Q37" s="30">
        <f>ROUND($O$37*$P$37,2)</f>
        <v>0</v>
      </c>
      <c r="R37" s="25" t="s">
        <v>31</v>
      </c>
      <c r="S37" s="25"/>
    </row>
    <row r="38" spans="1:19" ht="11.1" customHeight="1" outlineLevel="4" x14ac:dyDescent="0.2">
      <c r="A38" s="20"/>
      <c r="B38" s="14" t="s">
        <v>32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66"/>
      <c r="Q38" s="67">
        <f>SUM($Q$39:$Q$41)</f>
        <v>0</v>
      </c>
      <c r="R38" s="18"/>
      <c r="S38" s="22"/>
    </row>
    <row r="39" spans="1:19" ht="11.1" customHeight="1" outlineLevel="4" x14ac:dyDescent="0.2">
      <c r="A39" s="23" t="s">
        <v>33</v>
      </c>
      <c r="B39" s="24" t="s">
        <v>66</v>
      </c>
      <c r="C39" s="25"/>
      <c r="D39" s="25" t="s">
        <v>67</v>
      </c>
      <c r="E39" s="26" t="s">
        <v>30</v>
      </c>
      <c r="F39" s="31">
        <v>1.1399999999999999</v>
      </c>
      <c r="G39" s="28">
        <v>495.14</v>
      </c>
      <c r="H39" s="28">
        <v>505.94</v>
      </c>
      <c r="I39" s="28">
        <v>492.38</v>
      </c>
      <c r="J39" s="28">
        <v>353.41</v>
      </c>
      <c r="K39" s="29">
        <v>365.6</v>
      </c>
      <c r="L39" s="28">
        <v>492.59</v>
      </c>
      <c r="M39" s="28">
        <v>505.57</v>
      </c>
      <c r="N39" s="28">
        <v>502.67</v>
      </c>
      <c r="O39" s="34">
        <f>SUM($G$39:$N$39)</f>
        <v>3713.3000000000006</v>
      </c>
      <c r="P39" s="30">
        <f t="array" ref="P39">INDEX(М[Цена за ед., руб],MATCH(1,IF(($B39=М[Наим.])*($C39=М[Артикул, марка, произв.])*($D39=М[Хар-ка])*($R39=М[Прим.]),{1},($B39=М[Наим.])*($C39=М[Артикул, марка, произв.])*($D39=М[Хар-ка])*($R39=М[Прим.])),0))</f>
        <v>0</v>
      </c>
      <c r="Q39" s="30">
        <f>ROUND($O$39*$P$39,2)</f>
        <v>0</v>
      </c>
      <c r="R39" s="25"/>
      <c r="S39" s="25" t="str">
        <f t="array" ref="S39">INDEX(М[Форма закупа],MATCH(1,IF(($B39=М[Наим.])*($C39=М[Артикул, марка, произв.])*($D39=М[Хар-ка])*($R39=М[Прим.]),{1},($B39=М[Наим.])*($C39=М[Артикул, марка, произв.])*($D39=М[Хар-ка])*($R39=М[Прим.])),0))</f>
        <v>Закупка подрядчик</v>
      </c>
    </row>
    <row r="40" spans="1:19" ht="11.1" customHeight="1" outlineLevel="4" x14ac:dyDescent="0.2">
      <c r="A40" s="23" t="s">
        <v>43</v>
      </c>
      <c r="B40" s="24" t="s">
        <v>66</v>
      </c>
      <c r="C40" s="25"/>
      <c r="D40" s="25" t="s">
        <v>68</v>
      </c>
      <c r="E40" s="26" t="s">
        <v>30</v>
      </c>
      <c r="F40" s="31">
        <v>1.1599999999999999</v>
      </c>
      <c r="G40" s="28">
        <v>503.83</v>
      </c>
      <c r="H40" s="28">
        <v>514.82000000000005</v>
      </c>
      <c r="I40" s="28">
        <v>501.02</v>
      </c>
      <c r="J40" s="28">
        <v>359.61</v>
      </c>
      <c r="K40" s="28">
        <v>372.01</v>
      </c>
      <c r="L40" s="28">
        <v>501.23</v>
      </c>
      <c r="M40" s="28">
        <v>514.44000000000005</v>
      </c>
      <c r="N40" s="28">
        <v>511.49</v>
      </c>
      <c r="O40" s="30">
        <f>SUM($G$40:$N$40)</f>
        <v>3778.45</v>
      </c>
      <c r="P40" s="30">
        <f t="array" ref="P40">INDEX(М[Цена за ед., руб],MATCH(1,IF(($B40=М[Наим.])*($C40=М[Артикул, марка, произв.])*($D40=М[Хар-ка])*($R40=М[Прим.]),{1},($B40=М[Наим.])*($C40=М[Артикул, марка, произв.])*($D40=М[Хар-ка])*($R40=М[Прим.])),0))</f>
        <v>0</v>
      </c>
      <c r="Q40" s="30">
        <f>ROUND($O$40*$P$40,2)</f>
        <v>0</v>
      </c>
      <c r="R40" s="25"/>
      <c r="S40" s="25" t="str">
        <f t="array" ref="S40">INDEX(М[Форма закупа],MATCH(1,IF(($B40=М[Наим.])*($C40=М[Артикул, марка, произв.])*($D40=М[Хар-ка])*($R40=М[Прим.]),{1},($B40=М[Наим.])*($C40=М[Артикул, марка, произв.])*($D40=М[Хар-ка])*($R40=М[Прим.])),0))</f>
        <v>Закупка подрядчик</v>
      </c>
    </row>
    <row r="41" spans="1:19" ht="11.1" customHeight="1" outlineLevel="4" x14ac:dyDescent="0.2">
      <c r="A41" s="23" t="s">
        <v>69</v>
      </c>
      <c r="B41" s="24" t="s">
        <v>70</v>
      </c>
      <c r="C41" s="25"/>
      <c r="D41" s="25"/>
      <c r="E41" s="26" t="s">
        <v>37</v>
      </c>
      <c r="F41" s="31">
        <v>0.94</v>
      </c>
      <c r="G41" s="28">
        <v>408.28</v>
      </c>
      <c r="H41" s="28">
        <v>417.18</v>
      </c>
      <c r="I41" s="32">
        <v>406</v>
      </c>
      <c r="J41" s="28">
        <v>291.41000000000003</v>
      </c>
      <c r="K41" s="28">
        <v>301.45999999999998</v>
      </c>
      <c r="L41" s="28">
        <v>406.17</v>
      </c>
      <c r="M41" s="28">
        <v>416.87</v>
      </c>
      <c r="N41" s="28">
        <v>414.48</v>
      </c>
      <c r="O41" s="30">
        <f>SUM($G$41:$N$41)</f>
        <v>3061.85</v>
      </c>
      <c r="P41" s="30">
        <f t="array" ref="P41">INDEX(М[Цена за ед., руб],MATCH(1,IF(($B41=М[Наим.])*($C41=М[Артикул, марка, произв.])*($D41=М[Хар-ка])*($R41=М[Прим.]),{1},($B41=М[Наим.])*($C41=М[Артикул, марка, произв.])*($D41=М[Хар-ка])*($R41=М[Прим.])),0))</f>
        <v>0</v>
      </c>
      <c r="Q41" s="30">
        <f>ROUND($O$41*$P$41,2)</f>
        <v>0</v>
      </c>
      <c r="R41" s="25"/>
      <c r="S41" s="25" t="str">
        <f t="array" ref="S41">INDEX(М[Форма закупа],MATCH(1,IF(($B41=М[Наим.])*($C41=М[Артикул, марка, произв.])*($D41=М[Хар-ка])*($R41=М[Прим.]),{1},($B41=М[Наим.])*($C41=М[Артикул, марка, произв.])*($D41=М[Хар-ка])*($R41=М[Прим.])),0))</f>
        <v>Закупка подрядчик</v>
      </c>
    </row>
    <row r="42" spans="1:19" ht="11.1" customHeight="1" outlineLevel="4" x14ac:dyDescent="0.2">
      <c r="A42" s="20"/>
      <c r="B42" s="14" t="s">
        <v>28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66"/>
      <c r="Q42" s="67">
        <f>SUM($Q$43)</f>
        <v>0</v>
      </c>
      <c r="R42" s="18"/>
      <c r="S42" s="22"/>
    </row>
    <row r="43" spans="1:19" ht="35.1" customHeight="1" outlineLevel="4" x14ac:dyDescent="0.2">
      <c r="A43" s="23"/>
      <c r="B43" s="24" t="s">
        <v>71</v>
      </c>
      <c r="C43" s="25"/>
      <c r="D43" s="25"/>
      <c r="E43" s="26" t="s">
        <v>30</v>
      </c>
      <c r="F43" s="27"/>
      <c r="G43" s="28">
        <v>434.34</v>
      </c>
      <c r="H43" s="28">
        <v>443.81</v>
      </c>
      <c r="I43" s="28">
        <v>431.91</v>
      </c>
      <c r="J43" s="28">
        <v>310.01</v>
      </c>
      <c r="K43" s="29">
        <v>320.7</v>
      </c>
      <c r="L43" s="29">
        <v>432.1</v>
      </c>
      <c r="M43" s="28">
        <v>443.48</v>
      </c>
      <c r="N43" s="28">
        <v>440.94</v>
      </c>
      <c r="O43" s="30">
        <f>SUM($G$43:$N$43)</f>
        <v>3257.29</v>
      </c>
      <c r="P43" s="30">
        <f t="array" ref="P43">INDEX(Р[Цена за ед., руб],MATCH(1,IF(($B43=Р[Наименование])*($R43=Р[Примечание]),{1},($B43=Р[Наименование])*($R43=Р[Примечание])),0))</f>
        <v>0</v>
      </c>
      <c r="Q43" s="30">
        <f>ROUND($O$43*$P$43,2)</f>
        <v>0</v>
      </c>
      <c r="R43" s="25" t="s">
        <v>31</v>
      </c>
      <c r="S43" s="25"/>
    </row>
    <row r="44" spans="1:19" ht="11.1" customHeight="1" outlineLevel="4" x14ac:dyDescent="0.2">
      <c r="A44" s="20"/>
      <c r="B44" s="14" t="s">
        <v>32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66"/>
      <c r="Q44" s="67">
        <f>SUM($Q$45:$Q$47)</f>
        <v>0</v>
      </c>
      <c r="R44" s="18"/>
      <c r="S44" s="22"/>
    </row>
    <row r="45" spans="1:19" ht="11.1" customHeight="1" outlineLevel="4" x14ac:dyDescent="0.2">
      <c r="A45" s="23" t="s">
        <v>33</v>
      </c>
      <c r="B45" s="24" t="s">
        <v>72</v>
      </c>
      <c r="C45" s="25"/>
      <c r="D45" s="25" t="s">
        <v>73</v>
      </c>
      <c r="E45" s="26" t="s">
        <v>30</v>
      </c>
      <c r="F45" s="31">
        <v>2.0499999999999998</v>
      </c>
      <c r="G45" s="28">
        <v>890.39</v>
      </c>
      <c r="H45" s="28">
        <v>909.81</v>
      </c>
      <c r="I45" s="28">
        <v>885.42</v>
      </c>
      <c r="J45" s="28">
        <v>635.52</v>
      </c>
      <c r="K45" s="28">
        <v>657.44</v>
      </c>
      <c r="L45" s="29">
        <v>885.8</v>
      </c>
      <c r="M45" s="28">
        <v>909.13</v>
      </c>
      <c r="N45" s="28">
        <v>903.92</v>
      </c>
      <c r="O45" s="30">
        <f>SUM($G$45:$N$45)</f>
        <v>6677.43</v>
      </c>
      <c r="P45" s="30">
        <f t="array" ref="P45">INDEX(М[Цена за ед., руб],MATCH(1,IF(($B45=М[Наим.])*($C45=М[Артикул, марка, произв.])*($D45=М[Хар-ка])*($R45=М[Прим.]),{1},($B45=М[Наим.])*($C45=М[Артикул, марка, произв.])*($D45=М[Хар-ка])*($R45=М[Прим.])),0))</f>
        <v>0</v>
      </c>
      <c r="Q45" s="30">
        <f>ROUND($O$45*$P$45,2)</f>
        <v>0</v>
      </c>
      <c r="R45" s="25" t="s">
        <v>74</v>
      </c>
      <c r="S45" s="25" t="str">
        <f t="array" ref="S45">INDEX(М[Форма закупа],MATCH(1,IF(($B45=М[Наим.])*($C45=М[Артикул, марка, произв.])*($D45=М[Хар-ка])*($R45=М[Прим.]),{1},($B45=М[Наим.])*($C45=М[Артикул, марка, произв.])*($D45=М[Хар-ка])*($R45=М[Прим.])),0))</f>
        <v>Закупка подрядчик</v>
      </c>
    </row>
    <row r="46" spans="1:19" ht="35.1" customHeight="1" outlineLevel="4" x14ac:dyDescent="0.2">
      <c r="A46" s="23" t="s">
        <v>43</v>
      </c>
      <c r="B46" s="24" t="s">
        <v>75</v>
      </c>
      <c r="C46" s="25"/>
      <c r="D46" s="25" t="s">
        <v>76</v>
      </c>
      <c r="E46" s="26" t="s">
        <v>47</v>
      </c>
      <c r="F46" s="31">
        <v>4</v>
      </c>
      <c r="G46" s="33">
        <v>1742</v>
      </c>
      <c r="H46" s="33">
        <v>1778</v>
      </c>
      <c r="I46" s="33">
        <v>1732</v>
      </c>
      <c r="J46" s="33">
        <v>1244</v>
      </c>
      <c r="K46" s="33">
        <v>1286</v>
      </c>
      <c r="L46" s="33">
        <v>1730</v>
      </c>
      <c r="M46" s="33">
        <v>1778</v>
      </c>
      <c r="N46" s="33">
        <v>1766</v>
      </c>
      <c r="O46" s="33">
        <f>SUM($G$46:$N$46)</f>
        <v>13056</v>
      </c>
      <c r="P46" s="30">
        <f t="array" ref="P46">INDEX(М[Цена за ед., руб],MATCH(1,IF(($B46=М[Наим.])*($C46=М[Артикул, марка, произв.])*($D46=М[Хар-ка])*($R46=М[Прим.]),{1},($B46=М[Наим.])*($C46=М[Артикул, марка, произв.])*($D46=М[Хар-ка])*($R46=М[Прим.])),0))</f>
        <v>0</v>
      </c>
      <c r="Q46" s="30">
        <f>ROUND($O$46*$P$46,2)</f>
        <v>0</v>
      </c>
      <c r="R46" s="25"/>
      <c r="S46" s="25" t="str">
        <f t="array" ref="S46">INDEX(М[Форма закупа],MATCH(1,IF(($B46=М[Наим.])*($C46=М[Артикул, марка, произв.])*($D46=М[Хар-ка])*($R46=М[Прим.]),{1},($B46=М[Наим.])*($C46=М[Артикул, марка, произв.])*($D46=М[Хар-ка])*($R46=М[Прим.])),0))</f>
        <v>Закупка подрядчик</v>
      </c>
    </row>
    <row r="47" spans="1:19" ht="11.1" customHeight="1" outlineLevel="4" x14ac:dyDescent="0.2">
      <c r="A47" s="23" t="s">
        <v>69</v>
      </c>
      <c r="B47" s="24" t="s">
        <v>77</v>
      </c>
      <c r="C47" s="25"/>
      <c r="D47" s="25" t="s">
        <v>78</v>
      </c>
      <c r="E47" s="26" t="s">
        <v>47</v>
      </c>
      <c r="F47" s="31">
        <v>5</v>
      </c>
      <c r="G47" s="33">
        <v>2173</v>
      </c>
      <c r="H47" s="33">
        <v>2221</v>
      </c>
      <c r="I47" s="33">
        <v>2161</v>
      </c>
      <c r="J47" s="33">
        <v>1552</v>
      </c>
      <c r="K47" s="33">
        <v>1606</v>
      </c>
      <c r="L47" s="33">
        <v>2161</v>
      </c>
      <c r="M47" s="33">
        <v>2219</v>
      </c>
      <c r="N47" s="33">
        <v>2206</v>
      </c>
      <c r="O47" s="33">
        <f>SUM($G$47:$N$47)</f>
        <v>16299</v>
      </c>
      <c r="P47" s="30">
        <f t="array" ref="P47">INDEX(М[Цена за ед., руб],MATCH(1,IF(($B47=М[Наим.])*($C47=М[Артикул, марка, произв.])*($D47=М[Хар-ка])*($R47=М[Прим.]),{1},($B47=М[Наим.])*($C47=М[Артикул, марка, произв.])*($D47=М[Хар-ка])*($R47=М[Прим.])),0))</f>
        <v>0</v>
      </c>
      <c r="Q47" s="30">
        <f>ROUND($O$47*$P$47,2)</f>
        <v>0</v>
      </c>
      <c r="R47" s="25"/>
      <c r="S47" s="25" t="str">
        <f t="array" ref="S47">INDEX(М[Форма закупа],MATCH(1,IF(($B47=М[Наим.])*($C47=М[Артикул, марка, произв.])*($D47=М[Хар-ка])*($R47=М[Прим.]),{1},($B47=М[Наим.])*($C47=М[Артикул, марка, произв.])*($D47=М[Хар-ка])*($R47=М[Прим.])),0))</f>
        <v>Закупка подрядчик</v>
      </c>
    </row>
    <row r="48" spans="1:19" ht="11.1" customHeight="1" outlineLevel="4" x14ac:dyDescent="0.2">
      <c r="A48" s="20"/>
      <c r="B48" s="14" t="s">
        <v>28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66"/>
      <c r="Q48" s="67">
        <f>SUM($Q$49)</f>
        <v>0</v>
      </c>
      <c r="R48" s="18"/>
      <c r="S48" s="22"/>
    </row>
    <row r="49" spans="1:19" ht="23.1" customHeight="1" outlineLevel="4" x14ac:dyDescent="0.2">
      <c r="A49" s="23"/>
      <c r="B49" s="24" t="s">
        <v>79</v>
      </c>
      <c r="C49" s="25"/>
      <c r="D49" s="25"/>
      <c r="E49" s="26" t="s">
        <v>30</v>
      </c>
      <c r="F49" s="27"/>
      <c r="G49" s="28">
        <v>421.15</v>
      </c>
      <c r="H49" s="28">
        <v>424.91</v>
      </c>
      <c r="I49" s="28">
        <v>414.07</v>
      </c>
      <c r="J49" s="28">
        <v>297.52999999999997</v>
      </c>
      <c r="K49" s="28">
        <v>308.22000000000003</v>
      </c>
      <c r="L49" s="28">
        <v>413.98</v>
      </c>
      <c r="M49" s="28">
        <v>428.29</v>
      </c>
      <c r="N49" s="28">
        <v>420.12</v>
      </c>
      <c r="O49" s="30">
        <f>SUM($G$49:$N$49)</f>
        <v>3128.2699999999995</v>
      </c>
      <c r="P49" s="30">
        <f t="array" ref="P49">INDEX(Р[Цена за ед., руб],MATCH(1,IF(($B49=Р[Наименование])*($R49=Р[Примечание]),{1},($B49=Р[Наименование])*($R49=Р[Примечание])),0))</f>
        <v>0</v>
      </c>
      <c r="Q49" s="30">
        <f>ROUND($O$49*$P$49,2)</f>
        <v>0</v>
      </c>
      <c r="R49" s="25" t="s">
        <v>80</v>
      </c>
      <c r="S49" s="25"/>
    </row>
    <row r="50" spans="1:19" ht="11.1" customHeight="1" outlineLevel="4" x14ac:dyDescent="0.2">
      <c r="A50" s="20"/>
      <c r="B50" s="14" t="s">
        <v>32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66"/>
      <c r="Q50" s="67">
        <f>SUM($Q$51)</f>
        <v>0</v>
      </c>
      <c r="R50" s="18"/>
      <c r="S50" s="22"/>
    </row>
    <row r="51" spans="1:19" ht="11.1" customHeight="1" outlineLevel="4" x14ac:dyDescent="0.2">
      <c r="A51" s="23" t="s">
        <v>33</v>
      </c>
      <c r="B51" s="24" t="s">
        <v>81</v>
      </c>
      <c r="C51" s="25"/>
      <c r="D51" s="25" t="s">
        <v>82</v>
      </c>
      <c r="E51" s="26" t="s">
        <v>53</v>
      </c>
      <c r="F51" s="31">
        <v>1.05</v>
      </c>
      <c r="G51" s="28">
        <v>54.54</v>
      </c>
      <c r="H51" s="28">
        <v>55.03</v>
      </c>
      <c r="I51" s="28">
        <v>53.62</v>
      </c>
      <c r="J51" s="28">
        <v>38.53</v>
      </c>
      <c r="K51" s="28">
        <v>39.909999999999997</v>
      </c>
      <c r="L51" s="28">
        <v>53.61</v>
      </c>
      <c r="M51" s="28">
        <v>55.46</v>
      </c>
      <c r="N51" s="28">
        <v>54.41</v>
      </c>
      <c r="O51" s="28">
        <f>SUM($G$51:$N$51)</f>
        <v>405.11</v>
      </c>
      <c r="P51" s="30">
        <f t="array" ref="P51">INDEX(М[Цена за ед., руб],MATCH(1,IF(($B51=М[Наим.])*($C51=М[Артикул, марка, произв.])*($D51=М[Хар-ка])*($R51=М[Прим.]),{1},($B51=М[Наим.])*($C51=М[Артикул, марка, произв.])*($D51=М[Хар-ка])*($R51=М[Прим.])),0))</f>
        <v>0</v>
      </c>
      <c r="Q51" s="30">
        <f>ROUND($O$51*$P$51,2)</f>
        <v>0</v>
      </c>
      <c r="R51" s="25"/>
      <c r="S51" s="25" t="str">
        <f t="array" ref="S51">INDEX(М[Форма закупа],MATCH(1,IF(($B51=М[Наим.])*($C51=М[Артикул, марка, произв.])*($D51=М[Хар-ка])*($R51=М[Прим.]),{1},($B51=М[Наим.])*($C51=М[Артикул, марка, произв.])*($D51=М[Хар-ка])*($R51=М[Прим.])),0))</f>
        <v>Закупка подрядчик</v>
      </c>
    </row>
    <row r="52" spans="1:19" ht="11.1" customHeight="1" outlineLevel="4" x14ac:dyDescent="0.2">
      <c r="A52" s="20"/>
      <c r="B52" s="14" t="s">
        <v>28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66"/>
      <c r="Q52" s="67">
        <f>SUM($Q$53)</f>
        <v>0</v>
      </c>
      <c r="R52" s="18"/>
      <c r="S52" s="22"/>
    </row>
    <row r="53" spans="1:19" ht="35.1" customHeight="1" outlineLevel="4" x14ac:dyDescent="0.2">
      <c r="A53" s="23"/>
      <c r="B53" s="24" t="s">
        <v>83</v>
      </c>
      <c r="C53" s="25"/>
      <c r="D53" s="25"/>
      <c r="E53" s="26" t="s">
        <v>30</v>
      </c>
      <c r="F53" s="27"/>
      <c r="G53" s="28">
        <v>73.61</v>
      </c>
      <c r="H53" s="28">
        <v>92.01</v>
      </c>
      <c r="I53" s="29">
        <v>66.8</v>
      </c>
      <c r="J53" s="28">
        <v>62.56</v>
      </c>
      <c r="K53" s="28">
        <v>62.87</v>
      </c>
      <c r="L53" s="29">
        <v>66.8</v>
      </c>
      <c r="M53" s="28">
        <v>72.180000000000007</v>
      </c>
      <c r="N53" s="28">
        <v>80.55</v>
      </c>
      <c r="O53" s="28">
        <f>SUM($G$53:$N$53)</f>
        <v>577.38</v>
      </c>
      <c r="P53" s="30">
        <f t="array" ref="P53">INDEX(Р[Цена за ед., руб],MATCH(1,IF(($B53=Р[Наименование])*($R53=Р[Примечание]),{1},($B53=Р[Наименование])*($R53=Р[Примечание])),0))</f>
        <v>0</v>
      </c>
      <c r="Q53" s="30">
        <f>ROUND($O$53*$P$53,2)</f>
        <v>0</v>
      </c>
      <c r="R53" s="25" t="s">
        <v>84</v>
      </c>
      <c r="S53" s="25"/>
    </row>
    <row r="54" spans="1:19" ht="11.1" customHeight="1" outlineLevel="4" x14ac:dyDescent="0.2">
      <c r="A54" s="20"/>
      <c r="B54" s="14" t="s">
        <v>32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66"/>
      <c r="Q54" s="67">
        <f>SUM($Q$55:$Q$56)</f>
        <v>0</v>
      </c>
      <c r="R54" s="18"/>
      <c r="S54" s="22"/>
    </row>
    <row r="55" spans="1:19" ht="47.1" customHeight="1" outlineLevel="4" x14ac:dyDescent="0.2">
      <c r="A55" s="23" t="s">
        <v>33</v>
      </c>
      <c r="B55" s="24" t="s">
        <v>85</v>
      </c>
      <c r="C55" s="25"/>
      <c r="D55" s="25" t="s">
        <v>86</v>
      </c>
      <c r="E55" s="26" t="s">
        <v>47</v>
      </c>
      <c r="F55" s="31">
        <v>7</v>
      </c>
      <c r="G55" s="32">
        <v>520</v>
      </c>
      <c r="H55" s="32">
        <v>645</v>
      </c>
      <c r="I55" s="32">
        <v>470</v>
      </c>
      <c r="J55" s="32">
        <v>440</v>
      </c>
      <c r="K55" s="32">
        <v>445</v>
      </c>
      <c r="L55" s="32">
        <v>470</v>
      </c>
      <c r="M55" s="32">
        <v>510</v>
      </c>
      <c r="N55" s="32">
        <v>565</v>
      </c>
      <c r="O55" s="33">
        <f>SUM($G$55:$N$55)</f>
        <v>4065</v>
      </c>
      <c r="P55" s="30">
        <f t="array" ref="P55">INDEX(М[Цена за ед., руб],MATCH(1,IF(($B55=М[Наим.])*($C55=М[Артикул, марка, произв.])*($D55=М[Хар-ка])*($R55=М[Прим.]),{1},($B55=М[Наим.])*($C55=М[Артикул, марка, произв.])*($D55=М[Хар-ка])*($R55=М[Прим.])),0))</f>
        <v>0</v>
      </c>
      <c r="Q55" s="30">
        <f>ROUND($O$55*$P$55,2)</f>
        <v>0</v>
      </c>
      <c r="R55" s="25"/>
      <c r="S55" s="25" t="str">
        <f t="array" ref="S55">INDEX(М[Форма закупа],MATCH(1,IF(($B55=М[Наим.])*($C55=М[Артикул, марка, произв.])*($D55=М[Хар-ка])*($R55=М[Прим.]),{1},($B55=М[Наим.])*($C55=М[Артикул, марка, произв.])*($D55=М[Хар-ка])*($R55=М[Прим.])),0))</f>
        <v>Закупка подрядчик</v>
      </c>
    </row>
    <row r="56" spans="1:19" ht="11.1" customHeight="1" outlineLevel="4" x14ac:dyDescent="0.2">
      <c r="A56" s="23" t="s">
        <v>43</v>
      </c>
      <c r="B56" s="24" t="s">
        <v>63</v>
      </c>
      <c r="C56" s="25"/>
      <c r="D56" s="25" t="s">
        <v>87</v>
      </c>
      <c r="E56" s="26" t="s">
        <v>53</v>
      </c>
      <c r="F56" s="31">
        <v>1.07</v>
      </c>
      <c r="G56" s="28">
        <v>7.88</v>
      </c>
      <c r="H56" s="28">
        <v>9.85</v>
      </c>
      <c r="I56" s="28">
        <v>7.15</v>
      </c>
      <c r="J56" s="28">
        <v>6.69</v>
      </c>
      <c r="K56" s="28">
        <v>6.73</v>
      </c>
      <c r="L56" s="28">
        <v>7.15</v>
      </c>
      <c r="M56" s="28">
        <v>7.72</v>
      </c>
      <c r="N56" s="28">
        <v>8.6199999999999992</v>
      </c>
      <c r="O56" s="28">
        <f>SUM($G$56:$N$56)</f>
        <v>61.79</v>
      </c>
      <c r="P56" s="30">
        <f t="array" ref="P56">INDEX(М[Цена за ед., руб],MATCH(1,IF(($B56=М[Наим.])*($C56=М[Артикул, марка, произв.])*($D56=М[Хар-ка])*($R56=М[Прим.]),{1},($B56=М[Наим.])*($C56=М[Артикул, марка, произв.])*($D56=М[Хар-ка])*($R56=М[Прим.])),0))</f>
        <v>0</v>
      </c>
      <c r="Q56" s="30">
        <f>ROUND($O$56*$P$56,2)</f>
        <v>0</v>
      </c>
      <c r="R56" s="25"/>
      <c r="S56" s="25" t="str">
        <f t="array" ref="S56">INDEX(М[Форма закупа],MATCH(1,IF(($B56=М[Наим.])*($C56=М[Артикул, марка, произв.])*($D56=М[Хар-ка])*($R56=М[Прим.]),{1},($B56=М[Наим.])*($C56=М[Артикул, марка, произв.])*($D56=М[Хар-ка])*($R56=М[Прим.])),0))</f>
        <v>Закупка подрядчик</v>
      </c>
    </row>
    <row r="57" spans="1:19" ht="23.1" customHeight="1" outlineLevel="2" x14ac:dyDescent="0.2">
      <c r="A57" s="13" t="s">
        <v>88</v>
      </c>
      <c r="B57" s="14" t="s">
        <v>89</v>
      </c>
      <c r="C57" s="15"/>
      <c r="D57" s="15"/>
      <c r="E57" s="16"/>
      <c r="F57" s="17"/>
      <c r="G57" s="18"/>
      <c r="H57" s="18"/>
      <c r="I57" s="18"/>
      <c r="J57" s="18"/>
      <c r="K57" s="18"/>
      <c r="L57" s="18"/>
      <c r="M57" s="18"/>
      <c r="N57" s="18"/>
      <c r="O57" s="18"/>
      <c r="P57" s="65"/>
      <c r="Q57" s="65">
        <f>SUM($Q$58)</f>
        <v>0</v>
      </c>
      <c r="R57" s="19"/>
      <c r="S57" s="19"/>
    </row>
    <row r="58" spans="1:19" ht="23.1" customHeight="1" outlineLevel="3" x14ac:dyDescent="0.2">
      <c r="A58" s="13" t="s">
        <v>90</v>
      </c>
      <c r="B58" s="14" t="s">
        <v>89</v>
      </c>
      <c r="C58" s="15"/>
      <c r="D58" s="15"/>
      <c r="E58" s="16"/>
      <c r="F58" s="17"/>
      <c r="G58" s="18"/>
      <c r="H58" s="18"/>
      <c r="I58" s="18"/>
      <c r="J58" s="18"/>
      <c r="K58" s="18"/>
      <c r="L58" s="18"/>
      <c r="M58" s="18"/>
      <c r="N58" s="18"/>
      <c r="O58" s="18"/>
      <c r="P58" s="65"/>
      <c r="Q58" s="65">
        <f>SUM($Q$107,$Q$105,$Q$101,$Q$99,$Q$95,$Q$93,$Q$90,$Q$88,$Q$81,$Q$79,$Q$77,$Q$75,$Q$72,$Q$70,$Q$67,$Q$65,$Q$61,$Q$59)</f>
        <v>0</v>
      </c>
      <c r="R58" s="19"/>
      <c r="S58" s="19"/>
    </row>
    <row r="59" spans="1:19" ht="11.1" customHeight="1" outlineLevel="4" x14ac:dyDescent="0.2">
      <c r="A59" s="20"/>
      <c r="B59" s="14" t="s">
        <v>28</v>
      </c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66"/>
      <c r="Q59" s="67">
        <f>SUM($Q$60)</f>
        <v>0</v>
      </c>
      <c r="R59" s="18"/>
      <c r="S59" s="22"/>
    </row>
    <row r="60" spans="1:19" ht="23.1" customHeight="1" outlineLevel="4" x14ac:dyDescent="0.2">
      <c r="A60" s="23"/>
      <c r="B60" s="24" t="s">
        <v>91</v>
      </c>
      <c r="C60" s="25"/>
      <c r="D60" s="25"/>
      <c r="E60" s="26" t="s">
        <v>92</v>
      </c>
      <c r="F60" s="27"/>
      <c r="G60" s="28">
        <v>101.19</v>
      </c>
      <c r="H60" s="28">
        <v>72.819999999999993</v>
      </c>
      <c r="I60" s="28">
        <v>91.85</v>
      </c>
      <c r="J60" s="28">
        <v>49.73</v>
      </c>
      <c r="K60" s="28">
        <v>49.64</v>
      </c>
      <c r="L60" s="28">
        <v>91.85</v>
      </c>
      <c r="M60" s="28">
        <v>86.25</v>
      </c>
      <c r="N60" s="28">
        <v>85.19</v>
      </c>
      <c r="O60" s="28">
        <f>SUM($G$60:$N$60)</f>
        <v>628.52</v>
      </c>
      <c r="P60" s="30">
        <f t="array" ref="P60">INDEX(Р[Цена за ед., руб],MATCH(1,IF(($B60=Р[Наименование])*($R60=Р[Примечание]),{1},($B60=Р[Наименование])*($R60=Р[Примечание])),0))</f>
        <v>0</v>
      </c>
      <c r="Q60" s="30">
        <f>ROUND($O$60*$P$60,2)</f>
        <v>0</v>
      </c>
      <c r="R60" s="25"/>
      <c r="S60" s="25"/>
    </row>
    <row r="61" spans="1:19" ht="11.1" customHeight="1" outlineLevel="4" x14ac:dyDescent="0.2">
      <c r="A61" s="20"/>
      <c r="B61" s="14" t="s">
        <v>32</v>
      </c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66"/>
      <c r="Q61" s="67">
        <f>SUM($Q$62:$Q$64)</f>
        <v>0</v>
      </c>
      <c r="R61" s="18"/>
      <c r="S61" s="22"/>
    </row>
    <row r="62" spans="1:19" ht="23.1" customHeight="1" outlineLevel="4" x14ac:dyDescent="0.2">
      <c r="A62" s="23" t="s">
        <v>33</v>
      </c>
      <c r="B62" s="24" t="s">
        <v>93</v>
      </c>
      <c r="C62" s="25"/>
      <c r="D62" s="25" t="s">
        <v>94</v>
      </c>
      <c r="E62" s="26" t="s">
        <v>92</v>
      </c>
      <c r="F62" s="31">
        <v>1.07</v>
      </c>
      <c r="G62" s="28">
        <v>108.27</v>
      </c>
      <c r="H62" s="28">
        <v>77.91</v>
      </c>
      <c r="I62" s="28">
        <v>98.28</v>
      </c>
      <c r="J62" s="28">
        <v>53.21</v>
      </c>
      <c r="K62" s="28">
        <v>53.12</v>
      </c>
      <c r="L62" s="28">
        <v>98.28</v>
      </c>
      <c r="M62" s="28">
        <v>92.29</v>
      </c>
      <c r="N62" s="28">
        <v>91.15</v>
      </c>
      <c r="O62" s="28">
        <f>SUM($G$62:$N$62)</f>
        <v>672.51</v>
      </c>
      <c r="P62" s="30">
        <f t="array" ref="P62">INDEX(М[Цена за ед., руб],MATCH(1,IF(($B62=М[Наим.])*($C62=М[Артикул, марка, произв.])*($D62=М[Хар-ка])*($R62=М[Прим.]),{1},($B62=М[Наим.])*($C62=М[Артикул, марка, произв.])*($D62=М[Хар-ка])*($R62=М[Прим.])),0))</f>
        <v>0</v>
      </c>
      <c r="Q62" s="30">
        <f>ROUND($O$62*$P$62,2)</f>
        <v>0</v>
      </c>
      <c r="R62" s="25"/>
      <c r="S62" s="25" t="str">
        <f t="array" ref="S62">INDEX(М[Форма закупа],MATCH(1,IF(($B62=М[Наим.])*($C62=М[Артикул, марка, произв.])*($D62=М[Хар-ка])*($R62=М[Прим.]),{1},($B62=М[Наим.])*($C62=М[Артикул, марка, произв.])*($D62=М[Хар-ка])*($R62=М[Прим.])),0))</f>
        <v>Закупка подрядчик</v>
      </c>
    </row>
    <row r="63" spans="1:19" ht="11.1" customHeight="1" outlineLevel="4" x14ac:dyDescent="0.2">
      <c r="A63" s="23" t="s">
        <v>43</v>
      </c>
      <c r="B63" s="24" t="s">
        <v>95</v>
      </c>
      <c r="C63" s="25"/>
      <c r="D63" s="25" t="s">
        <v>96</v>
      </c>
      <c r="E63" s="26" t="s">
        <v>97</v>
      </c>
      <c r="F63" s="27"/>
      <c r="G63" s="32">
        <v>6</v>
      </c>
      <c r="H63" s="32">
        <v>4</v>
      </c>
      <c r="I63" s="32">
        <v>5</v>
      </c>
      <c r="J63" s="32">
        <v>3</v>
      </c>
      <c r="K63" s="32">
        <v>3</v>
      </c>
      <c r="L63" s="32">
        <v>5</v>
      </c>
      <c r="M63" s="32">
        <v>5</v>
      </c>
      <c r="N63" s="32">
        <v>5</v>
      </c>
      <c r="O63" s="32">
        <f>SUM($G$63:$N$63)</f>
        <v>36</v>
      </c>
      <c r="P63" s="30">
        <f t="array" ref="P63">INDEX(М[Цена за ед., руб],MATCH(1,IF(($B63=М[Наим.])*($C63=М[Артикул, марка, произв.])*($D63=М[Хар-ка])*($R63=М[Прим.]),{1},($B63=М[Наим.])*($C63=М[Артикул, марка, произв.])*($D63=М[Хар-ка])*($R63=М[Прим.])),0))</f>
        <v>0</v>
      </c>
      <c r="Q63" s="30">
        <f>ROUND($O$63*$P$63,2)</f>
        <v>0</v>
      </c>
      <c r="R63" s="25"/>
      <c r="S63" s="25" t="str">
        <f t="array" ref="S63">INDEX(М[Форма закупа],MATCH(1,IF(($B63=М[Наим.])*($C63=М[Артикул, марка, произв.])*($D63=М[Хар-ка])*($R63=М[Прим.]),{1},($B63=М[Наим.])*($C63=М[Артикул, марка, произв.])*($D63=М[Хар-ка])*($R63=М[Прим.])),0))</f>
        <v>Закупка подрядчик</v>
      </c>
    </row>
    <row r="64" spans="1:19" ht="11.1" customHeight="1" outlineLevel="4" x14ac:dyDescent="0.2">
      <c r="A64" s="23" t="s">
        <v>69</v>
      </c>
      <c r="B64" s="24" t="s">
        <v>98</v>
      </c>
      <c r="C64" s="25"/>
      <c r="D64" s="25" t="s">
        <v>99</v>
      </c>
      <c r="E64" s="26" t="s">
        <v>47</v>
      </c>
      <c r="F64" s="27"/>
      <c r="G64" s="32">
        <v>550</v>
      </c>
      <c r="H64" s="32">
        <v>400</v>
      </c>
      <c r="I64" s="32">
        <v>500</v>
      </c>
      <c r="J64" s="32">
        <v>270</v>
      </c>
      <c r="K64" s="32">
        <v>270</v>
      </c>
      <c r="L64" s="32">
        <v>500</v>
      </c>
      <c r="M64" s="32">
        <v>470</v>
      </c>
      <c r="N64" s="32">
        <v>460</v>
      </c>
      <c r="O64" s="33">
        <f>SUM($G$64:$N$64)</f>
        <v>3420</v>
      </c>
      <c r="P64" s="30">
        <f t="array" ref="P64">INDEX(М[Цена за ед., руб],MATCH(1,IF(($B64=М[Наим.])*($C64=М[Артикул, марка, произв.])*($D64=М[Хар-ка])*($R64=М[Прим.]),{1},($B64=М[Наим.])*($C64=М[Артикул, марка, произв.])*($D64=М[Хар-ка])*($R64=М[Прим.])),0))</f>
        <v>0</v>
      </c>
      <c r="Q64" s="30">
        <f>ROUND($O$64*$P$64,2)</f>
        <v>0</v>
      </c>
      <c r="R64" s="25"/>
      <c r="S64" s="25" t="str">
        <f t="array" ref="S64">INDEX(М[Форма закупа],MATCH(1,IF(($B64=М[Наим.])*($C64=М[Артикул, марка, произв.])*($D64=М[Хар-ка])*($R64=М[Прим.]),{1},($B64=М[Наим.])*($C64=М[Артикул, марка, произв.])*($D64=М[Хар-ка])*($R64=М[Прим.])),0))</f>
        <v>Закупка подрядчик</v>
      </c>
    </row>
    <row r="65" spans="1:19" ht="11.1" customHeight="1" outlineLevel="4" x14ac:dyDescent="0.2">
      <c r="A65" s="20"/>
      <c r="B65" s="14" t="s">
        <v>28</v>
      </c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66"/>
      <c r="Q65" s="67">
        <f>SUM($Q$66)</f>
        <v>0</v>
      </c>
      <c r="R65" s="18"/>
      <c r="S65" s="22"/>
    </row>
    <row r="66" spans="1:19" ht="23.1" customHeight="1" outlineLevel="4" x14ac:dyDescent="0.2">
      <c r="A66" s="23"/>
      <c r="B66" s="24" t="s">
        <v>100</v>
      </c>
      <c r="C66" s="25"/>
      <c r="D66" s="25"/>
      <c r="E66" s="26" t="s">
        <v>30</v>
      </c>
      <c r="F66" s="27"/>
      <c r="G66" s="28">
        <v>110.92</v>
      </c>
      <c r="H66" s="28">
        <v>115.19</v>
      </c>
      <c r="I66" s="28">
        <v>126.71</v>
      </c>
      <c r="J66" s="28">
        <v>81.31</v>
      </c>
      <c r="K66" s="28">
        <v>81.31</v>
      </c>
      <c r="L66" s="28">
        <v>132.38</v>
      </c>
      <c r="M66" s="28">
        <v>113.21</v>
      </c>
      <c r="N66" s="28">
        <v>116.17</v>
      </c>
      <c r="O66" s="29">
        <f>SUM($G$66:$N$66)</f>
        <v>877.2</v>
      </c>
      <c r="P66" s="30">
        <f t="array" ref="P66">INDEX(Р[Цена за ед., руб],MATCH(1,IF(($B66=Р[Наименование])*($R66=Р[Примечание]),{1},($B66=Р[Наименование])*($R66=Р[Примечание])),0))</f>
        <v>0</v>
      </c>
      <c r="Q66" s="30">
        <f>ROUND($O$66*$P$66,2)</f>
        <v>0</v>
      </c>
      <c r="R66" s="25" t="s">
        <v>101</v>
      </c>
      <c r="S66" s="25"/>
    </row>
    <row r="67" spans="1:19" ht="11.1" customHeight="1" outlineLevel="4" x14ac:dyDescent="0.2">
      <c r="A67" s="20"/>
      <c r="B67" s="14" t="s">
        <v>32</v>
      </c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66"/>
      <c r="Q67" s="67">
        <f>SUM($Q$68:$Q$69)</f>
        <v>0</v>
      </c>
      <c r="R67" s="18"/>
      <c r="S67" s="22"/>
    </row>
    <row r="68" spans="1:19" ht="47.1" customHeight="1" outlineLevel="4" x14ac:dyDescent="0.2">
      <c r="A68" s="23" t="s">
        <v>33</v>
      </c>
      <c r="B68" s="24" t="s">
        <v>85</v>
      </c>
      <c r="C68" s="25"/>
      <c r="D68" s="25" t="s">
        <v>86</v>
      </c>
      <c r="E68" s="26" t="s">
        <v>47</v>
      </c>
      <c r="F68" s="31">
        <v>7</v>
      </c>
      <c r="G68" s="32">
        <v>780</v>
      </c>
      <c r="H68" s="32">
        <v>810</v>
      </c>
      <c r="I68" s="32">
        <v>890</v>
      </c>
      <c r="J68" s="32">
        <v>570</v>
      </c>
      <c r="K68" s="32">
        <v>570</v>
      </c>
      <c r="L68" s="32">
        <v>930</v>
      </c>
      <c r="M68" s="32">
        <v>795</v>
      </c>
      <c r="N68" s="32">
        <v>815</v>
      </c>
      <c r="O68" s="33">
        <f>SUM($G$68:$N$68)</f>
        <v>6160</v>
      </c>
      <c r="P68" s="30">
        <f t="array" ref="P68">INDEX(М[Цена за ед., руб],MATCH(1,IF(($B68=М[Наим.])*($C68=М[Артикул, марка, произв.])*($D68=М[Хар-ка])*($R68=М[Прим.]),{1},($B68=М[Наим.])*($C68=М[Артикул, марка, произв.])*($D68=М[Хар-ка])*($R68=М[Прим.])),0))</f>
        <v>0</v>
      </c>
      <c r="Q68" s="30">
        <f>ROUND($O$68*$P$68,2)</f>
        <v>0</v>
      </c>
      <c r="R68" s="25"/>
      <c r="S68" s="25" t="str">
        <f t="array" ref="S68">INDEX(М[Форма закупа],MATCH(1,IF(($B68=М[Наим.])*($C68=М[Артикул, марка, произв.])*($D68=М[Хар-ка])*($R68=М[Прим.]),{1},($B68=М[Наим.])*($C68=М[Артикул, марка, произв.])*($D68=М[Хар-ка])*($R68=М[Прим.])),0))</f>
        <v>Закупка подрядчик</v>
      </c>
    </row>
    <row r="69" spans="1:19" ht="11.1" customHeight="1" outlineLevel="4" x14ac:dyDescent="0.2">
      <c r="A69" s="23" t="s">
        <v>43</v>
      </c>
      <c r="B69" s="24" t="s">
        <v>63</v>
      </c>
      <c r="C69" s="25"/>
      <c r="D69" s="25" t="s">
        <v>87</v>
      </c>
      <c r="E69" s="26" t="s">
        <v>53</v>
      </c>
      <c r="F69" s="31">
        <v>1.07</v>
      </c>
      <c r="G69" s="28">
        <v>11.87</v>
      </c>
      <c r="H69" s="28">
        <v>12.33</v>
      </c>
      <c r="I69" s="28">
        <v>13.56</v>
      </c>
      <c r="J69" s="29">
        <v>8.6999999999999993</v>
      </c>
      <c r="K69" s="29">
        <v>8.6999999999999993</v>
      </c>
      <c r="L69" s="28">
        <v>14.16</v>
      </c>
      <c r="M69" s="28">
        <v>12.11</v>
      </c>
      <c r="N69" s="28">
        <v>12.43</v>
      </c>
      <c r="O69" s="28">
        <f>SUM($G$69:$N$69)</f>
        <v>93.859999999999985</v>
      </c>
      <c r="P69" s="30">
        <f t="array" ref="P69">INDEX(М[Цена за ед., руб],MATCH(1,IF(($B69=М[Наим.])*($C69=М[Артикул, марка, произв.])*($D69=М[Хар-ка])*($R69=М[Прим.]),{1},($B69=М[Наим.])*($C69=М[Артикул, марка, произв.])*($D69=М[Хар-ка])*($R69=М[Прим.])),0))</f>
        <v>0</v>
      </c>
      <c r="Q69" s="30">
        <f>ROUND($O$69*$P$69,2)</f>
        <v>0</v>
      </c>
      <c r="R69" s="25"/>
      <c r="S69" s="25" t="str">
        <f t="array" ref="S69">INDEX(М[Форма закупа],MATCH(1,IF(($B69=М[Наим.])*($C69=М[Артикул, марка, произв.])*($D69=М[Хар-ка])*($R69=М[Прим.]),{1},($B69=М[Наим.])*($C69=М[Артикул, марка, произв.])*($D69=М[Хар-ка])*($R69=М[Прим.])),0))</f>
        <v>Закупка подрядчик</v>
      </c>
    </row>
    <row r="70" spans="1:19" ht="11.1" customHeight="1" outlineLevel="4" x14ac:dyDescent="0.2">
      <c r="A70" s="20"/>
      <c r="B70" s="14" t="s">
        <v>28</v>
      </c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66"/>
      <c r="Q70" s="67">
        <f>SUM($Q$71)</f>
        <v>0</v>
      </c>
      <c r="R70" s="18"/>
      <c r="S70" s="22"/>
    </row>
    <row r="71" spans="1:19" ht="23.1" customHeight="1" outlineLevel="4" x14ac:dyDescent="0.2">
      <c r="A71" s="23"/>
      <c r="B71" s="24" t="s">
        <v>102</v>
      </c>
      <c r="C71" s="25"/>
      <c r="D71" s="25"/>
      <c r="E71" s="26" t="s">
        <v>30</v>
      </c>
      <c r="F71" s="27"/>
      <c r="G71" s="28">
        <v>37.79</v>
      </c>
      <c r="H71" s="28">
        <v>32.04</v>
      </c>
      <c r="I71" s="28">
        <v>35.369999999999997</v>
      </c>
      <c r="J71" s="28">
        <v>36.24</v>
      </c>
      <c r="K71" s="28">
        <v>36.24</v>
      </c>
      <c r="L71" s="28">
        <v>36.65</v>
      </c>
      <c r="M71" s="28">
        <v>29.37</v>
      </c>
      <c r="N71" s="28">
        <v>28.48</v>
      </c>
      <c r="O71" s="28">
        <f>SUM($G$71:$N$71)</f>
        <v>272.18</v>
      </c>
      <c r="P71" s="30">
        <f t="array" ref="P71">INDEX(Р[Цена за ед., руб],MATCH(1,IF(($B71=Р[Наименование])*($R71=Р[Примечание]),{1},($B71=Р[Наименование])*($R71=Р[Примечание])),0))</f>
        <v>0</v>
      </c>
      <c r="Q71" s="30">
        <f>ROUND($O$71*$P$71,2)</f>
        <v>0</v>
      </c>
      <c r="R71" s="25" t="s">
        <v>101</v>
      </c>
      <c r="S71" s="25"/>
    </row>
    <row r="72" spans="1:19" ht="11.1" customHeight="1" outlineLevel="4" x14ac:dyDescent="0.2">
      <c r="A72" s="20"/>
      <c r="B72" s="14" t="s">
        <v>32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66"/>
      <c r="Q72" s="67">
        <f>SUM($Q$73:$Q$74)</f>
        <v>0</v>
      </c>
      <c r="R72" s="18"/>
      <c r="S72" s="22"/>
    </row>
    <row r="73" spans="1:19" ht="47.1" customHeight="1" outlineLevel="4" x14ac:dyDescent="0.2">
      <c r="A73" s="23" t="s">
        <v>33</v>
      </c>
      <c r="B73" s="24" t="s">
        <v>85</v>
      </c>
      <c r="C73" s="25"/>
      <c r="D73" s="25" t="s">
        <v>103</v>
      </c>
      <c r="E73" s="26" t="s">
        <v>47</v>
      </c>
      <c r="F73" s="31">
        <v>7</v>
      </c>
      <c r="G73" s="32">
        <v>265</v>
      </c>
      <c r="H73" s="32">
        <v>225</v>
      </c>
      <c r="I73" s="32">
        <v>250</v>
      </c>
      <c r="J73" s="32">
        <v>255</v>
      </c>
      <c r="K73" s="32">
        <v>255</v>
      </c>
      <c r="L73" s="32">
        <v>260</v>
      </c>
      <c r="M73" s="32">
        <v>210</v>
      </c>
      <c r="N73" s="32">
        <v>200</v>
      </c>
      <c r="O73" s="33">
        <f>SUM($G$73:$N$73)</f>
        <v>1920</v>
      </c>
      <c r="P73" s="30">
        <f t="array" ref="P73">INDEX(М[Цена за ед., руб],MATCH(1,IF(($B73=М[Наим.])*($C73=М[Артикул, марка, произв.])*($D73=М[Хар-ка])*($R73=М[Прим.]),{1},($B73=М[Наим.])*($C73=М[Артикул, марка, произв.])*($D73=М[Хар-ка])*($R73=М[Прим.])),0))</f>
        <v>0</v>
      </c>
      <c r="Q73" s="30">
        <f>ROUND($O$73*$P$73,2)</f>
        <v>0</v>
      </c>
      <c r="R73" s="25"/>
      <c r="S73" s="25" t="str">
        <f t="array" ref="S73">INDEX(М[Форма закупа],MATCH(1,IF(($B73=М[Наим.])*($C73=М[Артикул, марка, произв.])*($D73=М[Хар-ка])*($R73=М[Прим.]),{1},($B73=М[Наим.])*($C73=М[Артикул, марка, произв.])*($D73=М[Хар-ка])*($R73=М[Прим.])),0))</f>
        <v>Закупка подрядчик</v>
      </c>
    </row>
    <row r="74" spans="1:19" ht="11.1" customHeight="1" outlineLevel="4" x14ac:dyDescent="0.2">
      <c r="A74" s="23" t="s">
        <v>43</v>
      </c>
      <c r="B74" s="24" t="s">
        <v>63</v>
      </c>
      <c r="C74" s="25"/>
      <c r="D74" s="25" t="s">
        <v>104</v>
      </c>
      <c r="E74" s="26" t="s">
        <v>53</v>
      </c>
      <c r="F74" s="31">
        <v>1.07</v>
      </c>
      <c r="G74" s="28">
        <v>6.07</v>
      </c>
      <c r="H74" s="28">
        <v>5.14</v>
      </c>
      <c r="I74" s="28">
        <v>5.68</v>
      </c>
      <c r="J74" s="28">
        <v>5.82</v>
      </c>
      <c r="K74" s="28">
        <v>5.82</v>
      </c>
      <c r="L74" s="28">
        <v>5.88</v>
      </c>
      <c r="M74" s="28">
        <v>4.71</v>
      </c>
      <c r="N74" s="28">
        <v>4.57</v>
      </c>
      <c r="O74" s="28">
        <f>SUM($G$74:$N$74)</f>
        <v>43.690000000000005</v>
      </c>
      <c r="P74" s="30">
        <f t="array" ref="P74">INDEX(М[Цена за ед., руб],MATCH(1,IF(($B74=М[Наим.])*($C74=М[Артикул, марка, произв.])*($D74=М[Хар-ка])*($R74=М[Прим.]),{1},($B74=М[Наим.])*($C74=М[Артикул, марка, произв.])*($D74=М[Хар-ка])*($R74=М[Прим.])),0))</f>
        <v>0</v>
      </c>
      <c r="Q74" s="30">
        <f>ROUND($O$74*$P$74,2)</f>
        <v>0</v>
      </c>
      <c r="R74" s="25"/>
      <c r="S74" s="25" t="str">
        <f t="array" ref="S74">INDEX(М[Форма закупа],MATCH(1,IF(($B74=М[Наим.])*($C74=М[Артикул, марка, произв.])*($D74=М[Хар-ка])*($R74=М[Прим.]),{1},($B74=М[Наим.])*($C74=М[Артикул, марка, произв.])*($D74=М[Хар-ка])*($R74=М[Прим.])),0))</f>
        <v>Закупка подрядчик</v>
      </c>
    </row>
    <row r="75" spans="1:19" ht="11.1" customHeight="1" outlineLevel="4" x14ac:dyDescent="0.2">
      <c r="A75" s="20"/>
      <c r="B75" s="14" t="s">
        <v>28</v>
      </c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66"/>
      <c r="Q75" s="67">
        <f>SUM($Q$76)</f>
        <v>0</v>
      </c>
      <c r="R75" s="18"/>
      <c r="S75" s="22"/>
    </row>
    <row r="76" spans="1:19" ht="23.1" customHeight="1" outlineLevel="4" x14ac:dyDescent="0.2">
      <c r="A76" s="23"/>
      <c r="B76" s="24" t="s">
        <v>29</v>
      </c>
      <c r="C76" s="25"/>
      <c r="D76" s="25"/>
      <c r="E76" s="26" t="s">
        <v>30</v>
      </c>
      <c r="F76" s="27"/>
      <c r="G76" s="28">
        <v>446.87</v>
      </c>
      <c r="H76" s="28">
        <v>454.06</v>
      </c>
      <c r="I76" s="28">
        <v>458.78</v>
      </c>
      <c r="J76" s="28">
        <v>365.51</v>
      </c>
      <c r="K76" s="28">
        <v>365.67</v>
      </c>
      <c r="L76" s="29">
        <v>463.6</v>
      </c>
      <c r="M76" s="28">
        <v>450.51</v>
      </c>
      <c r="N76" s="28">
        <v>445.59</v>
      </c>
      <c r="O76" s="30">
        <f>SUM($G$76:$N$76)</f>
        <v>3450.59</v>
      </c>
      <c r="P76" s="30">
        <f t="array" ref="P76">INDEX(Р[Цена за ед., руб],MATCH(1,IF(($B76=Р[Наименование])*($R76=Р[Примечание]),{1},($B76=Р[Наименование])*($R76=Р[Примечание])),0))</f>
        <v>0</v>
      </c>
      <c r="Q76" s="30">
        <f>ROUND($O$76*$P$76,2)</f>
        <v>0</v>
      </c>
      <c r="R76" s="25" t="s">
        <v>105</v>
      </c>
      <c r="S76" s="25"/>
    </row>
    <row r="77" spans="1:19" ht="11.1" customHeight="1" outlineLevel="4" x14ac:dyDescent="0.2">
      <c r="A77" s="20"/>
      <c r="B77" s="14" t="s">
        <v>32</v>
      </c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66"/>
      <c r="Q77" s="67">
        <f>SUM($Q$78)</f>
        <v>0</v>
      </c>
      <c r="R77" s="18"/>
      <c r="S77" s="22"/>
    </row>
    <row r="78" spans="1:19" ht="23.1" customHeight="1" outlineLevel="4" x14ac:dyDescent="0.2">
      <c r="A78" s="23" t="s">
        <v>33</v>
      </c>
      <c r="B78" s="24" t="s">
        <v>34</v>
      </c>
      <c r="C78" s="25" t="s">
        <v>35</v>
      </c>
      <c r="D78" s="25" t="s">
        <v>36</v>
      </c>
      <c r="E78" s="26" t="s">
        <v>37</v>
      </c>
      <c r="F78" s="31">
        <v>0.3</v>
      </c>
      <c r="G78" s="28">
        <v>134.06</v>
      </c>
      <c r="H78" s="28">
        <v>136.22</v>
      </c>
      <c r="I78" s="28">
        <v>137.63999999999999</v>
      </c>
      <c r="J78" s="28">
        <v>109.65</v>
      </c>
      <c r="K78" s="29">
        <v>109.7</v>
      </c>
      <c r="L78" s="28">
        <v>139.08000000000001</v>
      </c>
      <c r="M78" s="28">
        <v>135.15</v>
      </c>
      <c r="N78" s="28">
        <v>133.68</v>
      </c>
      <c r="O78" s="30">
        <f>SUM($G$78:$N$78)</f>
        <v>1035.18</v>
      </c>
      <c r="P78" s="30">
        <f t="array" ref="P78">INDEX(М[Цена за ед., руб],MATCH(1,IF(($B78=М[Наим.])*($C78=М[Артикул, марка, произв.])*($D78=М[Хар-ка])*($R78=М[Прим.]),{1},($B78=М[Наим.])*($C78=М[Артикул, марка, произв.])*($D78=М[Хар-ка])*($R78=М[Прим.])),0))</f>
        <v>0</v>
      </c>
      <c r="Q78" s="30">
        <f>ROUND($O$78*$P$78,2)</f>
        <v>0</v>
      </c>
      <c r="R78" s="25" t="s">
        <v>38</v>
      </c>
      <c r="S78" s="25" t="str">
        <f t="array" ref="S78">INDEX(М[Форма закупа],MATCH(1,IF(($B78=М[Наим.])*($C78=М[Артикул, марка, произв.])*($D78=М[Хар-ка])*($R78=М[Прим.]),{1},($B78=М[Наим.])*($C78=М[Артикул, марка, произв.])*($D78=М[Хар-ка])*($R78=М[Прим.])),0))</f>
        <v>Закупка подрядчик</v>
      </c>
    </row>
    <row r="79" spans="1:19" ht="11.1" customHeight="1" outlineLevel="4" x14ac:dyDescent="0.2">
      <c r="A79" s="20"/>
      <c r="B79" s="14" t="s">
        <v>28</v>
      </c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66"/>
      <c r="Q79" s="67">
        <f>SUM($Q$80)</f>
        <v>0</v>
      </c>
      <c r="R79" s="18"/>
      <c r="S79" s="22"/>
    </row>
    <row r="80" spans="1:19" ht="11.1" customHeight="1" outlineLevel="4" x14ac:dyDescent="0.2">
      <c r="A80" s="23"/>
      <c r="B80" s="24" t="s">
        <v>106</v>
      </c>
      <c r="C80" s="25"/>
      <c r="D80" s="25"/>
      <c r="E80" s="26" t="s">
        <v>30</v>
      </c>
      <c r="F80" s="27"/>
      <c r="G80" s="28">
        <v>261.93</v>
      </c>
      <c r="H80" s="28">
        <v>276.98</v>
      </c>
      <c r="I80" s="29">
        <v>266.8</v>
      </c>
      <c r="J80" s="28">
        <v>217.36</v>
      </c>
      <c r="K80" s="28">
        <v>217.43</v>
      </c>
      <c r="L80" s="28">
        <v>278.23</v>
      </c>
      <c r="M80" s="28">
        <v>263.23</v>
      </c>
      <c r="N80" s="29">
        <v>265.3</v>
      </c>
      <c r="O80" s="30">
        <f>SUM($G$80:$N$80)</f>
        <v>2047.26</v>
      </c>
      <c r="P80" s="30">
        <f t="array" ref="P80">INDEX(Р[Цена за ед., руб],MATCH(1,IF(($B80=Р[Наименование])*($R80=Р[Примечание]),{1},($B80=Р[Наименование])*($R80=Р[Примечание])),0))</f>
        <v>0</v>
      </c>
      <c r="Q80" s="30">
        <f>ROUND($O$80*$P$80,2)</f>
        <v>0</v>
      </c>
      <c r="R80" s="25" t="s">
        <v>107</v>
      </c>
      <c r="S80" s="25"/>
    </row>
    <row r="81" spans="1:19" ht="11.1" customHeight="1" outlineLevel="4" x14ac:dyDescent="0.2">
      <c r="A81" s="20"/>
      <c r="B81" s="14" t="s">
        <v>32</v>
      </c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66"/>
      <c r="Q81" s="67">
        <f>SUM($Q$82:$Q$87)</f>
        <v>0</v>
      </c>
      <c r="R81" s="18"/>
      <c r="S81" s="22"/>
    </row>
    <row r="82" spans="1:19" ht="35.1" customHeight="1" outlineLevel="4" x14ac:dyDescent="0.2">
      <c r="A82" s="23" t="s">
        <v>33</v>
      </c>
      <c r="B82" s="24" t="s">
        <v>85</v>
      </c>
      <c r="C82" s="25"/>
      <c r="D82" s="25" t="s">
        <v>108</v>
      </c>
      <c r="E82" s="26" t="s">
        <v>47</v>
      </c>
      <c r="F82" s="27"/>
      <c r="G82" s="32">
        <v>160</v>
      </c>
      <c r="H82" s="32">
        <v>180</v>
      </c>
      <c r="I82" s="32">
        <v>120</v>
      </c>
      <c r="J82" s="32">
        <v>180</v>
      </c>
      <c r="K82" s="32">
        <v>180</v>
      </c>
      <c r="L82" s="32">
        <v>150</v>
      </c>
      <c r="M82" s="32">
        <v>140</v>
      </c>
      <c r="N82" s="32">
        <v>150</v>
      </c>
      <c r="O82" s="33">
        <f>SUM($G$82:$N$82)</f>
        <v>1260</v>
      </c>
      <c r="P82" s="30">
        <f t="array" ref="P82">INDEX(М[Цена за ед., руб],MATCH(1,IF(($B82=М[Наим.])*($C82=М[Артикул, марка, произв.])*($D82=М[Хар-ка])*($R82=М[Прим.]),{1},($B82=М[Наим.])*($C82=М[Артикул, марка, произв.])*($D82=М[Хар-ка])*($R82=М[Прим.])),0))</f>
        <v>0</v>
      </c>
      <c r="Q82" s="30">
        <f>ROUND($O$82*$P$82,2)</f>
        <v>0</v>
      </c>
      <c r="R82" s="25"/>
      <c r="S82" s="25" t="str">
        <f t="array" ref="S82">INDEX(М[Форма закупа],MATCH(1,IF(($B82=М[Наим.])*($C82=М[Артикул, марка, произв.])*($D82=М[Хар-ка])*($R82=М[Прим.]),{1},($B82=М[Наим.])*($C82=М[Артикул, марка, произв.])*($D82=М[Хар-ка])*($R82=М[Прим.])),0))</f>
        <v>Закупка подрядчик</v>
      </c>
    </row>
    <row r="83" spans="1:19" ht="35.1" customHeight="1" outlineLevel="4" x14ac:dyDescent="0.2">
      <c r="A83" s="23" t="s">
        <v>43</v>
      </c>
      <c r="B83" s="24" t="s">
        <v>85</v>
      </c>
      <c r="C83" s="25"/>
      <c r="D83" s="25" t="s">
        <v>109</v>
      </c>
      <c r="E83" s="26" t="s">
        <v>47</v>
      </c>
      <c r="F83" s="27"/>
      <c r="G83" s="32">
        <v>780</v>
      </c>
      <c r="H83" s="32">
        <v>810</v>
      </c>
      <c r="I83" s="32">
        <v>900</v>
      </c>
      <c r="J83" s="32">
        <v>590</v>
      </c>
      <c r="K83" s="32">
        <v>590</v>
      </c>
      <c r="L83" s="32">
        <v>780</v>
      </c>
      <c r="M83" s="32">
        <v>780</v>
      </c>
      <c r="N83" s="32">
        <v>840</v>
      </c>
      <c r="O83" s="33">
        <f>SUM($G$83:$N$83)</f>
        <v>6070</v>
      </c>
      <c r="P83" s="30">
        <f t="array" ref="P83">INDEX(М[Цена за ед., руб],MATCH(1,IF(($B83=М[Наим.])*($C83=М[Артикул, марка, произв.])*($D83=М[Хар-ка])*($R83=М[Прим.]),{1},($B83=М[Наим.])*($C83=М[Артикул, марка, произв.])*($D83=М[Хар-ка])*($R83=М[Прим.])),0))</f>
        <v>0</v>
      </c>
      <c r="Q83" s="30">
        <f>ROUND($O$83*$P$83,2)</f>
        <v>0</v>
      </c>
      <c r="R83" s="25"/>
      <c r="S83" s="25" t="str">
        <f t="array" ref="S83">INDEX(М[Форма закупа],MATCH(1,IF(($B83=М[Наим.])*($C83=М[Артикул, марка, произв.])*($D83=М[Хар-ка])*($R83=М[Прим.]),{1},($B83=М[Наим.])*($C83=М[Артикул, марка, произв.])*($D83=М[Хар-ка])*($R83=М[Прим.])),0))</f>
        <v>Закупка подрядчик</v>
      </c>
    </row>
    <row r="84" spans="1:19" ht="11.1" customHeight="1" outlineLevel="4" x14ac:dyDescent="0.2">
      <c r="A84" s="23" t="s">
        <v>69</v>
      </c>
      <c r="B84" s="24" t="s">
        <v>72</v>
      </c>
      <c r="C84" s="25"/>
      <c r="D84" s="25" t="s">
        <v>73</v>
      </c>
      <c r="E84" s="26" t="s">
        <v>30</v>
      </c>
      <c r="F84" s="31">
        <v>2.0499999999999998</v>
      </c>
      <c r="G84" s="28">
        <v>536.97</v>
      </c>
      <c r="H84" s="29">
        <v>567.79999999999995</v>
      </c>
      <c r="I84" s="28">
        <v>546.94000000000005</v>
      </c>
      <c r="J84" s="28">
        <v>445.58</v>
      </c>
      <c r="K84" s="28">
        <v>445.73</v>
      </c>
      <c r="L84" s="28">
        <v>570.37</v>
      </c>
      <c r="M84" s="28">
        <v>539.62</v>
      </c>
      <c r="N84" s="28">
        <v>543.86</v>
      </c>
      <c r="O84" s="30">
        <f>SUM($G$84:$N$84)</f>
        <v>4196.87</v>
      </c>
      <c r="P84" s="30">
        <f t="array" ref="P84">INDEX(М[Цена за ед., руб],MATCH(1,IF(($B84=М[Наим.])*($C84=М[Артикул, марка, произв.])*($D84=М[Хар-ка])*($R84=М[Прим.]),{1},($B84=М[Наим.])*($C84=М[Артикул, марка, произв.])*($D84=М[Хар-ка])*($R84=М[Прим.])),0))</f>
        <v>0</v>
      </c>
      <c r="Q84" s="30">
        <f>ROUND($O$84*$P$84,2)</f>
        <v>0</v>
      </c>
      <c r="R84" s="25" t="s">
        <v>74</v>
      </c>
      <c r="S84" s="25" t="str">
        <f t="array" ref="S84">INDEX(М[Форма закупа],MATCH(1,IF(($B84=М[Наим.])*($C84=М[Артикул, марка, произв.])*($D84=М[Хар-ка])*($R84=М[Прим.]),{1},($B84=М[Наим.])*($C84=М[Артикул, марка, произв.])*($D84=М[Хар-ка])*($R84=М[Прим.])),0))</f>
        <v>Закупка подрядчик</v>
      </c>
    </row>
    <row r="85" spans="1:19" ht="35.1" customHeight="1" outlineLevel="4" x14ac:dyDescent="0.2">
      <c r="A85" s="23" t="s">
        <v>110</v>
      </c>
      <c r="B85" s="24" t="s">
        <v>111</v>
      </c>
      <c r="C85" s="25"/>
      <c r="D85" s="25" t="s">
        <v>112</v>
      </c>
      <c r="E85" s="26" t="s">
        <v>53</v>
      </c>
      <c r="F85" s="31">
        <v>1.05</v>
      </c>
      <c r="G85" s="28">
        <v>1.22</v>
      </c>
      <c r="H85" s="28">
        <v>1.27</v>
      </c>
      <c r="I85" s="28">
        <v>1.42</v>
      </c>
      <c r="J85" s="28">
        <v>0.92</v>
      </c>
      <c r="K85" s="28">
        <v>0.92</v>
      </c>
      <c r="L85" s="28">
        <v>1.47</v>
      </c>
      <c r="M85" s="28">
        <v>1.23</v>
      </c>
      <c r="N85" s="28">
        <v>1.32</v>
      </c>
      <c r="O85" s="28">
        <f>SUM($G$85:$N$85)</f>
        <v>9.77</v>
      </c>
      <c r="P85" s="30">
        <f t="array" ref="P85">INDEX(М[Цена за ед., руб],MATCH(1,IF(($B85=М[Наим.])*($C85=М[Артикул, марка, произв.])*($D85=М[Хар-ка])*($R85=М[Прим.]),{1},($B85=М[Наим.])*($C85=М[Артикул, марка, произв.])*($D85=М[Хар-ка])*($R85=М[Прим.])),0))</f>
        <v>0</v>
      </c>
      <c r="Q85" s="30">
        <f>ROUND($O$85*$P$85,2)</f>
        <v>0</v>
      </c>
      <c r="R85" s="25"/>
      <c r="S85" s="25" t="str">
        <f t="array" ref="S85">INDEX(М[Форма закупа],MATCH(1,IF(($B85=М[Наим.])*($C85=М[Артикул, марка, произв.])*($D85=М[Хар-ка])*($R85=М[Прим.]),{1},($B85=М[Наим.])*($C85=М[Артикул, марка, произв.])*($D85=М[Хар-ка])*($R85=М[Прим.])),0))</f>
        <v>Закупка подрядчик</v>
      </c>
    </row>
    <row r="86" spans="1:19" ht="35.1" customHeight="1" outlineLevel="4" x14ac:dyDescent="0.2">
      <c r="A86" s="23" t="s">
        <v>113</v>
      </c>
      <c r="B86" s="24" t="s">
        <v>111</v>
      </c>
      <c r="C86" s="25"/>
      <c r="D86" s="25" t="s">
        <v>114</v>
      </c>
      <c r="E86" s="26" t="s">
        <v>53</v>
      </c>
      <c r="F86" s="31">
        <v>1.05</v>
      </c>
      <c r="G86" s="28">
        <v>0.36</v>
      </c>
      <c r="H86" s="28">
        <v>0.42</v>
      </c>
      <c r="I86" s="28">
        <v>0.27</v>
      </c>
      <c r="J86" s="28">
        <v>0.42</v>
      </c>
      <c r="K86" s="28">
        <v>0.42</v>
      </c>
      <c r="L86" s="28">
        <v>0.33</v>
      </c>
      <c r="M86" s="28">
        <v>0.33</v>
      </c>
      <c r="N86" s="28">
        <v>0.35</v>
      </c>
      <c r="O86" s="29">
        <f>SUM($G$86:$N$86)</f>
        <v>2.9</v>
      </c>
      <c r="P86" s="30">
        <f t="array" ref="P86">INDEX(М[Цена за ед., руб],MATCH(1,IF(($B86=М[Наим.])*($C86=М[Артикул, марка, произв.])*($D86=М[Хар-ка])*($R86=М[Прим.]),{1},($B86=М[Наим.])*($C86=М[Артикул, марка, произв.])*($D86=М[Хар-ка])*($R86=М[Прим.])),0))</f>
        <v>0</v>
      </c>
      <c r="Q86" s="30">
        <f>ROUND($O$86*$P$86,2)</f>
        <v>0</v>
      </c>
      <c r="R86" s="25"/>
      <c r="S86" s="25" t="str">
        <f t="array" ref="S86">INDEX(М[Форма закупа],MATCH(1,IF(($B86=М[Наим.])*($C86=М[Артикул, марка, произв.])*($D86=М[Хар-ка])*($R86=М[Прим.]),{1},($B86=М[Наим.])*($C86=М[Артикул, марка, произв.])*($D86=М[Хар-ка])*($R86=М[Прим.])),0))</f>
        <v>Закупка подрядчик</v>
      </c>
    </row>
    <row r="87" spans="1:19" ht="11.1" customHeight="1" outlineLevel="4" x14ac:dyDescent="0.2">
      <c r="A87" s="23" t="s">
        <v>115</v>
      </c>
      <c r="B87" s="24" t="s">
        <v>77</v>
      </c>
      <c r="C87" s="25"/>
      <c r="D87" s="25" t="s">
        <v>78</v>
      </c>
      <c r="E87" s="26" t="s">
        <v>47</v>
      </c>
      <c r="F87" s="27"/>
      <c r="G87" s="32">
        <v>940</v>
      </c>
      <c r="H87" s="32">
        <v>990</v>
      </c>
      <c r="I87" s="33">
        <v>1020</v>
      </c>
      <c r="J87" s="32">
        <v>770</v>
      </c>
      <c r="K87" s="32">
        <v>770</v>
      </c>
      <c r="L87" s="32">
        <v>930</v>
      </c>
      <c r="M87" s="32">
        <v>920</v>
      </c>
      <c r="N87" s="32">
        <v>990</v>
      </c>
      <c r="O87" s="33">
        <f>SUM($G$87:$N$87)</f>
        <v>7330</v>
      </c>
      <c r="P87" s="30">
        <f t="array" ref="P87">INDEX(М[Цена за ед., руб],MATCH(1,IF(($B87=М[Наим.])*($C87=М[Артикул, марка, произв.])*($D87=М[Хар-ка])*($R87=М[Прим.]),{1},($B87=М[Наим.])*($C87=М[Артикул, марка, произв.])*($D87=М[Хар-ка])*($R87=М[Прим.])),0))</f>
        <v>0</v>
      </c>
      <c r="Q87" s="30">
        <f>ROUND($O$87*$P$87,2)</f>
        <v>0</v>
      </c>
      <c r="R87" s="25"/>
      <c r="S87" s="25" t="str">
        <f t="array" ref="S87">INDEX(М[Форма закупа],MATCH(1,IF(($B87=М[Наим.])*($C87=М[Артикул, марка, произв.])*($D87=М[Хар-ка])*($R87=М[Прим.]),{1},($B87=М[Наим.])*($C87=М[Артикул, марка, произв.])*($D87=М[Хар-ка])*($R87=М[Прим.])),0))</f>
        <v>Закупка подрядчик</v>
      </c>
    </row>
    <row r="88" spans="1:19" ht="11.1" customHeight="1" outlineLevel="4" x14ac:dyDescent="0.2">
      <c r="A88" s="20"/>
      <c r="B88" s="14" t="s">
        <v>28</v>
      </c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66"/>
      <c r="Q88" s="67">
        <f>SUM($Q$89)</f>
        <v>0</v>
      </c>
      <c r="R88" s="18"/>
      <c r="S88" s="22"/>
    </row>
    <row r="89" spans="1:19" s="99" customFormat="1" ht="23.1" customHeight="1" outlineLevel="4" x14ac:dyDescent="0.2">
      <c r="A89" s="90"/>
      <c r="B89" s="91" t="s">
        <v>116</v>
      </c>
      <c r="C89" s="92"/>
      <c r="D89" s="92"/>
      <c r="E89" s="93" t="s">
        <v>30</v>
      </c>
      <c r="F89" s="94"/>
      <c r="G89" s="95">
        <v>79.36</v>
      </c>
      <c r="H89" s="95">
        <v>82.37</v>
      </c>
      <c r="I89" s="96">
        <v>85.6</v>
      </c>
      <c r="J89" s="95">
        <v>59.08</v>
      </c>
      <c r="K89" s="95">
        <v>60.45</v>
      </c>
      <c r="L89" s="95">
        <v>86.11</v>
      </c>
      <c r="M89" s="95">
        <v>80.989999999999995</v>
      </c>
      <c r="N89" s="97">
        <v>82</v>
      </c>
      <c r="O89" s="95">
        <f>SUM($G$89:$N$89)</f>
        <v>615.96</v>
      </c>
      <c r="P89" s="98">
        <f t="array" ref="P89">INDEX(Р[Цена за ед., руб],MATCH(1,IF(($B89=Р[Наименование])*($R89=Р[Примечание]),{1},($B89=Р[Наименование])*($R89=Р[Примечание])),0))</f>
        <v>0</v>
      </c>
      <c r="Q89" s="98">
        <f>ROUND($O$89*$P$89,2)</f>
        <v>0</v>
      </c>
      <c r="R89" s="92" t="s">
        <v>117</v>
      </c>
      <c r="S89" s="92"/>
    </row>
    <row r="90" spans="1:19" ht="11.1" customHeight="1" outlineLevel="4" x14ac:dyDescent="0.2">
      <c r="A90" s="20"/>
      <c r="B90" s="14" t="s">
        <v>32</v>
      </c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66"/>
      <c r="Q90" s="67">
        <f>SUM($Q$91:$Q$92)</f>
        <v>0</v>
      </c>
      <c r="R90" s="18"/>
      <c r="S90" s="22"/>
    </row>
    <row r="91" spans="1:19" ht="11.1" customHeight="1" outlineLevel="4" x14ac:dyDescent="0.2">
      <c r="A91" s="23" t="s">
        <v>33</v>
      </c>
      <c r="B91" s="24" t="s">
        <v>66</v>
      </c>
      <c r="C91" s="25"/>
      <c r="D91" s="25" t="s">
        <v>68</v>
      </c>
      <c r="E91" s="26" t="s">
        <v>30</v>
      </c>
      <c r="F91" s="31">
        <v>1.1000000000000001</v>
      </c>
      <c r="G91" s="32">
        <v>90</v>
      </c>
      <c r="H91" s="32">
        <v>95</v>
      </c>
      <c r="I91" s="32">
        <v>95</v>
      </c>
      <c r="J91" s="32">
        <v>65</v>
      </c>
      <c r="K91" s="32">
        <v>70</v>
      </c>
      <c r="L91" s="32">
        <v>95</v>
      </c>
      <c r="M91" s="32">
        <v>90</v>
      </c>
      <c r="N91" s="32">
        <v>95</v>
      </c>
      <c r="O91" s="32">
        <f>SUM($G$91:$N$91)</f>
        <v>695</v>
      </c>
      <c r="P91" s="30">
        <f t="array" ref="P91">INDEX(М[Цена за ед., руб],MATCH(1,IF(($B91=М[Наим.])*($C91=М[Артикул, марка, произв.])*($D91=М[Хар-ка])*($R91=М[Прим.]),{1},($B91=М[Наим.])*($C91=М[Артикул, марка, произв.])*($D91=М[Хар-ка])*($R91=М[Прим.])),0))</f>
        <v>0</v>
      </c>
      <c r="Q91" s="30">
        <f>ROUND($O$91*$P$91,2)</f>
        <v>0</v>
      </c>
      <c r="R91" s="25"/>
      <c r="S91" s="25" t="str">
        <f t="array" ref="S91">INDEX(М[Форма закупа],MATCH(1,IF(($B91=М[Наим.])*($C91=М[Артикул, марка, произв.])*($D91=М[Хар-ка])*($R91=М[Прим.]),{1},($B91=М[Наим.])*($C91=М[Артикул, марка, произв.])*($D91=М[Хар-ка])*($R91=М[Прим.])),0))</f>
        <v>Закупка подрядчик</v>
      </c>
    </row>
    <row r="92" spans="1:19" ht="11.1" customHeight="1" outlineLevel="4" x14ac:dyDescent="0.2">
      <c r="A92" s="23" t="s">
        <v>43</v>
      </c>
      <c r="B92" s="24" t="s">
        <v>70</v>
      </c>
      <c r="C92" s="25"/>
      <c r="D92" s="25"/>
      <c r="E92" s="26" t="s">
        <v>37</v>
      </c>
      <c r="F92" s="31">
        <v>0.47</v>
      </c>
      <c r="G92" s="29">
        <v>37.299999999999997</v>
      </c>
      <c r="H92" s="28">
        <v>38.72</v>
      </c>
      <c r="I92" s="28">
        <v>40.229999999999997</v>
      </c>
      <c r="J92" s="28">
        <v>27.77</v>
      </c>
      <c r="K92" s="28">
        <v>28.41</v>
      </c>
      <c r="L92" s="28">
        <v>40.47</v>
      </c>
      <c r="M92" s="28">
        <v>38.06</v>
      </c>
      <c r="N92" s="28">
        <v>38.54</v>
      </c>
      <c r="O92" s="29">
        <f>SUM($G$92:$N$92)</f>
        <v>289.5</v>
      </c>
      <c r="P92" s="30">
        <f t="array" ref="P92">INDEX(М[Цена за ед., руб],MATCH(1,IF(($B92=М[Наим.])*($C92=М[Артикул, марка, произв.])*($D92=М[Хар-ка])*($R92=М[Прим.]),{1},($B92=М[Наим.])*($C92=М[Артикул, марка, произв.])*($D92=М[Хар-ка])*($R92=М[Прим.])),0))</f>
        <v>0</v>
      </c>
      <c r="Q92" s="30">
        <f>ROUND($O$92*$P$92,2)</f>
        <v>0</v>
      </c>
      <c r="R92" s="25"/>
      <c r="S92" s="25" t="str">
        <f t="array" ref="S92">INDEX(М[Форма закупа],MATCH(1,IF(($B92=М[Наим.])*($C92=М[Артикул, марка, произв.])*($D92=М[Хар-ка])*($R92=М[Прим.]),{1},($B92=М[Наим.])*($C92=М[Артикул, марка, произв.])*($D92=М[Хар-ка])*($R92=М[Прим.])),0))</f>
        <v>Закупка подрядчик</v>
      </c>
    </row>
    <row r="93" spans="1:19" ht="11.1" customHeight="1" outlineLevel="4" x14ac:dyDescent="0.2">
      <c r="A93" s="20"/>
      <c r="B93" s="14" t="s">
        <v>28</v>
      </c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66"/>
      <c r="Q93" s="67">
        <f>SUM($Q$94)</f>
        <v>0</v>
      </c>
      <c r="R93" s="18"/>
      <c r="S93" s="22"/>
    </row>
    <row r="94" spans="1:19" ht="23.1" customHeight="1" outlineLevel="4" x14ac:dyDescent="0.2">
      <c r="A94" s="23"/>
      <c r="B94" s="24" t="s">
        <v>118</v>
      </c>
      <c r="C94" s="25"/>
      <c r="D94" s="25"/>
      <c r="E94" s="26" t="s">
        <v>30</v>
      </c>
      <c r="F94" s="27"/>
      <c r="G94" s="28">
        <v>33.04</v>
      </c>
      <c r="H94" s="28">
        <v>31.38</v>
      </c>
      <c r="I94" s="28">
        <v>33.96</v>
      </c>
      <c r="J94" s="28">
        <v>26.39</v>
      </c>
      <c r="K94" s="28">
        <v>26.41</v>
      </c>
      <c r="L94" s="28">
        <v>32.69</v>
      </c>
      <c r="M94" s="28">
        <v>33.75</v>
      </c>
      <c r="N94" s="28">
        <v>32.17</v>
      </c>
      <c r="O94" s="28">
        <f>SUM($G$94:$N$94)</f>
        <v>249.79000000000002</v>
      </c>
      <c r="P94" s="30">
        <f t="array" ref="P94">INDEX(Р[Цена за ед., руб],MATCH(1,IF(($B94=Р[Наименование])*($R94=Р[Примечание]),{1},($B94=Р[Наименование])*($R94=Р[Примечание])),0))</f>
        <v>0</v>
      </c>
      <c r="Q94" s="30">
        <f>ROUND($O$94*$P$94,2)</f>
        <v>0</v>
      </c>
      <c r="R94" s="25"/>
      <c r="S94" s="25"/>
    </row>
    <row r="95" spans="1:19" ht="11.1" customHeight="1" outlineLevel="4" x14ac:dyDescent="0.2">
      <c r="A95" s="20"/>
      <c r="B95" s="14" t="s">
        <v>32</v>
      </c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66"/>
      <c r="Q95" s="67">
        <f>SUM($Q$96:$Q$98)</f>
        <v>0</v>
      </c>
      <c r="R95" s="18"/>
      <c r="S95" s="22"/>
    </row>
    <row r="96" spans="1:19" ht="11.1" customHeight="1" outlineLevel="4" x14ac:dyDescent="0.2">
      <c r="A96" s="23" t="s">
        <v>33</v>
      </c>
      <c r="B96" s="24" t="s">
        <v>72</v>
      </c>
      <c r="C96" s="25"/>
      <c r="D96" s="25" t="s">
        <v>73</v>
      </c>
      <c r="E96" s="26" t="s">
        <v>30</v>
      </c>
      <c r="F96" s="31">
        <v>1.05</v>
      </c>
      <c r="G96" s="28">
        <v>34.69</v>
      </c>
      <c r="H96" s="28">
        <v>32.950000000000003</v>
      </c>
      <c r="I96" s="28">
        <v>35.659999999999997</v>
      </c>
      <c r="J96" s="28">
        <v>27.71</v>
      </c>
      <c r="K96" s="28">
        <v>27.73</v>
      </c>
      <c r="L96" s="28">
        <v>34.33</v>
      </c>
      <c r="M96" s="28">
        <v>35.44</v>
      </c>
      <c r="N96" s="28">
        <v>33.78</v>
      </c>
      <c r="O96" s="28">
        <f>SUM($G$96:$N$96)</f>
        <v>262.28999999999996</v>
      </c>
      <c r="P96" s="30">
        <f t="array" ref="P96">INDEX(М[Цена за ед., руб],MATCH(1,IF(($B96=М[Наим.])*($C96=М[Артикул, марка, произв.])*($D96=М[Хар-ка])*($R96=М[Прим.]),{1},($B96=М[Наим.])*($C96=М[Артикул, марка, произв.])*($D96=М[Хар-ка])*($R96=М[Прим.])),0))</f>
        <v>0</v>
      </c>
      <c r="Q96" s="30">
        <f>ROUND($O$96*$P$96,2)</f>
        <v>0</v>
      </c>
      <c r="R96" s="25"/>
      <c r="S96" s="25" t="str">
        <f t="array" ref="S96">INDEX(М[Форма закупа],MATCH(1,IF(($B96=М[Наим.])*($C96=М[Артикул, марка, произв.])*($D96=М[Хар-ка])*($R96=М[Прим.]),{1},($B96=М[Наим.])*($C96=М[Артикул, марка, произв.])*($D96=М[Хар-ка])*($R96=М[Прим.])),0))</f>
        <v>Закупка подрядчик</v>
      </c>
    </row>
    <row r="97" spans="1:19" ht="11.1" customHeight="1" outlineLevel="4" x14ac:dyDescent="0.2">
      <c r="A97" s="23" t="s">
        <v>43</v>
      </c>
      <c r="B97" s="24" t="s">
        <v>77</v>
      </c>
      <c r="C97" s="25"/>
      <c r="D97" s="25" t="s">
        <v>78</v>
      </c>
      <c r="E97" s="26" t="s">
        <v>47</v>
      </c>
      <c r="F97" s="27"/>
      <c r="G97" s="32">
        <v>399</v>
      </c>
      <c r="H97" s="32">
        <v>371</v>
      </c>
      <c r="I97" s="32">
        <v>451</v>
      </c>
      <c r="J97" s="32">
        <v>343</v>
      </c>
      <c r="K97" s="32">
        <v>343</v>
      </c>
      <c r="L97" s="32">
        <v>423</v>
      </c>
      <c r="M97" s="32">
        <v>421</v>
      </c>
      <c r="N97" s="32">
        <v>390</v>
      </c>
      <c r="O97" s="33">
        <f>SUM($G$97:$N$97)</f>
        <v>3141</v>
      </c>
      <c r="P97" s="30">
        <f t="array" ref="P97">INDEX(М[Цена за ед., руб],MATCH(1,IF(($B97=М[Наим.])*($C97=М[Артикул, марка, произв.])*($D97=М[Хар-ка])*($R97=М[Прим.]),{1},($B97=М[Наим.])*($C97=М[Артикул, марка, произв.])*($D97=М[Хар-ка])*($R97=М[Прим.])),0))</f>
        <v>0</v>
      </c>
      <c r="Q97" s="30">
        <f>ROUND($O$97*$P$97,2)</f>
        <v>0</v>
      </c>
      <c r="R97" s="25" t="s">
        <v>119</v>
      </c>
      <c r="S97" s="25" t="str">
        <f t="array" ref="S97">INDEX(М[Форма закупа],MATCH(1,IF(($B97=М[Наим.])*($C97=М[Артикул, марка, произв.])*($D97=М[Хар-ка])*($R97=М[Прим.]),{1},($B97=М[Наим.])*($C97=М[Артикул, марка, произв.])*($D97=М[Хар-ка])*($R97=М[Прим.])),0))</f>
        <v>Закупка подрядчик</v>
      </c>
    </row>
    <row r="98" spans="1:19" ht="23.1" customHeight="1" outlineLevel="4" x14ac:dyDescent="0.2">
      <c r="A98" s="23" t="s">
        <v>69</v>
      </c>
      <c r="B98" s="24" t="s">
        <v>98</v>
      </c>
      <c r="C98" s="25"/>
      <c r="D98" s="25" t="s">
        <v>99</v>
      </c>
      <c r="E98" s="26" t="s">
        <v>47</v>
      </c>
      <c r="F98" s="27"/>
      <c r="G98" s="32">
        <v>334</v>
      </c>
      <c r="H98" s="32">
        <v>326</v>
      </c>
      <c r="I98" s="32">
        <v>303</v>
      </c>
      <c r="J98" s="32">
        <v>243</v>
      </c>
      <c r="K98" s="32">
        <v>243</v>
      </c>
      <c r="L98" s="32">
        <v>303</v>
      </c>
      <c r="M98" s="32">
        <v>328</v>
      </c>
      <c r="N98" s="32">
        <v>324</v>
      </c>
      <c r="O98" s="33">
        <f>SUM($G$98:$N$98)</f>
        <v>2404</v>
      </c>
      <c r="P98" s="30">
        <f t="array" ref="P98">INDEX(М[Цена за ед., руб],MATCH(1,IF(($B98=М[Наим.])*($C98=М[Артикул, марка, произв.])*($D98=М[Хар-ка])*($R98=М[Прим.]),{1},($B98=М[Наим.])*($C98=М[Артикул, марка, произв.])*($D98=М[Хар-ка])*($R98=М[Прим.])),0))</f>
        <v>0</v>
      </c>
      <c r="Q98" s="30">
        <f>ROUND($O$98*$P$98,2)</f>
        <v>0</v>
      </c>
      <c r="R98" s="25" t="s">
        <v>120</v>
      </c>
      <c r="S98" s="25" t="str">
        <f t="array" ref="S98">INDEX(М[Форма закупа],MATCH(1,IF(($B98=М[Наим.])*($C98=М[Артикул, марка, произв.])*($D98=М[Хар-ка])*($R98=М[Прим.]),{1},($B98=М[Наим.])*($C98=М[Артикул, марка, произв.])*($D98=М[Хар-ка])*($R98=М[Прим.])),0))</f>
        <v>Закупка подрядчик</v>
      </c>
    </row>
    <row r="99" spans="1:19" ht="11.1" customHeight="1" outlineLevel="4" x14ac:dyDescent="0.2">
      <c r="A99" s="20"/>
      <c r="B99" s="14" t="s">
        <v>28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66"/>
      <c r="Q99" s="67">
        <f>SUM($Q$100)</f>
        <v>0</v>
      </c>
      <c r="R99" s="18"/>
      <c r="S99" s="22"/>
    </row>
    <row r="100" spans="1:19" ht="35.1" customHeight="1" outlineLevel="4" x14ac:dyDescent="0.2">
      <c r="A100" s="23"/>
      <c r="B100" s="24" t="s">
        <v>121</v>
      </c>
      <c r="C100" s="25"/>
      <c r="D100" s="25"/>
      <c r="E100" s="26" t="s">
        <v>30</v>
      </c>
      <c r="F100" s="27"/>
      <c r="G100" s="28">
        <v>446.87</v>
      </c>
      <c r="H100" s="28">
        <v>454.06</v>
      </c>
      <c r="I100" s="28">
        <v>458.78</v>
      </c>
      <c r="J100" s="28">
        <v>365.51</v>
      </c>
      <c r="K100" s="28">
        <v>365.67</v>
      </c>
      <c r="L100" s="29">
        <v>463.6</v>
      </c>
      <c r="M100" s="28">
        <v>450.51</v>
      </c>
      <c r="N100" s="28">
        <v>445.59</v>
      </c>
      <c r="O100" s="30">
        <f>SUM($G$100:$N$100)</f>
        <v>3450.59</v>
      </c>
      <c r="P100" s="30">
        <f t="array" ref="P100">INDEX(Р[Цена за ед., руб],MATCH(1,IF(($B100=Р[Наименование])*($R100=Р[Примечание]),{1},($B100=Р[Наименование])*($R100=Р[Примечание])),0))</f>
        <v>0</v>
      </c>
      <c r="Q100" s="30">
        <f>ROUND($O$100*$P$100,2)</f>
        <v>0</v>
      </c>
      <c r="R100" s="25"/>
      <c r="S100" s="25"/>
    </row>
    <row r="101" spans="1:19" ht="11.1" customHeight="1" outlineLevel="4" x14ac:dyDescent="0.2">
      <c r="A101" s="20"/>
      <c r="B101" s="14" t="s">
        <v>32</v>
      </c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66"/>
      <c r="Q101" s="67">
        <f>SUM($Q$102:$Q$104)</f>
        <v>0</v>
      </c>
      <c r="R101" s="18"/>
      <c r="S101" s="22"/>
    </row>
    <row r="102" spans="1:19" ht="11.1" customHeight="1" outlineLevel="4" x14ac:dyDescent="0.2">
      <c r="A102" s="23" t="s">
        <v>33</v>
      </c>
      <c r="B102" s="24" t="s">
        <v>66</v>
      </c>
      <c r="C102" s="25"/>
      <c r="D102" s="25" t="s">
        <v>67</v>
      </c>
      <c r="E102" s="26" t="s">
        <v>30</v>
      </c>
      <c r="F102" s="31">
        <v>1.1399999999999999</v>
      </c>
      <c r="G102" s="28">
        <v>509.43</v>
      </c>
      <c r="H102" s="28">
        <v>517.62</v>
      </c>
      <c r="I102" s="28">
        <v>523.01</v>
      </c>
      <c r="J102" s="28">
        <v>416.69</v>
      </c>
      <c r="K102" s="28">
        <v>416.87</v>
      </c>
      <c r="L102" s="29">
        <v>528.5</v>
      </c>
      <c r="M102" s="28">
        <v>513.58000000000004</v>
      </c>
      <c r="N102" s="28">
        <v>507.97</v>
      </c>
      <c r="O102" s="30">
        <f>SUM($G$102:$N$102)</f>
        <v>3933.67</v>
      </c>
      <c r="P102" s="30">
        <f t="array" ref="P102">INDEX(М[Цена за ед., руб],MATCH(1,IF(($B102=М[Наим.])*($C102=М[Артикул, марка, произв.])*($D102=М[Хар-ка])*($R102=М[Прим.]),{1},($B102=М[Наим.])*($C102=М[Артикул, марка, произв.])*($D102=М[Хар-ка])*($R102=М[Прим.])),0))</f>
        <v>0</v>
      </c>
      <c r="Q102" s="30">
        <f>ROUND($O$102*$P$102,2)</f>
        <v>0</v>
      </c>
      <c r="R102" s="25"/>
      <c r="S102" s="25" t="str">
        <f t="array" ref="S102">INDEX(М[Форма закупа],MATCH(1,IF(($B102=М[Наим.])*($C102=М[Артикул, марка, произв.])*($D102=М[Хар-ка])*($R102=М[Прим.]),{1},($B102=М[Наим.])*($C102=М[Артикул, марка, произв.])*($D102=М[Хар-ка])*($R102=М[Прим.])),0))</f>
        <v>Закупка подрядчик</v>
      </c>
    </row>
    <row r="103" spans="1:19" ht="11.1" customHeight="1" outlineLevel="4" x14ac:dyDescent="0.2">
      <c r="A103" s="23" t="s">
        <v>43</v>
      </c>
      <c r="B103" s="24" t="s">
        <v>66</v>
      </c>
      <c r="C103" s="25"/>
      <c r="D103" s="25" t="s">
        <v>68</v>
      </c>
      <c r="E103" s="26" t="s">
        <v>30</v>
      </c>
      <c r="F103" s="31">
        <v>1.1599999999999999</v>
      </c>
      <c r="G103" s="28">
        <v>467.26</v>
      </c>
      <c r="H103" s="28">
        <v>478.17</v>
      </c>
      <c r="I103" s="28">
        <v>479.66</v>
      </c>
      <c r="J103" s="28">
        <v>383.18</v>
      </c>
      <c r="K103" s="28">
        <v>383.34</v>
      </c>
      <c r="L103" s="29">
        <v>487.2</v>
      </c>
      <c r="M103" s="28">
        <v>470.38</v>
      </c>
      <c r="N103" s="28">
        <v>467.13</v>
      </c>
      <c r="O103" s="30">
        <f>SUM($G$103:$N$103)</f>
        <v>3616.32</v>
      </c>
      <c r="P103" s="30">
        <f t="array" ref="P103">INDEX(М[Цена за ед., руб],MATCH(1,IF(($B103=М[Наим.])*($C103=М[Артикул, марка, произв.])*($D103=М[Хар-ка])*($R103=М[Прим.]),{1},($B103=М[Наим.])*($C103=М[Артикул, марка, произв.])*($D103=М[Хар-ка])*($R103=М[Прим.])),0))</f>
        <v>0</v>
      </c>
      <c r="Q103" s="30">
        <f>ROUND($O$103*$P$103,2)</f>
        <v>0</v>
      </c>
      <c r="R103" s="25"/>
      <c r="S103" s="25" t="str">
        <f t="array" ref="S103">INDEX(М[Форма закупа],MATCH(1,IF(($B103=М[Наим.])*($C103=М[Артикул, марка, произв.])*($D103=М[Хар-ка])*($R103=М[Прим.]),{1},($B103=М[Наим.])*($C103=М[Артикул, марка, произв.])*($D103=М[Хар-ка])*($R103=М[Прим.])),0))</f>
        <v>Закупка подрядчик</v>
      </c>
    </row>
    <row r="104" spans="1:19" ht="11.1" customHeight="1" outlineLevel="4" x14ac:dyDescent="0.2">
      <c r="A104" s="23" t="s">
        <v>69</v>
      </c>
      <c r="B104" s="24" t="s">
        <v>70</v>
      </c>
      <c r="C104" s="25"/>
      <c r="D104" s="25"/>
      <c r="E104" s="26" t="s">
        <v>37</v>
      </c>
      <c r="F104" s="31">
        <v>0.94</v>
      </c>
      <c r="G104" s="28">
        <v>573.89</v>
      </c>
      <c r="H104" s="28">
        <v>572.92999999999995</v>
      </c>
      <c r="I104" s="28">
        <v>589.38</v>
      </c>
      <c r="J104" s="28">
        <v>466.46</v>
      </c>
      <c r="K104" s="29">
        <v>466.7</v>
      </c>
      <c r="L104" s="28">
        <v>588.01</v>
      </c>
      <c r="M104" s="28">
        <v>580.64</v>
      </c>
      <c r="N104" s="28">
        <v>568.63</v>
      </c>
      <c r="O104" s="30">
        <f>SUM($G$104:$N$104)</f>
        <v>4406.6399999999994</v>
      </c>
      <c r="P104" s="30">
        <f t="array" ref="P104">INDEX(М[Цена за ед., руб],MATCH(1,IF(($B104=М[Наим.])*($C104=М[Артикул, марка, произв.])*($D104=М[Хар-ка])*($R104=М[Прим.]),{1},($B104=М[Наим.])*($C104=М[Артикул, марка, произв.])*($D104=М[Хар-ка])*($R104=М[Прим.])),0))</f>
        <v>0</v>
      </c>
      <c r="Q104" s="30">
        <f>ROUND($O$104*$P$104,2)</f>
        <v>0</v>
      </c>
      <c r="R104" s="25"/>
      <c r="S104" s="25" t="str">
        <f t="array" ref="S104">INDEX(М[Форма закупа],MATCH(1,IF(($B104=М[Наим.])*($C104=М[Артикул, марка, произв.])*($D104=М[Хар-ка])*($R104=М[Прим.]),{1},($B104=М[Наим.])*($C104=М[Артикул, марка, произв.])*($D104=М[Хар-ка])*($R104=М[Прим.])),0))</f>
        <v>Закупка подрядчик</v>
      </c>
    </row>
    <row r="105" spans="1:19" ht="11.1" customHeight="1" outlineLevel="4" x14ac:dyDescent="0.2">
      <c r="A105" s="20"/>
      <c r="B105" s="14" t="s">
        <v>28</v>
      </c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66"/>
      <c r="Q105" s="67">
        <f>SUM($Q$106)</f>
        <v>0</v>
      </c>
      <c r="R105" s="18"/>
      <c r="S105" s="22"/>
    </row>
    <row r="106" spans="1:19" ht="35.1" customHeight="1" outlineLevel="4" x14ac:dyDescent="0.2">
      <c r="A106" s="23"/>
      <c r="B106" s="24" t="s">
        <v>122</v>
      </c>
      <c r="C106" s="25"/>
      <c r="D106" s="25"/>
      <c r="E106" s="26" t="s">
        <v>30</v>
      </c>
      <c r="F106" s="27"/>
      <c r="G106" s="28">
        <v>79.08</v>
      </c>
      <c r="H106" s="28">
        <v>69.59</v>
      </c>
      <c r="I106" s="28">
        <v>78.62</v>
      </c>
      <c r="J106" s="28">
        <v>66.290000000000006</v>
      </c>
      <c r="K106" s="28">
        <v>66.31</v>
      </c>
      <c r="L106" s="28">
        <v>80.25</v>
      </c>
      <c r="M106" s="28">
        <v>69.77</v>
      </c>
      <c r="N106" s="28">
        <v>70.33</v>
      </c>
      <c r="O106" s="28">
        <f>SUM($G$106:$N$106)</f>
        <v>580.24</v>
      </c>
      <c r="P106" s="30">
        <f t="array" ref="P106">INDEX(Р[Цена за ед., руб],MATCH(1,IF(($B106=Р[Наименование])*($R106=Р[Примечание]),{1},($B106=Р[Наименование])*($R106=Р[Примечание])),0))</f>
        <v>0</v>
      </c>
      <c r="Q106" s="30">
        <f>ROUND($O$106*$P$106,2)</f>
        <v>0</v>
      </c>
      <c r="R106" s="25" t="s">
        <v>123</v>
      </c>
      <c r="S106" s="25"/>
    </row>
    <row r="107" spans="1:19" ht="11.1" customHeight="1" outlineLevel="4" x14ac:dyDescent="0.2">
      <c r="A107" s="20"/>
      <c r="B107" s="14" t="s">
        <v>32</v>
      </c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66"/>
      <c r="Q107" s="67">
        <f>SUM($Q$108:$Q$109)</f>
        <v>0</v>
      </c>
      <c r="R107" s="18"/>
      <c r="S107" s="22"/>
    </row>
    <row r="108" spans="1:19" ht="23.1" customHeight="1" outlineLevel="4" x14ac:dyDescent="0.2">
      <c r="A108" s="23" t="s">
        <v>33</v>
      </c>
      <c r="B108" s="24" t="s">
        <v>40</v>
      </c>
      <c r="C108" s="25"/>
      <c r="D108" s="25" t="s">
        <v>41</v>
      </c>
      <c r="E108" s="26" t="s">
        <v>30</v>
      </c>
      <c r="F108" s="31">
        <v>1.1000000000000001</v>
      </c>
      <c r="G108" s="32">
        <v>90</v>
      </c>
      <c r="H108" s="32">
        <v>80</v>
      </c>
      <c r="I108" s="32">
        <v>90</v>
      </c>
      <c r="J108" s="32">
        <v>75</v>
      </c>
      <c r="K108" s="32">
        <v>75</v>
      </c>
      <c r="L108" s="32">
        <v>90</v>
      </c>
      <c r="M108" s="32">
        <v>80</v>
      </c>
      <c r="N108" s="32">
        <v>80</v>
      </c>
      <c r="O108" s="32">
        <f>SUM($G$108:$N$108)</f>
        <v>660</v>
      </c>
      <c r="P108" s="30">
        <f t="array" ref="P108">INDEX(М[Цена за ед., руб],MATCH(1,IF(($B108=М[Наим.])*($C108=М[Артикул, марка, произв.])*($D108=М[Хар-ка])*($R108=М[Прим.]),{1},($B108=М[Наим.])*($C108=М[Артикул, марка, произв.])*($D108=М[Хар-ка])*($R108=М[Прим.])),0))</f>
        <v>0</v>
      </c>
      <c r="Q108" s="30">
        <f>ROUND($O$108*$P$108,2)</f>
        <v>0</v>
      </c>
      <c r="R108" s="25" t="s">
        <v>42</v>
      </c>
      <c r="S108" s="25" t="str">
        <f t="array" ref="S108">INDEX(М[Форма закупа],MATCH(1,IF(($B108=М[Наим.])*($C108=М[Артикул, марка, произв.])*($D108=М[Хар-ка])*($R108=М[Прим.]),{1},($B108=М[Наим.])*($C108=М[Артикул, марка, произв.])*($D108=М[Хар-ка])*($R108=М[Прим.])),0))</f>
        <v>Закупка подрядчик</v>
      </c>
    </row>
    <row r="109" spans="1:19" ht="35.1" customHeight="1" outlineLevel="4" x14ac:dyDescent="0.2">
      <c r="A109" s="23" t="s">
        <v>43</v>
      </c>
      <c r="B109" s="24" t="s">
        <v>44</v>
      </c>
      <c r="C109" s="25" t="s">
        <v>45</v>
      </c>
      <c r="D109" s="25" t="s">
        <v>46</v>
      </c>
      <c r="E109" s="26" t="s">
        <v>47</v>
      </c>
      <c r="F109" s="27"/>
      <c r="G109" s="32">
        <v>3</v>
      </c>
      <c r="H109" s="32">
        <v>2</v>
      </c>
      <c r="I109" s="32">
        <v>3</v>
      </c>
      <c r="J109" s="32">
        <v>2</v>
      </c>
      <c r="K109" s="32">
        <v>2</v>
      </c>
      <c r="L109" s="32">
        <v>3</v>
      </c>
      <c r="M109" s="32">
        <v>2</v>
      </c>
      <c r="N109" s="32">
        <v>2</v>
      </c>
      <c r="O109" s="32">
        <f>SUM($G$109:$N$109)</f>
        <v>19</v>
      </c>
      <c r="P109" s="30">
        <f t="array" ref="P109">INDEX(М[Цена за ед., руб],MATCH(1,IF(($B109=М[Наим.])*($C109=М[Артикул, марка, произв.])*($D109=М[Хар-ка])*($R109=М[Прим.]),{1},($B109=М[Наим.])*($C109=М[Артикул, марка, произв.])*($D109=М[Хар-ка])*($R109=М[Прим.])),0))</f>
        <v>0</v>
      </c>
      <c r="Q109" s="30">
        <f>ROUND($O$109*$P$109,2)</f>
        <v>0</v>
      </c>
      <c r="R109" s="25" t="s">
        <v>124</v>
      </c>
      <c r="S109" s="25" t="str">
        <f t="array" ref="S109">INDEX(М[Форма закупа],MATCH(1,IF(($B109=М[Наим.])*($C109=М[Артикул, марка, произв.])*($D109=М[Хар-ка])*($R109=М[Прим.]),{1},($B109=М[Наим.])*($C109=М[Артикул, марка, произв.])*($D109=М[Хар-ка])*($R109=М[Прим.])),0))</f>
        <v>Закупка подрядчик</v>
      </c>
    </row>
    <row r="110" spans="1:19" ht="23.1" customHeight="1" outlineLevel="2" x14ac:dyDescent="0.2">
      <c r="A110" s="13" t="s">
        <v>125</v>
      </c>
      <c r="B110" s="14" t="s">
        <v>126</v>
      </c>
      <c r="C110" s="15"/>
      <c r="D110" s="15"/>
      <c r="E110" s="16"/>
      <c r="F110" s="17"/>
      <c r="G110" s="18"/>
      <c r="H110" s="18"/>
      <c r="I110" s="18"/>
      <c r="J110" s="18"/>
      <c r="K110" s="18"/>
      <c r="L110" s="18"/>
      <c r="M110" s="18"/>
      <c r="N110" s="18"/>
      <c r="O110" s="18"/>
      <c r="P110" s="65"/>
      <c r="Q110" s="65">
        <f>SUM($Q$111)</f>
        <v>0</v>
      </c>
      <c r="R110" s="19"/>
      <c r="S110" s="19"/>
    </row>
    <row r="111" spans="1:19" ht="23.1" customHeight="1" outlineLevel="3" x14ac:dyDescent="0.2">
      <c r="A111" s="13" t="s">
        <v>127</v>
      </c>
      <c r="B111" s="14" t="s">
        <v>128</v>
      </c>
      <c r="C111" s="15"/>
      <c r="D111" s="15"/>
      <c r="E111" s="16"/>
      <c r="F111" s="17"/>
      <c r="G111" s="18"/>
      <c r="H111" s="18"/>
      <c r="I111" s="18"/>
      <c r="J111" s="18"/>
      <c r="K111" s="18"/>
      <c r="L111" s="18"/>
      <c r="M111" s="18"/>
      <c r="N111" s="18"/>
      <c r="O111" s="18"/>
      <c r="P111" s="65"/>
      <c r="Q111" s="65">
        <f>SUM($Q$120,$Q$118,$Q$114,$Q$112)</f>
        <v>0</v>
      </c>
      <c r="R111" s="19"/>
      <c r="S111" s="19"/>
    </row>
    <row r="112" spans="1:19" ht="11.1" customHeight="1" outlineLevel="4" x14ac:dyDescent="0.2">
      <c r="A112" s="20"/>
      <c r="B112" s="14" t="s">
        <v>28</v>
      </c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66"/>
      <c r="Q112" s="67">
        <f>SUM($Q$113)</f>
        <v>0</v>
      </c>
      <c r="R112" s="18"/>
      <c r="S112" s="22"/>
    </row>
    <row r="113" spans="1:19" ht="11.1" customHeight="1" outlineLevel="4" x14ac:dyDescent="0.2">
      <c r="A113" s="23"/>
      <c r="B113" s="24" t="s">
        <v>129</v>
      </c>
      <c r="C113" s="25"/>
      <c r="D113" s="25"/>
      <c r="E113" s="26" t="s">
        <v>47</v>
      </c>
      <c r="F113" s="27"/>
      <c r="G113" s="32">
        <v>9</v>
      </c>
      <c r="H113" s="32">
        <v>8</v>
      </c>
      <c r="I113" s="32">
        <v>11</v>
      </c>
      <c r="J113" s="32">
        <v>9</v>
      </c>
      <c r="K113" s="32">
        <v>9</v>
      </c>
      <c r="L113" s="32">
        <v>11</v>
      </c>
      <c r="M113" s="32">
        <v>10</v>
      </c>
      <c r="N113" s="32">
        <v>10</v>
      </c>
      <c r="O113" s="32">
        <f>SUM($G$113:$N$113)</f>
        <v>77</v>
      </c>
      <c r="P113" s="30">
        <f t="array" ref="P113">INDEX(Р[Цена за ед., руб],MATCH(1,IF(($B113=Р[Наименование])*($R113=Р[Примечание]),{1},($B113=Р[Наименование])*($R113=Р[Примечание])),0))</f>
        <v>0</v>
      </c>
      <c r="Q113" s="30">
        <f>ROUND($O$113*$P$113,2)</f>
        <v>0</v>
      </c>
      <c r="R113" s="25"/>
      <c r="S113" s="25"/>
    </row>
    <row r="114" spans="1:19" ht="11.1" customHeight="1" outlineLevel="4" x14ac:dyDescent="0.2">
      <c r="A114" s="20"/>
      <c r="B114" s="14" t="s">
        <v>32</v>
      </c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66"/>
      <c r="Q114" s="67">
        <f>SUM($Q$115:$Q$117)</f>
        <v>0</v>
      </c>
      <c r="R114" s="18"/>
      <c r="S114" s="22"/>
    </row>
    <row r="115" spans="1:19" ht="11.1" customHeight="1" outlineLevel="4" x14ac:dyDescent="0.2">
      <c r="A115" s="23" t="s">
        <v>33</v>
      </c>
      <c r="B115" s="24" t="s">
        <v>66</v>
      </c>
      <c r="C115" s="25"/>
      <c r="D115" s="25" t="s">
        <v>67</v>
      </c>
      <c r="E115" s="26" t="s">
        <v>30</v>
      </c>
      <c r="F115" s="31">
        <v>1</v>
      </c>
      <c r="G115" s="32">
        <v>9</v>
      </c>
      <c r="H115" s="32">
        <v>8</v>
      </c>
      <c r="I115" s="32">
        <v>11</v>
      </c>
      <c r="J115" s="32">
        <v>9</v>
      </c>
      <c r="K115" s="32">
        <v>9</v>
      </c>
      <c r="L115" s="32">
        <v>11</v>
      </c>
      <c r="M115" s="32">
        <v>10</v>
      </c>
      <c r="N115" s="32">
        <v>10</v>
      </c>
      <c r="O115" s="32">
        <f>SUM($G$115:$N$115)</f>
        <v>77</v>
      </c>
      <c r="P115" s="30">
        <f t="array" ref="P115">INDEX(М[Цена за ед., руб],MATCH(1,IF(($B115=М[Наим.])*($C115=М[Артикул, марка, произв.])*($D115=М[Хар-ка])*($R115=М[Прим.]),{1},($B115=М[Наим.])*($C115=М[Артикул, марка, произв.])*($D115=М[Хар-ка])*($R115=М[Прим.])),0))</f>
        <v>0</v>
      </c>
      <c r="Q115" s="30">
        <f>ROUND($O$115*$P$115,2)</f>
        <v>0</v>
      </c>
      <c r="R115" s="25"/>
      <c r="S115" s="25" t="str">
        <f t="array" ref="S115">INDEX(М[Форма закупа],MATCH(1,IF(($B115=М[Наим.])*($C115=М[Артикул, марка, произв.])*($D115=М[Хар-ка])*($R115=М[Прим.]),{1},($B115=М[Наим.])*($C115=М[Артикул, марка, произв.])*($D115=М[Хар-ка])*($R115=М[Прим.])),0))</f>
        <v>Закупка подрядчик</v>
      </c>
    </row>
    <row r="116" spans="1:19" ht="11.1" customHeight="1" outlineLevel="4" x14ac:dyDescent="0.2">
      <c r="A116" s="23" t="s">
        <v>43</v>
      </c>
      <c r="B116" s="24" t="s">
        <v>66</v>
      </c>
      <c r="C116" s="25"/>
      <c r="D116" s="25" t="s">
        <v>68</v>
      </c>
      <c r="E116" s="26" t="s">
        <v>30</v>
      </c>
      <c r="F116" s="31">
        <v>1</v>
      </c>
      <c r="G116" s="32">
        <v>9</v>
      </c>
      <c r="H116" s="32">
        <v>8</v>
      </c>
      <c r="I116" s="32">
        <v>11</v>
      </c>
      <c r="J116" s="32">
        <v>9</v>
      </c>
      <c r="K116" s="32">
        <v>9</v>
      </c>
      <c r="L116" s="32">
        <v>11</v>
      </c>
      <c r="M116" s="32">
        <v>10</v>
      </c>
      <c r="N116" s="32">
        <v>10</v>
      </c>
      <c r="O116" s="32">
        <f>SUM($G$116:$N$116)</f>
        <v>77</v>
      </c>
      <c r="P116" s="30">
        <f t="array" ref="P116">INDEX(М[Цена за ед., руб],MATCH(1,IF(($B116=М[Наим.])*($C116=М[Артикул, марка, произв.])*($D116=М[Хар-ка])*($R116=М[Прим.]),{1},($B116=М[Наим.])*($C116=М[Артикул, марка, произв.])*($D116=М[Хар-ка])*($R116=М[Прим.])),0))</f>
        <v>0</v>
      </c>
      <c r="Q116" s="30">
        <f>ROUND($O$116*$P$116,2)</f>
        <v>0</v>
      </c>
      <c r="R116" s="25"/>
      <c r="S116" s="25" t="str">
        <f t="array" ref="S116">INDEX(М[Форма закупа],MATCH(1,IF(($B116=М[Наим.])*($C116=М[Артикул, марка, произв.])*($D116=М[Хар-ка])*($R116=М[Прим.]),{1},($B116=М[Наим.])*($C116=М[Артикул, марка, произв.])*($D116=М[Хар-ка])*($R116=М[Прим.])),0))</f>
        <v>Закупка подрядчик</v>
      </c>
    </row>
    <row r="117" spans="1:19" ht="23.1" customHeight="1" outlineLevel="4" x14ac:dyDescent="0.2">
      <c r="A117" s="23" t="s">
        <v>69</v>
      </c>
      <c r="B117" s="24" t="s">
        <v>130</v>
      </c>
      <c r="C117" s="25"/>
      <c r="D117" s="25" t="s">
        <v>131</v>
      </c>
      <c r="E117" s="26" t="s">
        <v>47</v>
      </c>
      <c r="F117" s="27"/>
      <c r="G117" s="32">
        <v>9</v>
      </c>
      <c r="H117" s="32">
        <v>8</v>
      </c>
      <c r="I117" s="32">
        <v>11</v>
      </c>
      <c r="J117" s="32">
        <v>9</v>
      </c>
      <c r="K117" s="32">
        <v>9</v>
      </c>
      <c r="L117" s="32">
        <v>11</v>
      </c>
      <c r="M117" s="32">
        <v>10</v>
      </c>
      <c r="N117" s="32">
        <v>10</v>
      </c>
      <c r="O117" s="32">
        <f>SUM($G$117:$N$117)</f>
        <v>77</v>
      </c>
      <c r="P117" s="30">
        <f t="array" ref="P117">INDEX(М[Цена за ед., руб],MATCH(1,IF(($B117=М[Наим.])*($C117=М[Артикул, марка, произв.])*($D117=М[Хар-ка])*($R117=М[Прим.]),{1},($B117=М[Наим.])*($C117=М[Артикул, марка, произв.])*($D117=М[Хар-ка])*($R117=М[Прим.])),0))</f>
        <v>0</v>
      </c>
      <c r="Q117" s="30">
        <f>ROUND($O$117*$P$117,2)</f>
        <v>0</v>
      </c>
      <c r="R117" s="25" t="s">
        <v>132</v>
      </c>
      <c r="S117" s="25" t="str">
        <f t="array" ref="S117">INDEX(М[Форма закупа],MATCH(1,IF(($B117=М[Наим.])*($C117=М[Артикул, марка, произв.])*($D117=М[Хар-ка])*($R117=М[Прим.]),{1},($B117=М[Наим.])*($C117=М[Артикул, марка, произв.])*($D117=М[Хар-ка])*($R117=М[Прим.])),0))</f>
        <v>Закупка подрядчик</v>
      </c>
    </row>
    <row r="118" spans="1:19" ht="11.1" customHeight="1" outlineLevel="4" x14ac:dyDescent="0.2">
      <c r="A118" s="20"/>
      <c r="B118" s="14" t="s">
        <v>28</v>
      </c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66"/>
      <c r="Q118" s="67">
        <f>SUM($Q$119)</f>
        <v>0</v>
      </c>
      <c r="R118" s="18"/>
      <c r="S118" s="22"/>
    </row>
    <row r="119" spans="1:19" ht="11.1" customHeight="1" outlineLevel="4" x14ac:dyDescent="0.2">
      <c r="A119" s="23"/>
      <c r="B119" s="24" t="s">
        <v>133</v>
      </c>
      <c r="C119" s="25"/>
      <c r="D119" s="25"/>
      <c r="E119" s="26" t="s">
        <v>47</v>
      </c>
      <c r="F119" s="27"/>
      <c r="G119" s="32">
        <v>2</v>
      </c>
      <c r="H119" s="32">
        <v>2</v>
      </c>
      <c r="I119" s="32">
        <v>3</v>
      </c>
      <c r="J119" s="32">
        <v>2</v>
      </c>
      <c r="K119" s="32">
        <v>2</v>
      </c>
      <c r="L119" s="32">
        <v>3</v>
      </c>
      <c r="M119" s="32">
        <v>2</v>
      </c>
      <c r="N119" s="32">
        <v>2</v>
      </c>
      <c r="O119" s="32">
        <f>SUM($G$119:$N$119)</f>
        <v>18</v>
      </c>
      <c r="P119" s="30">
        <f t="array" ref="P119">INDEX(Р[Цена за ед., руб],MATCH(1,IF(($B119=Р[Наименование])*($R119=Р[Примечание]),{1},($B119=Р[Наименование])*($R119=Р[Примечание])),0))</f>
        <v>0</v>
      </c>
      <c r="Q119" s="30">
        <f>ROUND($O$119*$P$119,2)</f>
        <v>0</v>
      </c>
      <c r="R119" s="25"/>
      <c r="S119" s="25"/>
    </row>
    <row r="120" spans="1:19" ht="11.1" customHeight="1" outlineLevel="4" x14ac:dyDescent="0.2">
      <c r="A120" s="20"/>
      <c r="B120" s="14" t="s">
        <v>32</v>
      </c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66"/>
      <c r="Q120" s="67">
        <f>SUM($Q$121:$Q$123)</f>
        <v>0</v>
      </c>
      <c r="R120" s="18"/>
      <c r="S120" s="22"/>
    </row>
    <row r="121" spans="1:19" ht="11.1" customHeight="1" outlineLevel="4" x14ac:dyDescent="0.2">
      <c r="A121" s="23" t="s">
        <v>33</v>
      </c>
      <c r="B121" s="24" t="s">
        <v>66</v>
      </c>
      <c r="C121" s="25"/>
      <c r="D121" s="25" t="s">
        <v>68</v>
      </c>
      <c r="E121" s="26" t="s">
        <v>30</v>
      </c>
      <c r="F121" s="31">
        <v>1</v>
      </c>
      <c r="G121" s="32">
        <v>2</v>
      </c>
      <c r="H121" s="32">
        <v>2</v>
      </c>
      <c r="I121" s="32">
        <v>3</v>
      </c>
      <c r="J121" s="32">
        <v>2</v>
      </c>
      <c r="K121" s="32">
        <v>2</v>
      </c>
      <c r="L121" s="32">
        <v>3</v>
      </c>
      <c r="M121" s="32">
        <v>2</v>
      </c>
      <c r="N121" s="32">
        <v>2</v>
      </c>
      <c r="O121" s="32">
        <f>SUM($G$121:$N$121)</f>
        <v>18</v>
      </c>
      <c r="P121" s="30">
        <f t="array" ref="P121">INDEX(М[Цена за ед., руб],MATCH(1,IF(($B121=М[Наим.])*($C121=М[Артикул, марка, произв.])*($D121=М[Хар-ка])*($R121=М[Прим.]),{1},($B121=М[Наим.])*($C121=М[Артикул, марка, произв.])*($D121=М[Хар-ка])*($R121=М[Прим.])),0))</f>
        <v>0</v>
      </c>
      <c r="Q121" s="30">
        <f>ROUND($O$121*$P$121,2)</f>
        <v>0</v>
      </c>
      <c r="R121" s="25"/>
      <c r="S121" s="25" t="str">
        <f t="array" ref="S121">INDEX(М[Форма закупа],MATCH(1,IF(($B121=М[Наим.])*($C121=М[Артикул, марка, произв.])*($D121=М[Хар-ка])*($R121=М[Прим.]),{1},($B121=М[Наим.])*($C121=М[Артикул, марка, произв.])*($D121=М[Хар-ка])*($R121=М[Прим.])),0))</f>
        <v>Закупка подрядчик</v>
      </c>
    </row>
    <row r="122" spans="1:19" ht="11.1" customHeight="1" outlineLevel="4" x14ac:dyDescent="0.2">
      <c r="A122" s="23" t="s">
        <v>43</v>
      </c>
      <c r="B122" s="24" t="s">
        <v>54</v>
      </c>
      <c r="C122" s="25"/>
      <c r="D122" s="25" t="s">
        <v>55</v>
      </c>
      <c r="E122" s="26" t="s">
        <v>56</v>
      </c>
      <c r="F122" s="27"/>
      <c r="G122" s="32">
        <v>2</v>
      </c>
      <c r="H122" s="32">
        <v>2</v>
      </c>
      <c r="I122" s="32">
        <v>3</v>
      </c>
      <c r="J122" s="32">
        <v>2</v>
      </c>
      <c r="K122" s="32">
        <v>2</v>
      </c>
      <c r="L122" s="32">
        <v>3</v>
      </c>
      <c r="M122" s="32">
        <v>2</v>
      </c>
      <c r="N122" s="32">
        <v>2</v>
      </c>
      <c r="O122" s="32">
        <f>SUM($G$122:$N$122)</f>
        <v>18</v>
      </c>
      <c r="P122" s="30">
        <f t="array" ref="P122">INDEX(М[Цена за ед., руб],MATCH(1,IF(($B122=М[Наим.])*($C122=М[Артикул, марка, произв.])*($D122=М[Хар-ка])*($R122=М[Прим.]),{1},($B122=М[Наим.])*($C122=М[Артикул, марка, произв.])*($D122=М[Хар-ка])*($R122=М[Прим.])),0))</f>
        <v>0</v>
      </c>
      <c r="Q122" s="30">
        <f>ROUND($O$122*$P$122,2)</f>
        <v>0</v>
      </c>
      <c r="R122" s="25"/>
      <c r="S122" s="25" t="str">
        <f t="array" ref="S122">INDEX(М[Форма закупа],MATCH(1,IF(($B122=М[Наим.])*($C122=М[Артикул, марка, произв.])*($D122=М[Хар-ка])*($R122=М[Прим.]),{1},($B122=М[Наим.])*($C122=М[Артикул, марка, произв.])*($D122=М[Хар-ка])*($R122=М[Прим.])),0))</f>
        <v>Закупка подрядчик</v>
      </c>
    </row>
    <row r="123" spans="1:19" ht="105.95" customHeight="1" outlineLevel="4" x14ac:dyDescent="0.2">
      <c r="A123" s="23" t="s">
        <v>69</v>
      </c>
      <c r="B123" s="24" t="s">
        <v>134</v>
      </c>
      <c r="C123" s="25"/>
      <c r="D123" s="25" t="s">
        <v>135</v>
      </c>
      <c r="E123" s="26" t="s">
        <v>47</v>
      </c>
      <c r="F123" s="27"/>
      <c r="G123" s="32">
        <v>2</v>
      </c>
      <c r="H123" s="32">
        <v>2</v>
      </c>
      <c r="I123" s="32">
        <v>3</v>
      </c>
      <c r="J123" s="32">
        <v>2</v>
      </c>
      <c r="K123" s="32">
        <v>2</v>
      </c>
      <c r="L123" s="32">
        <v>3</v>
      </c>
      <c r="M123" s="32">
        <v>2</v>
      </c>
      <c r="N123" s="32">
        <v>2</v>
      </c>
      <c r="O123" s="32">
        <f>SUM($G$123:$N$123)</f>
        <v>18</v>
      </c>
      <c r="P123" s="30">
        <f t="array" ref="P123">INDEX(М[Цена за ед., руб],MATCH(1,IF(($B123=М[Наим.])*($C123=М[Артикул, марка, произв.])*($D123=М[Хар-ка])*($R123=М[Прим.]),{1},($B123=М[Наим.])*($C123=М[Артикул, марка, произв.])*($D123=М[Хар-ка])*($R123=М[Прим.])),0))</f>
        <v>0</v>
      </c>
      <c r="Q123" s="30">
        <f>ROUND($O$123*$P$123,2)</f>
        <v>0</v>
      </c>
      <c r="R123" s="25" t="s">
        <v>136</v>
      </c>
      <c r="S123" s="25" t="str">
        <f t="array" ref="S123">INDEX(М[Форма закупа],MATCH(1,IF(($B123=М[Наим.])*($C123=М[Артикул, марка, произв.])*($D123=М[Хар-ка])*($R123=М[Прим.]),{1},($B123=М[Наим.])*($C123=М[Артикул, марка, произв.])*($D123=М[Хар-ка])*($R123=М[Прим.])),0))</f>
        <v>Закупка подрядчик</v>
      </c>
    </row>
    <row r="124" spans="1:19" ht="11.1" customHeight="1" outlineLevel="2" x14ac:dyDescent="0.2">
      <c r="A124" s="13" t="s">
        <v>137</v>
      </c>
      <c r="B124" s="14" t="s">
        <v>138</v>
      </c>
      <c r="C124" s="15"/>
      <c r="D124" s="15"/>
      <c r="E124" s="16"/>
      <c r="F124" s="17"/>
      <c r="G124" s="18"/>
      <c r="H124" s="18"/>
      <c r="I124" s="18"/>
      <c r="J124" s="18"/>
      <c r="K124" s="18"/>
      <c r="L124" s="18"/>
      <c r="M124" s="18"/>
      <c r="N124" s="18"/>
      <c r="O124" s="18"/>
      <c r="P124" s="65"/>
      <c r="Q124" s="65">
        <f>SUM($Q$125)</f>
        <v>0</v>
      </c>
      <c r="R124" s="19"/>
      <c r="S124" s="19"/>
    </row>
    <row r="125" spans="1:19" ht="11.1" customHeight="1" outlineLevel="3" x14ac:dyDescent="0.2">
      <c r="A125" s="13" t="s">
        <v>139</v>
      </c>
      <c r="B125" s="14" t="s">
        <v>138</v>
      </c>
      <c r="C125" s="15"/>
      <c r="D125" s="15"/>
      <c r="E125" s="16"/>
      <c r="F125" s="17"/>
      <c r="G125" s="18"/>
      <c r="H125" s="18"/>
      <c r="I125" s="18"/>
      <c r="J125" s="18"/>
      <c r="K125" s="18"/>
      <c r="L125" s="18"/>
      <c r="M125" s="18"/>
      <c r="N125" s="18"/>
      <c r="O125" s="18"/>
      <c r="P125" s="65"/>
      <c r="Q125" s="65">
        <f>SUM($Q$128,$Q$126)</f>
        <v>0</v>
      </c>
      <c r="R125" s="19"/>
      <c r="S125" s="19"/>
    </row>
    <row r="126" spans="1:19" ht="11.1" customHeight="1" outlineLevel="4" x14ac:dyDescent="0.2">
      <c r="A126" s="20"/>
      <c r="B126" s="14" t="s">
        <v>28</v>
      </c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66"/>
      <c r="Q126" s="67">
        <f>SUM($Q$127)</f>
        <v>0</v>
      </c>
      <c r="R126" s="18"/>
      <c r="S126" s="22"/>
    </row>
    <row r="127" spans="1:19" ht="11.1" customHeight="1" outlineLevel="4" x14ac:dyDescent="0.2">
      <c r="A127" s="23"/>
      <c r="B127" s="24" t="s">
        <v>138</v>
      </c>
      <c r="C127" s="25"/>
      <c r="D127" s="25"/>
      <c r="E127" s="26" t="s">
        <v>92</v>
      </c>
      <c r="F127" s="27"/>
      <c r="G127" s="28">
        <v>20.190000000000001</v>
      </c>
      <c r="H127" s="28">
        <v>48.42</v>
      </c>
      <c r="I127" s="28">
        <v>19.22</v>
      </c>
      <c r="J127" s="28">
        <v>27.33</v>
      </c>
      <c r="K127" s="28">
        <v>27.33</v>
      </c>
      <c r="L127" s="28">
        <v>19.329999999999998</v>
      </c>
      <c r="M127" s="28">
        <v>32.01</v>
      </c>
      <c r="N127" s="28">
        <v>32.380000000000003</v>
      </c>
      <c r="O127" s="28">
        <f>SUM($G$127:$N$127)</f>
        <v>226.20999999999998</v>
      </c>
      <c r="P127" s="30">
        <f t="array" ref="P127">INDEX(Р[Цена за ед., руб],MATCH(1,IF(($B127=Р[Наименование])*($R127=Р[Примечание]),{1},($B127=Р[Наименование])*($R127=Р[Примечание])),0))</f>
        <v>0</v>
      </c>
      <c r="Q127" s="30">
        <f>ROUND($O$127*$P$127,2)</f>
        <v>0</v>
      </c>
      <c r="R127" s="25"/>
      <c r="S127" s="25"/>
    </row>
    <row r="128" spans="1:19" ht="11.1" customHeight="1" outlineLevel="4" x14ac:dyDescent="0.2">
      <c r="A128" s="20"/>
      <c r="B128" s="14" t="s">
        <v>32</v>
      </c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66"/>
      <c r="Q128" s="67">
        <f>SUM($Q$129:$Q$136)</f>
        <v>0</v>
      </c>
      <c r="R128" s="18"/>
      <c r="S128" s="22"/>
    </row>
    <row r="129" spans="1:19" ht="35.1" customHeight="1" outlineLevel="4" x14ac:dyDescent="0.2">
      <c r="A129" s="23" t="s">
        <v>33</v>
      </c>
      <c r="B129" s="24" t="s">
        <v>85</v>
      </c>
      <c r="C129" s="25"/>
      <c r="D129" s="25" t="s">
        <v>140</v>
      </c>
      <c r="E129" s="26" t="s">
        <v>47</v>
      </c>
      <c r="F129" s="27"/>
      <c r="G129" s="32">
        <v>408</v>
      </c>
      <c r="H129" s="32">
        <v>976</v>
      </c>
      <c r="I129" s="32">
        <v>392</v>
      </c>
      <c r="J129" s="32">
        <v>552</v>
      </c>
      <c r="K129" s="32">
        <v>552</v>
      </c>
      <c r="L129" s="32">
        <v>392</v>
      </c>
      <c r="M129" s="32">
        <v>648</v>
      </c>
      <c r="N129" s="32">
        <v>652</v>
      </c>
      <c r="O129" s="33">
        <f>SUM($G$129:$N$129)</f>
        <v>4572</v>
      </c>
      <c r="P129" s="30">
        <f t="array" ref="P129">INDEX(М[Цена за ед., руб],MATCH(1,IF(($B129=М[Наим.])*($C129=М[Артикул, марка, произв.])*($D129=М[Хар-ка])*($R129=М[Прим.]),{1},($B129=М[Наим.])*($C129=М[Артикул, марка, произв.])*($D129=М[Хар-ка])*($R129=М[Прим.])),0))</f>
        <v>0</v>
      </c>
      <c r="Q129" s="30">
        <f>ROUND($O$129*$P$129,2)</f>
        <v>0</v>
      </c>
      <c r="R129" s="25"/>
      <c r="S129" s="25" t="str">
        <f t="array" ref="S129">INDEX(М[Форма закупа],MATCH(1,IF(($B129=М[Наим.])*($C129=М[Артикул, марка, произв.])*($D129=М[Хар-ка])*($R129=М[Прим.]),{1},($B129=М[Наим.])*($C129=М[Артикул, марка, произв.])*($D129=М[Хар-ка])*($R129=М[Прим.])),0))</f>
        <v>Закупка подрядчик</v>
      </c>
    </row>
    <row r="130" spans="1:19" ht="59.1" customHeight="1" outlineLevel="4" x14ac:dyDescent="0.2">
      <c r="A130" s="23" t="s">
        <v>43</v>
      </c>
      <c r="B130" s="24" t="s">
        <v>141</v>
      </c>
      <c r="C130" s="25"/>
      <c r="D130" s="25" t="s">
        <v>142</v>
      </c>
      <c r="E130" s="26" t="s">
        <v>92</v>
      </c>
      <c r="F130" s="31">
        <v>1.05</v>
      </c>
      <c r="G130" s="27"/>
      <c r="H130" s="28">
        <v>30.32</v>
      </c>
      <c r="I130" s="27"/>
      <c r="J130" s="28">
        <v>14.14</v>
      </c>
      <c r="K130" s="28">
        <v>14.14</v>
      </c>
      <c r="L130" s="27"/>
      <c r="M130" s="28">
        <v>14.64</v>
      </c>
      <c r="N130" s="28">
        <v>14.64</v>
      </c>
      <c r="O130" s="28">
        <f>SUM($G$130:$N$130)</f>
        <v>87.88000000000001</v>
      </c>
      <c r="P130" s="30">
        <f t="array" ref="P130">INDEX(М[Цена за ед., руб],MATCH(1,IF(($B130=М[Наим.])*($C130=М[Артикул, марка, произв.])*($D130=М[Хар-ка])*($R130=М[Прим.]),{1},($B130=М[Наим.])*($C130=М[Артикул, марка, произв.])*($D130=М[Хар-ка])*($R130=М[Прим.])),0))</f>
        <v>0</v>
      </c>
      <c r="Q130" s="30">
        <f>ROUND($O$130*$P$130,2)</f>
        <v>0</v>
      </c>
      <c r="R130" s="25" t="s">
        <v>143</v>
      </c>
      <c r="S130" s="25" t="str">
        <f t="array" ref="S130">INDEX(М[Форма закупа],MATCH(1,IF(($B130=М[Наим.])*($C130=М[Артикул, марка, произв.])*($D130=М[Хар-ка])*($R130=М[Прим.]),{1},($B130=М[Наим.])*($C130=М[Артикул, марка, произв.])*($D130=М[Хар-ка])*($R130=М[Прим.])),0))</f>
        <v>Закупка подрядчик</v>
      </c>
    </row>
    <row r="131" spans="1:19" ht="59.1" customHeight="1" outlineLevel="4" x14ac:dyDescent="0.2">
      <c r="A131" s="23" t="s">
        <v>69</v>
      </c>
      <c r="B131" s="24" t="s">
        <v>141</v>
      </c>
      <c r="C131" s="25"/>
      <c r="D131" s="25" t="s">
        <v>144</v>
      </c>
      <c r="E131" s="26" t="s">
        <v>92</v>
      </c>
      <c r="F131" s="31">
        <v>1.05</v>
      </c>
      <c r="G131" s="27"/>
      <c r="H131" s="28">
        <v>30.32</v>
      </c>
      <c r="I131" s="27"/>
      <c r="J131" s="28">
        <v>14.14</v>
      </c>
      <c r="K131" s="28">
        <v>14.14</v>
      </c>
      <c r="L131" s="27"/>
      <c r="M131" s="28">
        <v>14.64</v>
      </c>
      <c r="N131" s="28">
        <v>14.64</v>
      </c>
      <c r="O131" s="28">
        <f>SUM($G$131:$N$131)</f>
        <v>87.88000000000001</v>
      </c>
      <c r="P131" s="30">
        <f t="array" ref="P131">INDEX(М[Цена за ед., руб],MATCH(1,IF(($B131=М[Наим.])*($C131=М[Артикул, марка, произв.])*($D131=М[Хар-ка])*($R131=М[Прим.]),{1},($B131=М[Наим.])*($C131=М[Артикул, марка, произв.])*($D131=М[Хар-ка])*($R131=М[Прим.])),0))</f>
        <v>0</v>
      </c>
      <c r="Q131" s="30">
        <f>ROUND($O$131*$P$131,2)</f>
        <v>0</v>
      </c>
      <c r="R131" s="25" t="s">
        <v>145</v>
      </c>
      <c r="S131" s="25" t="str">
        <f t="array" ref="S131">INDEX(М[Форма закупа],MATCH(1,IF(($B131=М[Наим.])*($C131=М[Артикул, марка, произв.])*($D131=М[Хар-ка])*($R131=М[Прим.]),{1},($B131=М[Наим.])*($C131=М[Артикул, марка, произв.])*($D131=М[Хар-ка])*($R131=М[Прим.])),0))</f>
        <v>Закупка подрядчик</v>
      </c>
    </row>
    <row r="132" spans="1:19" ht="59.1" customHeight="1" outlineLevel="4" x14ac:dyDescent="0.2">
      <c r="A132" s="23" t="s">
        <v>110</v>
      </c>
      <c r="B132" s="24" t="s">
        <v>141</v>
      </c>
      <c r="C132" s="25"/>
      <c r="D132" s="25" t="s">
        <v>146</v>
      </c>
      <c r="E132" s="26" t="s">
        <v>92</v>
      </c>
      <c r="F132" s="31">
        <v>1.05</v>
      </c>
      <c r="G132" s="28">
        <v>11.85</v>
      </c>
      <c r="H132" s="28">
        <v>8.76</v>
      </c>
      <c r="I132" s="28">
        <v>8.4700000000000006</v>
      </c>
      <c r="J132" s="28">
        <v>5.79</v>
      </c>
      <c r="K132" s="28">
        <v>5.79</v>
      </c>
      <c r="L132" s="28">
        <v>8.49</v>
      </c>
      <c r="M132" s="28">
        <v>8.6300000000000008</v>
      </c>
      <c r="N132" s="28">
        <v>8.94</v>
      </c>
      <c r="O132" s="28">
        <f>SUM($G$132:$N$132)</f>
        <v>66.72</v>
      </c>
      <c r="P132" s="30">
        <f t="array" ref="P132">INDEX(М[Цена за ед., руб],MATCH(1,IF(($B132=М[Наим.])*($C132=М[Артикул, марка, произв.])*($D132=М[Хар-ка])*($R132=М[Прим.]),{1},($B132=М[Наим.])*($C132=М[Артикул, марка, произв.])*($D132=М[Хар-ка])*($R132=М[Прим.])),0))</f>
        <v>0</v>
      </c>
      <c r="Q132" s="30">
        <f>ROUND($O$132*$P$132,2)</f>
        <v>0</v>
      </c>
      <c r="R132" s="25" t="s">
        <v>147</v>
      </c>
      <c r="S132" s="25" t="str">
        <f t="array" ref="S132">INDEX(М[Форма закупа],MATCH(1,IF(($B132=М[Наим.])*($C132=М[Артикул, марка, произв.])*($D132=М[Хар-ка])*($R132=М[Прим.]),{1},($B132=М[Наим.])*($C132=М[Артикул, марка, произв.])*($D132=М[Хар-ка])*($R132=М[Прим.])),0))</f>
        <v>Закупка подрядчик</v>
      </c>
    </row>
    <row r="133" spans="1:19" ht="59.1" customHeight="1" outlineLevel="4" x14ac:dyDescent="0.2">
      <c r="A133" s="23" t="s">
        <v>113</v>
      </c>
      <c r="B133" s="24" t="s">
        <v>141</v>
      </c>
      <c r="C133" s="25"/>
      <c r="D133" s="25" t="s">
        <v>148</v>
      </c>
      <c r="E133" s="26" t="s">
        <v>92</v>
      </c>
      <c r="F133" s="31">
        <v>1.05</v>
      </c>
      <c r="G133" s="29">
        <v>6.9</v>
      </c>
      <c r="H133" s="28">
        <v>9.58</v>
      </c>
      <c r="I133" s="28">
        <v>9.61</v>
      </c>
      <c r="J133" s="28">
        <v>6.68</v>
      </c>
      <c r="K133" s="28">
        <v>6.68</v>
      </c>
      <c r="L133" s="28">
        <v>9.6300000000000008</v>
      </c>
      <c r="M133" s="28">
        <v>8.23</v>
      </c>
      <c r="N133" s="28">
        <v>8.35</v>
      </c>
      <c r="O133" s="28">
        <f>SUM($G$133:$N$133)</f>
        <v>65.66</v>
      </c>
      <c r="P133" s="30">
        <f t="array" ref="P133">INDEX(М[Цена за ед., руб],MATCH(1,IF(($B133=М[Наим.])*($C133=М[Артикул, марка, произв.])*($D133=М[Хар-ка])*($R133=М[Прим.]),{1},($B133=М[Наим.])*($C133=М[Артикул, марка, произв.])*($D133=М[Хар-ка])*($R133=М[Прим.])),0))</f>
        <v>0</v>
      </c>
      <c r="Q133" s="30">
        <f>ROUND($O$133*$P$133,2)</f>
        <v>0</v>
      </c>
      <c r="R133" s="25" t="s">
        <v>147</v>
      </c>
      <c r="S133" s="25" t="str">
        <f t="array" ref="S133">INDEX(М[Форма закупа],MATCH(1,IF(($B133=М[Наим.])*($C133=М[Артикул, марка, произв.])*($D133=М[Хар-ка])*($R133=М[Прим.]),{1},($B133=М[Наим.])*($C133=М[Артикул, марка, произв.])*($D133=М[Хар-ка])*($R133=М[Прим.])),0))</f>
        <v>Закупка подрядчик</v>
      </c>
    </row>
    <row r="134" spans="1:19" ht="35.1" customHeight="1" outlineLevel="4" x14ac:dyDescent="0.2">
      <c r="A134" s="23" t="s">
        <v>115</v>
      </c>
      <c r="B134" s="24" t="s">
        <v>149</v>
      </c>
      <c r="C134" s="25"/>
      <c r="D134" s="25" t="s">
        <v>150</v>
      </c>
      <c r="E134" s="26" t="s">
        <v>92</v>
      </c>
      <c r="F134" s="31">
        <v>1.05</v>
      </c>
      <c r="G134" s="28">
        <v>2.4500000000000002</v>
      </c>
      <c r="H134" s="28">
        <v>2.1800000000000002</v>
      </c>
      <c r="I134" s="29">
        <v>2.1</v>
      </c>
      <c r="J134" s="28">
        <v>2.08</v>
      </c>
      <c r="K134" s="28">
        <v>2.08</v>
      </c>
      <c r="L134" s="28">
        <v>2.17</v>
      </c>
      <c r="M134" s="28">
        <v>2.11</v>
      </c>
      <c r="N134" s="28">
        <v>2.08</v>
      </c>
      <c r="O134" s="28">
        <f>SUM($G$134:$N$134)</f>
        <v>17.25</v>
      </c>
      <c r="P134" s="30">
        <f t="array" ref="P134">INDEX(М[Цена за ед., руб],MATCH(1,IF(($B134=М[Наим.])*($C134=М[Артикул, марка, произв.])*($D134=М[Хар-ка])*($R134=М[Прим.]),{1},($B134=М[Наим.])*($C134=М[Артикул, марка, произв.])*($D134=М[Хар-ка])*($R134=М[Прим.])),0))</f>
        <v>0</v>
      </c>
      <c r="Q134" s="30">
        <f>ROUND($O$134*$P$134,2)</f>
        <v>0</v>
      </c>
      <c r="R134" s="25" t="s">
        <v>151</v>
      </c>
      <c r="S134" s="25" t="str">
        <f t="array" ref="S134">INDEX(М[Форма закупа],MATCH(1,IF(($B134=М[Наим.])*($C134=М[Артикул, марка, произв.])*($D134=М[Хар-ка])*($R134=М[Прим.]),{1},($B134=М[Наим.])*($C134=М[Артикул, марка, произв.])*($D134=М[Хар-ка])*($R134=М[Прим.])),0))</f>
        <v>Закупка подрядчик</v>
      </c>
    </row>
    <row r="135" spans="1:19" ht="23.1" customHeight="1" outlineLevel="4" x14ac:dyDescent="0.2">
      <c r="A135" s="23" t="s">
        <v>152</v>
      </c>
      <c r="B135" s="24" t="s">
        <v>95</v>
      </c>
      <c r="C135" s="25" t="s">
        <v>153</v>
      </c>
      <c r="D135" s="25" t="s">
        <v>154</v>
      </c>
      <c r="E135" s="26" t="s">
        <v>97</v>
      </c>
      <c r="F135" s="27"/>
      <c r="G135" s="32">
        <v>5</v>
      </c>
      <c r="H135" s="32">
        <v>11</v>
      </c>
      <c r="I135" s="32">
        <v>5</v>
      </c>
      <c r="J135" s="32">
        <v>6</v>
      </c>
      <c r="K135" s="32">
        <v>6</v>
      </c>
      <c r="L135" s="32">
        <v>5</v>
      </c>
      <c r="M135" s="32">
        <v>7</v>
      </c>
      <c r="N135" s="32">
        <v>8</v>
      </c>
      <c r="O135" s="32">
        <f>SUM($G$135:$N$135)</f>
        <v>53</v>
      </c>
      <c r="P135" s="30">
        <f t="array" ref="P135">INDEX(М[Цена за ед., руб],MATCH(1,IF(($B135=М[Наим.])*($C135=М[Артикул, марка, произв.])*($D135=М[Хар-ка])*($R135=М[Прим.]),{1},($B135=М[Наим.])*($C135=М[Артикул, марка, произв.])*($D135=М[Хар-ка])*($R135=М[Прим.])),0))</f>
        <v>0</v>
      </c>
      <c r="Q135" s="30">
        <f>ROUND($O$135*$P$135,2)</f>
        <v>0</v>
      </c>
      <c r="R135" s="25" t="s">
        <v>155</v>
      </c>
      <c r="S135" s="25" t="str">
        <f t="array" ref="S135">INDEX(М[Форма закупа],MATCH(1,IF(($B135=М[Наим.])*($C135=М[Артикул, марка, произв.])*($D135=М[Хар-ка])*($R135=М[Прим.]),{1},($B135=М[Наим.])*($C135=М[Артикул, марка, произв.])*($D135=М[Хар-ка])*($R135=М[Прим.])),0))</f>
        <v>Закупка подрядчик</v>
      </c>
    </row>
    <row r="136" spans="1:19" ht="23.1" customHeight="1" outlineLevel="4" x14ac:dyDescent="0.2">
      <c r="A136" s="23" t="s">
        <v>156</v>
      </c>
      <c r="B136" s="24" t="s">
        <v>77</v>
      </c>
      <c r="C136" s="25"/>
      <c r="D136" s="25" t="s">
        <v>157</v>
      </c>
      <c r="E136" s="26" t="s">
        <v>47</v>
      </c>
      <c r="F136" s="27"/>
      <c r="G136" s="32">
        <v>408</v>
      </c>
      <c r="H136" s="32">
        <v>976</v>
      </c>
      <c r="I136" s="32">
        <v>392</v>
      </c>
      <c r="J136" s="32">
        <v>552</v>
      </c>
      <c r="K136" s="32">
        <v>552</v>
      </c>
      <c r="L136" s="32">
        <v>392</v>
      </c>
      <c r="M136" s="32">
        <v>648</v>
      </c>
      <c r="N136" s="32">
        <v>652</v>
      </c>
      <c r="O136" s="33">
        <f>SUM($G$136:$N$136)</f>
        <v>4572</v>
      </c>
      <c r="P136" s="30">
        <f t="array" ref="P136">INDEX(М[Цена за ед., руб],MATCH(1,IF(($B136=М[Наим.])*($C136=М[Артикул, марка, произв.])*($D136=М[Хар-ка])*($R136=М[Прим.]),{1},($B136=М[Наим.])*($C136=М[Артикул, марка, произв.])*($D136=М[Хар-ка])*($R136=М[Прим.])),0))</f>
        <v>0</v>
      </c>
      <c r="Q136" s="30">
        <f>ROUND($O$136*$P$136,2)</f>
        <v>0</v>
      </c>
      <c r="R136" s="25"/>
      <c r="S136" s="25" t="str">
        <f t="array" ref="S136">INDEX(М[Форма закупа],MATCH(1,IF(($B136=М[Наим.])*($C136=М[Артикул, марка, произв.])*($D136=М[Хар-ка])*($R136=М[Прим.]),{1},($B136=М[Наим.])*($C136=М[Артикул, марка, произв.])*($D136=М[Хар-ка])*($R136=М[Прим.])),0))</f>
        <v>Закупка подрядчик</v>
      </c>
    </row>
    <row r="137" spans="1:19" ht="11.1" customHeight="1" outlineLevel="2" x14ac:dyDescent="0.2">
      <c r="A137" s="13" t="s">
        <v>158</v>
      </c>
      <c r="B137" s="14" t="s">
        <v>159</v>
      </c>
      <c r="C137" s="15"/>
      <c r="D137" s="15"/>
      <c r="E137" s="16"/>
      <c r="F137" s="17"/>
      <c r="G137" s="18"/>
      <c r="H137" s="18"/>
      <c r="I137" s="18"/>
      <c r="J137" s="18"/>
      <c r="K137" s="18"/>
      <c r="L137" s="18"/>
      <c r="M137" s="18"/>
      <c r="N137" s="18"/>
      <c r="O137" s="18"/>
      <c r="P137" s="65"/>
      <c r="Q137" s="65">
        <f>SUM($Q$138)</f>
        <v>0</v>
      </c>
      <c r="R137" s="19"/>
      <c r="S137" s="19"/>
    </row>
    <row r="138" spans="1:19" ht="11.1" customHeight="1" outlineLevel="3" x14ac:dyDescent="0.2">
      <c r="A138" s="13" t="s">
        <v>160</v>
      </c>
      <c r="B138" s="14" t="s">
        <v>159</v>
      </c>
      <c r="C138" s="15"/>
      <c r="D138" s="15"/>
      <c r="E138" s="16"/>
      <c r="F138" s="17"/>
      <c r="G138" s="18"/>
      <c r="H138" s="18"/>
      <c r="I138" s="18"/>
      <c r="J138" s="18"/>
      <c r="K138" s="18"/>
      <c r="L138" s="18"/>
      <c r="M138" s="18"/>
      <c r="N138" s="18"/>
      <c r="O138" s="18"/>
      <c r="P138" s="65"/>
      <c r="Q138" s="65">
        <f>SUM($Q$141,$Q$139)</f>
        <v>0</v>
      </c>
      <c r="R138" s="19"/>
      <c r="S138" s="19"/>
    </row>
    <row r="139" spans="1:19" ht="11.1" customHeight="1" outlineLevel="4" x14ac:dyDescent="0.2">
      <c r="A139" s="20"/>
      <c r="B139" s="14" t="s">
        <v>28</v>
      </c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66"/>
      <c r="Q139" s="67">
        <f>SUM($Q$140)</f>
        <v>0</v>
      </c>
      <c r="R139" s="18"/>
      <c r="S139" s="22"/>
    </row>
    <row r="140" spans="1:19" ht="11.1" customHeight="1" outlineLevel="4" x14ac:dyDescent="0.2">
      <c r="A140" s="23"/>
      <c r="B140" s="24" t="s">
        <v>159</v>
      </c>
      <c r="C140" s="25"/>
      <c r="D140" s="25"/>
      <c r="E140" s="26" t="s">
        <v>92</v>
      </c>
      <c r="F140" s="27"/>
      <c r="G140" s="28">
        <v>115.92</v>
      </c>
      <c r="H140" s="28">
        <v>82.12</v>
      </c>
      <c r="I140" s="28">
        <v>106.61</v>
      </c>
      <c r="J140" s="28">
        <v>75.040000000000006</v>
      </c>
      <c r="K140" s="28">
        <v>60.62</v>
      </c>
      <c r="L140" s="28">
        <v>106.72</v>
      </c>
      <c r="M140" s="28">
        <v>97.92</v>
      </c>
      <c r="N140" s="28">
        <v>96.78</v>
      </c>
      <c r="O140" s="28">
        <f>SUM($G$140:$N$140)</f>
        <v>741.73</v>
      </c>
      <c r="P140" s="30">
        <f t="array" ref="P140">INDEX(Р[Цена за ед., руб],MATCH(1,IF(($B140=Р[Наименование])*($R140=Р[Примечание]),{1},($B140=Р[Наименование])*($R140=Р[Примечание])),0))</f>
        <v>0</v>
      </c>
      <c r="Q140" s="30">
        <f>ROUND($O$140*$P$140,2)</f>
        <v>0</v>
      </c>
      <c r="R140" s="25"/>
      <c r="S140" s="25"/>
    </row>
    <row r="141" spans="1:19" ht="11.1" customHeight="1" outlineLevel="4" x14ac:dyDescent="0.2">
      <c r="A141" s="20"/>
      <c r="B141" s="14" t="s">
        <v>32</v>
      </c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66"/>
      <c r="Q141" s="67">
        <f>SUM($Q$142:$Q$147)</f>
        <v>0</v>
      </c>
      <c r="R141" s="18"/>
      <c r="S141" s="22"/>
    </row>
    <row r="142" spans="1:19" ht="47.1" customHeight="1" outlineLevel="4" x14ac:dyDescent="0.2">
      <c r="A142" s="23" t="s">
        <v>33</v>
      </c>
      <c r="B142" s="24" t="s">
        <v>161</v>
      </c>
      <c r="C142" s="25"/>
      <c r="D142" s="25"/>
      <c r="E142" s="26" t="s">
        <v>47</v>
      </c>
      <c r="F142" s="27"/>
      <c r="G142" s="27"/>
      <c r="H142" s="27"/>
      <c r="I142" s="27"/>
      <c r="J142" s="32">
        <v>21</v>
      </c>
      <c r="K142" s="32">
        <v>50</v>
      </c>
      <c r="L142" s="27"/>
      <c r="M142" s="27"/>
      <c r="N142" s="27"/>
      <c r="O142" s="32">
        <f>SUM($G$142:$N$142)</f>
        <v>71</v>
      </c>
      <c r="P142" s="30">
        <f t="array" ref="P142">INDEX(М[Цена за ед., руб],MATCH(1,IF(($B142=М[Наим.])*($C142=М[Артикул, марка, произв.])*($D142=М[Хар-ка])*($R142=М[Прим.]),{1},($B142=М[Наим.])*($C142=М[Артикул, марка, произв.])*($D142=М[Хар-ка])*($R142=М[Прим.])),0))</f>
        <v>0</v>
      </c>
      <c r="Q142" s="30">
        <f>ROUND($O$142*$P$142,2)</f>
        <v>0</v>
      </c>
      <c r="R142" s="25" t="s">
        <v>162</v>
      </c>
      <c r="S142" s="25" t="str">
        <f t="array" ref="S142">INDEX(М[Форма закупа],MATCH(1,IF(($B142=М[Наим.])*($C142=М[Артикул, марка, произв.])*($D142=М[Хар-ка])*($R142=М[Прим.]),{1},($B142=М[Наим.])*($C142=М[Артикул, марка, произв.])*($D142=М[Хар-ка])*($R142=М[Прим.])),0))</f>
        <v>Закупка подрядчик</v>
      </c>
    </row>
    <row r="143" spans="1:19" ht="35.1" customHeight="1" outlineLevel="4" x14ac:dyDescent="0.2">
      <c r="A143" s="23" t="s">
        <v>43</v>
      </c>
      <c r="B143" s="24" t="s">
        <v>85</v>
      </c>
      <c r="C143" s="25"/>
      <c r="D143" s="25" t="s">
        <v>140</v>
      </c>
      <c r="E143" s="26" t="s">
        <v>47</v>
      </c>
      <c r="F143" s="27"/>
      <c r="G143" s="33">
        <v>2324</v>
      </c>
      <c r="H143" s="33">
        <v>1648</v>
      </c>
      <c r="I143" s="33">
        <v>2140</v>
      </c>
      <c r="J143" s="33">
        <v>1508</v>
      </c>
      <c r="K143" s="33">
        <v>1220</v>
      </c>
      <c r="L143" s="33">
        <v>2140</v>
      </c>
      <c r="M143" s="33">
        <v>1964</v>
      </c>
      <c r="N143" s="33">
        <v>1940</v>
      </c>
      <c r="O143" s="33">
        <f>SUM($G$143:$N$143)</f>
        <v>14884</v>
      </c>
      <c r="P143" s="30">
        <f t="array" ref="P143">INDEX(М[Цена за ед., руб],MATCH(1,IF(($B143=М[Наим.])*($C143=М[Артикул, марка, произв.])*($D143=М[Хар-ка])*($R143=М[Прим.]),{1},($B143=М[Наим.])*($C143=М[Артикул, марка, произв.])*($D143=М[Хар-ка])*($R143=М[Прим.])),0))</f>
        <v>0</v>
      </c>
      <c r="Q143" s="30">
        <f>ROUND($O$143*$P$143,2)</f>
        <v>0</v>
      </c>
      <c r="R143" s="25" t="s">
        <v>163</v>
      </c>
      <c r="S143" s="25" t="str">
        <f t="array" ref="S143">INDEX(М[Форма закупа],MATCH(1,IF(($B143=М[Наим.])*($C143=М[Артикул, марка, произв.])*($D143=М[Хар-ка])*($R143=М[Прим.]),{1},($B143=М[Наим.])*($C143=М[Артикул, марка, произв.])*($D143=М[Хар-ка])*($R143=М[Прим.])),0))</f>
        <v>Закупка подрядчик</v>
      </c>
    </row>
    <row r="144" spans="1:19" ht="59.1" customHeight="1" outlineLevel="4" x14ac:dyDescent="0.2">
      <c r="A144" s="23" t="s">
        <v>69</v>
      </c>
      <c r="B144" s="24" t="s">
        <v>164</v>
      </c>
      <c r="C144" s="25"/>
      <c r="D144" s="25" t="s">
        <v>165</v>
      </c>
      <c r="E144" s="26" t="s">
        <v>92</v>
      </c>
      <c r="F144" s="31">
        <v>1.05</v>
      </c>
      <c r="G144" s="28">
        <v>121.72</v>
      </c>
      <c r="H144" s="28">
        <v>86.22</v>
      </c>
      <c r="I144" s="28">
        <v>111.94</v>
      </c>
      <c r="J144" s="28">
        <v>63.67</v>
      </c>
      <c r="K144" s="28">
        <v>63.65</v>
      </c>
      <c r="L144" s="28">
        <v>112.06</v>
      </c>
      <c r="M144" s="28">
        <v>102.82</v>
      </c>
      <c r="N144" s="28">
        <v>101.62</v>
      </c>
      <c r="O144" s="29">
        <f>SUM($G$144:$N$144)</f>
        <v>763.69999999999993</v>
      </c>
      <c r="P144" s="30">
        <f t="array" ref="P144">INDEX(М[Цена за ед., руб],MATCH(1,IF(($B144=М[Наим.])*($C144=М[Артикул, марка, произв.])*($D144=М[Хар-ка])*($R144=М[Прим.]),{1},($B144=М[Наим.])*($C144=М[Артикул, марка, произв.])*($D144=М[Хар-ка])*($R144=М[Прим.])),0))</f>
        <v>0</v>
      </c>
      <c r="Q144" s="30">
        <f>ROUND($O$144*$P$144,2)</f>
        <v>0</v>
      </c>
      <c r="R144" s="25" t="s">
        <v>166</v>
      </c>
      <c r="S144" s="25" t="str">
        <f t="array" ref="S144">INDEX(М[Форма закупа],MATCH(1,IF(($B144=М[Наим.])*($C144=М[Артикул, марка, произв.])*($D144=М[Хар-ка])*($R144=М[Прим.]),{1},($B144=М[Наим.])*($C144=М[Артикул, марка, произв.])*($D144=М[Хар-ка])*($R144=М[Прим.])),0))</f>
        <v>Закупка подрядчик</v>
      </c>
    </row>
    <row r="145" spans="1:33" ht="59.1" customHeight="1" outlineLevel="4" x14ac:dyDescent="0.2">
      <c r="A145" s="23" t="s">
        <v>110</v>
      </c>
      <c r="B145" s="24" t="s">
        <v>164</v>
      </c>
      <c r="C145" s="25"/>
      <c r="D145" s="25" t="s">
        <v>167</v>
      </c>
      <c r="E145" s="26" t="s">
        <v>92</v>
      </c>
      <c r="F145" s="31">
        <v>1.05</v>
      </c>
      <c r="G145" s="27"/>
      <c r="H145" s="27"/>
      <c r="I145" s="27"/>
      <c r="J145" s="28">
        <v>15.12</v>
      </c>
      <c r="K145" s="27"/>
      <c r="L145" s="27"/>
      <c r="M145" s="27"/>
      <c r="N145" s="27"/>
      <c r="O145" s="28">
        <f>SUM($G$145:$N$145)</f>
        <v>15.12</v>
      </c>
      <c r="P145" s="30">
        <f t="array" ref="P145">INDEX(М[Цена за ед., руб],MATCH(1,IF(($B145=М[Наим.])*($C145=М[Артикул, марка, произв.])*($D145=М[Хар-ка])*($R145=М[Прим.]),{1},($B145=М[Наим.])*($C145=М[Артикул, марка, произв.])*($D145=М[Хар-ка])*($R145=М[Прим.])),0))</f>
        <v>0</v>
      </c>
      <c r="Q145" s="30">
        <f>ROUND($O$145*$P$145,2)</f>
        <v>0</v>
      </c>
      <c r="R145" s="25" t="s">
        <v>168</v>
      </c>
      <c r="S145" s="25" t="str">
        <f t="array" ref="S145">INDEX(М[Форма закупа],MATCH(1,IF(($B145=М[Наим.])*($C145=М[Артикул, марка, произв.])*($D145=М[Хар-ка])*($R145=М[Прим.]),{1},($B145=М[Наим.])*($C145=М[Артикул, марка, произв.])*($D145=М[Хар-ка])*($R145=М[Прим.])),0))</f>
        <v>Закупка подрядчик</v>
      </c>
    </row>
    <row r="146" spans="1:33" ht="23.1" customHeight="1" outlineLevel="4" x14ac:dyDescent="0.2">
      <c r="A146" s="23" t="s">
        <v>113</v>
      </c>
      <c r="B146" s="24" t="s">
        <v>95</v>
      </c>
      <c r="C146" s="25" t="s">
        <v>153</v>
      </c>
      <c r="D146" s="25" t="s">
        <v>154</v>
      </c>
      <c r="E146" s="26" t="s">
        <v>97</v>
      </c>
      <c r="F146" s="27"/>
      <c r="G146" s="32">
        <v>26</v>
      </c>
      <c r="H146" s="32">
        <v>18</v>
      </c>
      <c r="I146" s="32">
        <v>24</v>
      </c>
      <c r="J146" s="32">
        <v>17</v>
      </c>
      <c r="K146" s="32">
        <v>14</v>
      </c>
      <c r="L146" s="32">
        <v>24</v>
      </c>
      <c r="M146" s="32">
        <v>22</v>
      </c>
      <c r="N146" s="32">
        <v>22</v>
      </c>
      <c r="O146" s="32">
        <f>SUM($G$146:$N$146)</f>
        <v>167</v>
      </c>
      <c r="P146" s="30">
        <f t="array" ref="P146">INDEX(М[Цена за ед., руб],MATCH(1,IF(($B146=М[Наим.])*($C146=М[Артикул, марка, произв.])*($D146=М[Хар-ка])*($R146=М[Прим.]),{1},($B146=М[Наим.])*($C146=М[Артикул, марка, произв.])*($D146=М[Хар-ка])*($R146=М[Прим.])),0))</f>
        <v>0</v>
      </c>
      <c r="Q146" s="30">
        <f>ROUND($O$146*$P$146,2)</f>
        <v>0</v>
      </c>
      <c r="R146" s="25" t="s">
        <v>155</v>
      </c>
      <c r="S146" s="25" t="str">
        <f t="array" ref="S146">INDEX(М[Форма закупа],MATCH(1,IF(($B146=М[Наим.])*($C146=М[Артикул, марка, произв.])*($D146=М[Хар-ка])*($R146=М[Прим.]),{1},($B146=М[Наим.])*($C146=М[Артикул, марка, произв.])*($D146=М[Хар-ка])*($R146=М[Прим.])),0))</f>
        <v>Закупка подрядчик</v>
      </c>
    </row>
    <row r="147" spans="1:33" ht="23.1" customHeight="1" outlineLevel="4" x14ac:dyDescent="0.2">
      <c r="A147" s="23" t="s">
        <v>115</v>
      </c>
      <c r="B147" s="24" t="s">
        <v>77</v>
      </c>
      <c r="C147" s="25"/>
      <c r="D147" s="25" t="s">
        <v>157</v>
      </c>
      <c r="E147" s="26" t="s">
        <v>47</v>
      </c>
      <c r="F147" s="27"/>
      <c r="G147" s="33">
        <v>2324</v>
      </c>
      <c r="H147" s="33">
        <v>1648</v>
      </c>
      <c r="I147" s="33">
        <v>2140</v>
      </c>
      <c r="J147" s="33">
        <v>1508</v>
      </c>
      <c r="K147" s="33">
        <v>1220</v>
      </c>
      <c r="L147" s="33">
        <v>2140</v>
      </c>
      <c r="M147" s="33">
        <v>1964</v>
      </c>
      <c r="N147" s="33">
        <v>1940</v>
      </c>
      <c r="O147" s="33">
        <f>SUM($G$147:$N$147)</f>
        <v>14884</v>
      </c>
      <c r="P147" s="30">
        <f t="array" ref="P147">INDEX(М[Цена за ед., руб],MATCH(1,IF(($B147=М[Наим.])*($C147=М[Артикул, марка, произв.])*($D147=М[Хар-ка])*($R147=М[Прим.]),{1},($B147=М[Наим.])*($C147=М[Артикул, марка, произв.])*($D147=М[Хар-ка])*($R147=М[Прим.])),0))</f>
        <v>0</v>
      </c>
      <c r="Q147" s="30">
        <f>ROUND($O$147*$P$147,2)</f>
        <v>0</v>
      </c>
      <c r="R147" s="25"/>
      <c r="S147" s="25" t="str">
        <f t="array" ref="S147">INDEX(М[Форма закупа],MATCH(1,IF(($B147=М[Наим.])*($C147=М[Артикул, марка, произв.])*($D147=М[Хар-ка])*($R147=М[Прим.]),{1},($B147=М[Наим.])*($C147=М[Артикул, марка, произв.])*($D147=М[Хар-ка])*($R147=М[Прим.])),0))</f>
        <v>Закупка подрядчик</v>
      </c>
    </row>
    <row r="148" spans="1:33" ht="11.1" customHeight="1" x14ac:dyDescent="0.2">
      <c r="A148" s="35"/>
      <c r="B148" s="36"/>
      <c r="C148" s="36"/>
      <c r="D148" s="36"/>
      <c r="E148" s="36"/>
      <c r="F148" s="36"/>
      <c r="G148" s="37"/>
      <c r="H148" s="37"/>
      <c r="I148" s="37"/>
      <c r="J148" s="37"/>
      <c r="K148" s="37"/>
      <c r="L148" s="37"/>
      <c r="M148" s="37"/>
      <c r="N148" s="37"/>
      <c r="O148" s="79" t="s">
        <v>169</v>
      </c>
      <c r="P148" s="80"/>
      <c r="Q148" s="68">
        <f>$Q$9</f>
        <v>0</v>
      </c>
      <c r="R148" s="38"/>
      <c r="S148" s="38"/>
    </row>
    <row r="149" spans="1:33" ht="11.1" customHeight="1" x14ac:dyDescent="0.2">
      <c r="A149" s="35"/>
      <c r="B149" s="36"/>
      <c r="C149" s="36"/>
      <c r="D149" s="36"/>
      <c r="E149" s="36"/>
      <c r="F149" s="36"/>
      <c r="G149" s="39"/>
      <c r="H149" s="39"/>
      <c r="I149" s="39"/>
      <c r="J149" s="39"/>
      <c r="K149" s="39"/>
      <c r="L149" s="39"/>
      <c r="M149" s="39"/>
      <c r="N149" s="39"/>
      <c r="O149" s="69" t="s">
        <v>200</v>
      </c>
      <c r="P149" s="70"/>
      <c r="Q149" s="68">
        <f>SUM($Q$139,$Q$126,$Q$118,$Q$112,$Q$105,$Q$99,$Q$93,$Q$88,$Q$79,$Q$75,$Q$70,$Q$65,$Q$59,$Q$52,$Q$48,$Q$42,$Q$36,$Q$31,$Q$26,$Q$21,$Q$16,$Q$12)</f>
        <v>0</v>
      </c>
      <c r="R149" s="38"/>
      <c r="S149" s="38"/>
    </row>
    <row r="150" spans="1:33" ht="11.1" customHeight="1" x14ac:dyDescent="0.2">
      <c r="A150" s="35"/>
      <c r="B150" s="36"/>
      <c r="C150" s="36"/>
      <c r="D150" s="36"/>
      <c r="E150" s="36"/>
      <c r="F150" s="36"/>
      <c r="G150" s="39"/>
      <c r="H150" s="39"/>
      <c r="I150" s="39"/>
      <c r="J150" s="39"/>
      <c r="K150" s="39"/>
      <c r="L150" s="39"/>
      <c r="M150" s="39"/>
      <c r="N150" s="39"/>
      <c r="O150" s="69" t="s">
        <v>201</v>
      </c>
      <c r="P150" s="70"/>
      <c r="Q150" s="68">
        <f>SUM($Q$141,$Q$128,$Q$120,$Q$114,$Q$107,$Q$101,$Q$95,$Q$90,$Q$81,$Q$77,$Q$72,$Q$67,$Q$61,$Q$54,$Q$50,$Q$44,$Q$38,$Q$33,$Q$28,$Q$23,$Q$18,$Q$14)</f>
        <v>0</v>
      </c>
      <c r="R150" s="38"/>
      <c r="S150" s="38"/>
    </row>
    <row r="151" spans="1:33" ht="11.1" customHeight="1" x14ac:dyDescent="0.2">
      <c r="A151" s="35"/>
      <c r="B151" s="36"/>
      <c r="C151" s="36"/>
      <c r="D151" s="36"/>
      <c r="E151" s="36"/>
      <c r="F151" s="36"/>
      <c r="G151" s="39"/>
      <c r="H151" s="39"/>
      <c r="I151" s="39"/>
      <c r="J151" s="39"/>
      <c r="K151" s="39"/>
      <c r="L151" s="39"/>
      <c r="M151" s="39"/>
      <c r="N151" s="39"/>
      <c r="O151" s="69" t="s">
        <v>202</v>
      </c>
      <c r="P151" s="70"/>
      <c r="Q151" s="101"/>
      <c r="R151" s="102"/>
      <c r="S151" s="38"/>
    </row>
    <row r="152" spans="1:33" ht="11.1" customHeight="1" x14ac:dyDescent="0.2">
      <c r="A152" s="40"/>
      <c r="B152" s="71" t="s">
        <v>170</v>
      </c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2"/>
      <c r="Q152" s="72"/>
      <c r="R152" s="71"/>
      <c r="S152" s="40"/>
    </row>
    <row r="153" spans="1:33" ht="11.1" customHeight="1" x14ac:dyDescent="0.2"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4"/>
      <c r="Q153" s="74"/>
      <c r="R153" s="73"/>
    </row>
    <row r="154" spans="1:33" s="109" customFormat="1" ht="12.75" x14ac:dyDescent="0.2">
      <c r="A154" s="103"/>
      <c r="B154" s="104" t="s">
        <v>203</v>
      </c>
      <c r="C154" s="105"/>
      <c r="D154" s="105"/>
      <c r="E154" s="103"/>
      <c r="F154" s="106"/>
      <c r="G154" s="106"/>
      <c r="H154" s="107"/>
      <c r="I154" s="107"/>
      <c r="J154" s="107"/>
      <c r="K154" s="107"/>
      <c r="L154" s="107"/>
      <c r="M154" s="107"/>
      <c r="N154" s="107"/>
      <c r="O154" s="106"/>
      <c r="P154" s="107"/>
      <c r="Q154" s="107"/>
      <c r="R154" s="107"/>
      <c r="S154" s="106"/>
      <c r="T154" s="107"/>
      <c r="U154" s="107"/>
      <c r="V154" s="107"/>
      <c r="W154" s="107"/>
      <c r="X154" s="106"/>
      <c r="Y154" s="107"/>
      <c r="Z154" s="107"/>
      <c r="AA154" s="107"/>
      <c r="AB154" s="106"/>
      <c r="AC154" s="107"/>
      <c r="AD154" s="107"/>
      <c r="AE154" s="107"/>
      <c r="AF154" s="108"/>
      <c r="AG154" s="108"/>
    </row>
    <row r="155" spans="1:33" s="109" customFormat="1" ht="26.25" customHeight="1" x14ac:dyDescent="0.2">
      <c r="A155" s="110" t="s">
        <v>204</v>
      </c>
      <c r="B155" s="111" t="s">
        <v>205</v>
      </c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  <c r="AA155" s="112"/>
      <c r="AB155" s="112"/>
      <c r="AC155" s="112"/>
      <c r="AD155" s="112"/>
      <c r="AE155" s="112"/>
      <c r="AF155" s="112"/>
      <c r="AG155" s="112"/>
    </row>
    <row r="156" spans="1:33" s="109" customFormat="1" ht="26.25" customHeight="1" x14ac:dyDescent="0.2">
      <c r="A156" s="110" t="s">
        <v>204</v>
      </c>
      <c r="B156" s="111" t="s">
        <v>206</v>
      </c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</row>
    <row r="157" spans="1:33" s="109" customFormat="1" ht="26.25" customHeight="1" x14ac:dyDescent="0.2">
      <c r="A157" s="110" t="s">
        <v>204</v>
      </c>
      <c r="B157" s="111" t="s">
        <v>207</v>
      </c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</row>
    <row r="158" spans="1:33" s="109" customFormat="1" ht="39" customHeight="1" x14ac:dyDescent="0.2">
      <c r="A158" s="110" t="s">
        <v>204</v>
      </c>
      <c r="B158" s="111" t="s">
        <v>208</v>
      </c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</row>
    <row r="159" spans="1:33" s="114" customFormat="1" ht="22.5" customHeight="1" x14ac:dyDescent="0.2">
      <c r="A159" s="110" t="s">
        <v>204</v>
      </c>
      <c r="B159" s="111" t="s">
        <v>209</v>
      </c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3"/>
    </row>
  </sheetData>
  <mergeCells count="33">
    <mergeCell ref="B159:L159"/>
    <mergeCell ref="B155:M155"/>
    <mergeCell ref="B156:M156"/>
    <mergeCell ref="B157:M157"/>
    <mergeCell ref="B158:M158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S6:S7"/>
    <mergeCell ref="O148:P148"/>
    <mergeCell ref="K6:K7"/>
    <mergeCell ref="L6:L7"/>
    <mergeCell ref="M6:M7"/>
    <mergeCell ref="N6:N7"/>
    <mergeCell ref="O6:O7"/>
    <mergeCell ref="O149:P149"/>
    <mergeCell ref="O150:P150"/>
    <mergeCell ref="B152:R152"/>
    <mergeCell ref="B153:R153"/>
    <mergeCell ref="P6:P7"/>
    <mergeCell ref="Q6:Q7"/>
    <mergeCell ref="R6:R7"/>
    <mergeCell ref="O151:P151"/>
  </mergeCells>
  <pageMargins left="0.39370078740157483" right="0.39370078740157483" top="0.39370078740157483" bottom="0.39370078740157483" header="0" footer="0"/>
  <pageSetup paperSize="9" scale="4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6"/>
  <sheetViews>
    <sheetView workbookViewId="0">
      <pane ySplit="3" topLeftCell="A4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89" t="s">
        <v>171</v>
      </c>
      <c r="B1" s="89"/>
      <c r="C1" s="89"/>
      <c r="D1" s="89"/>
      <c r="E1" s="89"/>
      <c r="F1" s="89"/>
    </row>
    <row r="3" spans="1:6" ht="11.1" customHeight="1" x14ac:dyDescent="0.2">
      <c r="A3" s="51" t="s">
        <v>2</v>
      </c>
      <c r="B3" s="2" t="s">
        <v>5</v>
      </c>
      <c r="C3" s="2" t="s">
        <v>15</v>
      </c>
      <c r="D3" s="58" t="s">
        <v>16</v>
      </c>
      <c r="E3" s="58" t="s">
        <v>17</v>
      </c>
      <c r="F3" s="52" t="s">
        <v>18</v>
      </c>
    </row>
    <row r="4" spans="1:6" ht="11.1" customHeight="1" x14ac:dyDescent="0.2">
      <c r="A4" s="49" t="s">
        <v>29</v>
      </c>
      <c r="B4" s="41" t="s">
        <v>30</v>
      </c>
      <c r="C4" s="42">
        <v>3257.29</v>
      </c>
      <c r="D4" s="42"/>
      <c r="E4" s="42">
        <f>ROUND(Р[[#This Row],[Количество]]*Р[[#This Row],[Цена за ед., руб]],2)</f>
        <v>0</v>
      </c>
      <c r="F4" s="50" t="s">
        <v>31</v>
      </c>
    </row>
    <row r="5" spans="1:6" ht="23.1" customHeight="1" x14ac:dyDescent="0.2">
      <c r="A5" s="49" t="s">
        <v>39</v>
      </c>
      <c r="B5" s="41" t="s">
        <v>30</v>
      </c>
      <c r="C5" s="42">
        <v>3257.29</v>
      </c>
      <c r="D5" s="42"/>
      <c r="E5" s="42">
        <f>ROUND(Р[[#This Row],[Количество]]*Р[[#This Row],[Цена за ед., руб]],2)</f>
        <v>0</v>
      </c>
      <c r="F5" s="50" t="s">
        <v>31</v>
      </c>
    </row>
    <row r="6" spans="1:6" ht="11.1" customHeight="1" x14ac:dyDescent="0.2">
      <c r="A6" s="49" t="s">
        <v>49</v>
      </c>
      <c r="B6" s="41" t="s">
        <v>30</v>
      </c>
      <c r="C6" s="44">
        <v>31.97</v>
      </c>
      <c r="D6" s="42"/>
      <c r="E6" s="42">
        <f>ROUND(Р[[#This Row],[Количество]]*Р[[#This Row],[Цена за ед., руб]],2)</f>
        <v>0</v>
      </c>
      <c r="F6" s="50" t="s">
        <v>50</v>
      </c>
    </row>
    <row r="7" spans="1:6" ht="11.1" customHeight="1" x14ac:dyDescent="0.2">
      <c r="A7" s="49" t="s">
        <v>57</v>
      </c>
      <c r="B7" s="41" t="s">
        <v>30</v>
      </c>
      <c r="C7" s="42">
        <v>3128.27</v>
      </c>
      <c r="D7" s="42"/>
      <c r="E7" s="42">
        <f>ROUND(Р[[#This Row],[Количество]]*Р[[#This Row],[Цена за ед., руб]],2)</f>
        <v>0</v>
      </c>
      <c r="F7" s="50" t="s">
        <v>58</v>
      </c>
    </row>
    <row r="8" spans="1:6" ht="11.1" customHeight="1" x14ac:dyDescent="0.2">
      <c r="A8" s="49" t="s">
        <v>61</v>
      </c>
      <c r="B8" s="41" t="s">
        <v>30</v>
      </c>
      <c r="C8" s="44">
        <v>97.05</v>
      </c>
      <c r="D8" s="42"/>
      <c r="E8" s="42">
        <f>ROUND(Р[[#This Row],[Количество]]*Р[[#This Row],[Цена за ед., руб]],2)</f>
        <v>0</v>
      </c>
      <c r="F8" s="50" t="s">
        <v>62</v>
      </c>
    </row>
    <row r="9" spans="1:6" ht="23.1" customHeight="1" x14ac:dyDescent="0.2">
      <c r="A9" s="49" t="s">
        <v>65</v>
      </c>
      <c r="B9" s="41" t="s">
        <v>30</v>
      </c>
      <c r="C9" s="42">
        <v>3257.29</v>
      </c>
      <c r="D9" s="42"/>
      <c r="E9" s="42">
        <f>ROUND(Р[[#This Row],[Количество]]*Р[[#This Row],[Цена за ед., руб]],2)</f>
        <v>0</v>
      </c>
      <c r="F9" s="50" t="s">
        <v>31</v>
      </c>
    </row>
    <row r="10" spans="1:6" ht="23.1" customHeight="1" x14ac:dyDescent="0.2">
      <c r="A10" s="49" t="s">
        <v>71</v>
      </c>
      <c r="B10" s="41" t="s">
        <v>30</v>
      </c>
      <c r="C10" s="42">
        <v>3257.29</v>
      </c>
      <c r="D10" s="42"/>
      <c r="E10" s="42">
        <f>ROUND(Р[[#This Row],[Количество]]*Р[[#This Row],[Цена за ед., руб]],2)</f>
        <v>0</v>
      </c>
      <c r="F10" s="50" t="s">
        <v>31</v>
      </c>
    </row>
    <row r="11" spans="1:6" ht="23.1" customHeight="1" x14ac:dyDescent="0.2">
      <c r="A11" s="49" t="s">
        <v>79</v>
      </c>
      <c r="B11" s="41" t="s">
        <v>30</v>
      </c>
      <c r="C11" s="42">
        <v>3128.27</v>
      </c>
      <c r="D11" s="42"/>
      <c r="E11" s="42">
        <f>ROUND(Р[[#This Row],[Количество]]*Р[[#This Row],[Цена за ед., руб]],2)</f>
        <v>0</v>
      </c>
      <c r="F11" s="50" t="s">
        <v>80</v>
      </c>
    </row>
    <row r="12" spans="1:6" ht="35.1" customHeight="1" x14ac:dyDescent="0.2">
      <c r="A12" s="49" t="s">
        <v>83</v>
      </c>
      <c r="B12" s="41" t="s">
        <v>30</v>
      </c>
      <c r="C12" s="44">
        <v>577.38</v>
      </c>
      <c r="D12" s="42"/>
      <c r="E12" s="42">
        <f>ROUND(Р[[#This Row],[Количество]]*Р[[#This Row],[Цена за ед., руб]],2)</f>
        <v>0</v>
      </c>
      <c r="F12" s="50" t="s">
        <v>84</v>
      </c>
    </row>
    <row r="13" spans="1:6" ht="23.1" customHeight="1" x14ac:dyDescent="0.2">
      <c r="A13" s="49" t="s">
        <v>91</v>
      </c>
      <c r="B13" s="41" t="s">
        <v>92</v>
      </c>
      <c r="C13" s="44">
        <v>628.52</v>
      </c>
      <c r="D13" s="42"/>
      <c r="E13" s="42">
        <f>ROUND(Р[[#This Row],[Количество]]*Р[[#This Row],[Цена за ед., руб]],2)</f>
        <v>0</v>
      </c>
      <c r="F13" s="50"/>
    </row>
    <row r="14" spans="1:6" ht="23.1" customHeight="1" x14ac:dyDescent="0.2">
      <c r="A14" s="49" t="s">
        <v>100</v>
      </c>
      <c r="B14" s="41" t="s">
        <v>30</v>
      </c>
      <c r="C14" s="45">
        <v>877.2</v>
      </c>
      <c r="D14" s="42"/>
      <c r="E14" s="42">
        <f>ROUND(Р[[#This Row],[Количество]]*Р[[#This Row],[Цена за ед., руб]],2)</f>
        <v>0</v>
      </c>
      <c r="F14" s="50" t="s">
        <v>101</v>
      </c>
    </row>
    <row r="15" spans="1:6" ht="23.1" customHeight="1" x14ac:dyDescent="0.2">
      <c r="A15" s="49" t="s">
        <v>102</v>
      </c>
      <c r="B15" s="41" t="s">
        <v>30</v>
      </c>
      <c r="C15" s="44">
        <v>272.18</v>
      </c>
      <c r="D15" s="42"/>
      <c r="E15" s="42">
        <f>ROUND(Р[[#This Row],[Количество]]*Р[[#This Row],[Цена за ед., руб]],2)</f>
        <v>0</v>
      </c>
      <c r="F15" s="50" t="s">
        <v>101</v>
      </c>
    </row>
    <row r="16" spans="1:6" ht="11.1" customHeight="1" x14ac:dyDescent="0.2">
      <c r="A16" s="49" t="s">
        <v>29</v>
      </c>
      <c r="B16" s="41" t="s">
        <v>30</v>
      </c>
      <c r="C16" s="42">
        <v>3450.59</v>
      </c>
      <c r="D16" s="42"/>
      <c r="E16" s="42">
        <f>ROUND(Р[[#This Row],[Количество]]*Р[[#This Row],[Цена за ед., руб]],2)</f>
        <v>0</v>
      </c>
      <c r="F16" s="50" t="s">
        <v>105</v>
      </c>
    </row>
    <row r="17" spans="1:6" ht="11.1" customHeight="1" x14ac:dyDescent="0.2">
      <c r="A17" s="49" t="s">
        <v>106</v>
      </c>
      <c r="B17" s="41" t="s">
        <v>30</v>
      </c>
      <c r="C17" s="42">
        <v>2047.26</v>
      </c>
      <c r="D17" s="42"/>
      <c r="E17" s="42">
        <f>ROUND(Р[[#This Row],[Количество]]*Р[[#This Row],[Цена за ед., руб]],2)</f>
        <v>0</v>
      </c>
      <c r="F17" s="50" t="s">
        <v>107</v>
      </c>
    </row>
    <row r="18" spans="1:6" ht="11.1" customHeight="1" x14ac:dyDescent="0.2">
      <c r="A18" s="49" t="s">
        <v>116</v>
      </c>
      <c r="B18" s="41" t="s">
        <v>30</v>
      </c>
      <c r="C18" s="44">
        <v>615.96</v>
      </c>
      <c r="D18" s="42"/>
      <c r="E18" s="42">
        <f>ROUND(Р[[#This Row],[Количество]]*Р[[#This Row],[Цена за ед., руб]],2)</f>
        <v>0</v>
      </c>
      <c r="F18" s="50" t="s">
        <v>117</v>
      </c>
    </row>
    <row r="19" spans="1:6" ht="23.1" customHeight="1" x14ac:dyDescent="0.2">
      <c r="A19" s="49" t="s">
        <v>118</v>
      </c>
      <c r="B19" s="41" t="s">
        <v>30</v>
      </c>
      <c r="C19" s="44">
        <v>249.79</v>
      </c>
      <c r="D19" s="42"/>
      <c r="E19" s="42">
        <f>ROUND(Р[[#This Row],[Количество]]*Р[[#This Row],[Цена за ед., руб]],2)</f>
        <v>0</v>
      </c>
      <c r="F19" s="50"/>
    </row>
    <row r="20" spans="1:6" ht="23.1" customHeight="1" x14ac:dyDescent="0.2">
      <c r="A20" s="49" t="s">
        <v>121</v>
      </c>
      <c r="B20" s="41" t="s">
        <v>30</v>
      </c>
      <c r="C20" s="42">
        <v>3450.59</v>
      </c>
      <c r="D20" s="42"/>
      <c r="E20" s="42">
        <f>ROUND(Р[[#This Row],[Количество]]*Р[[#This Row],[Цена за ед., руб]],2)</f>
        <v>0</v>
      </c>
      <c r="F20" s="50"/>
    </row>
    <row r="21" spans="1:6" ht="23.1" customHeight="1" x14ac:dyDescent="0.2">
      <c r="A21" s="49" t="s">
        <v>122</v>
      </c>
      <c r="B21" s="41" t="s">
        <v>30</v>
      </c>
      <c r="C21" s="44">
        <v>580.24</v>
      </c>
      <c r="D21" s="42"/>
      <c r="E21" s="42">
        <f>ROUND(Р[[#This Row],[Количество]]*Р[[#This Row],[Цена за ед., руб]],2)</f>
        <v>0</v>
      </c>
      <c r="F21" s="50" t="s">
        <v>123</v>
      </c>
    </row>
    <row r="22" spans="1:6" ht="11.1" customHeight="1" x14ac:dyDescent="0.2">
      <c r="A22" s="49" t="s">
        <v>129</v>
      </c>
      <c r="B22" s="41" t="s">
        <v>47</v>
      </c>
      <c r="C22" s="46">
        <v>77</v>
      </c>
      <c r="D22" s="42"/>
      <c r="E22" s="42">
        <f>ROUND(Р[[#This Row],[Количество]]*Р[[#This Row],[Цена за ед., руб]],2)</f>
        <v>0</v>
      </c>
      <c r="F22" s="50"/>
    </row>
    <row r="23" spans="1:6" ht="11.1" customHeight="1" x14ac:dyDescent="0.2">
      <c r="A23" s="49" t="s">
        <v>133</v>
      </c>
      <c r="B23" s="41" t="s">
        <v>47</v>
      </c>
      <c r="C23" s="46">
        <v>18</v>
      </c>
      <c r="D23" s="42"/>
      <c r="E23" s="42">
        <f>ROUND(Р[[#This Row],[Количество]]*Р[[#This Row],[Цена за ед., руб]],2)</f>
        <v>0</v>
      </c>
      <c r="F23" s="50"/>
    </row>
    <row r="24" spans="1:6" ht="11.1" customHeight="1" x14ac:dyDescent="0.2">
      <c r="A24" s="49" t="s">
        <v>138</v>
      </c>
      <c r="B24" s="41" t="s">
        <v>92</v>
      </c>
      <c r="C24" s="44">
        <v>226.21</v>
      </c>
      <c r="D24" s="42"/>
      <c r="E24" s="42">
        <f>ROUND(Р[[#This Row],[Количество]]*Р[[#This Row],[Цена за ед., руб]],2)</f>
        <v>0</v>
      </c>
      <c r="F24" s="50"/>
    </row>
    <row r="25" spans="1:6" ht="11.1" customHeight="1" x14ac:dyDescent="0.2">
      <c r="A25" s="53" t="s">
        <v>159</v>
      </c>
      <c r="B25" s="54" t="s">
        <v>92</v>
      </c>
      <c r="C25" s="55">
        <v>741.73</v>
      </c>
      <c r="D25" s="59"/>
      <c r="E25" s="59">
        <f>ROUND(Р[[#This Row],[Количество]]*Р[[#This Row],[Цена за ед., руб]],2)</f>
        <v>0</v>
      </c>
      <c r="F25" s="57"/>
    </row>
    <row r="26" spans="1:6" ht="11.45" customHeight="1" x14ac:dyDescent="0.2">
      <c r="A26" s="53" t="s">
        <v>197</v>
      </c>
      <c r="B26" s="54"/>
      <c r="C26" s="56"/>
      <c r="D26" s="59"/>
      <c r="E26" s="59">
        <f>SUBTOTAL(109,Р[Сумма, руб])</f>
        <v>0</v>
      </c>
      <c r="F26" s="57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7"/>
  <sheetViews>
    <sheetView workbookViewId="0">
      <pane ySplit="3" topLeftCell="A19" activePane="bottomLeft" state="frozen"/>
      <selection pane="bottomLeft" activeCell="A4" sqref="A4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89" t="s">
        <v>172</v>
      </c>
      <c r="B1" s="89"/>
      <c r="C1" s="89"/>
      <c r="D1" s="89"/>
      <c r="E1" s="89"/>
      <c r="F1" s="89"/>
      <c r="G1" s="89"/>
      <c r="H1" s="89"/>
    </row>
    <row r="2" spans="1:9" ht="11.1" customHeight="1" x14ac:dyDescent="0.2"/>
    <row r="3" spans="1:9" ht="23.1" customHeight="1" x14ac:dyDescent="0.2">
      <c r="A3" s="51" t="s">
        <v>173</v>
      </c>
      <c r="B3" s="60" t="s">
        <v>174</v>
      </c>
      <c r="C3" s="52" t="s">
        <v>175</v>
      </c>
      <c r="D3" s="2" t="s">
        <v>5</v>
      </c>
      <c r="E3" s="2" t="s">
        <v>15</v>
      </c>
      <c r="F3" s="58" t="s">
        <v>16</v>
      </c>
      <c r="G3" s="58" t="s">
        <v>17</v>
      </c>
      <c r="H3" s="2" t="s">
        <v>176</v>
      </c>
      <c r="I3" s="52" t="s">
        <v>177</v>
      </c>
    </row>
    <row r="4" spans="1:9" ht="47.1" customHeight="1" x14ac:dyDescent="0.2">
      <c r="A4" s="49" t="s">
        <v>161</v>
      </c>
      <c r="B4" s="43"/>
      <c r="C4" s="43"/>
      <c r="D4" s="41" t="s">
        <v>47</v>
      </c>
      <c r="E4" s="46">
        <v>71</v>
      </c>
      <c r="F4" s="42"/>
      <c r="G4" s="42">
        <f>ROUND(М[[#This Row],[Количество]]*М[[#This Row],[Цена за ед., руб]],2)</f>
        <v>0</v>
      </c>
      <c r="H4" s="43" t="s">
        <v>162</v>
      </c>
      <c r="I4" s="50" t="s">
        <v>178</v>
      </c>
    </row>
    <row r="5" spans="1:9" ht="11.1" customHeight="1" x14ac:dyDescent="0.2">
      <c r="A5" s="49" t="s">
        <v>66</v>
      </c>
      <c r="B5" s="43"/>
      <c r="C5" s="43" t="s">
        <v>67</v>
      </c>
      <c r="D5" s="41" t="s">
        <v>30</v>
      </c>
      <c r="E5" s="42">
        <v>7723.97</v>
      </c>
      <c r="F5" s="42"/>
      <c r="G5" s="42">
        <f>ROUND(М[[#This Row],[Количество]]*М[[#This Row],[Цена за ед., руб]],2)</f>
        <v>0</v>
      </c>
      <c r="H5" s="43"/>
      <c r="I5" s="50" t="s">
        <v>178</v>
      </c>
    </row>
    <row r="6" spans="1:9" ht="11.1" customHeight="1" x14ac:dyDescent="0.2">
      <c r="A6" s="49" t="s">
        <v>66</v>
      </c>
      <c r="B6" s="43"/>
      <c r="C6" s="43" t="s">
        <v>68</v>
      </c>
      <c r="D6" s="41" t="s">
        <v>30</v>
      </c>
      <c r="E6" s="42">
        <v>8184.77</v>
      </c>
      <c r="F6" s="42"/>
      <c r="G6" s="42">
        <f>ROUND(М[[#This Row],[Количество]]*М[[#This Row],[Цена за ед., руб]],2)</f>
        <v>0</v>
      </c>
      <c r="H6" s="43"/>
      <c r="I6" s="50" t="s">
        <v>178</v>
      </c>
    </row>
    <row r="7" spans="1:9" ht="23.1" customHeight="1" x14ac:dyDescent="0.2">
      <c r="A7" s="49" t="s">
        <v>51</v>
      </c>
      <c r="B7" s="43"/>
      <c r="C7" s="43" t="s">
        <v>59</v>
      </c>
      <c r="D7" s="41" t="s">
        <v>53</v>
      </c>
      <c r="E7" s="44">
        <v>644.41999999999996</v>
      </c>
      <c r="F7" s="42"/>
      <c r="G7" s="42">
        <f>ROUND(М[[#This Row],[Количество]]*М[[#This Row],[Цена за ед., руб]],2)</f>
        <v>0</v>
      </c>
      <c r="H7" s="43" t="s">
        <v>60</v>
      </c>
      <c r="I7" s="50" t="s">
        <v>178</v>
      </c>
    </row>
    <row r="8" spans="1:9" ht="11.1" customHeight="1" x14ac:dyDescent="0.2">
      <c r="A8" s="49" t="s">
        <v>51</v>
      </c>
      <c r="B8" s="43"/>
      <c r="C8" s="43" t="s">
        <v>52</v>
      </c>
      <c r="D8" s="41" t="s">
        <v>53</v>
      </c>
      <c r="E8" s="44">
        <v>4.93</v>
      </c>
      <c r="F8" s="42"/>
      <c r="G8" s="42">
        <f>ROUND(М[[#This Row],[Количество]]*М[[#This Row],[Цена за ед., руб]],2)</f>
        <v>0</v>
      </c>
      <c r="H8" s="43"/>
      <c r="I8" s="50" t="s">
        <v>178</v>
      </c>
    </row>
    <row r="9" spans="1:9" ht="11.1" customHeight="1" x14ac:dyDescent="0.2">
      <c r="A9" s="49" t="s">
        <v>85</v>
      </c>
      <c r="B9" s="43"/>
      <c r="C9" s="43" t="s">
        <v>108</v>
      </c>
      <c r="D9" s="41" t="s">
        <v>47</v>
      </c>
      <c r="E9" s="47">
        <v>1260</v>
      </c>
      <c r="F9" s="42"/>
      <c r="G9" s="42">
        <f>ROUND(М[[#This Row],[Количество]]*М[[#This Row],[Цена за ед., руб]],2)</f>
        <v>0</v>
      </c>
      <c r="H9" s="43"/>
      <c r="I9" s="50" t="s">
        <v>178</v>
      </c>
    </row>
    <row r="10" spans="1:9" ht="11.1" customHeight="1" x14ac:dyDescent="0.2">
      <c r="A10" s="49" t="s">
        <v>85</v>
      </c>
      <c r="B10" s="43"/>
      <c r="C10" s="43" t="s">
        <v>140</v>
      </c>
      <c r="D10" s="41" t="s">
        <v>47</v>
      </c>
      <c r="E10" s="47">
        <v>14884</v>
      </c>
      <c r="F10" s="42"/>
      <c r="G10" s="42">
        <f>ROUND(М[[#This Row],[Количество]]*М[[#This Row],[Цена за ед., руб]],2)</f>
        <v>0</v>
      </c>
      <c r="H10" s="43" t="s">
        <v>163</v>
      </c>
      <c r="I10" s="50" t="s">
        <v>178</v>
      </c>
    </row>
    <row r="11" spans="1:9" ht="11.1" customHeight="1" x14ac:dyDescent="0.2">
      <c r="A11" s="49" t="s">
        <v>85</v>
      </c>
      <c r="B11" s="43"/>
      <c r="C11" s="43" t="s">
        <v>140</v>
      </c>
      <c r="D11" s="41" t="s">
        <v>47</v>
      </c>
      <c r="E11" s="47">
        <v>4572</v>
      </c>
      <c r="F11" s="42"/>
      <c r="G11" s="42">
        <f>ROUND(М[[#This Row],[Количество]]*М[[#This Row],[Цена за ед., руб]],2)</f>
        <v>0</v>
      </c>
      <c r="H11" s="43"/>
      <c r="I11" s="50" t="s">
        <v>178</v>
      </c>
    </row>
    <row r="12" spans="1:9" ht="23.1" customHeight="1" x14ac:dyDescent="0.2">
      <c r="A12" s="49" t="s">
        <v>85</v>
      </c>
      <c r="B12" s="43"/>
      <c r="C12" s="43" t="s">
        <v>86</v>
      </c>
      <c r="D12" s="41" t="s">
        <v>47</v>
      </c>
      <c r="E12" s="47">
        <v>10225</v>
      </c>
      <c r="F12" s="42"/>
      <c r="G12" s="42">
        <f>ROUND(М[[#This Row],[Количество]]*М[[#This Row],[Цена за ед., руб]],2)</f>
        <v>0</v>
      </c>
      <c r="H12" s="43"/>
      <c r="I12" s="50" t="s">
        <v>178</v>
      </c>
    </row>
    <row r="13" spans="1:9" ht="23.1" customHeight="1" x14ac:dyDescent="0.2">
      <c r="A13" s="49" t="s">
        <v>85</v>
      </c>
      <c r="B13" s="43"/>
      <c r="C13" s="43" t="s">
        <v>103</v>
      </c>
      <c r="D13" s="41" t="s">
        <v>47</v>
      </c>
      <c r="E13" s="47">
        <v>1920</v>
      </c>
      <c r="F13" s="42"/>
      <c r="G13" s="42">
        <f>ROUND(М[[#This Row],[Количество]]*М[[#This Row],[Цена за ед., руб]],2)</f>
        <v>0</v>
      </c>
      <c r="H13" s="43"/>
      <c r="I13" s="50" t="s">
        <v>178</v>
      </c>
    </row>
    <row r="14" spans="1:9" ht="11.1" customHeight="1" x14ac:dyDescent="0.2">
      <c r="A14" s="49" t="s">
        <v>85</v>
      </c>
      <c r="B14" s="43"/>
      <c r="C14" s="43" t="s">
        <v>109</v>
      </c>
      <c r="D14" s="41" t="s">
        <v>47</v>
      </c>
      <c r="E14" s="47">
        <v>6070</v>
      </c>
      <c r="F14" s="42"/>
      <c r="G14" s="42">
        <f>ROUND(М[[#This Row],[Количество]]*М[[#This Row],[Цена за ед., руб]],2)</f>
        <v>0</v>
      </c>
      <c r="H14" s="43"/>
      <c r="I14" s="50" t="s">
        <v>178</v>
      </c>
    </row>
    <row r="15" spans="1:9" ht="11.1" customHeight="1" x14ac:dyDescent="0.2">
      <c r="A15" s="49" t="s">
        <v>81</v>
      </c>
      <c r="B15" s="43"/>
      <c r="C15" s="43" t="s">
        <v>82</v>
      </c>
      <c r="D15" s="41" t="s">
        <v>53</v>
      </c>
      <c r="E15" s="44">
        <v>405.11</v>
      </c>
      <c r="F15" s="42"/>
      <c r="G15" s="42">
        <f>ROUND(М[[#This Row],[Количество]]*М[[#This Row],[Цена за ед., руб]],2)</f>
        <v>0</v>
      </c>
      <c r="H15" s="43"/>
      <c r="I15" s="50" t="s">
        <v>178</v>
      </c>
    </row>
    <row r="16" spans="1:9" ht="11.1" customHeight="1" x14ac:dyDescent="0.2">
      <c r="A16" s="49" t="s">
        <v>63</v>
      </c>
      <c r="B16" s="43"/>
      <c r="C16" s="43" t="s">
        <v>87</v>
      </c>
      <c r="D16" s="41" t="s">
        <v>53</v>
      </c>
      <c r="E16" s="44">
        <v>155.65</v>
      </c>
      <c r="F16" s="42"/>
      <c r="G16" s="42">
        <f>ROUND(М[[#This Row],[Количество]]*М[[#This Row],[Цена за ед., руб]],2)</f>
        <v>0</v>
      </c>
      <c r="H16" s="43"/>
      <c r="I16" s="50" t="s">
        <v>178</v>
      </c>
    </row>
    <row r="17" spans="1:9" ht="11.1" customHeight="1" x14ac:dyDescent="0.2">
      <c r="A17" s="49" t="s">
        <v>63</v>
      </c>
      <c r="B17" s="43"/>
      <c r="C17" s="43" t="s">
        <v>104</v>
      </c>
      <c r="D17" s="41" t="s">
        <v>53</v>
      </c>
      <c r="E17" s="44">
        <v>43.69</v>
      </c>
      <c r="F17" s="42"/>
      <c r="G17" s="42">
        <f>ROUND(М[[#This Row],[Количество]]*М[[#This Row],[Цена за ед., руб]],2)</f>
        <v>0</v>
      </c>
      <c r="H17" s="43"/>
      <c r="I17" s="50" t="s">
        <v>178</v>
      </c>
    </row>
    <row r="18" spans="1:9" ht="11.1" customHeight="1" x14ac:dyDescent="0.2">
      <c r="A18" s="49" t="s">
        <v>63</v>
      </c>
      <c r="B18" s="43"/>
      <c r="C18" s="43" t="s">
        <v>64</v>
      </c>
      <c r="D18" s="41" t="s">
        <v>53</v>
      </c>
      <c r="E18" s="44">
        <v>5.19</v>
      </c>
      <c r="F18" s="42"/>
      <c r="G18" s="42">
        <f>ROUND(М[[#This Row],[Количество]]*М[[#This Row],[Цена за ед., руб]],2)</f>
        <v>0</v>
      </c>
      <c r="H18" s="43"/>
      <c r="I18" s="50" t="s">
        <v>178</v>
      </c>
    </row>
    <row r="19" spans="1:9" ht="11.1" customHeight="1" x14ac:dyDescent="0.2">
      <c r="A19" s="49" t="s">
        <v>34</v>
      </c>
      <c r="B19" s="43" t="s">
        <v>35</v>
      </c>
      <c r="C19" s="43" t="s">
        <v>36</v>
      </c>
      <c r="D19" s="41" t="s">
        <v>37</v>
      </c>
      <c r="E19" s="42">
        <v>2012.35</v>
      </c>
      <c r="F19" s="42"/>
      <c r="G19" s="42">
        <f>ROUND(М[[#This Row],[Количество]]*М[[#This Row],[Цена за ед., руб]],2)</f>
        <v>0</v>
      </c>
      <c r="H19" s="43" t="s">
        <v>38</v>
      </c>
      <c r="I19" s="50" t="s">
        <v>178</v>
      </c>
    </row>
    <row r="20" spans="1:9" ht="11.1" customHeight="1" x14ac:dyDescent="0.2">
      <c r="A20" s="49" t="s">
        <v>72</v>
      </c>
      <c r="B20" s="43"/>
      <c r="C20" s="43" t="s">
        <v>73</v>
      </c>
      <c r="D20" s="41" t="s">
        <v>30</v>
      </c>
      <c r="E20" s="48">
        <v>10874.3</v>
      </c>
      <c r="F20" s="42"/>
      <c r="G20" s="42">
        <f>ROUND(М[[#This Row],[Количество]]*М[[#This Row],[Цена за ед., руб]],2)</f>
        <v>0</v>
      </c>
      <c r="H20" s="43" t="s">
        <v>74</v>
      </c>
      <c r="I20" s="50" t="s">
        <v>178</v>
      </c>
    </row>
    <row r="21" spans="1:9" ht="11.1" customHeight="1" x14ac:dyDescent="0.2">
      <c r="A21" s="49" t="s">
        <v>72</v>
      </c>
      <c r="B21" s="43"/>
      <c r="C21" s="43" t="s">
        <v>73</v>
      </c>
      <c r="D21" s="41" t="s">
        <v>30</v>
      </c>
      <c r="E21" s="44">
        <v>262.29000000000002</v>
      </c>
      <c r="F21" s="42"/>
      <c r="G21" s="42">
        <f>ROUND(М[[#This Row],[Количество]]*М[[#This Row],[Цена за ед., руб]],2)</f>
        <v>0</v>
      </c>
      <c r="H21" s="43"/>
      <c r="I21" s="50" t="s">
        <v>178</v>
      </c>
    </row>
    <row r="22" spans="1:9" ht="11.1" customHeight="1" x14ac:dyDescent="0.2">
      <c r="A22" s="49" t="s">
        <v>70</v>
      </c>
      <c r="B22" s="43"/>
      <c r="C22" s="43"/>
      <c r="D22" s="41" t="s">
        <v>37</v>
      </c>
      <c r="E22" s="42">
        <v>7757.99</v>
      </c>
      <c r="F22" s="42"/>
      <c r="G22" s="42">
        <f>ROUND(М[[#This Row],[Количество]]*М[[#This Row],[Цена за ед., руб]],2)</f>
        <v>0</v>
      </c>
      <c r="H22" s="43"/>
      <c r="I22" s="50" t="s">
        <v>178</v>
      </c>
    </row>
    <row r="23" spans="1:9" ht="59.1" customHeight="1" x14ac:dyDescent="0.2">
      <c r="A23" s="49" t="s">
        <v>164</v>
      </c>
      <c r="B23" s="43"/>
      <c r="C23" s="43" t="s">
        <v>165</v>
      </c>
      <c r="D23" s="41" t="s">
        <v>92</v>
      </c>
      <c r="E23" s="45">
        <v>763.7</v>
      </c>
      <c r="F23" s="42"/>
      <c r="G23" s="42">
        <f>ROUND(М[[#This Row],[Количество]]*М[[#This Row],[Цена за ед., руб]],2)</f>
        <v>0</v>
      </c>
      <c r="H23" s="43" t="s">
        <v>166</v>
      </c>
      <c r="I23" s="50" t="s">
        <v>178</v>
      </c>
    </row>
    <row r="24" spans="1:9" ht="59.1" customHeight="1" x14ac:dyDescent="0.2">
      <c r="A24" s="49" t="s">
        <v>164</v>
      </c>
      <c r="B24" s="43"/>
      <c r="C24" s="43" t="s">
        <v>167</v>
      </c>
      <c r="D24" s="41" t="s">
        <v>92</v>
      </c>
      <c r="E24" s="44">
        <v>15.12</v>
      </c>
      <c r="F24" s="42"/>
      <c r="G24" s="42">
        <f>ROUND(М[[#This Row],[Количество]]*М[[#This Row],[Цена за ед., руб]],2)</f>
        <v>0</v>
      </c>
      <c r="H24" s="43" t="s">
        <v>168</v>
      </c>
      <c r="I24" s="50" t="s">
        <v>178</v>
      </c>
    </row>
    <row r="25" spans="1:9" ht="23.1" customHeight="1" x14ac:dyDescent="0.2">
      <c r="A25" s="49" t="s">
        <v>75</v>
      </c>
      <c r="B25" s="43"/>
      <c r="C25" s="43" t="s">
        <v>76</v>
      </c>
      <c r="D25" s="41" t="s">
        <v>47</v>
      </c>
      <c r="E25" s="47">
        <v>13056</v>
      </c>
      <c r="F25" s="42"/>
      <c r="G25" s="42">
        <f>ROUND(М[[#This Row],[Количество]]*М[[#This Row],[Цена за ед., руб]],2)</f>
        <v>0</v>
      </c>
      <c r="H25" s="43"/>
      <c r="I25" s="50" t="s">
        <v>178</v>
      </c>
    </row>
    <row r="26" spans="1:9" ht="11.1" customHeight="1" x14ac:dyDescent="0.2">
      <c r="A26" s="49" t="s">
        <v>130</v>
      </c>
      <c r="B26" s="43"/>
      <c r="C26" s="43" t="s">
        <v>131</v>
      </c>
      <c r="D26" s="41" t="s">
        <v>47</v>
      </c>
      <c r="E26" s="46">
        <v>77</v>
      </c>
      <c r="F26" s="42"/>
      <c r="G26" s="42">
        <f>ROUND(М[[#This Row],[Количество]]*М[[#This Row],[Цена за ед., руб]],2)</f>
        <v>0</v>
      </c>
      <c r="H26" s="43" t="s">
        <v>132</v>
      </c>
      <c r="I26" s="50" t="s">
        <v>178</v>
      </c>
    </row>
    <row r="27" spans="1:9" ht="11.1" customHeight="1" x14ac:dyDescent="0.2">
      <c r="A27" s="49" t="s">
        <v>54</v>
      </c>
      <c r="B27" s="43"/>
      <c r="C27" s="43" t="s">
        <v>55</v>
      </c>
      <c r="D27" s="41" t="s">
        <v>56</v>
      </c>
      <c r="E27" s="46">
        <v>160</v>
      </c>
      <c r="F27" s="42"/>
      <c r="G27" s="42">
        <f>ROUND(М[[#This Row],[Количество]]*М[[#This Row],[Цена за ед., руб]],2)</f>
        <v>0</v>
      </c>
      <c r="H27" s="43"/>
      <c r="I27" s="50" t="s">
        <v>178</v>
      </c>
    </row>
    <row r="28" spans="1:9" ht="35.1" customHeight="1" x14ac:dyDescent="0.2">
      <c r="A28" s="49" t="s">
        <v>141</v>
      </c>
      <c r="B28" s="43"/>
      <c r="C28" s="43" t="s">
        <v>142</v>
      </c>
      <c r="D28" s="41" t="s">
        <v>92</v>
      </c>
      <c r="E28" s="44">
        <v>87.88</v>
      </c>
      <c r="F28" s="42"/>
      <c r="G28" s="42">
        <f>ROUND(М[[#This Row],[Количество]]*М[[#This Row],[Цена за ед., руб]],2)</f>
        <v>0</v>
      </c>
      <c r="H28" s="43" t="s">
        <v>143</v>
      </c>
      <c r="I28" s="50" t="s">
        <v>178</v>
      </c>
    </row>
    <row r="29" spans="1:9" ht="35.1" customHeight="1" x14ac:dyDescent="0.2">
      <c r="A29" s="49" t="s">
        <v>141</v>
      </c>
      <c r="B29" s="43"/>
      <c r="C29" s="43" t="s">
        <v>144</v>
      </c>
      <c r="D29" s="41" t="s">
        <v>92</v>
      </c>
      <c r="E29" s="44">
        <v>87.88</v>
      </c>
      <c r="F29" s="42"/>
      <c r="G29" s="42">
        <f>ROUND(М[[#This Row],[Количество]]*М[[#This Row],[Цена за ед., руб]],2)</f>
        <v>0</v>
      </c>
      <c r="H29" s="43" t="s">
        <v>145</v>
      </c>
      <c r="I29" s="50" t="s">
        <v>178</v>
      </c>
    </row>
    <row r="30" spans="1:9" ht="35.1" customHeight="1" x14ac:dyDescent="0.2">
      <c r="A30" s="49" t="s">
        <v>141</v>
      </c>
      <c r="B30" s="43"/>
      <c r="C30" s="43" t="s">
        <v>146</v>
      </c>
      <c r="D30" s="41" t="s">
        <v>92</v>
      </c>
      <c r="E30" s="44">
        <v>66.72</v>
      </c>
      <c r="F30" s="42"/>
      <c r="G30" s="42">
        <f>ROUND(М[[#This Row],[Количество]]*М[[#This Row],[Цена за ед., руб]],2)</f>
        <v>0</v>
      </c>
      <c r="H30" s="43" t="s">
        <v>147</v>
      </c>
      <c r="I30" s="50" t="s">
        <v>178</v>
      </c>
    </row>
    <row r="31" spans="1:9" ht="23.1" customHeight="1" x14ac:dyDescent="0.2">
      <c r="A31" s="49" t="s">
        <v>141</v>
      </c>
      <c r="B31" s="43"/>
      <c r="C31" s="43" t="s">
        <v>148</v>
      </c>
      <c r="D31" s="41" t="s">
        <v>92</v>
      </c>
      <c r="E31" s="44">
        <v>65.66</v>
      </c>
      <c r="F31" s="42"/>
      <c r="G31" s="42">
        <f>ROUND(М[[#This Row],[Количество]]*М[[#This Row],[Цена за ед., руб]],2)</f>
        <v>0</v>
      </c>
      <c r="H31" s="43" t="s">
        <v>147</v>
      </c>
      <c r="I31" s="50" t="s">
        <v>178</v>
      </c>
    </row>
    <row r="32" spans="1:9" ht="11.1" customHeight="1" x14ac:dyDescent="0.2">
      <c r="A32" s="49" t="s">
        <v>93</v>
      </c>
      <c r="B32" s="43"/>
      <c r="C32" s="43" t="s">
        <v>94</v>
      </c>
      <c r="D32" s="41" t="s">
        <v>92</v>
      </c>
      <c r="E32" s="44">
        <v>672.51</v>
      </c>
      <c r="F32" s="42"/>
      <c r="G32" s="42">
        <f>ROUND(М[[#This Row],[Количество]]*М[[#This Row],[Цена за ед., руб]],2)</f>
        <v>0</v>
      </c>
      <c r="H32" s="43"/>
      <c r="I32" s="50" t="s">
        <v>178</v>
      </c>
    </row>
    <row r="33" spans="1:9" ht="105.95" customHeight="1" x14ac:dyDescent="0.2">
      <c r="A33" s="49" t="s">
        <v>134</v>
      </c>
      <c r="B33" s="43"/>
      <c r="C33" s="43" t="s">
        <v>135</v>
      </c>
      <c r="D33" s="41" t="s">
        <v>47</v>
      </c>
      <c r="E33" s="46">
        <v>18</v>
      </c>
      <c r="F33" s="42"/>
      <c r="G33" s="42">
        <f>ROUND(М[[#This Row],[Количество]]*М[[#This Row],[Цена за ед., руб]],2)</f>
        <v>0</v>
      </c>
      <c r="H33" s="43" t="s">
        <v>136</v>
      </c>
      <c r="I33" s="50" t="s">
        <v>178</v>
      </c>
    </row>
    <row r="34" spans="1:9" ht="35.1" customHeight="1" x14ac:dyDescent="0.2">
      <c r="A34" s="49" t="s">
        <v>149</v>
      </c>
      <c r="B34" s="43"/>
      <c r="C34" s="43" t="s">
        <v>150</v>
      </c>
      <c r="D34" s="41" t="s">
        <v>92</v>
      </c>
      <c r="E34" s="44">
        <v>17.25</v>
      </c>
      <c r="F34" s="42"/>
      <c r="G34" s="42">
        <f>ROUND(М[[#This Row],[Количество]]*М[[#This Row],[Цена за ед., руб]],2)</f>
        <v>0</v>
      </c>
      <c r="H34" s="43" t="s">
        <v>151</v>
      </c>
      <c r="I34" s="50" t="s">
        <v>178</v>
      </c>
    </row>
    <row r="35" spans="1:9" ht="23.1" customHeight="1" x14ac:dyDescent="0.2">
      <c r="A35" s="49" t="s">
        <v>111</v>
      </c>
      <c r="B35" s="43"/>
      <c r="C35" s="43" t="s">
        <v>112</v>
      </c>
      <c r="D35" s="41" t="s">
        <v>53</v>
      </c>
      <c r="E35" s="44">
        <v>9.77</v>
      </c>
      <c r="F35" s="42"/>
      <c r="G35" s="42">
        <f>ROUND(М[[#This Row],[Количество]]*М[[#This Row],[Цена за ед., руб]],2)</f>
        <v>0</v>
      </c>
      <c r="H35" s="43"/>
      <c r="I35" s="50" t="s">
        <v>178</v>
      </c>
    </row>
    <row r="36" spans="1:9" ht="23.1" customHeight="1" x14ac:dyDescent="0.2">
      <c r="A36" s="49" t="s">
        <v>111</v>
      </c>
      <c r="B36" s="43"/>
      <c r="C36" s="43" t="s">
        <v>114</v>
      </c>
      <c r="D36" s="41" t="s">
        <v>53</v>
      </c>
      <c r="E36" s="45">
        <v>2.9</v>
      </c>
      <c r="F36" s="42"/>
      <c r="G36" s="42">
        <f>ROUND(М[[#This Row],[Количество]]*М[[#This Row],[Цена за ед., руб]],2)</f>
        <v>0</v>
      </c>
      <c r="H36" s="43"/>
      <c r="I36" s="50" t="s">
        <v>178</v>
      </c>
    </row>
    <row r="37" spans="1:9" ht="11.1" customHeight="1" x14ac:dyDescent="0.2">
      <c r="A37" s="49" t="s">
        <v>40</v>
      </c>
      <c r="B37" s="43"/>
      <c r="C37" s="43" t="s">
        <v>41</v>
      </c>
      <c r="D37" s="41" t="s">
        <v>30</v>
      </c>
      <c r="E37" s="47">
        <v>4290</v>
      </c>
      <c r="F37" s="42"/>
      <c r="G37" s="42">
        <f>ROUND(М[[#This Row],[Количество]]*М[[#This Row],[Цена за ед., руб]],2)</f>
        <v>0</v>
      </c>
      <c r="H37" s="43" t="s">
        <v>42</v>
      </c>
      <c r="I37" s="50" t="s">
        <v>178</v>
      </c>
    </row>
    <row r="38" spans="1:9" ht="23.1" customHeight="1" x14ac:dyDescent="0.2">
      <c r="A38" s="49" t="s">
        <v>95</v>
      </c>
      <c r="B38" s="43" t="s">
        <v>153</v>
      </c>
      <c r="C38" s="43" t="s">
        <v>154</v>
      </c>
      <c r="D38" s="41" t="s">
        <v>97</v>
      </c>
      <c r="E38" s="46">
        <v>220</v>
      </c>
      <c r="F38" s="42"/>
      <c r="G38" s="42">
        <f>ROUND(М[[#This Row],[Количество]]*М[[#This Row],[Цена за ед., руб]],2)</f>
        <v>0</v>
      </c>
      <c r="H38" s="43" t="s">
        <v>155</v>
      </c>
      <c r="I38" s="50" t="s">
        <v>178</v>
      </c>
    </row>
    <row r="39" spans="1:9" ht="11.1" customHeight="1" x14ac:dyDescent="0.2">
      <c r="A39" s="49" t="s">
        <v>95</v>
      </c>
      <c r="B39" s="43"/>
      <c r="C39" s="43" t="s">
        <v>96</v>
      </c>
      <c r="D39" s="41" t="s">
        <v>97</v>
      </c>
      <c r="E39" s="46">
        <v>36</v>
      </c>
      <c r="F39" s="42"/>
      <c r="G39" s="42">
        <f>ROUND(М[[#This Row],[Количество]]*М[[#This Row],[Цена за ед., руб]],2)</f>
        <v>0</v>
      </c>
      <c r="H39" s="43"/>
      <c r="I39" s="50" t="s">
        <v>178</v>
      </c>
    </row>
    <row r="40" spans="1:9" ht="11.1" customHeight="1" x14ac:dyDescent="0.2">
      <c r="A40" s="49" t="s">
        <v>77</v>
      </c>
      <c r="B40" s="43"/>
      <c r="C40" s="43" t="s">
        <v>157</v>
      </c>
      <c r="D40" s="41" t="s">
        <v>47</v>
      </c>
      <c r="E40" s="47">
        <v>19456</v>
      </c>
      <c r="F40" s="42"/>
      <c r="G40" s="42">
        <f>ROUND(М[[#This Row],[Количество]]*М[[#This Row],[Цена за ед., руб]],2)</f>
        <v>0</v>
      </c>
      <c r="H40" s="43"/>
      <c r="I40" s="50" t="s">
        <v>178</v>
      </c>
    </row>
    <row r="41" spans="1:9" ht="11.1" customHeight="1" x14ac:dyDescent="0.2">
      <c r="A41" s="49" t="s">
        <v>77</v>
      </c>
      <c r="B41" s="43"/>
      <c r="C41" s="43" t="s">
        <v>78</v>
      </c>
      <c r="D41" s="41" t="s">
        <v>47</v>
      </c>
      <c r="E41" s="47">
        <v>23629</v>
      </c>
      <c r="F41" s="42"/>
      <c r="G41" s="42">
        <f>ROUND(М[[#This Row],[Количество]]*М[[#This Row],[Цена за ед., руб]],2)</f>
        <v>0</v>
      </c>
      <c r="H41" s="43"/>
      <c r="I41" s="50" t="s">
        <v>178</v>
      </c>
    </row>
    <row r="42" spans="1:9" ht="11.1" customHeight="1" x14ac:dyDescent="0.2">
      <c r="A42" s="49" t="s">
        <v>77</v>
      </c>
      <c r="B42" s="43"/>
      <c r="C42" s="43" t="s">
        <v>78</v>
      </c>
      <c r="D42" s="41" t="s">
        <v>47</v>
      </c>
      <c r="E42" s="47">
        <v>3141</v>
      </c>
      <c r="F42" s="42"/>
      <c r="G42" s="42">
        <f>ROUND(М[[#This Row],[Количество]]*М[[#This Row],[Цена за ед., руб]],2)</f>
        <v>0</v>
      </c>
      <c r="H42" s="43" t="s">
        <v>119</v>
      </c>
      <c r="I42" s="50" t="s">
        <v>178</v>
      </c>
    </row>
    <row r="43" spans="1:9" ht="23.1" customHeight="1" x14ac:dyDescent="0.2">
      <c r="A43" s="49" t="s">
        <v>44</v>
      </c>
      <c r="B43" s="43" t="s">
        <v>45</v>
      </c>
      <c r="C43" s="43" t="s">
        <v>46</v>
      </c>
      <c r="D43" s="41" t="s">
        <v>47</v>
      </c>
      <c r="E43" s="46">
        <v>19</v>
      </c>
      <c r="F43" s="42"/>
      <c r="G43" s="42">
        <f>ROUND(М[[#This Row],[Количество]]*М[[#This Row],[Цена за ед., руб]],2)</f>
        <v>0</v>
      </c>
      <c r="H43" s="43" t="s">
        <v>124</v>
      </c>
      <c r="I43" s="50" t="s">
        <v>178</v>
      </c>
    </row>
    <row r="44" spans="1:9" ht="23.1" customHeight="1" x14ac:dyDescent="0.2">
      <c r="A44" s="49" t="s">
        <v>44</v>
      </c>
      <c r="B44" s="43" t="s">
        <v>45</v>
      </c>
      <c r="C44" s="43" t="s">
        <v>46</v>
      </c>
      <c r="D44" s="41" t="s">
        <v>47</v>
      </c>
      <c r="E44" s="46">
        <v>105</v>
      </c>
      <c r="F44" s="42"/>
      <c r="G44" s="42">
        <f>ROUND(М[[#This Row],[Количество]]*М[[#This Row],[Цена за ед., руб]],2)</f>
        <v>0</v>
      </c>
      <c r="H44" s="43" t="s">
        <v>48</v>
      </c>
      <c r="I44" s="50" t="s">
        <v>178</v>
      </c>
    </row>
    <row r="45" spans="1:9" ht="11.1" customHeight="1" x14ac:dyDescent="0.2">
      <c r="A45" s="49" t="s">
        <v>98</v>
      </c>
      <c r="B45" s="43"/>
      <c r="C45" s="43" t="s">
        <v>99</v>
      </c>
      <c r="D45" s="41" t="s">
        <v>47</v>
      </c>
      <c r="E45" s="47">
        <v>3420</v>
      </c>
      <c r="F45" s="42"/>
      <c r="G45" s="42">
        <f>ROUND(М[[#This Row],[Количество]]*М[[#This Row],[Цена за ед., руб]],2)</f>
        <v>0</v>
      </c>
      <c r="H45" s="43"/>
      <c r="I45" s="50" t="s">
        <v>178</v>
      </c>
    </row>
    <row r="46" spans="1:9" ht="23.1" customHeight="1" x14ac:dyDescent="0.2">
      <c r="A46" s="53" t="s">
        <v>98</v>
      </c>
      <c r="B46" s="61"/>
      <c r="C46" s="61" t="s">
        <v>99</v>
      </c>
      <c r="D46" s="54" t="s">
        <v>47</v>
      </c>
      <c r="E46" s="62">
        <v>2404</v>
      </c>
      <c r="F46" s="59"/>
      <c r="G46" s="59">
        <f>ROUND(М[[#This Row],[Количество]]*М[[#This Row],[Цена за ед., руб]],2)</f>
        <v>0</v>
      </c>
      <c r="H46" s="61" t="s">
        <v>120</v>
      </c>
      <c r="I46" s="57" t="s">
        <v>178</v>
      </c>
    </row>
    <row r="47" spans="1:9" ht="11.45" customHeight="1" x14ac:dyDescent="0.2">
      <c r="A47" s="53" t="s">
        <v>197</v>
      </c>
      <c r="B47" s="61"/>
      <c r="C47" s="61"/>
      <c r="D47" s="54"/>
      <c r="E47" s="56"/>
      <c r="F47" s="59"/>
      <c r="G47" s="59">
        <f>SUBTOTAL(109,М[Сумма, руб])</f>
        <v>0</v>
      </c>
      <c r="H47" s="61"/>
      <c r="I47" s="57"/>
    </row>
  </sheetData>
  <mergeCells count="1">
    <mergeCell ref="A1:H1"/>
  </mergeCells>
  <dataValidations count="1">
    <dataValidation type="list" errorStyle="information" allowBlank="1" showInputMessage="1" showErrorMessage="1" sqref="I3:I46" xr:uid="{D4E28675-1BED-4E74-988E-5403C8E5EB21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9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179</v>
      </c>
      <c r="B1" s="1" t="s">
        <v>180</v>
      </c>
    </row>
    <row r="2" spans="1:2" ht="11.1" customHeight="1" x14ac:dyDescent="0.2">
      <c r="A2" s="1" t="s">
        <v>181</v>
      </c>
      <c r="B2" s="1" t="s">
        <v>182</v>
      </c>
    </row>
    <row r="3" spans="1:2" ht="11.1" customHeight="1" x14ac:dyDescent="0.2">
      <c r="A3" s="1" t="s">
        <v>183</v>
      </c>
      <c r="B3" s="1" t="s">
        <v>184</v>
      </c>
    </row>
    <row r="4" spans="1:2" ht="11.1" customHeight="1" x14ac:dyDescent="0.2">
      <c r="A4" s="1" t="s">
        <v>185</v>
      </c>
      <c r="B4" s="1" t="s">
        <v>186</v>
      </c>
    </row>
    <row r="5" spans="1:2" ht="11.1" customHeight="1" x14ac:dyDescent="0.2">
      <c r="A5" s="1" t="s">
        <v>187</v>
      </c>
      <c r="B5" s="1" t="s">
        <v>188</v>
      </c>
    </row>
    <row r="6" spans="1:2" ht="11.1" customHeight="1" x14ac:dyDescent="0.2">
      <c r="A6" s="1" t="s">
        <v>189</v>
      </c>
      <c r="B6" s="1" t="s">
        <v>190</v>
      </c>
    </row>
    <row r="7" spans="1:2" ht="11.1" customHeight="1" x14ac:dyDescent="0.2">
      <c r="A7" s="1" t="s">
        <v>191</v>
      </c>
      <c r="B7" s="1" t="s">
        <v>192</v>
      </c>
    </row>
    <row r="8" spans="1:2" ht="11.1" customHeight="1" x14ac:dyDescent="0.2">
      <c r="A8" s="1" t="s">
        <v>193</v>
      </c>
      <c r="B8" s="1" t="s">
        <v>194</v>
      </c>
    </row>
    <row r="9" spans="1:2" ht="11.1" customHeight="1" x14ac:dyDescent="0.2">
      <c r="A9" s="1" t="s">
        <v>195</v>
      </c>
      <c r="B9" s="1" t="s">
        <v>196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Дубейко Марина Викторовна</cp:lastModifiedBy>
  <dcterms:modified xsi:type="dcterms:W3CDTF">2026-08-10T10:06:25Z</dcterms:modified>
</cp:coreProperties>
</file>