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vetkovAA\Desktop\"/>
    </mc:Choice>
  </mc:AlternateContent>
  <xr:revisionPtr revIDLastSave="0" documentId="13_ncr:1_{4DD4312E-DA09-4381-8F17-C344DD896A6C}" xr6:coauthVersionLast="47" xr6:coauthVersionMax="47" xr10:uidLastSave="{00000000-0000-0000-0000-000000000000}"/>
  <bookViews>
    <workbookView xWindow="-108" yWindow="-16308" windowWidth="29016" windowHeight="15816" firstSheet="1" activeTab="1" xr2:uid="{00000000-000D-0000-FFFF-FFFF00000000}"/>
  </bookViews>
  <sheets>
    <sheet name="Кровля ГП-57 (2)" sheetId="8" state="hidden" r:id="rId1"/>
    <sheet name="ГПР Кровля ГП-75" sheetId="7" r:id="rId2"/>
  </sheets>
  <definedNames>
    <definedName name="_xlnm._FilterDatabase" localSheetId="1" hidden="1">'ГПР Кровля ГП-75'!$A$14:$R$14</definedName>
    <definedName name="_xlnm._FilterDatabase" localSheetId="0" hidden="1">'Кровля ГП-57 (2)'!$A$12:$R$12</definedName>
    <definedName name="i8022580" localSheetId="1">'ГПР Кровля ГП-75'!#REF!</definedName>
    <definedName name="i8022580" localSheetId="0">'Кровля ГП-57 (2)'!#REF!</definedName>
    <definedName name="_xlnm.Print_Area" localSheetId="1">'ГПР Кровля ГП-75'!$A$1:$R$24</definedName>
    <definedName name="_xlnm.Print_Area" localSheetId="0">'Кровля ГП-57 (2)'!$A$1:$Q$147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5" i="8" l="1"/>
  <c r="M134" i="8"/>
  <c r="M133" i="8"/>
  <c r="M131" i="8"/>
  <c r="M129" i="8"/>
  <c r="M125" i="8"/>
  <c r="M124" i="8"/>
  <c r="M123" i="8"/>
  <c r="L121" i="8"/>
  <c r="K121" i="8"/>
  <c r="J121" i="8"/>
  <c r="I121" i="8"/>
  <c r="H121" i="8"/>
  <c r="M121" i="8" s="1"/>
  <c r="L120" i="8"/>
  <c r="K120" i="8"/>
  <c r="J120" i="8"/>
  <c r="I120" i="8"/>
  <c r="H120" i="8"/>
  <c r="M120" i="8" s="1"/>
  <c r="L119" i="8"/>
  <c r="K119" i="8"/>
  <c r="M119" i="8" s="1"/>
  <c r="J119" i="8"/>
  <c r="I119" i="8"/>
  <c r="H119" i="8"/>
  <c r="L118" i="8"/>
  <c r="K118" i="8"/>
  <c r="J118" i="8"/>
  <c r="I118" i="8"/>
  <c r="H118" i="8"/>
  <c r="M118" i="8" s="1"/>
  <c r="M116" i="8"/>
  <c r="M115" i="8"/>
  <c r="M114" i="8"/>
  <c r="M113" i="8"/>
  <c r="M109" i="8"/>
  <c r="M108" i="8"/>
  <c r="K108" i="8"/>
  <c r="I108" i="8"/>
  <c r="M107" i="8"/>
  <c r="M106" i="8"/>
  <c r="M105" i="8"/>
  <c r="M104" i="8"/>
  <c r="M103" i="8"/>
  <c r="L101" i="8"/>
  <c r="K101" i="8"/>
  <c r="J101" i="8"/>
  <c r="I101" i="8"/>
  <c r="H101" i="8"/>
  <c r="M101" i="8" s="1"/>
  <c r="K100" i="8"/>
  <c r="I100" i="8"/>
  <c r="M100" i="8" s="1"/>
  <c r="M98" i="8"/>
  <c r="M97" i="8"/>
  <c r="M93" i="8"/>
  <c r="M91" i="8"/>
  <c r="L91" i="8"/>
  <c r="K91" i="8"/>
  <c r="J91" i="8"/>
  <c r="I91" i="8"/>
  <c r="H91" i="8"/>
  <c r="L90" i="8"/>
  <c r="K90" i="8"/>
  <c r="J90" i="8"/>
  <c r="M90" i="8" s="1"/>
  <c r="I90" i="8"/>
  <c r="H90" i="8"/>
  <c r="M89" i="8"/>
  <c r="L89" i="8"/>
  <c r="K89" i="8"/>
  <c r="J89" i="8"/>
  <c r="I89" i="8"/>
  <c r="H89" i="8"/>
  <c r="L88" i="8"/>
  <c r="K88" i="8"/>
  <c r="J88" i="8"/>
  <c r="M88" i="8" s="1"/>
  <c r="I88" i="8"/>
  <c r="H88" i="8"/>
  <c r="M86" i="8"/>
  <c r="M85" i="8"/>
  <c r="K81" i="8"/>
  <c r="I81" i="8"/>
  <c r="M81" i="8" s="1"/>
  <c r="M80" i="8"/>
  <c r="M79" i="8"/>
  <c r="M78" i="8"/>
  <c r="M77" i="8"/>
  <c r="M76" i="8"/>
  <c r="L75" i="8"/>
  <c r="K75" i="8"/>
  <c r="J75" i="8"/>
  <c r="I75" i="8"/>
  <c r="H75" i="8"/>
  <c r="M75" i="8" s="1"/>
  <c r="M74" i="8"/>
  <c r="K74" i="8"/>
  <c r="I74" i="8"/>
  <c r="M73" i="8"/>
  <c r="L72" i="8"/>
  <c r="K72" i="8"/>
  <c r="J72" i="8"/>
  <c r="I72" i="8"/>
  <c r="H72" i="8"/>
  <c r="M72" i="8" s="1"/>
  <c r="L71" i="8"/>
  <c r="K71" i="8"/>
  <c r="J71" i="8"/>
  <c r="I71" i="8"/>
  <c r="H71" i="8"/>
  <c r="M71" i="8" s="1"/>
  <c r="M70" i="8"/>
  <c r="K70" i="8"/>
  <c r="I70" i="8"/>
  <c r="H70" i="8"/>
  <c r="M69" i="8"/>
  <c r="K69" i="8"/>
  <c r="I69" i="8"/>
  <c r="M68" i="8"/>
  <c r="M67" i="8"/>
  <c r="M65" i="8"/>
  <c r="M64" i="8"/>
  <c r="L64" i="8"/>
  <c r="K64" i="8"/>
  <c r="J64" i="8"/>
  <c r="I64" i="8"/>
  <c r="H64" i="8"/>
  <c r="M63" i="8"/>
  <c r="L62" i="8"/>
  <c r="K62" i="8"/>
  <c r="J62" i="8"/>
  <c r="I62" i="8"/>
  <c r="H62" i="8"/>
  <c r="M62" i="8" s="1"/>
  <c r="M61" i="8"/>
  <c r="M60" i="8"/>
  <c r="M59" i="8"/>
  <c r="L59" i="8"/>
  <c r="K59" i="8"/>
  <c r="J59" i="8"/>
  <c r="I59" i="8"/>
  <c r="H59" i="8"/>
  <c r="M57" i="8"/>
  <c r="L57" i="8"/>
  <c r="K57" i="8"/>
  <c r="J57" i="8"/>
  <c r="I57" i="8"/>
  <c r="H57" i="8"/>
  <c r="L56" i="8"/>
  <c r="J56" i="8"/>
  <c r="H56" i="8"/>
  <c r="K55" i="8"/>
  <c r="I55" i="8"/>
  <c r="L54" i="8"/>
  <c r="K54" i="8"/>
  <c r="J54" i="8"/>
  <c r="M54" i="8" s="1"/>
  <c r="I54" i="8"/>
  <c r="H54" i="8"/>
  <c r="M52" i="8"/>
  <c r="M51" i="8"/>
  <c r="K51" i="8"/>
  <c r="I51" i="8"/>
  <c r="M50" i="8"/>
  <c r="M49" i="8"/>
  <c r="L48" i="8"/>
  <c r="L58" i="8" s="1"/>
  <c r="K48" i="8"/>
  <c r="K58" i="8" s="1"/>
  <c r="J48" i="8"/>
  <c r="J58" i="8" s="1"/>
  <c r="I48" i="8"/>
  <c r="I58" i="8" s="1"/>
  <c r="H48" i="8"/>
  <c r="M48" i="8" s="1"/>
  <c r="K47" i="8"/>
  <c r="K56" i="8" s="1"/>
  <c r="I47" i="8"/>
  <c r="I56" i="8" s="1"/>
  <c r="L46" i="8"/>
  <c r="L55" i="8" s="1"/>
  <c r="J46" i="8"/>
  <c r="J55" i="8" s="1"/>
  <c r="H46" i="8"/>
  <c r="M46" i="8" s="1"/>
  <c r="M45" i="8"/>
  <c r="M41" i="8"/>
  <c r="M40" i="8"/>
  <c r="M39" i="8"/>
  <c r="M38" i="8"/>
  <c r="L36" i="8"/>
  <c r="K36" i="8"/>
  <c r="J36" i="8"/>
  <c r="I36" i="8"/>
  <c r="H36" i="8"/>
  <c r="M36" i="8" s="1"/>
  <c r="L35" i="8"/>
  <c r="K35" i="8"/>
  <c r="J35" i="8"/>
  <c r="I35" i="8"/>
  <c r="H35" i="8"/>
  <c r="M35" i="8" s="1"/>
  <c r="L34" i="8"/>
  <c r="K34" i="8"/>
  <c r="J34" i="8"/>
  <c r="I34" i="8"/>
  <c r="H34" i="8"/>
  <c r="M34" i="8" s="1"/>
  <c r="L33" i="8"/>
  <c r="K33" i="8"/>
  <c r="J33" i="8"/>
  <c r="I33" i="8"/>
  <c r="H33" i="8"/>
  <c r="M33" i="8" s="1"/>
  <c r="L32" i="8"/>
  <c r="K32" i="8"/>
  <c r="J32" i="8"/>
  <c r="I32" i="8"/>
  <c r="H32" i="8"/>
  <c r="M32" i="8" s="1"/>
  <c r="L31" i="8"/>
  <c r="K31" i="8"/>
  <c r="J31" i="8"/>
  <c r="I31" i="8"/>
  <c r="H31" i="8"/>
  <c r="M31" i="8" s="1"/>
  <c r="L29" i="8"/>
  <c r="K29" i="8"/>
  <c r="J29" i="8"/>
  <c r="I29" i="8"/>
  <c r="H29" i="8"/>
  <c r="M29" i="8" s="1"/>
  <c r="L28" i="8"/>
  <c r="K28" i="8"/>
  <c r="J28" i="8"/>
  <c r="I28" i="8"/>
  <c r="H28" i="8"/>
  <c r="M28" i="8" s="1"/>
  <c r="L27" i="8"/>
  <c r="K27" i="8"/>
  <c r="J27" i="8"/>
  <c r="I27" i="8"/>
  <c r="H27" i="8"/>
  <c r="M27" i="8" s="1"/>
  <c r="M25" i="8"/>
  <c r="M24" i="8"/>
  <c r="M23" i="8"/>
  <c r="M22" i="8"/>
  <c r="M21" i="8"/>
  <c r="M20" i="8"/>
  <c r="M19" i="8"/>
  <c r="M18" i="8"/>
  <c r="M56" i="8" l="1"/>
  <c r="H55" i="8"/>
  <c r="M55" i="8" s="1"/>
  <c r="M47" i="8"/>
  <c r="H58" i="8"/>
  <c r="M58" i="8" s="1"/>
  <c r="N98" i="8" l="1"/>
  <c r="O98" i="8" s="1"/>
  <c r="N69" i="8" l="1"/>
  <c r="O69" i="8" s="1"/>
  <c r="N101" i="8"/>
  <c r="O101" i="8" s="1"/>
  <c r="Q65" i="8"/>
  <c r="N65" i="8" l="1"/>
  <c r="O65" i="8" s="1"/>
  <c r="N81" i="8"/>
  <c r="O81" i="8" s="1"/>
  <c r="N79" i="8"/>
  <c r="O79" i="8" s="1"/>
  <c r="N97" i="8"/>
  <c r="O97" i="8" s="1"/>
  <c r="O96" i="8" s="1"/>
  <c r="N48" i="8" l="1"/>
  <c r="O48" i="8" s="1"/>
  <c r="N80" i="8" l="1"/>
  <c r="O80" i="8" s="1"/>
  <c r="N78" i="8" l="1"/>
  <c r="O78" i="8" s="1"/>
  <c r="N107" i="8"/>
  <c r="O107" i="8" s="1"/>
  <c r="N105" i="8"/>
  <c r="O105" i="8" s="1"/>
  <c r="N135" i="8"/>
  <c r="O135" i="8" s="1"/>
  <c r="N106" i="8"/>
  <c r="O106" i="8" s="1"/>
  <c r="N109" i="8"/>
  <c r="O109" i="8" s="1"/>
  <c r="N103" i="8"/>
  <c r="O103" i="8" s="1"/>
  <c r="N133" i="8"/>
  <c r="O133" i="8" s="1"/>
  <c r="N131" i="8"/>
  <c r="O131" i="8" s="1"/>
  <c r="N134" i="8"/>
  <c r="O134" i="8" s="1"/>
  <c r="N108" i="8"/>
  <c r="O108" i="8" s="1"/>
  <c r="N129" i="8"/>
  <c r="O129" i="8" s="1"/>
  <c r="O128" i="8" s="1"/>
  <c r="Q131" i="8"/>
  <c r="N124" i="8" l="1"/>
  <c r="O124" i="8" s="1"/>
  <c r="N93" i="8"/>
  <c r="O93" i="8" s="1"/>
  <c r="O92" i="8" s="1"/>
  <c r="N100" i="8"/>
  <c r="O100" i="8" s="1"/>
  <c r="N39" i="8"/>
  <c r="O39" i="8" s="1"/>
  <c r="N76" i="8"/>
  <c r="O76" i="8" s="1"/>
  <c r="N64" i="8"/>
  <c r="O64" i="8" s="1"/>
  <c r="N104" i="8"/>
  <c r="O104" i="8" s="1"/>
  <c r="O102" i="8" s="1"/>
  <c r="N123" i="8"/>
  <c r="O123" i="8" s="1"/>
  <c r="N125" i="8"/>
  <c r="O125" i="8" s="1"/>
  <c r="N40" i="8"/>
  <c r="O40" i="8" s="1"/>
  <c r="N77" i="8"/>
  <c r="O77" i="8" s="1"/>
  <c r="O132" i="8"/>
  <c r="O130" i="8" s="1"/>
  <c r="O127" i="8" s="1"/>
  <c r="N115" i="8"/>
  <c r="O115" i="8" s="1"/>
  <c r="N22" i="8"/>
  <c r="O22" i="8" s="1"/>
  <c r="N113" i="8"/>
  <c r="O113" i="8" s="1"/>
  <c r="N86" i="8"/>
  <c r="O86" i="8" s="1"/>
  <c r="Q121" i="8"/>
  <c r="M132" i="8" l="1"/>
  <c r="O99" i="8"/>
  <c r="O95" i="8" s="1"/>
  <c r="M102" i="8"/>
  <c r="O122" i="8"/>
  <c r="N120" i="8"/>
  <c r="O120" i="8" s="1"/>
  <c r="N119" i="8"/>
  <c r="O119" i="8" s="1"/>
  <c r="N118" i="8"/>
  <c r="O118" i="8" s="1"/>
  <c r="Q64" i="8"/>
  <c r="N89" i="8"/>
  <c r="O89" i="8" s="1"/>
  <c r="N121" i="8"/>
  <c r="O121" i="8" s="1"/>
  <c r="N114" i="8"/>
  <c r="O114" i="8" s="1"/>
  <c r="N116" i="8"/>
  <c r="O116" i="8" s="1"/>
  <c r="Q100" i="8" l="1"/>
  <c r="Q120" i="8"/>
  <c r="Q89" i="8"/>
  <c r="O117" i="8"/>
  <c r="Q118" i="8"/>
  <c r="Q119" i="8"/>
  <c r="O112" i="8"/>
  <c r="M122" i="8" s="1"/>
  <c r="O111" i="8" l="1"/>
  <c r="N71" i="8" l="1"/>
  <c r="O71" i="8" s="1"/>
  <c r="N72" i="8"/>
  <c r="O72" i="8" s="1"/>
  <c r="N41" i="8"/>
  <c r="O41" i="8" s="1"/>
  <c r="N68" i="8"/>
  <c r="O68" i="8" s="1"/>
  <c r="N70" i="8"/>
  <c r="O70" i="8" s="1"/>
  <c r="N74" i="8"/>
  <c r="O74" i="8" s="1"/>
  <c r="N75" i="8"/>
  <c r="O75" i="8" s="1"/>
  <c r="N73" i="8"/>
  <c r="O73" i="8" s="1"/>
  <c r="N20" i="8"/>
  <c r="O20" i="8" s="1"/>
  <c r="N55" i="8" l="1"/>
  <c r="O55" i="8" s="1"/>
  <c r="N56" i="8"/>
  <c r="O56" i="8" s="1"/>
  <c r="N67" i="8"/>
  <c r="O67" i="8" s="1"/>
  <c r="O66" i="8" s="1"/>
  <c r="N38" i="8"/>
  <c r="O38" i="8" s="1"/>
  <c r="O37" i="8" s="1"/>
  <c r="N49" i="8"/>
  <c r="O49" i="8" s="1"/>
  <c r="N51" i="8"/>
  <c r="O51" i="8" s="1"/>
  <c r="N19" i="8"/>
  <c r="O19" i="8" s="1"/>
  <c r="N50" i="8"/>
  <c r="O50" i="8" s="1"/>
  <c r="N24" i="8"/>
  <c r="O24" i="8" s="1"/>
  <c r="N18" i="8"/>
  <c r="O18" i="8" s="1"/>
  <c r="N21" i="8"/>
  <c r="O21" i="8" s="1"/>
  <c r="N23" i="8"/>
  <c r="O23" i="8" s="1"/>
  <c r="N46" i="8"/>
  <c r="O46" i="8" s="1"/>
  <c r="N25" i="8"/>
  <c r="O25" i="8" s="1"/>
  <c r="N45" i="8"/>
  <c r="O45" i="8" s="1"/>
  <c r="N47" i="8"/>
  <c r="O47" i="8" s="1"/>
  <c r="Q29" i="8"/>
  <c r="N31" i="8" l="1"/>
  <c r="O31" i="8" s="1"/>
  <c r="N35" i="8"/>
  <c r="O35" i="8" s="1"/>
  <c r="N90" i="8"/>
  <c r="O90" i="8" s="1"/>
  <c r="N61" i="8"/>
  <c r="O61" i="8" s="1"/>
  <c r="N57" i="8"/>
  <c r="O57" i="8" s="1"/>
  <c r="N32" i="8"/>
  <c r="O32" i="8" s="1"/>
  <c r="N58" i="8"/>
  <c r="O58" i="8" s="1"/>
  <c r="Q56" i="8"/>
  <c r="N27" i="8"/>
  <c r="O27" i="8" s="1"/>
  <c r="N54" i="8"/>
  <c r="O54" i="8" s="1"/>
  <c r="N28" i="8"/>
  <c r="O28" i="8" s="1"/>
  <c r="N33" i="8"/>
  <c r="O33" i="8" s="1"/>
  <c r="Q55" i="8"/>
  <c r="N29" i="8"/>
  <c r="O29" i="8" s="1"/>
  <c r="N62" i="8"/>
  <c r="O62" i="8" s="1"/>
  <c r="N36" i="8"/>
  <c r="O36" i="8" s="1"/>
  <c r="N63" i="8"/>
  <c r="O63" i="8" s="1"/>
  <c r="O44" i="8"/>
  <c r="O17" i="8"/>
  <c r="Q32" i="8" l="1"/>
  <c r="Q58" i="8"/>
  <c r="Q57" i="8"/>
  <c r="Q33" i="8"/>
  <c r="Q61" i="8"/>
  <c r="Q35" i="8"/>
  <c r="Q90" i="8"/>
  <c r="Q31" i="8"/>
  <c r="Q28" i="8"/>
  <c r="Q62" i="8"/>
  <c r="Q63" i="8"/>
  <c r="Q36" i="8"/>
  <c r="M37" i="8"/>
  <c r="M66" i="8"/>
  <c r="N88" i="8" l="1"/>
  <c r="O88" i="8" s="1"/>
  <c r="Q88" i="8" l="1"/>
  <c r="N59" i="8" l="1"/>
  <c r="O59" i="8" s="1"/>
  <c r="N60" i="8"/>
  <c r="O60" i="8" s="1"/>
  <c r="N34" i="8"/>
  <c r="O34" i="8" s="1"/>
  <c r="O26" i="8" s="1"/>
  <c r="O16" i="8" s="1"/>
  <c r="N91" i="8"/>
  <c r="O91" i="8" s="1"/>
  <c r="O87" i="8" s="1"/>
  <c r="N52" i="8"/>
  <c r="O52" i="8" s="1"/>
  <c r="N85" i="8"/>
  <c r="O85" i="8" s="1"/>
  <c r="O84" i="8" s="1"/>
  <c r="O53" i="8" l="1"/>
  <c r="O43" i="8" s="1"/>
  <c r="M92" i="8"/>
  <c r="O137" i="8"/>
  <c r="O83" i="8"/>
  <c r="O136" i="8" l="1"/>
  <c r="O139" i="8" s="1"/>
  <c r="O138" i="8"/>
  <c r="Q60" i="8"/>
  <c r="Q34" i="8"/>
  <c r="Q59" i="8"/>
  <c r="Q91" i="8"/>
  <c r="Q27" i="8" l="1"/>
  <c r="Q54" i="8"/>
</calcChain>
</file>

<file path=xl/sharedStrings.xml><?xml version="1.0" encoding="utf-8"?>
<sst xmlns="http://schemas.openxmlformats.org/spreadsheetml/2006/main" count="368" uniqueCount="217">
  <si>
    <t>Примечание</t>
  </si>
  <si>
    <t>м2</t>
  </si>
  <si>
    <t>Газ-пропан</t>
  </si>
  <si>
    <t>л</t>
  </si>
  <si>
    <t>м.п.</t>
  </si>
  <si>
    <t>м3</t>
  </si>
  <si>
    <t>Дюбель д/изоляции 10х220</t>
  </si>
  <si>
    <t>Доска обрезная антисептированная 150х50</t>
  </si>
  <si>
    <t>Дюбель рамный металлический 10х152</t>
  </si>
  <si>
    <t>Саморез по дереву 3,5х45</t>
  </si>
  <si>
    <t>балл.</t>
  </si>
  <si>
    <t>Пена монтажная</t>
  </si>
  <si>
    <t>Устройство стяжек сборных из плоских асбестоцементных листов плоских (2слоя)</t>
  </si>
  <si>
    <t>Дюбель-гвоздь 6х40</t>
  </si>
  <si>
    <t>Нанесение битумного праймера под гидроизоляцию</t>
  </si>
  <si>
    <t>Усиление примыканий, углов и стыков АЦЛ</t>
  </si>
  <si>
    <t>Устройство кровель плоских из наплавляемых материалов в 2 слоя</t>
  </si>
  <si>
    <t>Унифлекс ЭПП</t>
  </si>
  <si>
    <t>Унифлекс ЭКП</t>
  </si>
  <si>
    <t>10см перехлест,  2м длина профиля</t>
  </si>
  <si>
    <t xml:space="preserve">Дюбель полипропиленовый 6х50 </t>
  </si>
  <si>
    <t>Саморез кровельный 4,8х50</t>
  </si>
  <si>
    <t>Лента уплотнительная ПСУЛ 40х15х4</t>
  </si>
  <si>
    <t>Герметик Soudaseal 240 FC</t>
  </si>
  <si>
    <t>туб</t>
  </si>
  <si>
    <t>Монтаж парапетных крышек</t>
  </si>
  <si>
    <t>Монтаж водоприемных воронок</t>
  </si>
  <si>
    <t>шт</t>
  </si>
  <si>
    <t>Монтаж аэраторов</t>
  </si>
  <si>
    <t>Монтаж краевой рейки в примыканию к парапету с герметизацией по верху</t>
  </si>
  <si>
    <t>Краевая рейка</t>
  </si>
  <si>
    <t>Герметик полиуретановый однокомпонентный Тэктор103</t>
  </si>
  <si>
    <t>Монтаж фартука металлического в примыканиях к стенам машинного отделения</t>
  </si>
  <si>
    <t>Герметик полиуретановый однокомпонентный Тэктор 103</t>
  </si>
  <si>
    <t>Пена монтажная Macroflex проф.</t>
  </si>
  <si>
    <t>Изоспан D</t>
  </si>
  <si>
    <t>Кляммер двойной гнутый для плоского шифера 10 мм</t>
  </si>
  <si>
    <t>Хомут D 100-120/9 мм червячный</t>
  </si>
  <si>
    <t>Пена противопожарная</t>
  </si>
  <si>
    <t>Кровля</t>
  </si>
  <si>
    <t>Устройство основного пирога кровли</t>
  </si>
  <si>
    <t>Наименование</t>
  </si>
  <si>
    <t>Ед. изм.</t>
  </si>
  <si>
    <t>Норма расхода</t>
  </si>
  <si>
    <t>Сумма</t>
  </si>
  <si>
    <t>Работа:</t>
  </si>
  <si>
    <t>Материалы:</t>
  </si>
  <si>
    <t>%</t>
  </si>
  <si>
    <t>Минплита ЭКОВЕР Экофасад толщ.100мм (плотность 130 кг/м3)</t>
  </si>
  <si>
    <t>Минплита ЭКОВЕР Экофасад толщ.150мм (плотность 130 кг/м3)</t>
  </si>
  <si>
    <t>Устройство примыканий водоизоляционного слоя и оклеечная гидроизоляция вентшахт (2 раза)</t>
  </si>
  <si>
    <t>Обшивка асбестоцементными листами</t>
  </si>
  <si>
    <t>в тч стоимость работ:</t>
  </si>
  <si>
    <t>в тч стоимость материалов:</t>
  </si>
  <si>
    <t>Укладка пароизоляции по подготовленному основанию насухо (с проклейкой швов)</t>
  </si>
  <si>
    <t>№</t>
  </si>
  <si>
    <t>Устройство примыканий</t>
  </si>
  <si>
    <t>В стоимости СМР учитывать:</t>
  </si>
  <si>
    <t>Монтаж водоприемных воронок, Монтаж аэраторов</t>
  </si>
  <si>
    <t>04</t>
  </si>
  <si>
    <t>04.01</t>
  </si>
  <si>
    <t>04.01.01</t>
  </si>
  <si>
    <t>Устройство кровли</t>
  </si>
  <si>
    <t>Устройство основного пирога наплавляемой кровли</t>
  </si>
  <si>
    <t>Устройство примыканий наплавляемой кровли</t>
  </si>
  <si>
    <t>04.01.02</t>
  </si>
  <si>
    <t>04.01.05</t>
  </si>
  <si>
    <t>04.01.07</t>
  </si>
  <si>
    <t>04.01.06</t>
  </si>
  <si>
    <t>04.01.01.00</t>
  </si>
  <si>
    <t>04.01.02.00</t>
  </si>
  <si>
    <t>04.01.05.00</t>
  </si>
  <si>
    <t>04.01.06.00</t>
  </si>
  <si>
    <t>04.01.07.00</t>
  </si>
  <si>
    <t>Перед устройством кровли подготовить основание: очистка от  пыли, мусора (снега), посторонних предметов, удаление наплывов бетона</t>
  </si>
  <si>
    <t>Характеристика</t>
  </si>
  <si>
    <t xml:space="preserve">Керамзит </t>
  </si>
  <si>
    <t>Асбестоцементные листы</t>
  </si>
  <si>
    <t>Битумный праймер</t>
  </si>
  <si>
    <t>в тч вентшахты и тп</t>
  </si>
  <si>
    <t>Стоимость материалов учитывает стоимость доставки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</si>
  <si>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 (кроме автокрана), оборудования и инструментов, бытовых помещений и биотуалетов; выполнение сопутствующих работ;  вывоз мусора; накладные расходы, прибыль организации, налоги и иные издержки Подрядчика.</t>
  </si>
  <si>
    <t xml:space="preserve">Аэратор кровельный </t>
  </si>
  <si>
    <t xml:space="preserve">Воронки водоприемные </t>
  </si>
  <si>
    <t>Прочие материалы (герметик Soudaseal 240 FC, дюбель полипропиленовый 6х50, саморез кровельный 4,8х50; саморез кровельный 4,8*50; Дюбель полипропиленовый 6х50; Лента уплотнительная ПСУЛ 40х15х4; Пена монтажная Macroflex проф)</t>
  </si>
  <si>
    <t>Прочие материалы (герметик Soudaseal 240 FC, дюбель полипропиленовый 6х50, саморез кровельный 4,8х50)</t>
  </si>
  <si>
    <t>Прочие материалы (саморез по дереву 3,5*45; кляммер двойной гнутый для плоского шифера 10мм; пена монтажная; Лента Изоспан KL+)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</si>
  <si>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</si>
  <si>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Монтаж парапетных крышек тип 1</t>
  </si>
  <si>
    <t>Монтаж парапетных крышек тип 2</t>
  </si>
  <si>
    <t>Монтаж парапетных крышек тип 3</t>
  </si>
  <si>
    <t>Монтаж парапетных крышек тип 4</t>
  </si>
  <si>
    <t>Монтаж утеплителя (минплита) тип 1</t>
  </si>
  <si>
    <t>Утеплитель тип 1</t>
  </si>
  <si>
    <t>Утеплитель тип 2</t>
  </si>
  <si>
    <t>Монтаж утеплителя (минплита) тип 2</t>
  </si>
  <si>
    <t>Прочие материалы (дюбель рамный металлический; Дюбель-гвоздь; Дюбель рамный металлический; Дюбель д/изоляции; Уголок перфорированный крепежный, Саморез; Герметик полиуретановый однокомпонентный; Лента; Брус антисептированный; Скорлупы ППУ; Хомут D; Пена противопожарная, Доска обрезная)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</si>
  <si>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</si>
  <si>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</si>
  <si>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</si>
  <si>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</si>
  <si>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</si>
  <si>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 xml:space="preserve">Генеральный директор </t>
  </si>
  <si>
    <t>______________/</t>
  </si>
  <si>
    <t xml:space="preserve">_____________/Е.В. Низамова </t>
  </si>
  <si>
    <t xml:space="preserve">_________________/Е.В.Низамова </t>
  </si>
  <si>
    <t>Марка/ Завод изготовитель</t>
  </si>
  <si>
    <t>Цена за ед.</t>
  </si>
  <si>
    <t>Форма закупа материала</t>
  </si>
  <si>
    <t xml:space="preserve">Толщина, мм </t>
  </si>
  <si>
    <t>Плиты экструзионные тип 1</t>
  </si>
  <si>
    <t>Плиты экструзионные тип 2</t>
  </si>
  <si>
    <t>Итого по ЛСР, в тч НДС:</t>
  </si>
  <si>
    <t>Либо указать: Без НДС</t>
  </si>
  <si>
    <t>Либо указать: нет</t>
  </si>
  <si>
    <t>-</t>
  </si>
  <si>
    <t>Устройство галтели в примыканиях из асбестоцементных листов</t>
  </si>
  <si>
    <t>в тч НДС:</t>
  </si>
  <si>
    <t>Секция 1</t>
  </si>
  <si>
    <t>Секция 2</t>
  </si>
  <si>
    <t>Секция 3</t>
  </si>
  <si>
    <t>Секция 4</t>
  </si>
  <si>
    <t>Секция 5</t>
  </si>
  <si>
    <t>Кол-во всего</t>
  </si>
  <si>
    <t>Устройство примыканий пароизоляционного слоя к вертикальным конструкциям (на высоту 300мм)</t>
  </si>
  <si>
    <t>Дюбель д/изоляции 10х160</t>
  </si>
  <si>
    <t>Доска обрезная антисептированная 100х50</t>
  </si>
  <si>
    <t>Уголок монтажный 50х50</t>
  </si>
  <si>
    <t>Основная кровля</t>
  </si>
  <si>
    <t>МО</t>
  </si>
  <si>
    <t>Основная кровля (до утеплителя веншахт)</t>
  </si>
  <si>
    <t>50-150</t>
  </si>
  <si>
    <t>50-250</t>
  </si>
  <si>
    <t>в т.ч. В местах примыкания</t>
  </si>
  <si>
    <t>фр.10-20</t>
  </si>
  <si>
    <t>тип 35 толщ. 100мм</t>
  </si>
  <si>
    <t>тип 35 толщ. 500мм</t>
  </si>
  <si>
    <t>Вилатерм 40мм</t>
  </si>
  <si>
    <t>Анкер распорный 10х125</t>
  </si>
  <si>
    <t>металлич. оцинк. толщ.0,7мм  (шириной 580 мм)</t>
  </si>
  <si>
    <t>металлич. оцинк. толщ.0,7мм  (шириной 440 мм)</t>
  </si>
  <si>
    <t>Парапет МО</t>
  </si>
  <si>
    <t>металлич. оцинк. толщ.0,7мм  (шириной 340 мм)</t>
  </si>
  <si>
    <t>металлич. оцинк. толщ.0,7мм  (шириной 470 мм)</t>
  </si>
  <si>
    <t xml:space="preserve">Дюбель полипропиленовый 6х120 </t>
  </si>
  <si>
    <t>Саморез кровельный 4,8х120</t>
  </si>
  <si>
    <t>с дождеприемной решёткой 150х150 мм, с надставными элементами, листоуловителем, с зажимным элементом из нерж. стали, без ГИ полотна, с вертикальным выпуском, с электроподогревом от сети 220В, 10-30Вт, на трубу Ø110 (HL62.1H)</t>
  </si>
  <si>
    <t>Аналог по согласованию</t>
  </si>
  <si>
    <t>Ширина приведена примерная
10см перехлест,  2м длина профиля</t>
  </si>
  <si>
    <t>Прочие материалы (пена монтажная противопожарная)</t>
  </si>
  <si>
    <t>Пена монтажная противопожарная</t>
  </si>
  <si>
    <t xml:space="preserve">Монтаж отливов </t>
  </si>
  <si>
    <t>на вентшахты и шахты дымоудаления</t>
  </si>
  <si>
    <t>Отлив</t>
  </si>
  <si>
    <t>оцинкованная сталь толщ.0,7мм</t>
  </si>
  <si>
    <t>Уголок оцинкованный 50х200 0,7мм</t>
  </si>
  <si>
    <t xml:space="preserve">Дюбель полипропиленовый 6х80 </t>
  </si>
  <si>
    <t>Саморез кровельный 4,8х80</t>
  </si>
  <si>
    <t>Прочие материалы (Уголок оцинкованный 50х200 0,7мм; Дюбель полипропиленовый 6х80; Саморез кровельный 4,8х80)</t>
  </si>
  <si>
    <t>Учтен парапет МО. Закрывать по необходимости</t>
  </si>
  <si>
    <t>примыканиях к стенам машинного отделения</t>
  </si>
  <si>
    <t>металлич. оцинк. толщ.0,7мм</t>
  </si>
  <si>
    <t>04.01.99.00</t>
  </si>
  <si>
    <t>04.01.99</t>
  </si>
  <si>
    <t>Прочие работы</t>
  </si>
  <si>
    <t>Герметик полиуретановый однокомпонентный (600мл)</t>
  </si>
  <si>
    <t xml:space="preserve">Цилиндр </t>
  </si>
  <si>
    <t>ЭКОРОЛЛ КВ-100 1000*168 (80)</t>
  </si>
  <si>
    <t>Для примыканий к выпускам труб</t>
  </si>
  <si>
    <t>примыкание к  3 секции</t>
  </si>
  <si>
    <t>в 2 слоя, в т.ч. Примыкания к 3-ей секции, МО и выход на кровлю</t>
  </si>
  <si>
    <t>Укладка утеплителя тип 1</t>
  </si>
  <si>
    <t>Укладка утеплителя тип 2</t>
  </si>
  <si>
    <t>Устройство уклонообразующего слоя из керамзита с разуклонкой  тип 1</t>
  </si>
  <si>
    <t>Устройство уклонообразующего слоя из керамзита с разуклонкой  тип 2</t>
  </si>
  <si>
    <t>Лента Изоспан KL+</t>
  </si>
  <si>
    <t>Парапетная крышка тип 1</t>
  </si>
  <si>
    <t>Парапетная крышка тип 2</t>
  </si>
  <si>
    <t>Парапетная крышка тип 3</t>
  </si>
  <si>
    <t>Парапетная крышка тип 4</t>
  </si>
  <si>
    <t>Локальный сметный расчет №1</t>
  </si>
  <si>
    <t>ООО "ТСК "ЭНКО"</t>
  </si>
  <si>
    <t>ООО "Технический заказчик "ЭНКО"</t>
  </si>
  <si>
    <t>ГП-57</t>
  </si>
  <si>
    <t xml:space="preserve"> На парапетах: нижний слой на высоту 250мм и верхний слои - на высоту 350мм. Напуск на кровельный ковер: нижний слой -150мм; верхний- 250мм
</t>
  </si>
  <si>
    <t>Устройство примыканий водоизоляционного слоя и оклеечная гидроизоляция вентшахт (2 раза) включает в себя: устройство гидроизоляции  кирпичных стенок примыкания к 3 секции в 2 слоя, устройство примыканий водоизоляционного слоя МО и к выходу на кровлю, устройство примыканий водоизоляционного слоя к парапету</t>
  </si>
  <si>
    <t>Монтаж утеплителя (минплита) тип 2 включает в себя: монтаж утеплителя в примыкание к 3-ей секции на 400 мм (для устройства примыкания отлива, толщ.150мм) , монтаж утеплителя кирпичных стенок примыкания к 3 секции, монтаж утеплителя выхода на кровлю и машинного отделения выше уровня водоизоляционного ковра</t>
  </si>
  <si>
    <t>Монтаж утеплителя (минплита) тип 1 включает в себя: монтаж утеплителя веншахт до пола по новым узлам, монтаж утеплителя выхода на кровлю и машинного отделения выше уровня водоизоляционного ковра</t>
  </si>
  <si>
    <t>Монтаж фартука металлического тип 1</t>
  </si>
  <si>
    <t>Монтаж фартука металлического тип 2</t>
  </si>
  <si>
    <t>Фартук тип 1</t>
  </si>
  <si>
    <t>Фартук тип 2</t>
  </si>
  <si>
    <t>Технониколь№27</t>
  </si>
  <si>
    <t>Мастика</t>
  </si>
  <si>
    <t>Нужна?</t>
  </si>
  <si>
    <t>НР?</t>
  </si>
  <si>
    <t>утеплитель в привыкании к 3 секции на высоту 300 или 400?</t>
  </si>
  <si>
    <t>Технониколь№01</t>
  </si>
  <si>
    <t xml:space="preserve">хомут и герметик? Или экп и газ? Сколько цилиндров? </t>
  </si>
  <si>
    <t>При устройстве примыканий учитывать примыкания у выпусков труб (35 шт)</t>
  </si>
  <si>
    <t>по новым узлам</t>
  </si>
  <si>
    <t>сильно отличается объем, технониколь 21 надо?</t>
  </si>
  <si>
    <t>ширина какая правильная?</t>
  </si>
  <si>
    <t>Костыль???</t>
  </si>
  <si>
    <t>Толщина точно 0,7 или 0,8</t>
  </si>
  <si>
    <t>ООО "ЭНКО"</t>
  </si>
  <si>
    <t>п/п</t>
  </si>
  <si>
    <t>декабрь</t>
  </si>
  <si>
    <t>2026 г</t>
  </si>
  <si>
    <t>октябрь</t>
  </si>
  <si>
    <t>ноябрь</t>
  </si>
  <si>
    <t>сентябрь</t>
  </si>
  <si>
    <t>График производства работ №2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</si>
  <si>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ГП-75.  </t>
  </si>
  <si>
    <t>Секция 6</t>
  </si>
  <si>
    <t>Секция 7</t>
  </si>
  <si>
    <t>Секция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</si>
</sst>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name val="Arial"/>
      <family val="2"/>
      <charset val="204"/>
    </font>
    <font>
      <b/>
      <i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8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889DB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9" fillId="0" borderId="0"/>
    <xf numFmtId="0" fontId="2" fillId="0" borderId="0"/>
    <xf numFmtId="0" fontId="12" fillId="7" borderId="0" applyNumberFormat="0" applyBorder="0" applyAlignment="0" applyProtection="0"/>
    <xf numFmtId="0" fontId="1" fillId="0" borderId="0"/>
  </cellStyleXfs>
  <cellXfs count="204">
    <xf numFmtId="0" fontId="0" fillId="0" borderId="0" xfId="0"/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6" fillId="2" borderId="1" xfId="0" applyFont="1" applyFill="1" applyBorder="1" applyAlignment="1">
      <alignment vertical="center"/>
    </xf>
    <xf numFmtId="4" fontId="5" fillId="2" borderId="1" xfId="0" applyNumberFormat="1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7" fillId="0" borderId="0" xfId="0" applyNumberFormat="1" applyFont="1"/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6" fillId="4" borderId="1" xfId="0" applyFont="1" applyFill="1" applyBorder="1" applyAlignment="1">
      <alignment vertical="top" wrapText="1"/>
    </xf>
    <xf numFmtId="0" fontId="7" fillId="0" borderId="1" xfId="0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4" fontId="6" fillId="3" borderId="1" xfId="0" applyNumberFormat="1" applyFont="1" applyFill="1" applyBorder="1" applyAlignment="1">
      <alignment horizontal="right" vertical="center"/>
    </xf>
    <xf numFmtId="4" fontId="7" fillId="2" borderId="1" xfId="0" applyNumberFormat="1" applyFont="1" applyFill="1" applyBorder="1" applyAlignment="1">
      <alignment horizontal="center" vertical="center" wrapText="1"/>
    </xf>
    <xf numFmtId="2" fontId="7" fillId="5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49" fontId="4" fillId="4" borderId="2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/>
    <xf numFmtId="49" fontId="5" fillId="0" borderId="1" xfId="0" applyNumberFormat="1" applyFont="1" applyBorder="1"/>
    <xf numFmtId="49" fontId="6" fillId="0" borderId="1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wrapText="1"/>
    </xf>
    <xf numFmtId="0" fontId="4" fillId="0" borderId="0" xfId="0" applyFont="1" applyAlignment="1">
      <alignment wrapText="1"/>
    </xf>
    <xf numFmtId="0" fontId="7" fillId="0" borderId="0" xfId="0" applyFont="1" applyAlignment="1">
      <alignment wrapText="1"/>
    </xf>
    <xf numFmtId="49" fontId="6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4" fontId="10" fillId="2" borderId="1" xfId="0" applyNumberFormat="1" applyFont="1" applyFill="1" applyBorder="1" applyAlignment="1">
      <alignment horizontal="right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/>
    </xf>
    <xf numFmtId="0" fontId="7" fillId="0" borderId="0" xfId="3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3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4" fontId="6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horizontal="left" vertical="center"/>
    </xf>
    <xf numFmtId="0" fontId="5" fillId="0" borderId="0" xfId="0" applyFont="1"/>
    <xf numFmtId="4" fontId="5" fillId="0" borderId="0" xfId="0" applyNumberFormat="1" applyFont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0" fontId="4" fillId="0" borderId="1" xfId="4" applyFont="1" applyFill="1" applyBorder="1" applyAlignment="1">
      <alignment horizontal="center" vertical="center" wrapText="1"/>
    </xf>
    <xf numFmtId="4" fontId="6" fillId="0" borderId="1" xfId="4" applyNumberFormat="1" applyFont="1" applyFill="1" applyBorder="1" applyAlignment="1">
      <alignment horizontal="center" vertical="center" wrapText="1"/>
    </xf>
    <xf numFmtId="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4" fontId="5" fillId="4" borderId="1" xfId="0" applyNumberFormat="1" applyFont="1" applyFill="1" applyBorder="1" applyAlignment="1">
      <alignment horizontal="center"/>
    </xf>
    <xf numFmtId="49" fontId="6" fillId="0" borderId="2" xfId="0" applyNumberFormat="1" applyFont="1" applyBorder="1" applyAlignment="1">
      <alignment horizontal="center" vertical="center" wrapText="1"/>
    </xf>
    <xf numFmtId="0" fontId="7" fillId="8" borderId="0" xfId="0" applyFont="1" applyFill="1"/>
    <xf numFmtId="49" fontId="6" fillId="8" borderId="1" xfId="0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 wrapText="1"/>
    </xf>
    <xf numFmtId="4" fontId="5" fillId="8" borderId="1" xfId="0" applyNumberFormat="1" applyFont="1" applyFill="1" applyBorder="1" applyAlignment="1">
      <alignment horizontal="center" vertical="center" wrapText="1"/>
    </xf>
    <xf numFmtId="4" fontId="5" fillId="8" borderId="1" xfId="0" applyNumberFormat="1" applyFont="1" applyFill="1" applyBorder="1" applyAlignment="1">
      <alignment horizontal="center" vertical="center"/>
    </xf>
    <xf numFmtId="49" fontId="6" fillId="8" borderId="2" xfId="0" applyNumberFormat="1" applyFont="1" applyFill="1" applyBorder="1" applyAlignment="1">
      <alignment horizontal="center" vertical="center" wrapText="1"/>
    </xf>
    <xf numFmtId="4" fontId="7" fillId="8" borderId="1" xfId="0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wrapText="1"/>
    </xf>
    <xf numFmtId="0" fontId="8" fillId="8" borderId="0" xfId="0" applyFont="1" applyFill="1" applyAlignment="1">
      <alignment vertical="center"/>
    </xf>
    <xf numFmtId="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4" fontId="5" fillId="0" borderId="0" xfId="0" applyNumberFormat="1" applyFont="1"/>
    <xf numFmtId="4" fontId="5" fillId="9" borderId="1" xfId="0" applyNumberFormat="1" applyFont="1" applyFill="1" applyBorder="1" applyAlignment="1">
      <alignment horizontal="center" vertical="center"/>
    </xf>
    <xf numFmtId="4" fontId="5" fillId="9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6" fillId="9" borderId="1" xfId="0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left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7" fillId="9" borderId="0" xfId="0" applyFont="1" applyFill="1"/>
    <xf numFmtId="4" fontId="8" fillId="2" borderId="1" xfId="0" applyNumberFormat="1" applyFont="1" applyFill="1" applyBorder="1" applyAlignment="1">
      <alignment horizontal="center" vertical="center" wrapText="1"/>
    </xf>
    <xf numFmtId="4" fontId="7" fillId="9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0" fontId="5" fillId="1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1" fontId="14" fillId="10" borderId="12" xfId="4" applyNumberFormat="1" applyFont="1" applyFill="1" applyBorder="1" applyAlignment="1">
      <alignment horizontal="center" vertical="center" wrapText="1"/>
    </xf>
    <xf numFmtId="1" fontId="14" fillId="10" borderId="13" xfId="4" applyNumberFormat="1" applyFont="1" applyFill="1" applyBorder="1" applyAlignment="1">
      <alignment horizontal="center" vertical="center" wrapText="1"/>
    </xf>
    <xf numFmtId="1" fontId="14" fillId="10" borderId="14" xfId="4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left" vertical="center" wrapText="1"/>
    </xf>
    <xf numFmtId="4" fontId="6" fillId="10" borderId="1" xfId="0" applyNumberFormat="1" applyFont="1" applyFill="1" applyBorder="1" applyAlignment="1">
      <alignment horizontal="center" vertical="center"/>
    </xf>
    <xf numFmtId="4" fontId="6" fillId="10" borderId="1" xfId="0" applyNumberFormat="1" applyFont="1" applyFill="1" applyBorder="1" applyAlignment="1">
      <alignment horizontal="center" vertical="center" wrapText="1"/>
    </xf>
    <xf numFmtId="0" fontId="7" fillId="10" borderId="0" xfId="0" applyFont="1" applyFill="1" applyAlignment="1">
      <alignment vertical="center"/>
    </xf>
    <xf numFmtId="0" fontId="6" fillId="10" borderId="1" xfId="0" applyFont="1" applyFill="1" applyBorder="1" applyAlignment="1">
      <alignment horizontal="center" wrapText="1"/>
    </xf>
    <xf numFmtId="4" fontId="5" fillId="10" borderId="1" xfId="0" applyNumberFormat="1" applyFont="1" applyFill="1" applyBorder="1" applyAlignment="1">
      <alignment horizontal="center"/>
    </xf>
    <xf numFmtId="0" fontId="7" fillId="10" borderId="0" xfId="0" applyFont="1" applyFill="1"/>
    <xf numFmtId="0" fontId="6" fillId="10" borderId="1" xfId="0" applyFont="1" applyFill="1" applyBorder="1" applyAlignment="1">
      <alignment horizontal="center" vertical="top" wrapText="1"/>
    </xf>
    <xf numFmtId="1" fontId="14" fillId="10" borderId="16" xfId="4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10" borderId="19" xfId="0" applyFont="1" applyFill="1" applyBorder="1" applyAlignment="1">
      <alignment horizontal="center" vertical="center" wrapText="1"/>
    </xf>
    <xf numFmtId="0" fontId="6" fillId="10" borderId="18" xfId="0" applyFont="1" applyFill="1" applyBorder="1" applyAlignment="1">
      <alignment horizontal="center" vertical="center" wrapText="1"/>
    </xf>
    <xf numFmtId="0" fontId="6" fillId="10" borderId="19" xfId="0" applyFont="1" applyFill="1" applyBorder="1" applyAlignment="1">
      <alignment horizontal="center" wrapText="1"/>
    </xf>
    <xf numFmtId="0" fontId="6" fillId="10" borderId="19" xfId="0" applyFont="1" applyFill="1" applyBorder="1" applyAlignment="1">
      <alignment horizontal="center" vertical="top" wrapText="1"/>
    </xf>
    <xf numFmtId="1" fontId="14" fillId="10" borderId="20" xfId="4" applyNumberFormat="1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/>
    </xf>
    <xf numFmtId="4" fontId="5" fillId="10" borderId="3" xfId="0" applyNumberFormat="1" applyFont="1" applyFill="1" applyBorder="1" applyAlignment="1">
      <alignment horizontal="center"/>
    </xf>
    <xf numFmtId="4" fontId="6" fillId="2" borderId="5" xfId="0" applyNumberFormat="1" applyFont="1" applyFill="1" applyBorder="1" applyAlignment="1">
      <alignment horizontal="center" vertical="center" wrapText="1"/>
    </xf>
    <xf numFmtId="4" fontId="6" fillId="10" borderId="5" xfId="0" applyNumberFormat="1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49" fontId="6" fillId="2" borderId="18" xfId="0" applyNumberFormat="1" applyFont="1" applyFill="1" applyBorder="1" applyAlignment="1">
      <alignment horizontal="center" vertical="center" wrapText="1"/>
    </xf>
    <xf numFmtId="0" fontId="5" fillId="10" borderId="19" xfId="0" applyFont="1" applyFill="1" applyBorder="1" applyAlignment="1">
      <alignment horizontal="center" vertical="center"/>
    </xf>
    <xf numFmtId="4" fontId="6" fillId="10" borderId="18" xfId="0" applyNumberFormat="1" applyFont="1" applyFill="1" applyBorder="1" applyAlignment="1">
      <alignment horizontal="center" vertical="center"/>
    </xf>
    <xf numFmtId="4" fontId="5" fillId="10" borderId="19" xfId="0" applyNumberFormat="1" applyFont="1" applyFill="1" applyBorder="1" applyAlignment="1">
      <alignment horizontal="center"/>
    </xf>
    <xf numFmtId="49" fontId="6" fillId="2" borderId="3" xfId="0" applyNumberFormat="1" applyFont="1" applyFill="1" applyBorder="1" applyAlignment="1">
      <alignment horizontal="center" vertical="center" wrapText="1"/>
    </xf>
    <xf numFmtId="4" fontId="6" fillId="10" borderId="3" xfId="0" applyNumberFormat="1" applyFont="1" applyFill="1" applyBorder="1" applyAlignment="1">
      <alignment horizontal="center" vertical="center" wrapText="1"/>
    </xf>
    <xf numFmtId="49" fontId="4" fillId="6" borderId="21" xfId="0" applyNumberFormat="1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49" fontId="6" fillId="6" borderId="25" xfId="0" applyNumberFormat="1" applyFont="1" applyFill="1" applyBorder="1" applyAlignment="1">
      <alignment horizontal="center" vertical="center" wrapText="1"/>
    </xf>
    <xf numFmtId="4" fontId="6" fillId="6" borderId="26" xfId="0" applyNumberFormat="1" applyFont="1" applyFill="1" applyBorder="1" applyAlignment="1">
      <alignment horizontal="center" vertical="center" wrapText="1"/>
    </xf>
    <xf numFmtId="4" fontId="6" fillId="6" borderId="24" xfId="0" applyNumberFormat="1" applyFont="1" applyFill="1" applyBorder="1" applyAlignment="1">
      <alignment horizontal="center" vertical="center" wrapText="1"/>
    </xf>
    <xf numFmtId="49" fontId="6" fillId="6" borderId="24" xfId="0" applyNumberFormat="1" applyFont="1" applyFill="1" applyBorder="1" applyAlignment="1">
      <alignment horizontal="center" vertical="center" wrapText="1"/>
    </xf>
    <xf numFmtId="49" fontId="6" fillId="6" borderId="22" xfId="0" applyNumberFormat="1" applyFont="1" applyFill="1" applyBorder="1" applyAlignment="1">
      <alignment horizontal="center" vertical="center" wrapText="1"/>
    </xf>
    <xf numFmtId="49" fontId="4" fillId="2" borderId="19" xfId="0" applyNumberFormat="1" applyFont="1" applyFill="1" applyBorder="1" applyAlignment="1">
      <alignment horizontal="center" vertical="center"/>
    </xf>
    <xf numFmtId="49" fontId="4" fillId="10" borderId="27" xfId="0" applyNumberFormat="1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6" fillId="10" borderId="18" xfId="0" applyFont="1" applyFill="1" applyBorder="1" applyAlignment="1">
      <alignment vertical="center" wrapText="1"/>
    </xf>
    <xf numFmtId="4" fontId="5" fillId="11" borderId="19" xfId="0" applyNumberFormat="1" applyFont="1" applyFill="1" applyBorder="1" applyAlignment="1">
      <alignment horizontal="center"/>
    </xf>
    <xf numFmtId="4" fontId="5" fillId="11" borderId="1" xfId="0" applyNumberFormat="1" applyFont="1" applyFill="1" applyBorder="1" applyAlignment="1">
      <alignment horizontal="center"/>
    </xf>
    <xf numFmtId="4" fontId="6" fillId="11" borderId="18" xfId="0" applyNumberFormat="1" applyFont="1" applyFill="1" applyBorder="1" applyAlignment="1">
      <alignment horizontal="center" vertical="center"/>
    </xf>
    <xf numFmtId="4" fontId="5" fillId="11" borderId="3" xfId="0" applyNumberFormat="1" applyFont="1" applyFill="1" applyBorder="1" applyAlignment="1">
      <alignment horizontal="center"/>
    </xf>
    <xf numFmtId="4" fontId="6" fillId="11" borderId="5" xfId="0" applyNumberFormat="1" applyFont="1" applyFill="1" applyBorder="1" applyAlignment="1">
      <alignment horizontal="center" vertical="center"/>
    </xf>
    <xf numFmtId="4" fontId="6" fillId="11" borderId="1" xfId="0" applyNumberFormat="1" applyFont="1" applyFill="1" applyBorder="1" applyAlignment="1">
      <alignment horizontal="center" vertical="center"/>
    </xf>
    <xf numFmtId="0" fontId="6" fillId="11" borderId="18" xfId="0" applyFont="1" applyFill="1" applyBorder="1" applyAlignment="1">
      <alignment horizontal="center" vertical="center" wrapText="1"/>
    </xf>
    <xf numFmtId="0" fontId="5" fillId="11" borderId="5" xfId="0" applyFont="1" applyFill="1" applyBorder="1" applyAlignment="1">
      <alignment horizontal="center"/>
    </xf>
    <xf numFmtId="4" fontId="6" fillId="11" borderId="1" xfId="0" applyNumberFormat="1" applyFont="1" applyFill="1" applyBorder="1" applyAlignment="1">
      <alignment horizontal="center" vertical="center" wrapText="1"/>
    </xf>
    <xf numFmtId="4" fontId="6" fillId="11" borderId="3" xfId="0" applyNumberFormat="1" applyFont="1" applyFill="1" applyBorder="1" applyAlignment="1">
      <alignment horizontal="center" vertical="center" wrapText="1"/>
    </xf>
    <xf numFmtId="0" fontId="5" fillId="11" borderId="5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14" fillId="0" borderId="15" xfId="4" applyFont="1" applyFill="1" applyBorder="1" applyAlignment="1">
      <alignment horizontal="center" vertical="center" wrapText="1"/>
    </xf>
    <xf numFmtId="0" fontId="14" fillId="0" borderId="29" xfId="4" applyFont="1" applyFill="1" applyBorder="1" applyAlignment="1">
      <alignment horizontal="center" vertical="center" wrapText="1"/>
    </xf>
    <xf numFmtId="0" fontId="14" fillId="0" borderId="30" xfId="4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4" fillId="0" borderId="6" xfId="4" applyFont="1" applyFill="1" applyBorder="1" applyAlignment="1">
      <alignment horizontal="center" vertical="center" wrapText="1"/>
    </xf>
    <xf numFmtId="0" fontId="14" fillId="0" borderId="10" xfId="4" applyFont="1" applyFill="1" applyBorder="1" applyAlignment="1">
      <alignment horizontal="center" vertical="center" wrapText="1"/>
    </xf>
    <xf numFmtId="0" fontId="14" fillId="0" borderId="11" xfId="4" applyFont="1" applyFill="1" applyBorder="1" applyAlignment="1">
      <alignment horizontal="center" vertical="center" wrapText="1"/>
    </xf>
    <xf numFmtId="0" fontId="14" fillId="0" borderId="28" xfId="4" applyFont="1" applyFill="1" applyBorder="1" applyAlignment="1">
      <alignment horizontal="center" vertical="center" wrapText="1"/>
    </xf>
    <xf numFmtId="0" fontId="14" fillId="0" borderId="7" xfId="4" applyFont="1" applyFill="1" applyBorder="1" applyAlignment="1">
      <alignment horizontal="center" vertical="center" wrapText="1"/>
    </xf>
    <xf numFmtId="0" fontId="14" fillId="0" borderId="8" xfId="4" applyFont="1" applyFill="1" applyBorder="1" applyAlignment="1">
      <alignment horizontal="center" vertical="center" wrapText="1"/>
    </xf>
    <xf numFmtId="0" fontId="14" fillId="0" borderId="9" xfId="4" applyFont="1" applyFill="1" applyBorder="1" applyAlignment="1">
      <alignment horizontal="center" vertical="center" wrapText="1"/>
    </xf>
    <xf numFmtId="0" fontId="14" fillId="0" borderId="7" xfId="5" applyFont="1" applyBorder="1" applyAlignment="1">
      <alignment horizontal="center" vertical="center" wrapText="1"/>
    </xf>
    <xf numFmtId="0" fontId="14" fillId="0" borderId="8" xfId="5" applyFont="1" applyBorder="1" applyAlignment="1">
      <alignment horizontal="center" vertical="center" wrapText="1"/>
    </xf>
    <xf numFmtId="0" fontId="7" fillId="0" borderId="0" xfId="3" applyFont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6" fillId="0" borderId="4" xfId="0" applyFont="1" applyBorder="1" applyAlignment="1">
      <alignment horizontal="center" vertical="center" wrapText="1"/>
    </xf>
  </cellXfs>
  <cellStyles count="6">
    <cellStyle name="Акцент1" xfId="4" builtinId="29"/>
    <cellStyle name="Обычный" xfId="0" builtinId="0"/>
    <cellStyle name="Обычный 2" xfId="1" xr:uid="{00000000-0005-0000-0000-000002000000}"/>
    <cellStyle name="Обычный 2 2 2" xfId="2" xr:uid="{00000000-0005-0000-0000-000003000000}"/>
    <cellStyle name="Обычный 3" xfId="5" xr:uid="{004718BB-E9D8-4CA3-845C-E37680BD262B}"/>
    <cellStyle name="Обычный 3 2 2" xfId="3" xr:uid="{00000000-0005-0000-0000-000004000000}"/>
  </cellStyles>
  <dxfs count="5"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88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DFCA9-35D0-41AF-930B-20C98BF55F46}">
  <sheetPr>
    <tabColor rgb="FF00B050"/>
    <pageSetUpPr fitToPage="1"/>
  </sheetPr>
  <dimension ref="A1:R149"/>
  <sheetViews>
    <sheetView topLeftCell="A4" zoomScale="55" zoomScaleNormal="55" zoomScaleSheetLayoutView="70" workbookViewId="0">
      <selection activeCell="H18" sqref="H18:L132"/>
    </sheetView>
  </sheetViews>
  <sheetFormatPr defaultColWidth="9.109375" defaultRowHeight="15.6" outlineLevelRow="4" outlineLevelCol="1" x14ac:dyDescent="0.3"/>
  <cols>
    <col min="1" max="1" width="15.44140625" style="17" customWidth="1"/>
    <col min="2" max="2" width="71.109375" style="52" customWidth="1"/>
    <col min="3" max="3" width="18.6640625" style="25" customWidth="1"/>
    <col min="4" max="4" width="25.6640625" style="25" customWidth="1"/>
    <col min="5" max="5" width="11.6640625" style="17" customWidth="1"/>
    <col min="6" max="6" width="12.33203125" style="23" customWidth="1"/>
    <col min="7" max="7" width="18.44140625" style="23" customWidth="1"/>
    <col min="8" max="12" width="18.44140625" style="23" customWidth="1" outlineLevel="1"/>
    <col min="13" max="13" width="22" style="17" bestFit="1" customWidth="1"/>
    <col min="14" max="14" width="12.88671875" style="22" customWidth="1"/>
    <col min="15" max="15" width="17.5546875" style="22" bestFit="1" customWidth="1"/>
    <col min="16" max="16" width="25.5546875" style="25" customWidth="1"/>
    <col min="17" max="17" width="26.6640625" style="25" customWidth="1"/>
    <col min="18" max="18" width="10.33203125" style="17" customWidth="1"/>
    <col min="19" max="16384" width="9.109375" style="17"/>
  </cols>
  <sheetData>
    <row r="1" spans="1:18" s="77" customFormat="1" x14ac:dyDescent="0.3">
      <c r="M1" s="78"/>
      <c r="Q1" s="79" t="s">
        <v>97</v>
      </c>
    </row>
    <row r="2" spans="1:18" s="77" customFormat="1" x14ac:dyDescent="0.3">
      <c r="M2" s="78"/>
      <c r="Q2" s="80" t="s">
        <v>98</v>
      </c>
    </row>
    <row r="3" spans="1:18" s="77" customFormat="1" x14ac:dyDescent="0.3">
      <c r="C3" s="78"/>
      <c r="D3" s="78"/>
      <c r="E3" s="78"/>
      <c r="F3" s="105"/>
      <c r="G3" s="105"/>
      <c r="H3" s="105"/>
      <c r="I3" s="105"/>
      <c r="J3" s="105"/>
      <c r="K3" s="105"/>
      <c r="L3" s="105"/>
      <c r="M3" s="78"/>
    </row>
    <row r="4" spans="1:18" s="77" customFormat="1" x14ac:dyDescent="0.3">
      <c r="B4" s="106" t="s">
        <v>99</v>
      </c>
      <c r="C4" s="81"/>
      <c r="D4" s="81"/>
      <c r="E4" s="81" t="s">
        <v>100</v>
      </c>
      <c r="O4" s="106" t="s">
        <v>101</v>
      </c>
      <c r="P4" s="81"/>
      <c r="Q4" s="81"/>
      <c r="R4" s="81"/>
    </row>
    <row r="5" spans="1:18" s="77" customFormat="1" x14ac:dyDescent="0.3">
      <c r="B5" s="78"/>
      <c r="C5" s="82"/>
      <c r="D5" s="82"/>
      <c r="E5" s="82" t="s">
        <v>182</v>
      </c>
      <c r="O5" s="78" t="s">
        <v>181</v>
      </c>
      <c r="P5" s="82"/>
      <c r="Q5" s="82"/>
      <c r="R5" s="82"/>
    </row>
    <row r="6" spans="1:18" s="77" customFormat="1" x14ac:dyDescent="0.3">
      <c r="B6" s="78"/>
      <c r="C6" s="82"/>
      <c r="D6" s="82"/>
      <c r="E6" s="82" t="s">
        <v>102</v>
      </c>
      <c r="O6" s="78" t="s">
        <v>102</v>
      </c>
      <c r="P6" s="82"/>
      <c r="Q6" s="82"/>
      <c r="R6" s="82"/>
    </row>
    <row r="7" spans="1:18" s="77" customFormat="1" x14ac:dyDescent="0.3">
      <c r="B7" s="78"/>
      <c r="C7" s="82"/>
      <c r="D7" s="82"/>
      <c r="E7" s="82"/>
      <c r="O7" s="78"/>
      <c r="P7" s="82"/>
      <c r="Q7" s="82"/>
      <c r="R7" s="82"/>
    </row>
    <row r="8" spans="1:18" s="83" customFormat="1" x14ac:dyDescent="0.3">
      <c r="B8" s="17" t="s">
        <v>103</v>
      </c>
      <c r="C8" s="84"/>
      <c r="D8" s="84"/>
      <c r="E8" s="84" t="s">
        <v>104</v>
      </c>
      <c r="N8" s="107"/>
      <c r="O8" s="17" t="s">
        <v>105</v>
      </c>
      <c r="P8" s="84"/>
      <c r="Q8" s="84"/>
      <c r="R8" s="84"/>
    </row>
    <row r="9" spans="1:18" s="77" customFormat="1" x14ac:dyDescent="0.3">
      <c r="C9" s="78"/>
      <c r="D9" s="78"/>
      <c r="E9" s="78"/>
      <c r="F9" s="105"/>
      <c r="G9" s="105"/>
      <c r="H9" s="105"/>
      <c r="I9" s="105"/>
      <c r="J9" s="105"/>
      <c r="K9" s="105"/>
      <c r="L9" s="105"/>
      <c r="M9" s="78"/>
    </row>
    <row r="10" spans="1:18" x14ac:dyDescent="0.3">
      <c r="A10" s="191" t="s">
        <v>180</v>
      </c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  <c r="Q10" s="71"/>
    </row>
    <row r="11" spans="1:18" x14ac:dyDescent="0.3">
      <c r="A11" s="203"/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71"/>
    </row>
    <row r="12" spans="1:18" s="83" customFormat="1" ht="31.2" x14ac:dyDescent="0.3">
      <c r="A12" s="85" t="s">
        <v>55</v>
      </c>
      <c r="B12" s="86" t="s">
        <v>41</v>
      </c>
      <c r="C12" s="86" t="s">
        <v>106</v>
      </c>
      <c r="D12" s="86" t="s">
        <v>75</v>
      </c>
      <c r="E12" s="86" t="s">
        <v>42</v>
      </c>
      <c r="F12" s="86" t="s">
        <v>43</v>
      </c>
      <c r="G12" s="86" t="s">
        <v>109</v>
      </c>
      <c r="H12" s="86" t="s">
        <v>118</v>
      </c>
      <c r="I12" s="86" t="s">
        <v>119</v>
      </c>
      <c r="J12" s="86" t="s">
        <v>120</v>
      </c>
      <c r="K12" s="86" t="s">
        <v>121</v>
      </c>
      <c r="L12" s="86" t="s">
        <v>122</v>
      </c>
      <c r="M12" s="87" t="s">
        <v>123</v>
      </c>
      <c r="N12" s="88" t="s">
        <v>107</v>
      </c>
      <c r="O12" s="88" t="s">
        <v>44</v>
      </c>
      <c r="P12" s="88" t="s">
        <v>0</v>
      </c>
      <c r="Q12" s="88" t="s">
        <v>108</v>
      </c>
    </row>
    <row r="13" spans="1:18" x14ac:dyDescent="0.3">
      <c r="A13" s="41" t="s">
        <v>59</v>
      </c>
      <c r="B13" s="37" t="s">
        <v>39</v>
      </c>
      <c r="C13" s="55"/>
      <c r="D13" s="55"/>
      <c r="E13" s="38"/>
      <c r="F13" s="38"/>
      <c r="G13" s="38"/>
      <c r="H13" s="38"/>
      <c r="I13" s="38"/>
      <c r="J13" s="38"/>
      <c r="K13" s="38"/>
      <c r="L13" s="38"/>
      <c r="M13" s="39"/>
      <c r="N13" s="40"/>
      <c r="O13" s="40"/>
      <c r="P13" s="39" t="s">
        <v>183</v>
      </c>
      <c r="Q13" s="39"/>
    </row>
    <row r="14" spans="1:18" x14ac:dyDescent="0.3">
      <c r="A14" s="42" t="s">
        <v>60</v>
      </c>
      <c r="B14" s="34" t="s">
        <v>62</v>
      </c>
      <c r="C14" s="56"/>
      <c r="D14" s="56"/>
      <c r="E14" s="35"/>
      <c r="F14" s="35"/>
      <c r="G14" s="35"/>
      <c r="H14" s="35"/>
      <c r="I14" s="35"/>
      <c r="J14" s="35"/>
      <c r="K14" s="35"/>
      <c r="L14" s="35"/>
      <c r="M14" s="36"/>
      <c r="N14" s="10"/>
      <c r="O14" s="10"/>
      <c r="P14" s="36"/>
      <c r="Q14" s="36"/>
    </row>
    <row r="15" spans="1:18" outlineLevel="1" x14ac:dyDescent="0.3">
      <c r="A15" s="43" t="s">
        <v>61</v>
      </c>
      <c r="B15" s="47" t="s">
        <v>63</v>
      </c>
      <c r="C15" s="57"/>
      <c r="D15" s="57"/>
      <c r="E15" s="1"/>
      <c r="F15" s="2"/>
      <c r="G15" s="74"/>
      <c r="H15" s="74"/>
      <c r="I15" s="74"/>
      <c r="J15" s="74"/>
      <c r="K15" s="74"/>
      <c r="L15" s="74"/>
      <c r="M15" s="3"/>
      <c r="N15" s="4"/>
      <c r="O15" s="4"/>
      <c r="P15" s="5"/>
      <c r="Q15" s="5"/>
    </row>
    <row r="16" spans="1:18" outlineLevel="2" x14ac:dyDescent="0.3">
      <c r="A16" s="53" t="s">
        <v>69</v>
      </c>
      <c r="B16" s="48" t="s">
        <v>40</v>
      </c>
      <c r="C16" s="35"/>
      <c r="D16" s="35"/>
      <c r="E16" s="7"/>
      <c r="F16" s="6"/>
      <c r="G16" s="75"/>
      <c r="H16" s="75"/>
      <c r="I16" s="75"/>
      <c r="J16" s="75"/>
      <c r="K16" s="75"/>
      <c r="L16" s="75"/>
      <c r="M16" s="8"/>
      <c r="N16" s="8"/>
      <c r="O16" s="9" t="e">
        <f>O17+O26</f>
        <v>#REF!</v>
      </c>
      <c r="P16" s="10"/>
      <c r="Q16" s="10"/>
    </row>
    <row r="17" spans="1:18" outlineLevel="3" x14ac:dyDescent="0.3">
      <c r="A17" s="44"/>
      <c r="B17" s="48" t="s">
        <v>45</v>
      </c>
      <c r="C17" s="35"/>
      <c r="D17" s="35"/>
      <c r="E17" s="7"/>
      <c r="F17" s="6"/>
      <c r="G17" s="75"/>
      <c r="H17" s="91"/>
      <c r="I17" s="91"/>
      <c r="J17" s="91"/>
      <c r="K17" s="91"/>
      <c r="L17" s="91"/>
      <c r="M17" s="8"/>
      <c r="N17" s="8"/>
      <c r="O17" s="9" t="e">
        <f>SUM(O18:O25)</f>
        <v>#REF!</v>
      </c>
      <c r="P17" s="10"/>
      <c r="Q17" s="10"/>
    </row>
    <row r="18" spans="1:18" ht="31.2" outlineLevel="3" x14ac:dyDescent="0.3">
      <c r="A18" s="44"/>
      <c r="B18" s="13" t="s">
        <v>54</v>
      </c>
      <c r="C18" s="58"/>
      <c r="D18" s="58"/>
      <c r="E18" s="11" t="s">
        <v>1</v>
      </c>
      <c r="F18" s="11"/>
      <c r="G18" s="29"/>
      <c r="H18" s="8">
        <v>438.34</v>
      </c>
      <c r="I18" s="8">
        <v>469</v>
      </c>
      <c r="J18" s="8">
        <v>345.7</v>
      </c>
      <c r="K18" s="8">
        <v>470.61</v>
      </c>
      <c r="L18" s="8">
        <v>442.3</v>
      </c>
      <c r="M18" s="108">
        <f>SUM(H18:L18)</f>
        <v>2165.9499999999998</v>
      </c>
      <c r="N18" s="54" t="e">
        <f>VLOOKUP(B18,#REF!,5,0)</f>
        <v>#REF!</v>
      </c>
      <c r="O18" s="8" t="e">
        <f t="shared" ref="O18:O25" si="0">N18*$M18</f>
        <v>#REF!</v>
      </c>
      <c r="P18" s="12"/>
      <c r="Q18" s="12"/>
    </row>
    <row r="19" spans="1:18" ht="31.2" outlineLevel="3" x14ac:dyDescent="0.3">
      <c r="A19" s="44"/>
      <c r="B19" s="13" t="s">
        <v>171</v>
      </c>
      <c r="C19" s="58"/>
      <c r="D19" s="58"/>
      <c r="E19" s="11" t="s">
        <v>1</v>
      </c>
      <c r="F19" s="11"/>
      <c r="G19" s="29">
        <v>200</v>
      </c>
      <c r="H19" s="8">
        <v>400.35</v>
      </c>
      <c r="I19" s="8">
        <v>428.02</v>
      </c>
      <c r="J19" s="8">
        <v>309.77</v>
      </c>
      <c r="K19" s="8">
        <v>429.62</v>
      </c>
      <c r="L19" s="8">
        <v>404.33</v>
      </c>
      <c r="M19" s="108">
        <f t="shared" ref="M19:M41" si="1">SUM(H19:L19)</f>
        <v>1972.09</v>
      </c>
      <c r="N19" s="54" t="e">
        <f>VLOOKUP(B19,#REF!,5,0)</f>
        <v>#REF!</v>
      </c>
      <c r="O19" s="8" t="e">
        <f t="shared" si="0"/>
        <v>#REF!</v>
      </c>
      <c r="P19" s="12" t="s">
        <v>130</v>
      </c>
      <c r="Q19" s="12"/>
    </row>
    <row r="20" spans="1:18" outlineLevel="3" x14ac:dyDescent="0.3">
      <c r="A20" s="44"/>
      <c r="B20" s="13" t="s">
        <v>172</v>
      </c>
      <c r="C20" s="58"/>
      <c r="D20" s="58"/>
      <c r="E20" s="11" t="s">
        <v>1</v>
      </c>
      <c r="F20" s="11"/>
      <c r="G20" s="29">
        <v>150</v>
      </c>
      <c r="H20" s="8">
        <v>34</v>
      </c>
      <c r="I20" s="8">
        <v>35.94</v>
      </c>
      <c r="J20" s="8">
        <v>34</v>
      </c>
      <c r="K20" s="8">
        <v>34.97</v>
      </c>
      <c r="L20" s="8">
        <v>34</v>
      </c>
      <c r="M20" s="108">
        <f t="shared" ref="M20" si="2">SUM(H20:L20)</f>
        <v>172.91</v>
      </c>
      <c r="N20" s="54" t="e">
        <f>VLOOKUP(B20,#REF!,5,0)</f>
        <v>#REF!</v>
      </c>
      <c r="O20" s="8" t="e">
        <f t="shared" si="0"/>
        <v>#REF!</v>
      </c>
      <c r="P20" s="12" t="s">
        <v>129</v>
      </c>
      <c r="Q20" s="12"/>
    </row>
    <row r="21" spans="1:18" ht="31.2" outlineLevel="3" x14ac:dyDescent="0.3">
      <c r="A21" s="44"/>
      <c r="B21" s="13" t="s">
        <v>173</v>
      </c>
      <c r="C21" s="58"/>
      <c r="D21" s="58"/>
      <c r="E21" s="11" t="s">
        <v>1</v>
      </c>
      <c r="F21" s="11"/>
      <c r="G21" s="29" t="s">
        <v>132</v>
      </c>
      <c r="H21" s="8">
        <v>393.29</v>
      </c>
      <c r="I21" s="8">
        <v>420.5</v>
      </c>
      <c r="J21" s="8">
        <v>304.06</v>
      </c>
      <c r="K21" s="8">
        <v>422.79</v>
      </c>
      <c r="L21" s="8">
        <v>398.6</v>
      </c>
      <c r="M21" s="108">
        <f t="shared" si="1"/>
        <v>1939.24</v>
      </c>
      <c r="N21" s="54" t="e">
        <f>VLOOKUP(B21,#REF!,5,0)</f>
        <v>#REF!</v>
      </c>
      <c r="O21" s="8" t="e">
        <f t="shared" si="0"/>
        <v>#REF!</v>
      </c>
      <c r="P21" s="12" t="s">
        <v>128</v>
      </c>
      <c r="Q21" s="12"/>
    </row>
    <row r="22" spans="1:18" ht="31.2" outlineLevel="3" x14ac:dyDescent="0.3">
      <c r="A22" s="44"/>
      <c r="B22" s="13" t="s">
        <v>174</v>
      </c>
      <c r="C22" s="58"/>
      <c r="D22" s="58"/>
      <c r="E22" s="11" t="s">
        <v>1</v>
      </c>
      <c r="F22" s="11"/>
      <c r="G22" s="29" t="s">
        <v>131</v>
      </c>
      <c r="H22" s="8">
        <v>34</v>
      </c>
      <c r="I22" s="8">
        <v>36</v>
      </c>
      <c r="J22" s="8">
        <v>34</v>
      </c>
      <c r="K22" s="8">
        <v>35</v>
      </c>
      <c r="L22" s="8">
        <v>34</v>
      </c>
      <c r="M22" s="108">
        <f t="shared" si="1"/>
        <v>173</v>
      </c>
      <c r="N22" s="54" t="e">
        <f>VLOOKUP(B22,#REF!,5,0)</f>
        <v>#REF!</v>
      </c>
      <c r="O22" s="8" t="e">
        <f t="shared" si="0"/>
        <v>#REF!</v>
      </c>
      <c r="P22" s="12" t="s">
        <v>129</v>
      </c>
      <c r="Q22" s="12"/>
    </row>
    <row r="23" spans="1:18" ht="31.2" outlineLevel="3" x14ac:dyDescent="0.3">
      <c r="A23" s="44"/>
      <c r="B23" s="13" t="s">
        <v>12</v>
      </c>
      <c r="C23" s="58"/>
      <c r="D23" s="58"/>
      <c r="E23" s="11" t="s">
        <v>1</v>
      </c>
      <c r="F23" s="11"/>
      <c r="G23" s="29"/>
      <c r="H23" s="8">
        <v>427.29</v>
      </c>
      <c r="I23" s="8">
        <v>456.5</v>
      </c>
      <c r="J23" s="8">
        <v>338.06</v>
      </c>
      <c r="K23" s="8">
        <v>457.79</v>
      </c>
      <c r="L23" s="8">
        <v>432.6</v>
      </c>
      <c r="M23" s="108">
        <f t="shared" si="1"/>
        <v>2112.2399999999998</v>
      </c>
      <c r="N23" s="54" t="e">
        <f>VLOOKUP(B23,#REF!,5,0)</f>
        <v>#REF!</v>
      </c>
      <c r="O23" s="8" t="e">
        <f t="shared" si="0"/>
        <v>#REF!</v>
      </c>
      <c r="P23" s="12"/>
      <c r="Q23" s="12"/>
    </row>
    <row r="24" spans="1:18" ht="31.2" outlineLevel="3" x14ac:dyDescent="0.3">
      <c r="A24" s="44"/>
      <c r="B24" s="13" t="s">
        <v>14</v>
      </c>
      <c r="C24" s="58"/>
      <c r="D24" s="58"/>
      <c r="E24" s="11" t="s">
        <v>1</v>
      </c>
      <c r="F24" s="11"/>
      <c r="G24" s="29"/>
      <c r="H24" s="8">
        <v>658.05</v>
      </c>
      <c r="I24" s="8">
        <v>685.89</v>
      </c>
      <c r="J24" s="8">
        <v>521.1</v>
      </c>
      <c r="K24" s="8">
        <v>683.79</v>
      </c>
      <c r="L24" s="8">
        <v>626.54</v>
      </c>
      <c r="M24" s="8">
        <f t="shared" si="1"/>
        <v>3175.37</v>
      </c>
      <c r="N24" s="54" t="e">
        <f>VLOOKUP(B24,#REF!,5,0)</f>
        <v>#REF!</v>
      </c>
      <c r="O24" s="8" t="e">
        <f t="shared" si="0"/>
        <v>#REF!</v>
      </c>
      <c r="P24" s="12" t="s">
        <v>133</v>
      </c>
      <c r="Q24" s="12"/>
    </row>
    <row r="25" spans="1:18" outlineLevel="3" x14ac:dyDescent="0.3">
      <c r="A25" s="44"/>
      <c r="B25" s="13" t="s">
        <v>16</v>
      </c>
      <c r="C25" s="58"/>
      <c r="D25" s="58"/>
      <c r="E25" s="11" t="s">
        <v>1</v>
      </c>
      <c r="F25" s="11"/>
      <c r="G25" s="29"/>
      <c r="H25" s="8">
        <v>427.29</v>
      </c>
      <c r="I25" s="8">
        <v>456.5</v>
      </c>
      <c r="J25" s="8">
        <v>338.06</v>
      </c>
      <c r="K25" s="8">
        <v>457.79</v>
      </c>
      <c r="L25" s="8">
        <v>432.6</v>
      </c>
      <c r="M25" s="108">
        <f t="shared" si="1"/>
        <v>2112.2399999999998</v>
      </c>
      <c r="N25" s="54" t="e">
        <f>VLOOKUP(B25,#REF!,5,0)</f>
        <v>#REF!</v>
      </c>
      <c r="O25" s="8" t="e">
        <f t="shared" si="0"/>
        <v>#REF!</v>
      </c>
      <c r="P25" s="12"/>
      <c r="Q25" s="12"/>
    </row>
    <row r="26" spans="1:18" outlineLevel="3" x14ac:dyDescent="0.3">
      <c r="A26" s="45"/>
      <c r="B26" s="49" t="s">
        <v>46</v>
      </c>
      <c r="C26" s="18"/>
      <c r="D26" s="18"/>
      <c r="E26" s="15"/>
      <c r="F26" s="15"/>
      <c r="G26" s="76"/>
      <c r="H26" s="92"/>
      <c r="I26" s="92"/>
      <c r="J26" s="92"/>
      <c r="K26" s="92"/>
      <c r="L26" s="92"/>
      <c r="M26" s="14"/>
      <c r="N26" s="14"/>
      <c r="O26" s="16" t="e">
        <f>SUM(O27:O37)</f>
        <v>#REF!</v>
      </c>
      <c r="P26" s="20"/>
      <c r="Q26" s="20"/>
    </row>
    <row r="27" spans="1:18" outlineLevel="3" x14ac:dyDescent="0.3">
      <c r="A27" s="46"/>
      <c r="B27" s="19" t="s">
        <v>35</v>
      </c>
      <c r="C27" s="20"/>
      <c r="D27" s="20"/>
      <c r="E27" s="20" t="s">
        <v>1</v>
      </c>
      <c r="F27" s="20">
        <v>1.1000000000000001</v>
      </c>
      <c r="G27" s="20"/>
      <c r="H27" s="21">
        <f>_xlfn.CEILING.MATH(H$18*$F27,5)</f>
        <v>485</v>
      </c>
      <c r="I27" s="21">
        <f t="shared" ref="I27:L27" si="3">_xlfn.CEILING.MATH(I$18*$F27,5)</f>
        <v>520</v>
      </c>
      <c r="J27" s="21">
        <f t="shared" si="3"/>
        <v>385</v>
      </c>
      <c r="K27" s="21">
        <f t="shared" si="3"/>
        <v>520</v>
      </c>
      <c r="L27" s="21">
        <f t="shared" si="3"/>
        <v>490</v>
      </c>
      <c r="M27" s="109">
        <f t="shared" si="1"/>
        <v>2400</v>
      </c>
      <c r="N27" s="21" t="e">
        <f>VLOOKUP(B27,#REF!,5,0)</f>
        <v>#REF!</v>
      </c>
      <c r="O27" s="14" t="e">
        <f t="shared" ref="O27:O36" si="4">N27*$M27</f>
        <v>#REF!</v>
      </c>
      <c r="P27" s="20"/>
      <c r="Q27" s="20" t="e">
        <f>VLOOKUP(B27,#REF!,8,0)</f>
        <v>#REF!</v>
      </c>
    </row>
    <row r="28" spans="1:18" outlineLevel="3" x14ac:dyDescent="0.3">
      <c r="A28" s="46"/>
      <c r="B28" s="19" t="s">
        <v>110</v>
      </c>
      <c r="C28" s="20"/>
      <c r="D28" s="20" t="s">
        <v>135</v>
      </c>
      <c r="E28" s="20" t="s">
        <v>5</v>
      </c>
      <c r="F28" s="20">
        <v>1.03</v>
      </c>
      <c r="G28" s="20">
        <v>100</v>
      </c>
      <c r="H28" s="21">
        <f t="shared" ref="H28:L28" si="5">SUM(H$19*2,H$20)*$G28/1000*$F28</f>
        <v>85.97</v>
      </c>
      <c r="I28" s="21">
        <f t="shared" si="5"/>
        <v>91.87</v>
      </c>
      <c r="J28" s="21">
        <f t="shared" si="5"/>
        <v>67.31</v>
      </c>
      <c r="K28" s="21">
        <f t="shared" si="5"/>
        <v>92.1</v>
      </c>
      <c r="L28" s="21">
        <f t="shared" si="5"/>
        <v>86.79</v>
      </c>
      <c r="M28" s="109">
        <f t="shared" si="1"/>
        <v>424.04</v>
      </c>
      <c r="N28" s="21" t="e">
        <f>VLOOKUP(B28,#REF!,5,0)</f>
        <v>#REF!</v>
      </c>
      <c r="O28" s="14" t="e">
        <f t="shared" si="4"/>
        <v>#REF!</v>
      </c>
      <c r="P28" s="20"/>
      <c r="Q28" s="20" t="e">
        <f>VLOOKUP(B28,#REF!,8,0)</f>
        <v>#REF!</v>
      </c>
    </row>
    <row r="29" spans="1:18" outlineLevel="3" x14ac:dyDescent="0.3">
      <c r="A29" s="46"/>
      <c r="B29" s="19" t="s">
        <v>111</v>
      </c>
      <c r="C29" s="20"/>
      <c r="D29" s="20" t="s">
        <v>136</v>
      </c>
      <c r="E29" s="20" t="s">
        <v>5</v>
      </c>
      <c r="F29" s="20">
        <v>1.03</v>
      </c>
      <c r="G29" s="20">
        <v>50</v>
      </c>
      <c r="H29" s="21">
        <f>H20*$F29*$G29/1000</f>
        <v>1.75</v>
      </c>
      <c r="I29" s="21">
        <f t="shared" ref="I29:L29" si="6">I20*$F29*$G29/1000</f>
        <v>1.85</v>
      </c>
      <c r="J29" s="21">
        <f t="shared" si="6"/>
        <v>1.75</v>
      </c>
      <c r="K29" s="21">
        <f t="shared" si="6"/>
        <v>1.8</v>
      </c>
      <c r="L29" s="21">
        <f t="shared" si="6"/>
        <v>1.75</v>
      </c>
      <c r="M29" s="109">
        <f t="shared" si="1"/>
        <v>8.9</v>
      </c>
      <c r="N29" s="21" t="e">
        <f>VLOOKUP(B29,#REF!,5,0)</f>
        <v>#REF!</v>
      </c>
      <c r="O29" s="14" t="e">
        <f t="shared" si="4"/>
        <v>#REF!</v>
      </c>
      <c r="P29" s="20"/>
      <c r="Q29" s="20" t="e">
        <f>VLOOKUP(B29,#REF!,8,0)</f>
        <v>#REF!</v>
      </c>
    </row>
    <row r="30" spans="1:18" s="115" customFormat="1" outlineLevel="3" x14ac:dyDescent="0.3">
      <c r="A30" s="111"/>
      <c r="B30" s="112" t="s">
        <v>193</v>
      </c>
      <c r="C30" s="113"/>
      <c r="D30" s="113" t="s">
        <v>192</v>
      </c>
      <c r="E30" s="113"/>
      <c r="F30" s="113"/>
      <c r="G30" s="113"/>
      <c r="H30" s="109"/>
      <c r="I30" s="109"/>
      <c r="J30" s="109"/>
      <c r="K30" s="109"/>
      <c r="L30" s="109"/>
      <c r="M30" s="109"/>
      <c r="N30" s="109"/>
      <c r="O30" s="108"/>
      <c r="P30" s="114"/>
      <c r="Q30" s="113"/>
      <c r="R30" s="114" t="s">
        <v>194</v>
      </c>
    </row>
    <row r="31" spans="1:18" outlineLevel="3" x14ac:dyDescent="0.3">
      <c r="A31" s="46"/>
      <c r="B31" s="19" t="s">
        <v>76</v>
      </c>
      <c r="C31" s="20"/>
      <c r="D31" s="20" t="s">
        <v>134</v>
      </c>
      <c r="E31" s="20" t="s">
        <v>5</v>
      </c>
      <c r="F31" s="20">
        <v>1.05</v>
      </c>
      <c r="G31" s="33"/>
      <c r="H31" s="21">
        <f>((H21*0.25-1/3*H21*(0.25-0.05))+(H22*0.15-1/3*H22*(0.15-0.05)))*$F31</f>
        <v>79.87</v>
      </c>
      <c r="I31" s="21">
        <f t="shared" ref="I31:L31" si="7">((I21*0.25-1/3*I21*(0.25-0.05))+(I22*0.15-1/3*I22*(0.15-0.05)))*$F31</f>
        <v>85.36</v>
      </c>
      <c r="J31" s="21">
        <f t="shared" si="7"/>
        <v>62.7</v>
      </c>
      <c r="K31" s="21">
        <f t="shared" si="7"/>
        <v>85.67</v>
      </c>
      <c r="L31" s="21">
        <f t="shared" si="7"/>
        <v>80.900000000000006</v>
      </c>
      <c r="M31" s="109">
        <f t="shared" si="1"/>
        <v>394.5</v>
      </c>
      <c r="N31" s="21" t="e">
        <f>VLOOKUP(B31,#REF!,5,0)</f>
        <v>#REF!</v>
      </c>
      <c r="O31" s="14" t="e">
        <f t="shared" si="4"/>
        <v>#REF!</v>
      </c>
      <c r="P31" s="110"/>
      <c r="Q31" s="20" t="e">
        <f>VLOOKUP(B31,#REF!,8,0)</f>
        <v>#REF!</v>
      </c>
    </row>
    <row r="32" spans="1:18" outlineLevel="3" x14ac:dyDescent="0.3">
      <c r="A32" s="46"/>
      <c r="B32" s="19" t="s">
        <v>77</v>
      </c>
      <c r="C32" s="20"/>
      <c r="D32" s="20"/>
      <c r="E32" s="20" t="s">
        <v>1</v>
      </c>
      <c r="F32" s="20">
        <v>2.1</v>
      </c>
      <c r="G32" s="20"/>
      <c r="H32" s="21">
        <f>H$23*$F32</f>
        <v>897.31</v>
      </c>
      <c r="I32" s="21">
        <f t="shared" ref="I32:L32" si="8">I$23*$F32</f>
        <v>958.65</v>
      </c>
      <c r="J32" s="21">
        <f t="shared" si="8"/>
        <v>709.93</v>
      </c>
      <c r="K32" s="21">
        <f t="shared" si="8"/>
        <v>961.36</v>
      </c>
      <c r="L32" s="21">
        <f t="shared" si="8"/>
        <v>908.46</v>
      </c>
      <c r="M32" s="21">
        <f t="shared" si="1"/>
        <v>4435.71</v>
      </c>
      <c r="N32" s="21" t="e">
        <f>VLOOKUP(B32,#REF!,5,0)</f>
        <v>#REF!</v>
      </c>
      <c r="O32" s="14" t="e">
        <f t="shared" si="4"/>
        <v>#REF!</v>
      </c>
      <c r="P32" s="20"/>
      <c r="Q32" s="20" t="e">
        <f>VLOOKUP(B32,#REF!,8,0)</f>
        <v>#REF!</v>
      </c>
      <c r="R32" s="110" t="s">
        <v>195</v>
      </c>
    </row>
    <row r="33" spans="1:18" outlineLevel="3" x14ac:dyDescent="0.3">
      <c r="A33" s="46"/>
      <c r="B33" s="19" t="s">
        <v>78</v>
      </c>
      <c r="C33" s="20"/>
      <c r="D33" s="20" t="s">
        <v>197</v>
      </c>
      <c r="E33" s="20" t="s">
        <v>3</v>
      </c>
      <c r="F33" s="20">
        <v>0.3</v>
      </c>
      <c r="G33" s="20"/>
      <c r="H33" s="21">
        <f>H$24*$F33</f>
        <v>197.42</v>
      </c>
      <c r="I33" s="21">
        <f t="shared" ref="I33:L33" si="9">I$24*$F33</f>
        <v>205.77</v>
      </c>
      <c r="J33" s="21">
        <f t="shared" si="9"/>
        <v>156.33000000000001</v>
      </c>
      <c r="K33" s="21">
        <f t="shared" si="9"/>
        <v>205.14</v>
      </c>
      <c r="L33" s="21">
        <f t="shared" si="9"/>
        <v>187.96</v>
      </c>
      <c r="M33" s="109">
        <f t="shared" si="1"/>
        <v>952.62</v>
      </c>
      <c r="N33" s="21" t="e">
        <f>VLOOKUP(B33,#REF!,5,0)</f>
        <v>#REF!</v>
      </c>
      <c r="O33" s="14" t="e">
        <f t="shared" si="4"/>
        <v>#REF!</v>
      </c>
      <c r="P33" s="20"/>
      <c r="Q33" s="20" t="e">
        <f>VLOOKUP(B33,#REF!,8,0)</f>
        <v>#REF!</v>
      </c>
    </row>
    <row r="34" spans="1:18" outlineLevel="3" x14ac:dyDescent="0.3">
      <c r="A34" s="46"/>
      <c r="B34" s="19" t="s">
        <v>17</v>
      </c>
      <c r="C34" s="20"/>
      <c r="D34" s="20"/>
      <c r="E34" s="20" t="s">
        <v>1</v>
      </c>
      <c r="F34" s="20">
        <v>1.1599999999999999</v>
      </c>
      <c r="G34" s="20"/>
      <c r="H34" s="21">
        <f>H$25*$F34</f>
        <v>495.66</v>
      </c>
      <c r="I34" s="21">
        <f t="shared" ref="H34:L36" si="10">I$25*$F34</f>
        <v>529.54</v>
      </c>
      <c r="J34" s="21">
        <f t="shared" si="10"/>
        <v>392.15</v>
      </c>
      <c r="K34" s="21">
        <f t="shared" si="10"/>
        <v>531.04</v>
      </c>
      <c r="L34" s="21">
        <f t="shared" si="10"/>
        <v>501.82</v>
      </c>
      <c r="M34" s="109">
        <f t="shared" si="1"/>
        <v>2450.21</v>
      </c>
      <c r="N34" s="21" t="e">
        <f>VLOOKUP(B34,#REF!,5,0)</f>
        <v>#REF!</v>
      </c>
      <c r="O34" s="14" t="e">
        <f t="shared" si="4"/>
        <v>#REF!</v>
      </c>
      <c r="P34" s="20"/>
      <c r="Q34" s="20" t="e">
        <f>VLOOKUP(B34,#REF!,8,0)</f>
        <v>#REF!</v>
      </c>
    </row>
    <row r="35" spans="1:18" outlineLevel="3" x14ac:dyDescent="0.3">
      <c r="A35" s="46"/>
      <c r="B35" s="19" t="s">
        <v>18</v>
      </c>
      <c r="C35" s="20"/>
      <c r="D35" s="20"/>
      <c r="E35" s="20" t="s">
        <v>1</v>
      </c>
      <c r="F35" s="20">
        <v>1.1399999999999999</v>
      </c>
      <c r="G35" s="20"/>
      <c r="H35" s="21">
        <f t="shared" si="10"/>
        <v>487.11</v>
      </c>
      <c r="I35" s="21">
        <f t="shared" si="10"/>
        <v>520.41</v>
      </c>
      <c r="J35" s="21">
        <f t="shared" si="10"/>
        <v>385.39</v>
      </c>
      <c r="K35" s="21">
        <f t="shared" si="10"/>
        <v>521.88</v>
      </c>
      <c r="L35" s="21">
        <f t="shared" si="10"/>
        <v>493.16</v>
      </c>
      <c r="M35" s="109">
        <f t="shared" si="1"/>
        <v>2407.9499999999998</v>
      </c>
      <c r="N35" s="21" t="e">
        <f>VLOOKUP(B35,#REF!,5,0)</f>
        <v>#REF!</v>
      </c>
      <c r="O35" s="14" t="e">
        <f t="shared" si="4"/>
        <v>#REF!</v>
      </c>
      <c r="P35" s="20"/>
      <c r="Q35" s="20" t="e">
        <f>VLOOKUP(B35,#REF!,8,0)</f>
        <v>#REF!</v>
      </c>
    </row>
    <row r="36" spans="1:18" outlineLevel="3" x14ac:dyDescent="0.3">
      <c r="A36" s="46"/>
      <c r="B36" s="19" t="s">
        <v>2</v>
      </c>
      <c r="C36" s="20"/>
      <c r="D36" s="20"/>
      <c r="E36" s="20" t="s">
        <v>3</v>
      </c>
      <c r="F36" s="20">
        <v>0.94</v>
      </c>
      <c r="G36" s="20"/>
      <c r="H36" s="21">
        <f t="shared" si="10"/>
        <v>401.65</v>
      </c>
      <c r="I36" s="21">
        <f t="shared" si="10"/>
        <v>429.11</v>
      </c>
      <c r="J36" s="21">
        <f t="shared" si="10"/>
        <v>317.77999999999997</v>
      </c>
      <c r="K36" s="21">
        <f t="shared" si="10"/>
        <v>430.32</v>
      </c>
      <c r="L36" s="21">
        <f t="shared" si="10"/>
        <v>406.64</v>
      </c>
      <c r="M36" s="109">
        <f t="shared" si="1"/>
        <v>1985.5</v>
      </c>
      <c r="N36" s="21" t="e">
        <f>VLOOKUP(B36,#REF!,5,0)</f>
        <v>#REF!</v>
      </c>
      <c r="O36" s="14" t="e">
        <f t="shared" si="4"/>
        <v>#REF!</v>
      </c>
      <c r="P36" s="20"/>
      <c r="Q36" s="20" t="e">
        <f>VLOOKUP(B36,#REF!,8,0)</f>
        <v>#REF!</v>
      </c>
    </row>
    <row r="37" spans="1:18" ht="46.8" outlineLevel="3" x14ac:dyDescent="0.3">
      <c r="A37" s="46"/>
      <c r="B37" s="19" t="s">
        <v>86</v>
      </c>
      <c r="C37" s="20"/>
      <c r="D37" s="20"/>
      <c r="E37" s="20" t="s">
        <v>47</v>
      </c>
      <c r="F37" s="20"/>
      <c r="G37" s="20"/>
      <c r="H37" s="21"/>
      <c r="I37" s="21"/>
      <c r="J37" s="21"/>
      <c r="K37" s="21"/>
      <c r="L37" s="21"/>
      <c r="M37" s="21" t="e">
        <f>O37/O17*100</f>
        <v>#REF!</v>
      </c>
      <c r="N37" s="21"/>
      <c r="O37" s="14" t="e">
        <f>SUM(O38:O41)</f>
        <v>#REF!</v>
      </c>
      <c r="P37" s="20"/>
      <c r="Q37" s="20"/>
    </row>
    <row r="38" spans="1:18" s="95" customFormat="1" hidden="1" outlineLevel="4" x14ac:dyDescent="0.3">
      <c r="A38" s="101"/>
      <c r="B38" s="97" t="s">
        <v>175</v>
      </c>
      <c r="C38" s="98"/>
      <c r="D38" s="98"/>
      <c r="E38" s="98" t="s">
        <v>27</v>
      </c>
      <c r="F38" s="98"/>
      <c r="G38" s="98"/>
      <c r="H38" s="99">
        <v>12</v>
      </c>
      <c r="I38" s="99">
        <v>13</v>
      </c>
      <c r="J38" s="99">
        <v>10</v>
      </c>
      <c r="K38" s="99">
        <v>13</v>
      </c>
      <c r="L38" s="99">
        <v>12</v>
      </c>
      <c r="M38" s="99">
        <f t="shared" si="1"/>
        <v>60</v>
      </c>
      <c r="N38" s="99" t="e">
        <f>VLOOKUP(B38,#REF!,5,0)</f>
        <v>#REF!</v>
      </c>
      <c r="O38" s="100" t="e">
        <f t="shared" ref="O38:O41" si="11">N38*$M38</f>
        <v>#REF!</v>
      </c>
      <c r="P38" s="98"/>
      <c r="Q38" s="98"/>
    </row>
    <row r="39" spans="1:18" s="95" customFormat="1" hidden="1" outlineLevel="4" x14ac:dyDescent="0.3">
      <c r="A39" s="101"/>
      <c r="B39" s="97" t="s">
        <v>11</v>
      </c>
      <c r="C39" s="98"/>
      <c r="D39" s="98"/>
      <c r="E39" s="98" t="s">
        <v>10</v>
      </c>
      <c r="F39" s="98"/>
      <c r="G39" s="98"/>
      <c r="H39" s="99">
        <v>10</v>
      </c>
      <c r="I39" s="99">
        <v>10</v>
      </c>
      <c r="J39" s="99">
        <v>10</v>
      </c>
      <c r="K39" s="99">
        <v>10</v>
      </c>
      <c r="L39" s="99">
        <v>10</v>
      </c>
      <c r="M39" s="99">
        <f t="shared" si="1"/>
        <v>50</v>
      </c>
      <c r="N39" s="99" t="e">
        <f>VLOOKUP(B39,#REF!,5,0)</f>
        <v>#REF!</v>
      </c>
      <c r="O39" s="100" t="e">
        <f t="shared" si="11"/>
        <v>#REF!</v>
      </c>
      <c r="P39" s="98"/>
      <c r="Q39" s="98"/>
    </row>
    <row r="40" spans="1:18" s="95" customFormat="1" hidden="1" outlineLevel="4" x14ac:dyDescent="0.3">
      <c r="A40" s="101"/>
      <c r="B40" s="97" t="s">
        <v>36</v>
      </c>
      <c r="C40" s="98"/>
      <c r="D40" s="98"/>
      <c r="E40" s="98" t="s">
        <v>27</v>
      </c>
      <c r="F40" s="98"/>
      <c r="G40" s="98"/>
      <c r="H40" s="99">
        <v>1710</v>
      </c>
      <c r="I40" s="99">
        <v>1828</v>
      </c>
      <c r="J40" s="99">
        <v>1354</v>
      </c>
      <c r="K40" s="99">
        <v>1832</v>
      </c>
      <c r="L40" s="99">
        <v>1732</v>
      </c>
      <c r="M40" s="99">
        <f t="shared" si="1"/>
        <v>8456</v>
      </c>
      <c r="N40" s="99" t="e">
        <f>VLOOKUP(B40,#REF!,5,0)</f>
        <v>#REF!</v>
      </c>
      <c r="O40" s="100" t="e">
        <f t="shared" si="11"/>
        <v>#REF!</v>
      </c>
      <c r="P40" s="98"/>
      <c r="Q40" s="98"/>
    </row>
    <row r="41" spans="1:18" s="95" customFormat="1" hidden="1" outlineLevel="4" x14ac:dyDescent="0.3">
      <c r="A41" s="101"/>
      <c r="B41" s="97" t="s">
        <v>9</v>
      </c>
      <c r="C41" s="98"/>
      <c r="D41" s="98"/>
      <c r="E41" s="98" t="s">
        <v>27</v>
      </c>
      <c r="F41" s="98"/>
      <c r="G41" s="98"/>
      <c r="H41" s="99">
        <v>2137</v>
      </c>
      <c r="I41" s="99">
        <v>2283</v>
      </c>
      <c r="J41" s="99">
        <v>1691</v>
      </c>
      <c r="K41" s="99">
        <v>2289</v>
      </c>
      <c r="L41" s="99">
        <v>2164</v>
      </c>
      <c r="M41" s="99">
        <f t="shared" si="1"/>
        <v>10564</v>
      </c>
      <c r="N41" s="99" t="e">
        <f>VLOOKUP(B41,#REF!,5,0)</f>
        <v>#REF!</v>
      </c>
      <c r="O41" s="100" t="e">
        <f t="shared" si="11"/>
        <v>#REF!</v>
      </c>
      <c r="P41" s="98"/>
      <c r="Q41" s="98"/>
    </row>
    <row r="42" spans="1:18" outlineLevel="1" x14ac:dyDescent="0.3">
      <c r="A42" s="43" t="s">
        <v>65</v>
      </c>
      <c r="B42" s="47" t="s">
        <v>64</v>
      </c>
      <c r="C42" s="57"/>
      <c r="D42" s="57"/>
      <c r="E42" s="1"/>
      <c r="F42" s="2"/>
      <c r="G42" s="74"/>
      <c r="H42" s="93"/>
      <c r="I42" s="93"/>
      <c r="J42" s="93"/>
      <c r="K42" s="93"/>
      <c r="L42" s="93"/>
      <c r="M42" s="3"/>
      <c r="N42" s="4"/>
      <c r="O42" s="4"/>
      <c r="P42" s="5" t="s">
        <v>79</v>
      </c>
      <c r="Q42" s="5"/>
    </row>
    <row r="43" spans="1:18" outlineLevel="2" x14ac:dyDescent="0.3">
      <c r="A43" s="53" t="s">
        <v>70</v>
      </c>
      <c r="B43" s="48" t="s">
        <v>56</v>
      </c>
      <c r="C43" s="35"/>
      <c r="D43" s="35"/>
      <c r="E43" s="7"/>
      <c r="F43" s="6"/>
      <c r="G43" s="75"/>
      <c r="H43" s="91"/>
      <c r="I43" s="91"/>
      <c r="J43" s="91"/>
      <c r="K43" s="91"/>
      <c r="L43" s="91"/>
      <c r="M43" s="8"/>
      <c r="N43" s="8"/>
      <c r="O43" s="9" t="e">
        <f>O44+O53</f>
        <v>#REF!</v>
      </c>
      <c r="P43" s="10"/>
      <c r="Q43" s="10"/>
    </row>
    <row r="44" spans="1:18" outlineLevel="3" x14ac:dyDescent="0.3">
      <c r="A44" s="44"/>
      <c r="B44" s="48" t="s">
        <v>45</v>
      </c>
      <c r="C44" s="35"/>
      <c r="D44" s="35"/>
      <c r="E44" s="7"/>
      <c r="F44" s="6"/>
      <c r="G44" s="75"/>
      <c r="H44" s="91"/>
      <c r="I44" s="91"/>
      <c r="J44" s="91"/>
      <c r="K44" s="91"/>
      <c r="L44" s="91"/>
      <c r="M44" s="8"/>
      <c r="N44" s="8"/>
      <c r="O44" s="9" t="e">
        <f>SUM(O45:O52)</f>
        <v>#REF!</v>
      </c>
      <c r="P44" s="10"/>
      <c r="Q44" s="10"/>
    </row>
    <row r="45" spans="1:18" ht="31.2" outlineLevel="3" x14ac:dyDescent="0.3">
      <c r="A45" s="44"/>
      <c r="B45" s="13" t="s">
        <v>124</v>
      </c>
      <c r="C45" s="58"/>
      <c r="D45" s="58"/>
      <c r="E45" s="11" t="s">
        <v>1</v>
      </c>
      <c r="F45" s="11"/>
      <c r="G45" s="29">
        <v>300</v>
      </c>
      <c r="H45" s="8">
        <v>58.64</v>
      </c>
      <c r="I45" s="8">
        <v>62.76</v>
      </c>
      <c r="J45" s="8">
        <v>51.06</v>
      </c>
      <c r="K45" s="8">
        <v>60.93</v>
      </c>
      <c r="L45" s="8">
        <v>54.86</v>
      </c>
      <c r="M45" s="108">
        <f>SUM(H45:L45)</f>
        <v>288.25</v>
      </c>
      <c r="N45" s="54" t="e">
        <f>VLOOKUP(B45,#REF!,5,0)</f>
        <v>#REF!</v>
      </c>
      <c r="O45" s="8" t="e">
        <f t="shared" ref="O45:O52" si="12">N45*$M45</f>
        <v>#REF!</v>
      </c>
      <c r="P45" s="12"/>
      <c r="Q45" s="12"/>
    </row>
    <row r="46" spans="1:18" outlineLevel="3" x14ac:dyDescent="0.3">
      <c r="A46" s="44"/>
      <c r="B46" s="13" t="s">
        <v>92</v>
      </c>
      <c r="C46" s="58"/>
      <c r="D46" s="58"/>
      <c r="E46" s="11" t="s">
        <v>1</v>
      </c>
      <c r="F46" s="11"/>
      <c r="G46" s="29">
        <v>100</v>
      </c>
      <c r="H46" s="8">
        <f>117.8+3</f>
        <v>120.8</v>
      </c>
      <c r="I46" s="8">
        <v>126.82</v>
      </c>
      <c r="J46" s="8">
        <f>87.68+3</f>
        <v>90.68</v>
      </c>
      <c r="K46" s="8">
        <v>120.99</v>
      </c>
      <c r="L46" s="8">
        <f>88.04+3</f>
        <v>91.04</v>
      </c>
      <c r="M46" s="8">
        <f t="shared" ref="M46:M52" si="13">SUM(H46:L46)</f>
        <v>550.33000000000004</v>
      </c>
      <c r="N46" s="54" t="e">
        <f>VLOOKUP(B46,#REF!,5,0)</f>
        <v>#REF!</v>
      </c>
      <c r="O46" s="8" t="e">
        <f t="shared" si="12"/>
        <v>#REF!</v>
      </c>
      <c r="P46" s="12"/>
      <c r="Q46" s="12"/>
      <c r="R46" s="17" t="s">
        <v>200</v>
      </c>
    </row>
    <row r="47" spans="1:18" outlineLevel="3" x14ac:dyDescent="0.3">
      <c r="A47" s="44"/>
      <c r="B47" s="13" t="s">
        <v>95</v>
      </c>
      <c r="C47" s="58"/>
      <c r="D47" s="58"/>
      <c r="E47" s="11" t="s">
        <v>1</v>
      </c>
      <c r="F47" s="11"/>
      <c r="G47" s="29">
        <v>150</v>
      </c>
      <c r="H47" s="8">
        <v>20.239999999999998</v>
      </c>
      <c r="I47" s="8">
        <f>5.74+16.93+41.47</f>
        <v>64.14</v>
      </c>
      <c r="J47" s="8">
        <v>20.239999999999998</v>
      </c>
      <c r="K47" s="8">
        <f>5.74+16.93+41.47</f>
        <v>64.14</v>
      </c>
      <c r="L47" s="8">
        <v>20.239999999999998</v>
      </c>
      <c r="M47" s="8">
        <f t="shared" si="13"/>
        <v>189</v>
      </c>
      <c r="N47" s="54" t="e">
        <f>VLOOKUP(B47,#REF!,5,0)</f>
        <v>#REF!</v>
      </c>
      <c r="O47" s="8" t="e">
        <f t="shared" si="12"/>
        <v>#REF!</v>
      </c>
      <c r="P47" s="116"/>
      <c r="Q47" s="12"/>
      <c r="R47" s="17" t="s">
        <v>196</v>
      </c>
    </row>
    <row r="48" spans="1:18" ht="62.4" outlineLevel="3" x14ac:dyDescent="0.3">
      <c r="A48" s="44"/>
      <c r="B48" s="50" t="s">
        <v>51</v>
      </c>
      <c r="C48" s="60"/>
      <c r="D48" s="60"/>
      <c r="E48" s="29" t="s">
        <v>1</v>
      </c>
      <c r="F48" s="6"/>
      <c r="G48" s="75"/>
      <c r="H48" s="91">
        <f>147.17+26.66</f>
        <v>173.83</v>
      </c>
      <c r="I48" s="91">
        <f>154.48+18.96+47.18</f>
        <v>220.62</v>
      </c>
      <c r="J48" s="91">
        <f>108.98+26.66</f>
        <v>135.63999999999999</v>
      </c>
      <c r="K48" s="91">
        <f>150.34+18.96+47.18</f>
        <v>216.48</v>
      </c>
      <c r="L48" s="91">
        <f>110.35+26.66</f>
        <v>137.01</v>
      </c>
      <c r="M48" s="8">
        <f t="shared" si="13"/>
        <v>883.58</v>
      </c>
      <c r="N48" s="54" t="e">
        <f>VLOOKUP(B48,#REF!,5,0)</f>
        <v>#REF!</v>
      </c>
      <c r="O48" s="32" t="e">
        <f t="shared" si="12"/>
        <v>#REF!</v>
      </c>
      <c r="P48" s="58" t="s">
        <v>170</v>
      </c>
      <c r="Q48" s="29"/>
    </row>
    <row r="49" spans="1:17" outlineLevel="3" x14ac:dyDescent="0.3">
      <c r="A49" s="44"/>
      <c r="B49" s="13" t="s">
        <v>116</v>
      </c>
      <c r="C49" s="58"/>
      <c r="D49" s="58"/>
      <c r="E49" s="11" t="s">
        <v>1</v>
      </c>
      <c r="F49" s="11"/>
      <c r="G49" s="29"/>
      <c r="H49" s="8">
        <v>31.03</v>
      </c>
      <c r="I49" s="8">
        <v>33.14</v>
      </c>
      <c r="J49" s="8">
        <v>26.92</v>
      </c>
      <c r="K49" s="8">
        <v>32.1</v>
      </c>
      <c r="L49" s="8">
        <v>28.93</v>
      </c>
      <c r="M49" s="108">
        <f t="shared" si="13"/>
        <v>152.12</v>
      </c>
      <c r="N49" s="54" t="e">
        <f>VLOOKUP(B49,#REF!,5,0)</f>
        <v>#REF!</v>
      </c>
      <c r="O49" s="8" t="e">
        <f t="shared" si="12"/>
        <v>#REF!</v>
      </c>
      <c r="P49" s="12"/>
      <c r="Q49" s="12"/>
    </row>
    <row r="50" spans="1:17" outlineLevel="3" x14ac:dyDescent="0.3">
      <c r="A50" s="44"/>
      <c r="B50" s="13" t="s">
        <v>15</v>
      </c>
      <c r="C50" s="58"/>
      <c r="D50" s="58"/>
      <c r="E50" s="11" t="s">
        <v>1</v>
      </c>
      <c r="F50" s="11"/>
      <c r="G50" s="29"/>
      <c r="H50" s="8">
        <v>197.4</v>
      </c>
      <c r="I50" s="8">
        <v>216.64</v>
      </c>
      <c r="J50" s="8">
        <v>166.86</v>
      </c>
      <c r="K50" s="8">
        <v>209.62</v>
      </c>
      <c r="L50" s="8">
        <v>177.51</v>
      </c>
      <c r="M50" s="108">
        <f t="shared" si="13"/>
        <v>968.03</v>
      </c>
      <c r="N50" s="54" t="e">
        <f>VLOOKUP(B50,#REF!,5,0)</f>
        <v>#REF!</v>
      </c>
      <c r="O50" s="8" t="e">
        <f t="shared" si="12"/>
        <v>#REF!</v>
      </c>
      <c r="P50" s="12"/>
      <c r="Q50" s="12"/>
    </row>
    <row r="51" spans="1:17" ht="124.8" outlineLevel="3" x14ac:dyDescent="0.3">
      <c r="A51" s="44"/>
      <c r="B51" s="13" t="s">
        <v>50</v>
      </c>
      <c r="C51" s="58"/>
      <c r="D51" s="58"/>
      <c r="E51" s="11" t="s">
        <v>1</v>
      </c>
      <c r="F51" s="11"/>
      <c r="G51" s="29"/>
      <c r="H51" s="8">
        <v>257.42</v>
      </c>
      <c r="I51" s="8">
        <f>276.57+14.89</f>
        <v>291.45999999999998</v>
      </c>
      <c r="J51" s="8">
        <v>209.7</v>
      </c>
      <c r="K51" s="8">
        <f>273.18+14.89</f>
        <v>288.07</v>
      </c>
      <c r="L51" s="8">
        <v>220.6</v>
      </c>
      <c r="M51" s="8">
        <f t="shared" si="13"/>
        <v>1267.25</v>
      </c>
      <c r="N51" s="54" t="e">
        <f>VLOOKUP(B51,#REF!,5,0)</f>
        <v>#REF!</v>
      </c>
      <c r="O51" s="8" t="e">
        <f t="shared" si="12"/>
        <v>#REF!</v>
      </c>
      <c r="P51" s="12" t="s">
        <v>184</v>
      </c>
      <c r="Q51" s="12"/>
    </row>
    <row r="52" spans="1:17" ht="46.8" outlineLevel="3" x14ac:dyDescent="0.3">
      <c r="A52" s="44"/>
      <c r="B52" s="13" t="s">
        <v>29</v>
      </c>
      <c r="C52" s="58"/>
      <c r="D52" s="58"/>
      <c r="E52" s="11" t="s">
        <v>4</v>
      </c>
      <c r="F52" s="11"/>
      <c r="G52" s="29"/>
      <c r="H52" s="8">
        <v>109.52</v>
      </c>
      <c r="I52" s="8">
        <v>99.23</v>
      </c>
      <c r="J52" s="8">
        <v>96.02</v>
      </c>
      <c r="K52" s="8">
        <v>99.23</v>
      </c>
      <c r="L52" s="8">
        <v>109.42</v>
      </c>
      <c r="M52" s="108">
        <f t="shared" si="13"/>
        <v>513.41999999999996</v>
      </c>
      <c r="N52" s="54" t="e">
        <f>VLOOKUP(B52,#REF!,5,0)</f>
        <v>#REF!</v>
      </c>
      <c r="O52" s="8" t="e">
        <f t="shared" si="12"/>
        <v>#REF!</v>
      </c>
      <c r="P52" s="12" t="s">
        <v>159</v>
      </c>
      <c r="Q52" s="12"/>
    </row>
    <row r="53" spans="1:17" outlineLevel="3" x14ac:dyDescent="0.3">
      <c r="A53" s="45"/>
      <c r="B53" s="49" t="s">
        <v>46</v>
      </c>
      <c r="C53" s="18"/>
      <c r="D53" s="18"/>
      <c r="E53" s="15"/>
      <c r="F53" s="15"/>
      <c r="G53" s="76"/>
      <c r="H53" s="92"/>
      <c r="I53" s="92"/>
      <c r="J53" s="92"/>
      <c r="K53" s="92"/>
      <c r="L53" s="92"/>
      <c r="M53" s="14"/>
      <c r="N53" s="14"/>
      <c r="O53" s="16" t="e">
        <f>SUM(O54:O66)</f>
        <v>#REF!</v>
      </c>
      <c r="P53" s="20"/>
      <c r="Q53" s="20"/>
    </row>
    <row r="54" spans="1:17" outlineLevel="3" x14ac:dyDescent="0.3">
      <c r="A54" s="72"/>
      <c r="B54" s="27" t="s">
        <v>35</v>
      </c>
      <c r="C54" s="15"/>
      <c r="D54" s="15"/>
      <c r="E54" s="15" t="s">
        <v>1</v>
      </c>
      <c r="F54" s="15">
        <v>1.1000000000000001</v>
      </c>
      <c r="G54" s="15"/>
      <c r="H54" s="21">
        <f>_xlfn.CEILING.MATH(H$45*$F54,5)</f>
        <v>65</v>
      </c>
      <c r="I54" s="21">
        <f t="shared" ref="I54:L54" si="14">_xlfn.CEILING.MATH(I$45*$F54,5)</f>
        <v>70</v>
      </c>
      <c r="J54" s="21">
        <f t="shared" si="14"/>
        <v>60</v>
      </c>
      <c r="K54" s="21">
        <f t="shared" si="14"/>
        <v>70</v>
      </c>
      <c r="L54" s="21">
        <f t="shared" si="14"/>
        <v>65</v>
      </c>
      <c r="M54" s="117">
        <f t="shared" ref="M54:M58" si="15">SUM(H54:L54)</f>
        <v>330</v>
      </c>
      <c r="N54" s="28" t="e">
        <f>VLOOKUP(B54,#REF!,5,0)</f>
        <v>#REF!</v>
      </c>
      <c r="O54" s="28" t="e">
        <f t="shared" ref="O54:O65" si="16">N54*$M54</f>
        <v>#REF!</v>
      </c>
      <c r="P54" s="15"/>
      <c r="Q54" s="20" t="e">
        <f>VLOOKUP(B54,#REF!,8,0)</f>
        <v>#REF!</v>
      </c>
    </row>
    <row r="55" spans="1:17" ht="46.8" outlineLevel="3" x14ac:dyDescent="0.3">
      <c r="A55" s="72"/>
      <c r="B55" s="27" t="s">
        <v>93</v>
      </c>
      <c r="C55" s="15"/>
      <c r="D55" s="15" t="s">
        <v>48</v>
      </c>
      <c r="E55" s="15" t="s">
        <v>5</v>
      </c>
      <c r="F55" s="15">
        <v>1.1000000000000001</v>
      </c>
      <c r="G55" s="15">
        <v>100</v>
      </c>
      <c r="H55" s="21">
        <f>H$46*$G55/1000*$F55</f>
        <v>13.29</v>
      </c>
      <c r="I55" s="21">
        <f t="shared" ref="I55:L55" si="17">I$46*$G55/1000*$F55</f>
        <v>13.95</v>
      </c>
      <c r="J55" s="21">
        <f t="shared" si="17"/>
        <v>9.9700000000000006</v>
      </c>
      <c r="K55" s="21">
        <f t="shared" si="17"/>
        <v>13.31</v>
      </c>
      <c r="L55" s="21">
        <f t="shared" si="17"/>
        <v>10.01</v>
      </c>
      <c r="M55" s="28">
        <f t="shared" si="15"/>
        <v>60.53</v>
      </c>
      <c r="N55" s="28" t="e">
        <f>VLOOKUP(B55,#REF!,5,0)</f>
        <v>#REF!</v>
      </c>
      <c r="O55" s="28" t="e">
        <f t="shared" si="16"/>
        <v>#REF!</v>
      </c>
      <c r="P55" s="15"/>
      <c r="Q55" s="20" t="e">
        <f>VLOOKUP(B55,#REF!,8,0)</f>
        <v>#REF!</v>
      </c>
    </row>
    <row r="56" spans="1:17" ht="46.8" outlineLevel="3" x14ac:dyDescent="0.3">
      <c r="A56" s="72"/>
      <c r="B56" s="27" t="s">
        <v>94</v>
      </c>
      <c r="C56" s="15"/>
      <c r="D56" s="15" t="s">
        <v>49</v>
      </c>
      <c r="E56" s="15" t="s">
        <v>5</v>
      </c>
      <c r="F56" s="15">
        <v>1.1000000000000001</v>
      </c>
      <c r="G56" s="15">
        <v>150</v>
      </c>
      <c r="H56" s="21">
        <f>H$47*$G56/1000*$F56</f>
        <v>3.34</v>
      </c>
      <c r="I56" s="21">
        <f t="shared" ref="I56:L56" si="18">I$47*$G56/1000*$F56</f>
        <v>10.58</v>
      </c>
      <c r="J56" s="21">
        <f t="shared" si="18"/>
        <v>3.34</v>
      </c>
      <c r="K56" s="21">
        <f t="shared" si="18"/>
        <v>10.58</v>
      </c>
      <c r="L56" s="21">
        <f t="shared" si="18"/>
        <v>3.34</v>
      </c>
      <c r="M56" s="28">
        <f t="shared" si="15"/>
        <v>31.18</v>
      </c>
      <c r="N56" s="28" t="e">
        <f>VLOOKUP(B56,#REF!,5,0)</f>
        <v>#REF!</v>
      </c>
      <c r="O56" s="28" t="e">
        <f t="shared" si="16"/>
        <v>#REF!</v>
      </c>
      <c r="P56" s="15"/>
      <c r="Q56" s="20" t="e">
        <f>VLOOKUP(B56,#REF!,8,0)</f>
        <v>#REF!</v>
      </c>
    </row>
    <row r="57" spans="1:17" outlineLevel="3" x14ac:dyDescent="0.3">
      <c r="A57" s="72"/>
      <c r="B57" s="27" t="s">
        <v>77</v>
      </c>
      <c r="C57" s="15"/>
      <c r="D57" s="15"/>
      <c r="E57" s="15" t="s">
        <v>1</v>
      </c>
      <c r="F57" s="15">
        <v>1.02</v>
      </c>
      <c r="G57" s="15">
        <v>10</v>
      </c>
      <c r="H57" s="28">
        <f>H49*$F57</f>
        <v>31.65</v>
      </c>
      <c r="I57" s="28">
        <f>I49*$F57</f>
        <v>33.799999999999997</v>
      </c>
      <c r="J57" s="28">
        <f>J49*$F57</f>
        <v>27.46</v>
      </c>
      <c r="K57" s="28">
        <f>K49*$F57</f>
        <v>32.74</v>
      </c>
      <c r="L57" s="28">
        <f>L49*$F57</f>
        <v>29.51</v>
      </c>
      <c r="M57" s="117">
        <f t="shared" si="15"/>
        <v>155.16</v>
      </c>
      <c r="N57" s="28" t="e">
        <f>VLOOKUP(B57,#REF!,5,0)</f>
        <v>#REF!</v>
      </c>
      <c r="O57" s="28" t="e">
        <f t="shared" si="16"/>
        <v>#REF!</v>
      </c>
      <c r="P57" s="15"/>
      <c r="Q57" s="20" t="e">
        <f>VLOOKUP(B57,#REF!,8,0)</f>
        <v>#REF!</v>
      </c>
    </row>
    <row r="58" spans="1:17" outlineLevel="3" x14ac:dyDescent="0.3">
      <c r="A58" s="72"/>
      <c r="B58" s="27" t="s">
        <v>77</v>
      </c>
      <c r="C58" s="15"/>
      <c r="D58" s="15"/>
      <c r="E58" s="15" t="s">
        <v>1</v>
      </c>
      <c r="F58" s="15">
        <v>2.1</v>
      </c>
      <c r="G58" s="15">
        <v>20</v>
      </c>
      <c r="H58" s="21">
        <f>H$48*$F58</f>
        <v>365.04</v>
      </c>
      <c r="I58" s="21">
        <f t="shared" ref="I58:L58" si="19">I$48*$F58</f>
        <v>463.3</v>
      </c>
      <c r="J58" s="21">
        <f t="shared" si="19"/>
        <v>284.83999999999997</v>
      </c>
      <c r="K58" s="21">
        <f t="shared" si="19"/>
        <v>454.61</v>
      </c>
      <c r="L58" s="21">
        <f t="shared" si="19"/>
        <v>287.72000000000003</v>
      </c>
      <c r="M58" s="28">
        <f t="shared" si="15"/>
        <v>1855.51</v>
      </c>
      <c r="N58" s="28" t="e">
        <f>VLOOKUP(B58,#REF!,5,0)</f>
        <v>#REF!</v>
      </c>
      <c r="O58" s="28" t="e">
        <f t="shared" si="16"/>
        <v>#REF!</v>
      </c>
      <c r="P58" s="15"/>
      <c r="Q58" s="20" t="e">
        <f>VLOOKUP(B58,#REF!,8,0)</f>
        <v>#REF!</v>
      </c>
    </row>
    <row r="59" spans="1:17" outlineLevel="3" x14ac:dyDescent="0.3">
      <c r="A59" s="72"/>
      <c r="B59" s="27" t="s">
        <v>17</v>
      </c>
      <c r="C59" s="15"/>
      <c r="D59" s="15"/>
      <c r="E59" s="15" t="s">
        <v>1</v>
      </c>
      <c r="F59" s="15">
        <v>1.1000000000000001</v>
      </c>
      <c r="G59" s="15"/>
      <c r="H59" s="21">
        <f>_xlfn.CEILING.MATH(H$50*$F59,5)</f>
        <v>220</v>
      </c>
      <c r="I59" s="21">
        <f t="shared" ref="I59:L59" si="20">_xlfn.CEILING.MATH(I$50*$F59,5)</f>
        <v>240</v>
      </c>
      <c r="J59" s="21">
        <f t="shared" si="20"/>
        <v>185</v>
      </c>
      <c r="K59" s="21">
        <f t="shared" si="20"/>
        <v>235</v>
      </c>
      <c r="L59" s="21">
        <f t="shared" si="20"/>
        <v>200</v>
      </c>
      <c r="M59" s="117">
        <f>SUM(H59:L59)</f>
        <v>1080</v>
      </c>
      <c r="N59" s="28" t="e">
        <f>VLOOKUP(B59,#REF!,5,0)</f>
        <v>#REF!</v>
      </c>
      <c r="O59" s="28" t="e">
        <f t="shared" si="16"/>
        <v>#REF!</v>
      </c>
      <c r="P59" s="15"/>
      <c r="Q59" s="20" t="e">
        <f>VLOOKUP(B59,#REF!,8,0)</f>
        <v>#REF!</v>
      </c>
    </row>
    <row r="60" spans="1:17" outlineLevel="3" x14ac:dyDescent="0.3">
      <c r="A60" s="72"/>
      <c r="B60" s="27" t="s">
        <v>17</v>
      </c>
      <c r="C60" s="15"/>
      <c r="D60" s="15"/>
      <c r="E60" s="15" t="s">
        <v>1</v>
      </c>
      <c r="F60" s="15">
        <v>1.1599999999999999</v>
      </c>
      <c r="G60" s="15"/>
      <c r="H60" s="21">
        <v>278.31</v>
      </c>
      <c r="I60" s="21">
        <v>320.74</v>
      </c>
      <c r="J60" s="21">
        <v>226.1</v>
      </c>
      <c r="K60" s="21">
        <v>316.57</v>
      </c>
      <c r="L60" s="21">
        <v>235.64</v>
      </c>
      <c r="M60" s="28">
        <f t="shared" ref="M60:M65" si="21">SUM(H60:L60)</f>
        <v>1377.36</v>
      </c>
      <c r="N60" s="28" t="e">
        <f>VLOOKUP(B60,#REF!,5,0)</f>
        <v>#REF!</v>
      </c>
      <c r="O60" s="28" t="e">
        <f t="shared" si="16"/>
        <v>#REF!</v>
      </c>
      <c r="P60" s="15"/>
      <c r="Q60" s="20" t="e">
        <f>VLOOKUP(B60,#REF!,8,0)</f>
        <v>#REF!</v>
      </c>
    </row>
    <row r="61" spans="1:17" outlineLevel="3" x14ac:dyDescent="0.3">
      <c r="A61" s="72"/>
      <c r="B61" s="27" t="s">
        <v>18</v>
      </c>
      <c r="C61" s="15"/>
      <c r="D61" s="15"/>
      <c r="E61" s="15" t="s">
        <v>1</v>
      </c>
      <c r="F61" s="15">
        <v>1.1399999999999999</v>
      </c>
      <c r="G61" s="15"/>
      <c r="H61" s="21">
        <v>302.36</v>
      </c>
      <c r="I61" s="21">
        <v>351.09</v>
      </c>
      <c r="J61" s="21">
        <v>248.02</v>
      </c>
      <c r="K61" s="21">
        <v>347.24</v>
      </c>
      <c r="L61" s="21">
        <v>260.43</v>
      </c>
      <c r="M61" s="28">
        <f t="shared" si="21"/>
        <v>1509.14</v>
      </c>
      <c r="N61" s="28" t="e">
        <f>VLOOKUP(B61,#REF!,5,0)</f>
        <v>#REF!</v>
      </c>
      <c r="O61" s="28" t="e">
        <f t="shared" si="16"/>
        <v>#REF!</v>
      </c>
      <c r="P61" s="15"/>
      <c r="Q61" s="20" t="e">
        <f>VLOOKUP(B61,#REF!,8,0)</f>
        <v>#REF!</v>
      </c>
    </row>
    <row r="62" spans="1:17" outlineLevel="3" x14ac:dyDescent="0.3">
      <c r="A62" s="72"/>
      <c r="B62" s="27" t="s">
        <v>2</v>
      </c>
      <c r="C62" s="15"/>
      <c r="D62" s="15"/>
      <c r="E62" s="15" t="s">
        <v>3</v>
      </c>
      <c r="F62" s="15">
        <v>0.47</v>
      </c>
      <c r="G62" s="15"/>
      <c r="H62" s="21">
        <f>H$50*$F62</f>
        <v>92.78</v>
      </c>
      <c r="I62" s="21">
        <f t="shared" ref="I62:L62" si="22">I$50*$F62</f>
        <v>101.82</v>
      </c>
      <c r="J62" s="21">
        <f t="shared" si="22"/>
        <v>78.42</v>
      </c>
      <c r="K62" s="21">
        <f t="shared" si="22"/>
        <v>98.52</v>
      </c>
      <c r="L62" s="21">
        <f t="shared" si="22"/>
        <v>83.43</v>
      </c>
      <c r="M62" s="117">
        <f t="shared" si="21"/>
        <v>454.97</v>
      </c>
      <c r="N62" s="28" t="e">
        <f>VLOOKUP(B62,#REF!,5,0)</f>
        <v>#REF!</v>
      </c>
      <c r="O62" s="28" t="e">
        <f t="shared" si="16"/>
        <v>#REF!</v>
      </c>
      <c r="P62" s="15"/>
      <c r="Q62" s="20" t="e">
        <f>VLOOKUP(B62,#REF!,8,0)</f>
        <v>#REF!</v>
      </c>
    </row>
    <row r="63" spans="1:17" outlineLevel="3" x14ac:dyDescent="0.3">
      <c r="A63" s="72"/>
      <c r="B63" s="27" t="s">
        <v>2</v>
      </c>
      <c r="C63" s="15"/>
      <c r="D63" s="15"/>
      <c r="E63" s="15" t="s">
        <v>3</v>
      </c>
      <c r="F63" s="15">
        <v>0.94</v>
      </c>
      <c r="G63" s="15"/>
      <c r="H63" s="21">
        <v>252.16</v>
      </c>
      <c r="I63" s="21">
        <v>353.05</v>
      </c>
      <c r="J63" s="21">
        <v>207.47</v>
      </c>
      <c r="K63" s="21">
        <v>290.79000000000002</v>
      </c>
      <c r="L63" s="21">
        <v>217.6</v>
      </c>
      <c r="M63" s="28">
        <f t="shared" si="21"/>
        <v>1321.07</v>
      </c>
      <c r="N63" s="28" t="e">
        <f>VLOOKUP(B63,#REF!,5,0)</f>
        <v>#REF!</v>
      </c>
      <c r="O63" s="28" t="e">
        <f t="shared" si="16"/>
        <v>#REF!</v>
      </c>
      <c r="P63" s="15"/>
      <c r="Q63" s="20" t="e">
        <f>VLOOKUP(B63,#REF!,8,0)</f>
        <v>#REF!</v>
      </c>
    </row>
    <row r="64" spans="1:17" outlineLevel="3" x14ac:dyDescent="0.3">
      <c r="A64" s="73"/>
      <c r="B64" s="27" t="s">
        <v>30</v>
      </c>
      <c r="C64" s="15"/>
      <c r="D64" s="15"/>
      <c r="E64" s="15" t="s">
        <v>4</v>
      </c>
      <c r="F64" s="28">
        <v>1.05</v>
      </c>
      <c r="G64" s="28"/>
      <c r="H64" s="28">
        <f>_xlfn.CEILING.MATH(H52*$F64,4)</f>
        <v>116</v>
      </c>
      <c r="I64" s="28">
        <f t="shared" ref="I64:L64" si="23">_xlfn.CEILING.MATH(I52*$F64,4)</f>
        <v>108</v>
      </c>
      <c r="J64" s="28">
        <f t="shared" si="23"/>
        <v>104</v>
      </c>
      <c r="K64" s="28">
        <f t="shared" si="23"/>
        <v>108</v>
      </c>
      <c r="L64" s="28">
        <f t="shared" si="23"/>
        <v>116</v>
      </c>
      <c r="M64" s="117">
        <f t="shared" si="21"/>
        <v>552</v>
      </c>
      <c r="N64" s="28" t="e">
        <f>VLOOKUP(B64,#REF!,5,0)</f>
        <v>#REF!</v>
      </c>
      <c r="O64" s="28" t="e">
        <f t="shared" si="16"/>
        <v>#REF!</v>
      </c>
      <c r="P64" s="15"/>
      <c r="Q64" s="20" t="e">
        <f>VLOOKUP(B64,#REF!,8,0)</f>
        <v>#REF!</v>
      </c>
    </row>
    <row r="65" spans="1:18" ht="31.2" outlineLevel="3" x14ac:dyDescent="0.3">
      <c r="A65" s="73"/>
      <c r="B65" s="27" t="s">
        <v>166</v>
      </c>
      <c r="C65" s="15"/>
      <c r="D65" s="15" t="s">
        <v>167</v>
      </c>
      <c r="E65" s="15" t="s">
        <v>27</v>
      </c>
      <c r="F65" s="28"/>
      <c r="G65" s="28"/>
      <c r="H65" s="28">
        <v>15</v>
      </c>
      <c r="I65" s="28">
        <v>11</v>
      </c>
      <c r="J65" s="28">
        <v>10</v>
      </c>
      <c r="K65" s="28">
        <v>9</v>
      </c>
      <c r="L65" s="28">
        <v>11</v>
      </c>
      <c r="M65" s="117">
        <f t="shared" si="21"/>
        <v>56</v>
      </c>
      <c r="N65" s="28" t="e">
        <f>VLOOKUP(B65,#REF!,5,0)</f>
        <v>#REF!</v>
      </c>
      <c r="O65" s="28" t="e">
        <f t="shared" si="16"/>
        <v>#REF!</v>
      </c>
      <c r="P65" s="15" t="s">
        <v>168</v>
      </c>
      <c r="Q65" s="20" t="e">
        <f>VLOOKUP(B65,#REF!,8,0)</f>
        <v>#REF!</v>
      </c>
      <c r="R65" s="17" t="s">
        <v>198</v>
      </c>
    </row>
    <row r="66" spans="1:18" ht="105.75" customHeight="1" outlineLevel="3" x14ac:dyDescent="0.3">
      <c r="A66" s="46"/>
      <c r="B66" s="19" t="s">
        <v>96</v>
      </c>
      <c r="C66" s="20"/>
      <c r="D66" s="20"/>
      <c r="E66" s="20" t="s">
        <v>47</v>
      </c>
      <c r="F66" s="20"/>
      <c r="G66" s="20"/>
      <c r="H66" s="21"/>
      <c r="I66" s="21"/>
      <c r="J66" s="21"/>
      <c r="K66" s="21"/>
      <c r="L66" s="21"/>
      <c r="M66" s="21" t="e">
        <f>O66/O44*100</f>
        <v>#REF!</v>
      </c>
      <c r="N66" s="21"/>
      <c r="O66" s="21" t="e">
        <f>SUM(O67:O81)</f>
        <v>#REF!</v>
      </c>
      <c r="P66" s="20"/>
      <c r="Q66" s="20"/>
      <c r="R66" s="30"/>
    </row>
    <row r="67" spans="1:18" s="95" customFormat="1" hidden="1" outlineLevel="4" x14ac:dyDescent="0.3">
      <c r="A67" s="101"/>
      <c r="B67" s="97" t="s">
        <v>175</v>
      </c>
      <c r="C67" s="98"/>
      <c r="D67" s="98"/>
      <c r="E67" s="98" t="s">
        <v>27</v>
      </c>
      <c r="F67" s="98"/>
      <c r="G67" s="98"/>
      <c r="H67" s="99">
        <v>18</v>
      </c>
      <c r="I67" s="99">
        <v>19</v>
      </c>
      <c r="J67" s="99">
        <v>15</v>
      </c>
      <c r="K67" s="99">
        <v>18</v>
      </c>
      <c r="L67" s="99">
        <v>17</v>
      </c>
      <c r="M67" s="102">
        <f>SUM(H67:L67)</f>
        <v>87</v>
      </c>
      <c r="N67" s="99" t="e">
        <f>VLOOKUP(B67,#REF!,5,0)</f>
        <v>#REF!</v>
      </c>
      <c r="O67" s="102" t="e">
        <f t="shared" ref="O67:O81" si="24">N67*$M67</f>
        <v>#REF!</v>
      </c>
      <c r="P67" s="98"/>
      <c r="Q67" s="98"/>
      <c r="R67" s="104"/>
    </row>
    <row r="68" spans="1:18" s="95" customFormat="1" hidden="1" outlineLevel="4" x14ac:dyDescent="0.3">
      <c r="A68" s="101"/>
      <c r="B68" s="97" t="s">
        <v>125</v>
      </c>
      <c r="C68" s="98"/>
      <c r="D68" s="98"/>
      <c r="E68" s="98" t="s">
        <v>27</v>
      </c>
      <c r="F68" s="98"/>
      <c r="G68" s="98"/>
      <c r="H68" s="99">
        <v>825</v>
      </c>
      <c r="I68" s="99">
        <v>890</v>
      </c>
      <c r="J68" s="99">
        <v>615</v>
      </c>
      <c r="K68" s="99">
        <v>850</v>
      </c>
      <c r="L68" s="99">
        <v>620</v>
      </c>
      <c r="M68" s="102">
        <f>SUM(H68:L68)</f>
        <v>3800</v>
      </c>
      <c r="N68" s="99" t="e">
        <f>VLOOKUP(B68,#REF!,5,0)</f>
        <v>#REF!</v>
      </c>
      <c r="O68" s="102" t="e">
        <f t="shared" si="24"/>
        <v>#REF!</v>
      </c>
      <c r="P68" s="98"/>
      <c r="Q68" s="98"/>
      <c r="R68" s="104"/>
    </row>
    <row r="69" spans="1:18" s="95" customFormat="1" hidden="1" outlineLevel="4" x14ac:dyDescent="0.3">
      <c r="A69" s="101"/>
      <c r="B69" s="97" t="s">
        <v>126</v>
      </c>
      <c r="C69" s="98"/>
      <c r="D69" s="98"/>
      <c r="E69" s="98" t="s">
        <v>5</v>
      </c>
      <c r="F69" s="98"/>
      <c r="G69" s="98"/>
      <c r="H69" s="99">
        <v>2.33</v>
      </c>
      <c r="I69" s="99">
        <f>2.62+0.04</f>
        <v>2.66</v>
      </c>
      <c r="J69" s="99">
        <v>1.85</v>
      </c>
      <c r="K69" s="99">
        <f>2.55+0.04</f>
        <v>2.59</v>
      </c>
      <c r="L69" s="99">
        <v>1.89</v>
      </c>
      <c r="M69" s="102">
        <f t="shared" ref="M69:M81" si="25">SUM(H69:L69)</f>
        <v>11.32</v>
      </c>
      <c r="N69" s="99" t="e">
        <f>VLOOKUP(B69,#REF!,5,0)</f>
        <v>#REF!</v>
      </c>
      <c r="O69" s="102" t="e">
        <f t="shared" si="24"/>
        <v>#REF!</v>
      </c>
      <c r="P69" s="98"/>
      <c r="Q69" s="98"/>
      <c r="R69" s="104"/>
    </row>
    <row r="70" spans="1:18" s="95" customFormat="1" hidden="1" outlineLevel="4" x14ac:dyDescent="0.3">
      <c r="A70" s="101"/>
      <c r="B70" s="97" t="s">
        <v>8</v>
      </c>
      <c r="C70" s="98"/>
      <c r="D70" s="98"/>
      <c r="E70" s="98" t="s">
        <v>27</v>
      </c>
      <c r="F70" s="98"/>
      <c r="G70" s="98"/>
      <c r="H70" s="99">
        <f>2667</f>
        <v>2667</v>
      </c>
      <c r="I70" s="99">
        <f>3000+140</f>
        <v>3140</v>
      </c>
      <c r="J70" s="99">
        <v>2130</v>
      </c>
      <c r="K70" s="99">
        <f>2910+140</f>
        <v>3050</v>
      </c>
      <c r="L70" s="99">
        <v>2190</v>
      </c>
      <c r="M70" s="102">
        <f t="shared" si="25"/>
        <v>13177</v>
      </c>
      <c r="N70" s="99" t="e">
        <f>VLOOKUP(B70,#REF!,5,0)</f>
        <v>#REF!</v>
      </c>
      <c r="O70" s="102" t="e">
        <f t="shared" si="24"/>
        <v>#REF!</v>
      </c>
      <c r="P70" s="98"/>
      <c r="Q70" s="98"/>
      <c r="R70" s="104"/>
    </row>
    <row r="71" spans="1:18" s="95" customFormat="1" hidden="1" outlineLevel="4" x14ac:dyDescent="0.3">
      <c r="A71" s="101"/>
      <c r="B71" s="97" t="s">
        <v>127</v>
      </c>
      <c r="C71" s="98"/>
      <c r="D71" s="98"/>
      <c r="E71" s="98" t="s">
        <v>27</v>
      </c>
      <c r="F71" s="98"/>
      <c r="G71" s="98"/>
      <c r="H71" s="99">
        <f>889+170</f>
        <v>1059</v>
      </c>
      <c r="I71" s="99">
        <f>1000+280+90</f>
        <v>1370</v>
      </c>
      <c r="J71" s="99">
        <f>710+170</f>
        <v>880</v>
      </c>
      <c r="K71" s="99">
        <f>970+280+90</f>
        <v>1340</v>
      </c>
      <c r="L71" s="99">
        <f>730+170</f>
        <v>900</v>
      </c>
      <c r="M71" s="102">
        <f t="shared" si="25"/>
        <v>5549</v>
      </c>
      <c r="N71" s="99" t="e">
        <f>VLOOKUP(B71,#REF!,5,0)</f>
        <v>#REF!</v>
      </c>
      <c r="O71" s="102" t="e">
        <f t="shared" si="24"/>
        <v>#REF!</v>
      </c>
      <c r="P71" s="98"/>
      <c r="Q71" s="98"/>
      <c r="R71" s="104"/>
    </row>
    <row r="72" spans="1:18" s="95" customFormat="1" hidden="1" outlineLevel="4" x14ac:dyDescent="0.3">
      <c r="A72" s="101"/>
      <c r="B72" s="97" t="s">
        <v>9</v>
      </c>
      <c r="C72" s="98"/>
      <c r="D72" s="98"/>
      <c r="E72" s="98" t="s">
        <v>27</v>
      </c>
      <c r="F72" s="98"/>
      <c r="G72" s="98"/>
      <c r="H72" s="99">
        <f>2667+345+510</f>
        <v>3522</v>
      </c>
      <c r="I72" s="99">
        <f>3000+377+140+840</f>
        <v>4357</v>
      </c>
      <c r="J72" s="99">
        <f>2130+319+510</f>
        <v>2959</v>
      </c>
      <c r="K72" s="99">
        <f>2910+354+140+470</f>
        <v>3874</v>
      </c>
      <c r="L72" s="99">
        <f>2190+256+280</f>
        <v>2726</v>
      </c>
      <c r="M72" s="102">
        <f t="shared" si="25"/>
        <v>17438</v>
      </c>
      <c r="N72" s="99" t="e">
        <f>VLOOKUP(B72,#REF!,5,0)</f>
        <v>#REF!</v>
      </c>
      <c r="O72" s="102" t="e">
        <f t="shared" si="24"/>
        <v>#REF!</v>
      </c>
      <c r="P72" s="98"/>
      <c r="Q72" s="98"/>
      <c r="R72" s="104"/>
    </row>
    <row r="73" spans="1:18" s="95" customFormat="1" hidden="1" outlineLevel="4" x14ac:dyDescent="0.3">
      <c r="A73" s="101"/>
      <c r="B73" s="97" t="s">
        <v>38</v>
      </c>
      <c r="C73" s="98"/>
      <c r="D73" s="98"/>
      <c r="E73" s="98" t="s">
        <v>10</v>
      </c>
      <c r="F73" s="98"/>
      <c r="G73" s="98"/>
      <c r="H73" s="99"/>
      <c r="I73" s="99">
        <v>5</v>
      </c>
      <c r="J73" s="99"/>
      <c r="K73" s="99">
        <v>5</v>
      </c>
      <c r="L73" s="99"/>
      <c r="M73" s="102">
        <f t="shared" si="25"/>
        <v>10</v>
      </c>
      <c r="N73" s="99" t="e">
        <f>VLOOKUP(B73,#REF!,5,0)</f>
        <v>#REF!</v>
      </c>
      <c r="O73" s="102" t="e">
        <f t="shared" si="24"/>
        <v>#REF!</v>
      </c>
      <c r="P73" s="98"/>
      <c r="Q73" s="98"/>
      <c r="R73" s="104"/>
    </row>
    <row r="74" spans="1:18" s="95" customFormat="1" hidden="1" outlineLevel="4" x14ac:dyDescent="0.3">
      <c r="A74" s="101"/>
      <c r="B74" s="97" t="s">
        <v>6</v>
      </c>
      <c r="C74" s="98"/>
      <c r="D74" s="98"/>
      <c r="E74" s="98" t="s">
        <v>27</v>
      </c>
      <c r="F74" s="98"/>
      <c r="G74" s="98"/>
      <c r="H74" s="99">
        <v>165</v>
      </c>
      <c r="I74" s="99">
        <f>50+120+295</f>
        <v>465</v>
      </c>
      <c r="J74" s="99">
        <v>165</v>
      </c>
      <c r="K74" s="99">
        <f>50+120+295</f>
        <v>465</v>
      </c>
      <c r="L74" s="99">
        <v>165</v>
      </c>
      <c r="M74" s="102">
        <f t="shared" si="25"/>
        <v>1425</v>
      </c>
      <c r="N74" s="99" t="e">
        <f>VLOOKUP(B74,#REF!,5,0)</f>
        <v>#REF!</v>
      </c>
      <c r="O74" s="102" t="e">
        <f t="shared" si="24"/>
        <v>#REF!</v>
      </c>
      <c r="P74" s="98"/>
      <c r="Q74" s="98"/>
      <c r="R74" s="104"/>
    </row>
    <row r="75" spans="1:18" s="95" customFormat="1" hidden="1" outlineLevel="4" x14ac:dyDescent="0.3">
      <c r="A75" s="101"/>
      <c r="B75" s="97" t="s">
        <v>13</v>
      </c>
      <c r="C75" s="98"/>
      <c r="D75" s="98"/>
      <c r="E75" s="98" t="s">
        <v>27</v>
      </c>
      <c r="F75" s="98"/>
      <c r="G75" s="98"/>
      <c r="H75" s="99">
        <f>427+590+510</f>
        <v>1527</v>
      </c>
      <c r="I75" s="99">
        <f>441+470+840</f>
        <v>1751</v>
      </c>
      <c r="J75" s="99">
        <f>368+530+510</f>
        <v>1408</v>
      </c>
      <c r="K75" s="99">
        <f>441+470+470</f>
        <v>1381</v>
      </c>
      <c r="L75" s="99">
        <f>427+590+280</f>
        <v>1297</v>
      </c>
      <c r="M75" s="102">
        <f t="shared" si="25"/>
        <v>7364</v>
      </c>
      <c r="N75" s="99" t="e">
        <f>VLOOKUP(B75,#REF!,5,0)</f>
        <v>#REF!</v>
      </c>
      <c r="O75" s="102" t="e">
        <f t="shared" si="24"/>
        <v>#REF!</v>
      </c>
      <c r="P75" s="98"/>
      <c r="Q75" s="98"/>
      <c r="R75" s="104"/>
    </row>
    <row r="76" spans="1:18" s="95" customFormat="1" hidden="1" outlineLevel="4" x14ac:dyDescent="0.3">
      <c r="A76" s="101"/>
      <c r="B76" s="97" t="s">
        <v>137</v>
      </c>
      <c r="C76" s="98"/>
      <c r="D76" s="98"/>
      <c r="E76" s="98" t="s">
        <v>4</v>
      </c>
      <c r="F76" s="98"/>
      <c r="G76" s="98"/>
      <c r="H76" s="99"/>
      <c r="I76" s="99">
        <v>14.22</v>
      </c>
      <c r="J76" s="99"/>
      <c r="K76" s="99">
        <v>14.22</v>
      </c>
      <c r="L76" s="99"/>
      <c r="M76" s="102">
        <f t="shared" si="25"/>
        <v>28.44</v>
      </c>
      <c r="N76" s="99" t="e">
        <f>VLOOKUP(B76,#REF!,5,0)</f>
        <v>#REF!</v>
      </c>
      <c r="O76" s="102" t="e">
        <f t="shared" si="24"/>
        <v>#REF!</v>
      </c>
      <c r="P76" s="98"/>
      <c r="Q76" s="98"/>
      <c r="R76" s="104"/>
    </row>
    <row r="77" spans="1:18" s="95" customFormat="1" hidden="1" outlineLevel="4" x14ac:dyDescent="0.3">
      <c r="A77" s="101"/>
      <c r="B77" s="97" t="s">
        <v>138</v>
      </c>
      <c r="C77" s="98"/>
      <c r="D77" s="98"/>
      <c r="E77" s="98" t="s">
        <v>27</v>
      </c>
      <c r="F77" s="98"/>
      <c r="G77" s="98"/>
      <c r="H77" s="99"/>
      <c r="I77" s="99">
        <v>45</v>
      </c>
      <c r="J77" s="99"/>
      <c r="K77" s="99">
        <v>45</v>
      </c>
      <c r="L77" s="99"/>
      <c r="M77" s="102">
        <f t="shared" si="25"/>
        <v>90</v>
      </c>
      <c r="N77" s="99" t="e">
        <f>VLOOKUP(B77,#REF!,5,0)</f>
        <v>#REF!</v>
      </c>
      <c r="O77" s="102" t="e">
        <f t="shared" si="24"/>
        <v>#REF!</v>
      </c>
      <c r="P77" s="98"/>
      <c r="Q77" s="98"/>
      <c r="R77" s="104"/>
    </row>
    <row r="78" spans="1:18" s="95" customFormat="1" hidden="1" outlineLevel="4" x14ac:dyDescent="0.3">
      <c r="A78" s="101"/>
      <c r="B78" s="97" t="s">
        <v>31</v>
      </c>
      <c r="C78" s="98"/>
      <c r="D78" s="98"/>
      <c r="E78" s="98" t="s">
        <v>3</v>
      </c>
      <c r="F78" s="98"/>
      <c r="G78" s="98"/>
      <c r="H78" s="99">
        <v>6</v>
      </c>
      <c r="I78" s="99">
        <v>4.8</v>
      </c>
      <c r="J78" s="99">
        <v>5.4</v>
      </c>
      <c r="K78" s="99">
        <v>4.8</v>
      </c>
      <c r="L78" s="99">
        <v>6</v>
      </c>
      <c r="M78" s="102">
        <f t="shared" si="25"/>
        <v>27</v>
      </c>
      <c r="N78" s="99" t="e">
        <f>VLOOKUP(B78,#REF!,5,0)</f>
        <v>#REF!</v>
      </c>
      <c r="O78" s="102" t="e">
        <f t="shared" si="24"/>
        <v>#REF!</v>
      </c>
      <c r="P78" s="98"/>
      <c r="Q78" s="98"/>
      <c r="R78" s="104"/>
    </row>
    <row r="79" spans="1:18" s="95" customFormat="1" hidden="1" outlineLevel="4" x14ac:dyDescent="0.3">
      <c r="A79" s="101"/>
      <c r="B79" s="97" t="s">
        <v>37</v>
      </c>
      <c r="C79" s="98"/>
      <c r="D79" s="98"/>
      <c r="E79" s="98" t="s">
        <v>27</v>
      </c>
      <c r="F79" s="98"/>
      <c r="G79" s="98"/>
      <c r="H79" s="99">
        <v>11</v>
      </c>
      <c r="I79" s="99">
        <v>6</v>
      </c>
      <c r="J79" s="99">
        <v>5</v>
      </c>
      <c r="K79" s="99">
        <v>6</v>
      </c>
      <c r="L79" s="99">
        <v>7</v>
      </c>
      <c r="M79" s="102">
        <f t="shared" si="25"/>
        <v>35</v>
      </c>
      <c r="N79" s="99" t="e">
        <f>VLOOKUP(B79,#REF!,5,0)</f>
        <v>#REF!</v>
      </c>
      <c r="O79" s="102" t="e">
        <f t="shared" si="24"/>
        <v>#REF!</v>
      </c>
      <c r="P79" s="98"/>
      <c r="Q79" s="98"/>
      <c r="R79" s="104"/>
    </row>
    <row r="80" spans="1:18" s="95" customFormat="1" hidden="1" outlineLevel="4" x14ac:dyDescent="0.3">
      <c r="A80" s="101"/>
      <c r="B80" s="97" t="s">
        <v>165</v>
      </c>
      <c r="C80" s="98"/>
      <c r="D80" s="98"/>
      <c r="E80" s="98" t="s">
        <v>27</v>
      </c>
      <c r="F80" s="98"/>
      <c r="G80" s="98"/>
      <c r="H80" s="99">
        <v>3</v>
      </c>
      <c r="I80" s="99">
        <v>2</v>
      </c>
      <c r="J80" s="99">
        <v>1</v>
      </c>
      <c r="K80" s="99">
        <v>2</v>
      </c>
      <c r="L80" s="99">
        <v>2</v>
      </c>
      <c r="M80" s="102">
        <f t="shared" si="25"/>
        <v>10</v>
      </c>
      <c r="N80" s="99" t="e">
        <f>VLOOKUP(B80,#REF!,5,0)</f>
        <v>#REF!</v>
      </c>
      <c r="O80" s="102" t="e">
        <f t="shared" si="24"/>
        <v>#REF!</v>
      </c>
      <c r="P80" s="98"/>
      <c r="Q80" s="98"/>
      <c r="R80" s="104"/>
    </row>
    <row r="81" spans="1:18" s="95" customFormat="1" hidden="1" outlineLevel="4" x14ac:dyDescent="0.3">
      <c r="A81" s="101"/>
      <c r="B81" s="97" t="s">
        <v>7</v>
      </c>
      <c r="C81" s="98"/>
      <c r="D81" s="98"/>
      <c r="E81" s="98" t="s">
        <v>5</v>
      </c>
      <c r="F81" s="98"/>
      <c r="G81" s="98"/>
      <c r="H81" s="99">
        <v>0.64</v>
      </c>
      <c r="I81" s="99">
        <f>1.1+0.32</f>
        <v>1.42</v>
      </c>
      <c r="J81" s="99">
        <v>0.64</v>
      </c>
      <c r="K81" s="99">
        <f>1.1+0.32</f>
        <v>1.42</v>
      </c>
      <c r="L81" s="99">
        <v>0.64</v>
      </c>
      <c r="M81" s="102">
        <f t="shared" si="25"/>
        <v>4.76</v>
      </c>
      <c r="N81" s="99" t="e">
        <f>VLOOKUP(B81,#REF!,5,0)</f>
        <v>#REF!</v>
      </c>
      <c r="O81" s="102" t="e">
        <f t="shared" si="24"/>
        <v>#REF!</v>
      </c>
      <c r="P81" s="98"/>
      <c r="Q81" s="98"/>
      <c r="R81" s="104"/>
    </row>
    <row r="82" spans="1:18" outlineLevel="1" x14ac:dyDescent="0.3">
      <c r="A82" s="43" t="s">
        <v>66</v>
      </c>
      <c r="B82" s="26" t="s">
        <v>58</v>
      </c>
      <c r="C82" s="59"/>
      <c r="D82" s="59"/>
      <c r="E82" s="1"/>
      <c r="F82" s="2"/>
      <c r="G82" s="74"/>
      <c r="H82" s="93"/>
      <c r="I82" s="93"/>
      <c r="J82" s="93"/>
      <c r="K82" s="93"/>
      <c r="L82" s="93"/>
      <c r="M82" s="3"/>
      <c r="N82" s="4"/>
      <c r="O82" s="4"/>
      <c r="P82" s="5"/>
      <c r="Q82" s="5"/>
    </row>
    <row r="83" spans="1:18" outlineLevel="2" x14ac:dyDescent="0.3">
      <c r="A83" s="53" t="s">
        <v>71</v>
      </c>
      <c r="B83" s="48" t="s">
        <v>58</v>
      </c>
      <c r="C83" s="35"/>
      <c r="D83" s="35"/>
      <c r="E83" s="7"/>
      <c r="F83" s="6"/>
      <c r="G83" s="75"/>
      <c r="H83" s="91"/>
      <c r="I83" s="91"/>
      <c r="J83" s="91"/>
      <c r="K83" s="91"/>
      <c r="L83" s="91"/>
      <c r="M83" s="8"/>
      <c r="N83" s="8"/>
      <c r="O83" s="9" t="e">
        <f>O84+O87</f>
        <v>#REF!</v>
      </c>
      <c r="P83" s="10"/>
      <c r="Q83" s="10"/>
    </row>
    <row r="84" spans="1:18" outlineLevel="3" x14ac:dyDescent="0.3">
      <c r="A84" s="44"/>
      <c r="B84" s="48" t="s">
        <v>45</v>
      </c>
      <c r="C84" s="35"/>
      <c r="D84" s="35"/>
      <c r="E84" s="7"/>
      <c r="F84" s="6"/>
      <c r="G84" s="75"/>
      <c r="H84" s="91"/>
      <c r="I84" s="91"/>
      <c r="J84" s="91"/>
      <c r="K84" s="91"/>
      <c r="L84" s="91"/>
      <c r="M84" s="8"/>
      <c r="N84" s="8"/>
      <c r="O84" s="9" t="e">
        <f>SUM(O85:O86)</f>
        <v>#REF!</v>
      </c>
      <c r="P84" s="10"/>
      <c r="Q84" s="10"/>
    </row>
    <row r="85" spans="1:18" outlineLevel="3" x14ac:dyDescent="0.3">
      <c r="A85" s="44"/>
      <c r="B85" s="13" t="s">
        <v>26</v>
      </c>
      <c r="C85" s="58"/>
      <c r="D85" s="58"/>
      <c r="E85" s="11" t="s">
        <v>27</v>
      </c>
      <c r="F85" s="11"/>
      <c r="G85" s="29"/>
      <c r="H85" s="8">
        <v>3</v>
      </c>
      <c r="I85" s="8">
        <v>4</v>
      </c>
      <c r="J85" s="8">
        <v>3</v>
      </c>
      <c r="K85" s="8">
        <v>4</v>
      </c>
      <c r="L85" s="8">
        <v>3</v>
      </c>
      <c r="M85" s="108">
        <f>SUM(H85:L85)</f>
        <v>17</v>
      </c>
      <c r="N85" s="54" t="e">
        <f>VLOOKUP(B85,#REF!,5,0)</f>
        <v>#REF!</v>
      </c>
      <c r="O85" s="8" t="e">
        <f t="shared" ref="O85:O86" si="26">N85*$M85</f>
        <v>#REF!</v>
      </c>
      <c r="P85" s="12"/>
      <c r="Q85" s="12"/>
    </row>
    <row r="86" spans="1:18" outlineLevel="3" x14ac:dyDescent="0.3">
      <c r="A86" s="44"/>
      <c r="B86" s="13" t="s">
        <v>28</v>
      </c>
      <c r="C86" s="58"/>
      <c r="D86" s="58"/>
      <c r="E86" s="11" t="s">
        <v>27</v>
      </c>
      <c r="F86" s="11"/>
      <c r="G86" s="29"/>
      <c r="H86" s="8">
        <v>10</v>
      </c>
      <c r="I86" s="8">
        <v>10</v>
      </c>
      <c r="J86" s="8">
        <v>8</v>
      </c>
      <c r="K86" s="8">
        <v>10</v>
      </c>
      <c r="L86" s="8">
        <v>10</v>
      </c>
      <c r="M86" s="108">
        <f>SUM(H86:L86)</f>
        <v>48</v>
      </c>
      <c r="N86" s="54" t="e">
        <f>VLOOKUP(B86,#REF!,5,0)</f>
        <v>#REF!</v>
      </c>
      <c r="O86" s="8" t="e">
        <f t="shared" si="26"/>
        <v>#REF!</v>
      </c>
      <c r="P86" s="12"/>
      <c r="Q86" s="12"/>
    </row>
    <row r="87" spans="1:18" outlineLevel="3" x14ac:dyDescent="0.3">
      <c r="A87" s="45"/>
      <c r="B87" s="49" t="s">
        <v>46</v>
      </c>
      <c r="C87" s="18"/>
      <c r="D87" s="18"/>
      <c r="E87" s="15"/>
      <c r="F87" s="15"/>
      <c r="G87" s="76"/>
      <c r="H87" s="92"/>
      <c r="I87" s="92"/>
      <c r="J87" s="92"/>
      <c r="K87" s="92"/>
      <c r="L87" s="92"/>
      <c r="M87" s="14"/>
      <c r="N87" s="14"/>
      <c r="O87" s="16" t="e">
        <f>SUM(O88:O92)</f>
        <v>#REF!</v>
      </c>
      <c r="P87" s="20"/>
      <c r="Q87" s="20"/>
    </row>
    <row r="88" spans="1:18" ht="187.2" outlineLevel="3" x14ac:dyDescent="0.3">
      <c r="A88" s="46"/>
      <c r="B88" s="19" t="s">
        <v>83</v>
      </c>
      <c r="C88" s="20"/>
      <c r="D88" s="20" t="s">
        <v>146</v>
      </c>
      <c r="E88" s="20" t="s">
        <v>27</v>
      </c>
      <c r="F88" s="20"/>
      <c r="G88" s="20"/>
      <c r="H88" s="21">
        <f>H85</f>
        <v>3</v>
      </c>
      <c r="I88" s="21">
        <f t="shared" ref="I88:L89" si="27">I85</f>
        <v>4</v>
      </c>
      <c r="J88" s="21">
        <f t="shared" si="27"/>
        <v>3</v>
      </c>
      <c r="K88" s="21">
        <f t="shared" si="27"/>
        <v>4</v>
      </c>
      <c r="L88" s="21">
        <f t="shared" si="27"/>
        <v>3</v>
      </c>
      <c r="M88" s="109">
        <f>SUM(H88:L88)</f>
        <v>17</v>
      </c>
      <c r="N88" s="21" t="e">
        <f>VLOOKUP(B88,#REF!,5,0)</f>
        <v>#REF!</v>
      </c>
      <c r="O88" s="14" t="e">
        <f t="shared" ref="O88:O91" si="28">N88*$M88</f>
        <v>#REF!</v>
      </c>
      <c r="P88" s="24" t="s">
        <v>147</v>
      </c>
      <c r="Q88" s="20" t="e">
        <f>VLOOKUP(B88,#REF!,8,0)</f>
        <v>#REF!</v>
      </c>
    </row>
    <row r="89" spans="1:18" outlineLevel="3" x14ac:dyDescent="0.3">
      <c r="A89" s="46"/>
      <c r="B89" s="19" t="s">
        <v>82</v>
      </c>
      <c r="C89" s="20"/>
      <c r="D89" s="20"/>
      <c r="E89" s="20" t="s">
        <v>27</v>
      </c>
      <c r="F89" s="20"/>
      <c r="G89" s="20"/>
      <c r="H89" s="21">
        <f>H86</f>
        <v>10</v>
      </c>
      <c r="I89" s="21">
        <f t="shared" si="27"/>
        <v>10</v>
      </c>
      <c r="J89" s="21">
        <f t="shared" si="27"/>
        <v>8</v>
      </c>
      <c r="K89" s="21">
        <f t="shared" si="27"/>
        <v>10</v>
      </c>
      <c r="L89" s="21">
        <f t="shared" si="27"/>
        <v>10</v>
      </c>
      <c r="M89" s="109">
        <f t="shared" ref="M89:M91" si="29">SUM(H89:L89)</f>
        <v>48</v>
      </c>
      <c r="N89" s="21" t="e">
        <f>VLOOKUP(B89,#REF!,5,0)</f>
        <v>#REF!</v>
      </c>
      <c r="O89" s="14" t="e">
        <f t="shared" si="28"/>
        <v>#REF!</v>
      </c>
      <c r="P89" s="24"/>
      <c r="Q89" s="20" t="e">
        <f>VLOOKUP(B89,#REF!,8,0)</f>
        <v>#REF!</v>
      </c>
    </row>
    <row r="90" spans="1:18" outlineLevel="3" x14ac:dyDescent="0.3">
      <c r="A90" s="46"/>
      <c r="B90" s="19" t="s">
        <v>18</v>
      </c>
      <c r="C90" s="20"/>
      <c r="D90" s="20"/>
      <c r="E90" s="20" t="s">
        <v>1</v>
      </c>
      <c r="F90" s="20">
        <v>1</v>
      </c>
      <c r="G90" s="20"/>
      <c r="H90" s="21">
        <f>H86*$F90</f>
        <v>10</v>
      </c>
      <c r="I90" s="21">
        <f>I86*$F90</f>
        <v>10</v>
      </c>
      <c r="J90" s="21">
        <f>J86*$F90</f>
        <v>8</v>
      </c>
      <c r="K90" s="21">
        <f>K86*$F90</f>
        <v>10</v>
      </c>
      <c r="L90" s="21">
        <f>L86*$F90</f>
        <v>10</v>
      </c>
      <c r="M90" s="21">
        <f t="shared" si="29"/>
        <v>48</v>
      </c>
      <c r="N90" s="21" t="e">
        <f>VLOOKUP(B90,#REF!,5,0)</f>
        <v>#REF!</v>
      </c>
      <c r="O90" s="14" t="e">
        <f t="shared" si="28"/>
        <v>#REF!</v>
      </c>
      <c r="P90" s="24"/>
      <c r="Q90" s="20" t="e">
        <f>VLOOKUP(B90,#REF!,8,0)</f>
        <v>#REF!</v>
      </c>
      <c r="R90" s="17" t="s">
        <v>201</v>
      </c>
    </row>
    <row r="91" spans="1:18" outlineLevel="3" x14ac:dyDescent="0.3">
      <c r="A91" s="46"/>
      <c r="B91" s="19" t="s">
        <v>17</v>
      </c>
      <c r="C91" s="20"/>
      <c r="D91" s="20"/>
      <c r="E91" s="20" t="s">
        <v>1</v>
      </c>
      <c r="F91" s="20">
        <v>1</v>
      </c>
      <c r="G91" s="20"/>
      <c r="H91" s="21">
        <f>SUM(H85:H86)*$F91</f>
        <v>13</v>
      </c>
      <c r="I91" s="21">
        <f>SUM(I85:I86)*$F91</f>
        <v>14</v>
      </c>
      <c r="J91" s="21">
        <f>SUM(J85:J86)*$F91</f>
        <v>11</v>
      </c>
      <c r="K91" s="21">
        <f>SUM(K85:K86)*$F91</f>
        <v>14</v>
      </c>
      <c r="L91" s="21">
        <f>SUM(L85:L86)*$F91</f>
        <v>13</v>
      </c>
      <c r="M91" s="21">
        <f t="shared" si="29"/>
        <v>65</v>
      </c>
      <c r="N91" s="21" t="e">
        <f>VLOOKUP(B91,#REF!,5,0)</f>
        <v>#REF!</v>
      </c>
      <c r="O91" s="14" t="e">
        <f t="shared" si="28"/>
        <v>#REF!</v>
      </c>
      <c r="P91" s="24"/>
      <c r="Q91" s="20" t="e">
        <f>VLOOKUP(B91,#REF!,8,0)</f>
        <v>#REF!</v>
      </c>
      <c r="R91" s="17" t="s">
        <v>201</v>
      </c>
    </row>
    <row r="92" spans="1:18" outlineLevel="3" x14ac:dyDescent="0.3">
      <c r="A92" s="94"/>
      <c r="B92" s="19" t="s">
        <v>149</v>
      </c>
      <c r="C92" s="20"/>
      <c r="D92" s="20"/>
      <c r="E92" s="20"/>
      <c r="F92" s="20"/>
      <c r="G92" s="20"/>
      <c r="H92" s="21"/>
      <c r="I92" s="21"/>
      <c r="J92" s="21"/>
      <c r="K92" s="21"/>
      <c r="L92" s="21"/>
      <c r="M92" s="21" t="e">
        <f>O92*O84/100</f>
        <v>#REF!</v>
      </c>
      <c r="N92" s="21"/>
      <c r="O92" s="14" t="e">
        <f>SUM(O93)</f>
        <v>#REF!</v>
      </c>
      <c r="P92" s="24"/>
      <c r="Q92" s="24"/>
    </row>
    <row r="93" spans="1:18" s="95" customFormat="1" hidden="1" outlineLevel="4" x14ac:dyDescent="0.3">
      <c r="A93" s="101"/>
      <c r="B93" s="97" t="s">
        <v>150</v>
      </c>
      <c r="C93" s="98"/>
      <c r="D93" s="98"/>
      <c r="E93" s="98" t="s">
        <v>10</v>
      </c>
      <c r="F93" s="98"/>
      <c r="G93" s="98"/>
      <c r="H93" s="99">
        <v>3</v>
      </c>
      <c r="I93" s="99">
        <v>4</v>
      </c>
      <c r="J93" s="99">
        <v>3</v>
      </c>
      <c r="K93" s="99">
        <v>4</v>
      </c>
      <c r="L93" s="99">
        <v>3</v>
      </c>
      <c r="M93" s="99">
        <f>SUM(H93:L93)</f>
        <v>17</v>
      </c>
      <c r="N93" s="99" t="e">
        <f>VLOOKUP(B93,#REF!,5,0)</f>
        <v>#REF!</v>
      </c>
      <c r="O93" s="100" t="e">
        <f t="shared" ref="O93" si="30">N93*$M93</f>
        <v>#REF!</v>
      </c>
      <c r="P93" s="103"/>
      <c r="Q93" s="103"/>
    </row>
    <row r="94" spans="1:18" ht="31.2" outlineLevel="1" x14ac:dyDescent="0.3">
      <c r="A94" s="43" t="s">
        <v>68</v>
      </c>
      <c r="B94" s="26" t="s">
        <v>32</v>
      </c>
      <c r="C94" s="59"/>
      <c r="D94" s="59"/>
      <c r="E94" s="1"/>
      <c r="F94" s="2"/>
      <c r="G94" s="74"/>
      <c r="H94" s="93"/>
      <c r="I94" s="93"/>
      <c r="J94" s="93"/>
      <c r="K94" s="93"/>
      <c r="L94" s="93"/>
      <c r="M94" s="3"/>
      <c r="N94" s="4"/>
      <c r="O94" s="4"/>
      <c r="P94" s="5"/>
      <c r="Q94" s="5"/>
    </row>
    <row r="95" spans="1:18" ht="31.2" outlineLevel="2" x14ac:dyDescent="0.3">
      <c r="A95" s="53" t="s">
        <v>72</v>
      </c>
      <c r="B95" s="48" t="s">
        <v>32</v>
      </c>
      <c r="C95" s="35"/>
      <c r="D95" s="35"/>
      <c r="E95" s="7"/>
      <c r="F95" s="6"/>
      <c r="G95" s="75"/>
      <c r="H95" s="91"/>
      <c r="I95" s="91"/>
      <c r="J95" s="91"/>
      <c r="K95" s="91"/>
      <c r="L95" s="91"/>
      <c r="M95" s="8"/>
      <c r="N95" s="8"/>
      <c r="O95" s="9" t="e">
        <f>O96+O99</f>
        <v>#REF!</v>
      </c>
      <c r="P95" s="10"/>
      <c r="Q95" s="10"/>
    </row>
    <row r="96" spans="1:18" outlineLevel="3" x14ac:dyDescent="0.3">
      <c r="A96" s="44"/>
      <c r="B96" s="48" t="s">
        <v>45</v>
      </c>
      <c r="C96" s="35"/>
      <c r="D96" s="35"/>
      <c r="E96" s="7"/>
      <c r="F96" s="6"/>
      <c r="G96" s="75"/>
      <c r="H96" s="91"/>
      <c r="I96" s="91"/>
      <c r="J96" s="91"/>
      <c r="K96" s="91"/>
      <c r="L96" s="91"/>
      <c r="M96" s="8"/>
      <c r="N96" s="8"/>
      <c r="O96" s="9" t="e">
        <f>SUM(O97:O98)</f>
        <v>#REF!</v>
      </c>
      <c r="P96" s="10"/>
      <c r="Q96" s="10"/>
    </row>
    <row r="97" spans="1:17" outlineLevel="3" x14ac:dyDescent="0.3">
      <c r="A97" s="44"/>
      <c r="B97" s="13" t="s">
        <v>188</v>
      </c>
      <c r="C97" s="58"/>
      <c r="D97" s="58"/>
      <c r="E97" s="11" t="s">
        <v>4</v>
      </c>
      <c r="F97" s="11"/>
      <c r="G97" s="29"/>
      <c r="H97" s="8"/>
      <c r="I97" s="8">
        <v>14.6</v>
      </c>
      <c r="J97" s="8"/>
      <c r="K97" s="8">
        <v>14.6</v>
      </c>
      <c r="L97" s="8"/>
      <c r="M97" s="8">
        <f>SUM(H97:L97)</f>
        <v>29.2</v>
      </c>
      <c r="N97" s="54" t="e">
        <f>VLOOKUP(B97,#REF!,5,0)</f>
        <v>#REF!</v>
      </c>
      <c r="O97" s="8" t="e">
        <f t="shared" ref="O97:O98" si="31">N97*$M97</f>
        <v>#REF!</v>
      </c>
      <c r="P97" s="12" t="s">
        <v>169</v>
      </c>
      <c r="Q97" s="12"/>
    </row>
    <row r="98" spans="1:17" ht="31.2" outlineLevel="3" x14ac:dyDescent="0.3">
      <c r="A98" s="44"/>
      <c r="B98" s="13" t="s">
        <v>189</v>
      </c>
      <c r="C98" s="58"/>
      <c r="D98" s="58"/>
      <c r="E98" s="11" t="s">
        <v>4</v>
      </c>
      <c r="F98" s="11"/>
      <c r="G98" s="29"/>
      <c r="H98" s="8">
        <v>19.5</v>
      </c>
      <c r="I98" s="8">
        <v>34.83</v>
      </c>
      <c r="J98" s="8">
        <v>19.649999999999999</v>
      </c>
      <c r="K98" s="8">
        <v>34.83</v>
      </c>
      <c r="L98" s="8">
        <v>19.62</v>
      </c>
      <c r="M98" s="8">
        <f>SUM(H98:L98)</f>
        <v>128.43</v>
      </c>
      <c r="N98" s="54" t="e">
        <f>VLOOKUP(B98,#REF!,5,0)</f>
        <v>#REF!</v>
      </c>
      <c r="O98" s="8" t="e">
        <f t="shared" si="31"/>
        <v>#REF!</v>
      </c>
      <c r="P98" s="12" t="s">
        <v>160</v>
      </c>
      <c r="Q98" s="12"/>
    </row>
    <row r="99" spans="1:17" outlineLevel="3" x14ac:dyDescent="0.3">
      <c r="A99" s="45"/>
      <c r="B99" s="49" t="s">
        <v>46</v>
      </c>
      <c r="C99" s="18"/>
      <c r="D99" s="18"/>
      <c r="E99" s="15"/>
      <c r="F99" s="15"/>
      <c r="G99" s="76"/>
      <c r="H99" s="92"/>
      <c r="I99" s="92"/>
      <c r="J99" s="92"/>
      <c r="K99" s="92"/>
      <c r="L99" s="92"/>
      <c r="M99" s="14"/>
      <c r="N99" s="14"/>
      <c r="O99" s="16" t="e">
        <f>SUM(O100:O102)</f>
        <v>#REF!</v>
      </c>
      <c r="P99" s="20"/>
      <c r="Q99" s="20"/>
    </row>
    <row r="100" spans="1:17" ht="31.2" outlineLevel="3" x14ac:dyDescent="0.3">
      <c r="A100" s="46"/>
      <c r="B100" s="19" t="s">
        <v>190</v>
      </c>
      <c r="C100" s="20"/>
      <c r="D100" s="20" t="s">
        <v>161</v>
      </c>
      <c r="E100" s="20" t="s">
        <v>4</v>
      </c>
      <c r="F100" s="20">
        <v>1.05</v>
      </c>
      <c r="G100" s="20">
        <v>0.7</v>
      </c>
      <c r="H100" s="21"/>
      <c r="I100" s="21">
        <f>_xlfn.CEILING.MATH(I97*$F100,2)</f>
        <v>16</v>
      </c>
      <c r="J100" s="21"/>
      <c r="K100" s="21">
        <f>_xlfn.CEILING.MATH(K97*$F100,2)</f>
        <v>16</v>
      </c>
      <c r="L100" s="21"/>
      <c r="M100" s="21">
        <f>SUM(H100:L100)</f>
        <v>32</v>
      </c>
      <c r="N100" s="21" t="e">
        <f>VLOOKUP(B100,#REF!,5,0)</f>
        <v>#REF!</v>
      </c>
      <c r="O100" s="14" t="e">
        <f t="shared" ref="O100:O101" si="32">N100*$M100</f>
        <v>#REF!</v>
      </c>
      <c r="P100" s="24" t="s">
        <v>19</v>
      </c>
      <c r="Q100" s="20" t="e">
        <f>VLOOKUP(B100,#REF!,8,0)</f>
        <v>#REF!</v>
      </c>
    </row>
    <row r="101" spans="1:17" ht="31.2" outlineLevel="3" x14ac:dyDescent="0.3">
      <c r="A101" s="46"/>
      <c r="B101" s="19" t="s">
        <v>191</v>
      </c>
      <c r="C101" s="20"/>
      <c r="D101" s="20" t="s">
        <v>161</v>
      </c>
      <c r="E101" s="20" t="s">
        <v>4</v>
      </c>
      <c r="F101" s="20">
        <v>1.05</v>
      </c>
      <c r="G101" s="20">
        <v>0.7</v>
      </c>
      <c r="H101" s="21">
        <f>_xlfn.CEILING.MATH(H98*$F101,4)</f>
        <v>24</v>
      </c>
      <c r="I101" s="21">
        <f t="shared" ref="I101:L101" si="33">_xlfn.CEILING.MATH(I98*$F101,4)</f>
        <v>40</v>
      </c>
      <c r="J101" s="21">
        <f t="shared" si="33"/>
        <v>24</v>
      </c>
      <c r="K101" s="21">
        <f t="shared" si="33"/>
        <v>40</v>
      </c>
      <c r="L101" s="21">
        <f t="shared" si="33"/>
        <v>24</v>
      </c>
      <c r="M101" s="21">
        <f>SUM(H101:L101)</f>
        <v>152</v>
      </c>
      <c r="N101" s="21" t="e">
        <f>VLOOKUP(B101,#REF!,5,0)</f>
        <v>#REF!</v>
      </c>
      <c r="O101" s="14" t="e">
        <f t="shared" si="32"/>
        <v>#REF!</v>
      </c>
      <c r="P101" s="24"/>
      <c r="Q101" s="20"/>
    </row>
    <row r="102" spans="1:17" ht="62.4" outlineLevel="3" x14ac:dyDescent="0.3">
      <c r="A102" s="46"/>
      <c r="B102" s="19" t="s">
        <v>84</v>
      </c>
      <c r="C102" s="20"/>
      <c r="D102" s="20"/>
      <c r="E102" s="20" t="s">
        <v>47</v>
      </c>
      <c r="F102" s="20"/>
      <c r="G102" s="20"/>
      <c r="H102" s="21"/>
      <c r="I102" s="21"/>
      <c r="J102" s="21"/>
      <c r="K102" s="21"/>
      <c r="L102" s="21"/>
      <c r="M102" s="21" t="e">
        <f>O102/O96*100</f>
        <v>#REF!</v>
      </c>
      <c r="N102" s="21"/>
      <c r="O102" s="14" t="e">
        <f>SUM(O103:O109)</f>
        <v>#REF!</v>
      </c>
      <c r="P102" s="24"/>
      <c r="Q102" s="24"/>
    </row>
    <row r="103" spans="1:17" s="95" customFormat="1" hidden="1" outlineLevel="4" x14ac:dyDescent="0.3">
      <c r="A103" s="101"/>
      <c r="B103" s="97" t="s">
        <v>21</v>
      </c>
      <c r="C103" s="98"/>
      <c r="D103" s="98"/>
      <c r="E103" s="98" t="s">
        <v>27</v>
      </c>
      <c r="F103" s="98"/>
      <c r="G103" s="98"/>
      <c r="H103" s="99"/>
      <c r="I103" s="99">
        <v>81</v>
      </c>
      <c r="J103" s="99"/>
      <c r="K103" s="99">
        <v>81</v>
      </c>
      <c r="L103" s="99"/>
      <c r="M103" s="99">
        <f t="shared" ref="M103:M109" si="34">SUM(H103:L103)</f>
        <v>162</v>
      </c>
      <c r="N103" s="99" t="e">
        <f>VLOOKUP(B103,#REF!,5,0)</f>
        <v>#REF!</v>
      </c>
      <c r="O103" s="100" t="e">
        <f t="shared" ref="O103:O109" si="35">N103*$M103</f>
        <v>#REF!</v>
      </c>
      <c r="P103" s="103"/>
      <c r="Q103" s="103"/>
    </row>
    <row r="104" spans="1:17" s="95" customFormat="1" hidden="1" outlineLevel="4" x14ac:dyDescent="0.3">
      <c r="A104" s="101"/>
      <c r="B104" s="97" t="s">
        <v>23</v>
      </c>
      <c r="C104" s="98"/>
      <c r="D104" s="98"/>
      <c r="E104" s="98" t="s">
        <v>24</v>
      </c>
      <c r="F104" s="98"/>
      <c r="G104" s="98"/>
      <c r="H104" s="99"/>
      <c r="I104" s="99">
        <v>4</v>
      </c>
      <c r="J104" s="99"/>
      <c r="K104" s="99">
        <v>4</v>
      </c>
      <c r="L104" s="99"/>
      <c r="M104" s="99">
        <f t="shared" si="34"/>
        <v>8</v>
      </c>
      <c r="N104" s="99" t="e">
        <f>VLOOKUP(B104,#REF!,5,0)</f>
        <v>#REF!</v>
      </c>
      <c r="O104" s="100" t="e">
        <f t="shared" si="35"/>
        <v>#REF!</v>
      </c>
      <c r="P104" s="103"/>
      <c r="Q104" s="103"/>
    </row>
    <row r="105" spans="1:17" s="95" customFormat="1" hidden="1" outlineLevel="4" x14ac:dyDescent="0.3">
      <c r="A105" s="96"/>
      <c r="B105" s="97" t="s">
        <v>33</v>
      </c>
      <c r="C105" s="98"/>
      <c r="D105" s="98"/>
      <c r="E105" s="98" t="s">
        <v>3</v>
      </c>
      <c r="F105" s="98"/>
      <c r="G105" s="98"/>
      <c r="H105" s="99">
        <v>1</v>
      </c>
      <c r="I105" s="99">
        <v>2</v>
      </c>
      <c r="J105" s="99">
        <v>1</v>
      </c>
      <c r="K105" s="99">
        <v>2</v>
      </c>
      <c r="L105" s="99">
        <v>1</v>
      </c>
      <c r="M105" s="99">
        <f t="shared" si="34"/>
        <v>7</v>
      </c>
      <c r="N105" s="99" t="e">
        <f>VLOOKUP(B105,#REF!,5,0)</f>
        <v>#REF!</v>
      </c>
      <c r="O105" s="100" t="e">
        <f t="shared" si="35"/>
        <v>#REF!</v>
      </c>
      <c r="P105" s="98"/>
      <c r="Q105" s="98"/>
    </row>
    <row r="106" spans="1:17" s="95" customFormat="1" hidden="1" outlineLevel="4" x14ac:dyDescent="0.3">
      <c r="A106" s="96"/>
      <c r="B106" s="97" t="s">
        <v>22</v>
      </c>
      <c r="C106" s="98"/>
      <c r="D106" s="98"/>
      <c r="E106" s="98" t="s">
        <v>4</v>
      </c>
      <c r="F106" s="98"/>
      <c r="G106" s="98"/>
      <c r="H106" s="99">
        <v>20.48</v>
      </c>
      <c r="I106" s="99">
        <v>36.57</v>
      </c>
      <c r="J106" s="99">
        <v>20.63</v>
      </c>
      <c r="K106" s="99">
        <v>36.57</v>
      </c>
      <c r="L106" s="99">
        <v>20.6</v>
      </c>
      <c r="M106" s="99">
        <f t="shared" si="34"/>
        <v>134.85</v>
      </c>
      <c r="N106" s="99" t="e">
        <f>VLOOKUP(B106,#REF!,5,0)</f>
        <v>#REF!</v>
      </c>
      <c r="O106" s="100" t="e">
        <f t="shared" si="35"/>
        <v>#REF!</v>
      </c>
      <c r="P106" s="98"/>
      <c r="Q106" s="98"/>
    </row>
    <row r="107" spans="1:17" s="95" customFormat="1" hidden="1" outlineLevel="4" x14ac:dyDescent="0.3">
      <c r="A107" s="96"/>
      <c r="B107" s="97" t="s">
        <v>34</v>
      </c>
      <c r="C107" s="98"/>
      <c r="D107" s="98"/>
      <c r="E107" s="98" t="s">
        <v>10</v>
      </c>
      <c r="F107" s="98"/>
      <c r="G107" s="98"/>
      <c r="H107" s="99">
        <v>2</v>
      </c>
      <c r="I107" s="99">
        <v>3</v>
      </c>
      <c r="J107" s="99">
        <v>2</v>
      </c>
      <c r="K107" s="99">
        <v>3</v>
      </c>
      <c r="L107" s="99">
        <v>2</v>
      </c>
      <c r="M107" s="99">
        <f t="shared" si="34"/>
        <v>12</v>
      </c>
      <c r="N107" s="99" t="e">
        <f>VLOOKUP(B107,#REF!,5,0)</f>
        <v>#REF!</v>
      </c>
      <c r="O107" s="100" t="e">
        <f t="shared" si="35"/>
        <v>#REF!</v>
      </c>
      <c r="P107" s="98"/>
      <c r="Q107" s="98"/>
    </row>
    <row r="108" spans="1:17" s="95" customFormat="1" hidden="1" outlineLevel="4" x14ac:dyDescent="0.3">
      <c r="A108" s="96"/>
      <c r="B108" s="97" t="s">
        <v>20</v>
      </c>
      <c r="C108" s="98"/>
      <c r="D108" s="98"/>
      <c r="E108" s="98" t="s">
        <v>27</v>
      </c>
      <c r="F108" s="98"/>
      <c r="G108" s="98"/>
      <c r="H108" s="99">
        <v>121</v>
      </c>
      <c r="I108" s="99">
        <f>201+81</f>
        <v>282</v>
      </c>
      <c r="J108" s="99">
        <v>121</v>
      </c>
      <c r="K108" s="99">
        <f>201+81</f>
        <v>282</v>
      </c>
      <c r="L108" s="99">
        <v>121</v>
      </c>
      <c r="M108" s="99">
        <f t="shared" si="34"/>
        <v>927</v>
      </c>
      <c r="N108" s="99" t="e">
        <f>VLOOKUP(B108,#REF!,5,0)</f>
        <v>#REF!</v>
      </c>
      <c r="O108" s="100" t="e">
        <f t="shared" si="35"/>
        <v>#REF!</v>
      </c>
      <c r="P108" s="98"/>
      <c r="Q108" s="98"/>
    </row>
    <row r="109" spans="1:17" s="95" customFormat="1" hidden="1" outlineLevel="4" x14ac:dyDescent="0.3">
      <c r="A109" s="96"/>
      <c r="B109" s="97" t="s">
        <v>21</v>
      </c>
      <c r="C109" s="98"/>
      <c r="D109" s="98"/>
      <c r="E109" s="98" t="s">
        <v>27</v>
      </c>
      <c r="F109" s="98"/>
      <c r="G109" s="98"/>
      <c r="H109" s="99">
        <v>121</v>
      </c>
      <c r="I109" s="99">
        <v>201</v>
      </c>
      <c r="J109" s="99">
        <v>121</v>
      </c>
      <c r="K109" s="99">
        <v>201</v>
      </c>
      <c r="L109" s="99">
        <v>121</v>
      </c>
      <c r="M109" s="99">
        <f t="shared" si="34"/>
        <v>765</v>
      </c>
      <c r="N109" s="99" t="e">
        <f>VLOOKUP(B109,#REF!,5,0)</f>
        <v>#REF!</v>
      </c>
      <c r="O109" s="100" t="e">
        <f t="shared" si="35"/>
        <v>#REF!</v>
      </c>
      <c r="P109" s="98"/>
      <c r="Q109" s="98"/>
    </row>
    <row r="110" spans="1:17" outlineLevel="1" x14ac:dyDescent="0.3">
      <c r="A110" s="43" t="s">
        <v>67</v>
      </c>
      <c r="B110" s="26" t="s">
        <v>25</v>
      </c>
      <c r="C110" s="59"/>
      <c r="D110" s="59"/>
      <c r="E110" s="1"/>
      <c r="F110" s="2"/>
      <c r="G110" s="74"/>
      <c r="H110" s="93"/>
      <c r="I110" s="93"/>
      <c r="J110" s="93"/>
      <c r="K110" s="93"/>
      <c r="L110" s="93"/>
      <c r="M110" s="3"/>
      <c r="N110" s="4"/>
      <c r="O110" s="4"/>
      <c r="P110" s="5"/>
      <c r="Q110" s="5"/>
    </row>
    <row r="111" spans="1:17" outlineLevel="2" x14ac:dyDescent="0.3">
      <c r="A111" s="53" t="s">
        <v>73</v>
      </c>
      <c r="B111" s="48" t="s">
        <v>25</v>
      </c>
      <c r="C111" s="35"/>
      <c r="D111" s="35"/>
      <c r="E111" s="7"/>
      <c r="F111" s="6"/>
      <c r="G111" s="75"/>
      <c r="H111" s="91"/>
      <c r="I111" s="91"/>
      <c r="J111" s="91"/>
      <c r="K111" s="91"/>
      <c r="L111" s="91"/>
      <c r="M111" s="8"/>
      <c r="N111" s="8"/>
      <c r="O111" s="9" t="e">
        <f>O112+O117</f>
        <v>#REF!</v>
      </c>
      <c r="P111" s="10"/>
      <c r="Q111" s="10"/>
    </row>
    <row r="112" spans="1:17" outlineLevel="3" x14ac:dyDescent="0.3">
      <c r="A112" s="44"/>
      <c r="B112" s="48" t="s">
        <v>45</v>
      </c>
      <c r="C112" s="35"/>
      <c r="D112" s="35"/>
      <c r="E112" s="7"/>
      <c r="F112" s="6"/>
      <c r="G112" s="75"/>
      <c r="H112" s="91"/>
      <c r="I112" s="91"/>
      <c r="J112" s="91"/>
      <c r="K112" s="91"/>
      <c r="L112" s="91"/>
      <c r="M112" s="8"/>
      <c r="N112" s="8"/>
      <c r="O112" s="9" t="e">
        <f>SUM(O113:O116)</f>
        <v>#REF!</v>
      </c>
      <c r="P112" s="10"/>
      <c r="Q112" s="10"/>
    </row>
    <row r="113" spans="1:18" outlineLevel="3" x14ac:dyDescent="0.3">
      <c r="A113" s="44"/>
      <c r="B113" s="13" t="s">
        <v>88</v>
      </c>
      <c r="C113" s="58"/>
      <c r="D113" s="58"/>
      <c r="E113" s="11" t="s">
        <v>4</v>
      </c>
      <c r="F113" s="11"/>
      <c r="G113" s="29">
        <v>580</v>
      </c>
      <c r="H113" s="8">
        <v>50</v>
      </c>
      <c r="I113" s="8">
        <v>60</v>
      </c>
      <c r="J113" s="8">
        <v>80</v>
      </c>
      <c r="K113" s="8">
        <v>30</v>
      </c>
      <c r="L113" s="8">
        <v>72</v>
      </c>
      <c r="M113" s="8">
        <f t="shared" ref="M113:M119" si="36">SUM(H113:L113)</f>
        <v>292</v>
      </c>
      <c r="N113" s="54" t="e">
        <f>VLOOKUP(B113,#REF!,5,0)</f>
        <v>#REF!</v>
      </c>
      <c r="O113" s="8" t="e">
        <f t="shared" ref="O113:O116" si="37">N113*$M113</f>
        <v>#REF!</v>
      </c>
      <c r="P113" s="12"/>
      <c r="Q113" s="12"/>
    </row>
    <row r="114" spans="1:18" outlineLevel="3" x14ac:dyDescent="0.3">
      <c r="A114" s="44"/>
      <c r="B114" s="13" t="s">
        <v>89</v>
      </c>
      <c r="C114" s="58"/>
      <c r="D114" s="58"/>
      <c r="E114" s="11" t="s">
        <v>4</v>
      </c>
      <c r="F114" s="11"/>
      <c r="G114" s="29">
        <v>440</v>
      </c>
      <c r="H114" s="8">
        <v>16</v>
      </c>
      <c r="I114" s="8">
        <v>16</v>
      </c>
      <c r="J114" s="8">
        <v>16</v>
      </c>
      <c r="K114" s="8">
        <v>16</v>
      </c>
      <c r="L114" s="8">
        <v>16</v>
      </c>
      <c r="M114" s="8">
        <f t="shared" si="36"/>
        <v>80</v>
      </c>
      <c r="N114" s="54" t="e">
        <f>VLOOKUP(B114,#REF!,5,0)</f>
        <v>#REF!</v>
      </c>
      <c r="O114" s="8" t="e">
        <f t="shared" si="37"/>
        <v>#REF!</v>
      </c>
      <c r="P114" s="12" t="s">
        <v>141</v>
      </c>
      <c r="Q114" s="12"/>
    </row>
    <row r="115" spans="1:18" outlineLevel="3" x14ac:dyDescent="0.3">
      <c r="A115" s="44"/>
      <c r="B115" s="13" t="s">
        <v>90</v>
      </c>
      <c r="C115" s="58"/>
      <c r="D115" s="58"/>
      <c r="E115" s="11" t="s">
        <v>4</v>
      </c>
      <c r="F115" s="11"/>
      <c r="G115" s="29">
        <v>340</v>
      </c>
      <c r="H115" s="8">
        <v>8</v>
      </c>
      <c r="I115" s="8">
        <v>8</v>
      </c>
      <c r="J115" s="8">
        <v>8</v>
      </c>
      <c r="K115" s="8">
        <v>8</v>
      </c>
      <c r="L115" s="8">
        <v>8</v>
      </c>
      <c r="M115" s="8">
        <f t="shared" si="36"/>
        <v>40</v>
      </c>
      <c r="N115" s="54" t="e">
        <f>VLOOKUP(B115,#REF!,5,0)</f>
        <v>#REF!</v>
      </c>
      <c r="O115" s="8" t="e">
        <f t="shared" si="37"/>
        <v>#REF!</v>
      </c>
      <c r="P115" s="12" t="s">
        <v>141</v>
      </c>
      <c r="Q115" s="12"/>
    </row>
    <row r="116" spans="1:18" outlineLevel="3" x14ac:dyDescent="0.3">
      <c r="A116" s="44"/>
      <c r="B116" s="13" t="s">
        <v>91</v>
      </c>
      <c r="C116" s="58"/>
      <c r="D116" s="58"/>
      <c r="E116" s="11" t="s">
        <v>4</v>
      </c>
      <c r="F116" s="11"/>
      <c r="G116" s="29">
        <v>470</v>
      </c>
      <c r="H116" s="8">
        <v>44</v>
      </c>
      <c r="I116" s="8">
        <v>12</v>
      </c>
      <c r="J116" s="8">
        <v>4</v>
      </c>
      <c r="K116" s="8">
        <v>42</v>
      </c>
      <c r="L116" s="8">
        <v>26</v>
      </c>
      <c r="M116" s="8">
        <f t="shared" si="36"/>
        <v>128</v>
      </c>
      <c r="N116" s="54" t="e">
        <f>VLOOKUP(B116,#REF!,5,0)</f>
        <v>#REF!</v>
      </c>
      <c r="O116" s="8" t="e">
        <f t="shared" si="37"/>
        <v>#REF!</v>
      </c>
      <c r="P116" s="12"/>
      <c r="Q116" s="12"/>
    </row>
    <row r="117" spans="1:18" outlineLevel="3" x14ac:dyDescent="0.3">
      <c r="A117" s="45"/>
      <c r="B117" s="49" t="s">
        <v>46</v>
      </c>
      <c r="C117" s="18"/>
      <c r="D117" s="18"/>
      <c r="E117" s="15"/>
      <c r="F117" s="15"/>
      <c r="G117" s="76"/>
      <c r="H117" s="92"/>
      <c r="I117" s="92"/>
      <c r="J117" s="92"/>
      <c r="K117" s="92"/>
      <c r="L117" s="92"/>
      <c r="M117" s="14"/>
      <c r="N117" s="14"/>
      <c r="O117" s="16" t="e">
        <f>SUM(O118:O122)</f>
        <v>#REF!</v>
      </c>
      <c r="P117" s="20"/>
      <c r="Q117" s="20"/>
    </row>
    <row r="118" spans="1:18" ht="62.4" outlineLevel="3" x14ac:dyDescent="0.3">
      <c r="A118" s="46"/>
      <c r="B118" s="19" t="s">
        <v>176</v>
      </c>
      <c r="C118" s="20"/>
      <c r="D118" s="20" t="s">
        <v>139</v>
      </c>
      <c r="E118" s="15" t="s">
        <v>4</v>
      </c>
      <c r="F118" s="15">
        <v>1.05</v>
      </c>
      <c r="G118" s="15">
        <v>0.7</v>
      </c>
      <c r="H118" s="28">
        <f>H113</f>
        <v>50</v>
      </c>
      <c r="I118" s="28">
        <f t="shared" ref="I118:L118" si="38">I113</f>
        <v>60</v>
      </c>
      <c r="J118" s="28">
        <f t="shared" si="38"/>
        <v>80</v>
      </c>
      <c r="K118" s="28">
        <f t="shared" si="38"/>
        <v>30</v>
      </c>
      <c r="L118" s="28">
        <f t="shared" si="38"/>
        <v>72</v>
      </c>
      <c r="M118" s="117">
        <f t="shared" si="36"/>
        <v>292</v>
      </c>
      <c r="N118" s="21" t="e">
        <f>VLOOKUP(B118,#REF!,5,0)</f>
        <v>#REF!</v>
      </c>
      <c r="O118" s="14" t="e">
        <f t="shared" ref="O118:O121" si="39">N118*$M118</f>
        <v>#REF!</v>
      </c>
      <c r="P118" s="20" t="s">
        <v>148</v>
      </c>
      <c r="Q118" s="20" t="e">
        <f>VLOOKUP(B118,#REF!,8,0)</f>
        <v>#REF!</v>
      </c>
      <c r="R118" s="17" t="s">
        <v>204</v>
      </c>
    </row>
    <row r="119" spans="1:18" ht="62.4" outlineLevel="3" x14ac:dyDescent="0.3">
      <c r="A119" s="46"/>
      <c r="B119" s="19" t="s">
        <v>177</v>
      </c>
      <c r="C119" s="20"/>
      <c r="D119" s="20" t="s">
        <v>140</v>
      </c>
      <c r="E119" s="15" t="s">
        <v>4</v>
      </c>
      <c r="F119" s="15">
        <v>1.05</v>
      </c>
      <c r="G119" s="15">
        <v>0.7</v>
      </c>
      <c r="H119" s="28">
        <f t="shared" ref="H119:L121" si="40">H114</f>
        <v>16</v>
      </c>
      <c r="I119" s="28">
        <f t="shared" si="40"/>
        <v>16</v>
      </c>
      <c r="J119" s="28">
        <f t="shared" si="40"/>
        <v>16</v>
      </c>
      <c r="K119" s="28">
        <f t="shared" si="40"/>
        <v>16</v>
      </c>
      <c r="L119" s="28">
        <f t="shared" si="40"/>
        <v>16</v>
      </c>
      <c r="M119" s="28">
        <f t="shared" si="36"/>
        <v>80</v>
      </c>
      <c r="N119" s="21" t="e">
        <f>VLOOKUP(B119,#REF!,5,0)</f>
        <v>#REF!</v>
      </c>
      <c r="O119" s="14" t="e">
        <f t="shared" si="39"/>
        <v>#REF!</v>
      </c>
      <c r="P119" s="20" t="s">
        <v>148</v>
      </c>
      <c r="Q119" s="20" t="e">
        <f>VLOOKUP(B119,#REF!,8,0)</f>
        <v>#REF!</v>
      </c>
      <c r="R119" s="17" t="s">
        <v>202</v>
      </c>
    </row>
    <row r="120" spans="1:18" ht="62.4" outlineLevel="3" x14ac:dyDescent="0.3">
      <c r="A120" s="46"/>
      <c r="B120" s="19" t="s">
        <v>178</v>
      </c>
      <c r="C120" s="20"/>
      <c r="D120" s="20" t="s">
        <v>142</v>
      </c>
      <c r="E120" s="15" t="s">
        <v>4</v>
      </c>
      <c r="F120" s="15">
        <v>1.05</v>
      </c>
      <c r="G120" s="15">
        <v>0.7</v>
      </c>
      <c r="H120" s="28">
        <f t="shared" si="40"/>
        <v>8</v>
      </c>
      <c r="I120" s="28">
        <f t="shared" si="40"/>
        <v>8</v>
      </c>
      <c r="J120" s="28">
        <f t="shared" si="40"/>
        <v>8</v>
      </c>
      <c r="K120" s="28">
        <f t="shared" si="40"/>
        <v>8</v>
      </c>
      <c r="L120" s="28">
        <f t="shared" si="40"/>
        <v>8</v>
      </c>
      <c r="M120" s="28">
        <f>SUM(H120:L120)</f>
        <v>40</v>
      </c>
      <c r="N120" s="21" t="e">
        <f>VLOOKUP(B120,#REF!,5,0)</f>
        <v>#REF!</v>
      </c>
      <c r="O120" s="14" t="e">
        <f t="shared" si="39"/>
        <v>#REF!</v>
      </c>
      <c r="P120" s="20" t="s">
        <v>148</v>
      </c>
      <c r="Q120" s="20" t="e">
        <f>VLOOKUP(B120,#REF!,8,0)</f>
        <v>#REF!</v>
      </c>
      <c r="R120" s="17" t="s">
        <v>203</v>
      </c>
    </row>
    <row r="121" spans="1:18" ht="62.4" outlineLevel="3" x14ac:dyDescent="0.3">
      <c r="A121" s="46"/>
      <c r="B121" s="19" t="s">
        <v>179</v>
      </c>
      <c r="C121" s="20"/>
      <c r="D121" s="20" t="s">
        <v>143</v>
      </c>
      <c r="E121" s="15" t="s">
        <v>4</v>
      </c>
      <c r="F121" s="15">
        <v>1.05</v>
      </c>
      <c r="G121" s="15">
        <v>0.7</v>
      </c>
      <c r="H121" s="28">
        <f t="shared" si="40"/>
        <v>44</v>
      </c>
      <c r="I121" s="28">
        <f t="shared" si="40"/>
        <v>12</v>
      </c>
      <c r="J121" s="28">
        <f t="shared" si="40"/>
        <v>4</v>
      </c>
      <c r="K121" s="28">
        <f t="shared" si="40"/>
        <v>42</v>
      </c>
      <c r="L121" s="28">
        <f t="shared" si="40"/>
        <v>26</v>
      </c>
      <c r="M121" s="117">
        <f>SUM(H121:L121)</f>
        <v>128</v>
      </c>
      <c r="N121" s="21" t="e">
        <f>VLOOKUP(B121,#REF!,5,0)</f>
        <v>#REF!</v>
      </c>
      <c r="O121" s="14" t="e">
        <f t="shared" si="39"/>
        <v>#REF!</v>
      </c>
      <c r="P121" s="20" t="s">
        <v>148</v>
      </c>
      <c r="Q121" s="20" t="e">
        <f>VLOOKUP(B121,#REF!,8,0)</f>
        <v>#REF!</v>
      </c>
    </row>
    <row r="122" spans="1:18" ht="31.2" outlineLevel="3" x14ac:dyDescent="0.3">
      <c r="A122" s="46"/>
      <c r="B122" s="19" t="s">
        <v>85</v>
      </c>
      <c r="C122" s="20"/>
      <c r="D122" s="20"/>
      <c r="E122" s="20" t="s">
        <v>47</v>
      </c>
      <c r="F122" s="20"/>
      <c r="G122" s="20"/>
      <c r="H122" s="21"/>
      <c r="I122" s="21"/>
      <c r="J122" s="21"/>
      <c r="K122" s="21"/>
      <c r="L122" s="21"/>
      <c r="M122" s="21" t="e">
        <f>O122/O112*100</f>
        <v>#REF!</v>
      </c>
      <c r="N122" s="21"/>
      <c r="O122" s="14" t="e">
        <f>SUM(O123:O125)</f>
        <v>#REF!</v>
      </c>
      <c r="P122" s="24"/>
      <c r="Q122" s="24"/>
    </row>
    <row r="123" spans="1:18" s="95" customFormat="1" hidden="1" outlineLevel="4" x14ac:dyDescent="0.3">
      <c r="A123" s="101"/>
      <c r="B123" s="97" t="s">
        <v>23</v>
      </c>
      <c r="C123" s="98"/>
      <c r="D123" s="98"/>
      <c r="E123" s="98" t="s">
        <v>24</v>
      </c>
      <c r="F123" s="98"/>
      <c r="G123" s="98"/>
      <c r="H123" s="99">
        <v>26</v>
      </c>
      <c r="I123" s="99">
        <v>21</v>
      </c>
      <c r="J123" s="99">
        <v>24</v>
      </c>
      <c r="K123" s="99">
        <v>21</v>
      </c>
      <c r="L123" s="99">
        <v>27</v>
      </c>
      <c r="M123" s="102">
        <f t="shared" ref="M123:M125" si="41">SUM(H123:L123)</f>
        <v>119</v>
      </c>
      <c r="N123" s="99" t="e">
        <f>VLOOKUP(B123,#REF!,5,0)</f>
        <v>#REF!</v>
      </c>
      <c r="O123" s="100" t="e">
        <f t="shared" ref="O123:O125" si="42">N123*$M123</f>
        <v>#REF!</v>
      </c>
      <c r="P123" s="103"/>
      <c r="Q123" s="103"/>
    </row>
    <row r="124" spans="1:18" s="95" customFormat="1" hidden="1" outlineLevel="4" x14ac:dyDescent="0.3">
      <c r="A124" s="101"/>
      <c r="B124" s="97" t="s">
        <v>144</v>
      </c>
      <c r="C124" s="98"/>
      <c r="D124" s="98"/>
      <c r="E124" s="98" t="s">
        <v>27</v>
      </c>
      <c r="F124" s="98"/>
      <c r="G124" s="98"/>
      <c r="H124" s="99">
        <v>591</v>
      </c>
      <c r="I124" s="99">
        <v>481</v>
      </c>
      <c r="J124" s="99">
        <v>541</v>
      </c>
      <c r="K124" s="99">
        <v>481</v>
      </c>
      <c r="L124" s="99">
        <v>611</v>
      </c>
      <c r="M124" s="102">
        <f t="shared" si="41"/>
        <v>2705</v>
      </c>
      <c r="N124" s="99" t="e">
        <f>VLOOKUP(B124,#REF!,5,0)</f>
        <v>#REF!</v>
      </c>
      <c r="O124" s="100" t="e">
        <f t="shared" si="42"/>
        <v>#REF!</v>
      </c>
      <c r="P124" s="103"/>
      <c r="Q124" s="103"/>
    </row>
    <row r="125" spans="1:18" s="95" customFormat="1" hidden="1" outlineLevel="4" x14ac:dyDescent="0.3">
      <c r="A125" s="101"/>
      <c r="B125" s="97" t="s">
        <v>145</v>
      </c>
      <c r="C125" s="98"/>
      <c r="D125" s="98"/>
      <c r="E125" s="98" t="s">
        <v>27</v>
      </c>
      <c r="F125" s="98"/>
      <c r="G125" s="98"/>
      <c r="H125" s="99">
        <v>591</v>
      </c>
      <c r="I125" s="99">
        <v>481</v>
      </c>
      <c r="J125" s="99">
        <v>541</v>
      </c>
      <c r="K125" s="99">
        <v>481</v>
      </c>
      <c r="L125" s="99">
        <v>611</v>
      </c>
      <c r="M125" s="102">
        <f t="shared" si="41"/>
        <v>2705</v>
      </c>
      <c r="N125" s="99" t="e">
        <f>VLOOKUP(B125,#REF!,5,0)</f>
        <v>#REF!</v>
      </c>
      <c r="O125" s="100" t="e">
        <f t="shared" si="42"/>
        <v>#REF!</v>
      </c>
      <c r="P125" s="103"/>
      <c r="Q125" s="103"/>
    </row>
    <row r="126" spans="1:18" outlineLevel="1" x14ac:dyDescent="0.3">
      <c r="A126" s="43" t="s">
        <v>163</v>
      </c>
      <c r="B126" s="47" t="s">
        <v>164</v>
      </c>
      <c r="C126" s="57"/>
      <c r="D126" s="57"/>
      <c r="E126" s="1"/>
      <c r="F126" s="2"/>
      <c r="G126" s="74"/>
      <c r="H126" s="93"/>
      <c r="I126" s="93"/>
      <c r="J126" s="93"/>
      <c r="K126" s="93"/>
      <c r="L126" s="93"/>
      <c r="M126" s="3"/>
      <c r="N126" s="4"/>
      <c r="O126" s="4"/>
      <c r="P126" s="5"/>
      <c r="Q126" s="5"/>
    </row>
    <row r="127" spans="1:18" outlineLevel="2" x14ac:dyDescent="0.3">
      <c r="A127" s="53" t="s">
        <v>162</v>
      </c>
      <c r="B127" s="48" t="s">
        <v>164</v>
      </c>
      <c r="C127" s="35"/>
      <c r="D127" s="35"/>
      <c r="E127" s="7"/>
      <c r="F127" s="6"/>
      <c r="G127" s="75"/>
      <c r="H127" s="91"/>
      <c r="I127" s="91"/>
      <c r="J127" s="91"/>
      <c r="K127" s="91"/>
      <c r="L127" s="91"/>
      <c r="M127" s="8"/>
      <c r="N127" s="8"/>
      <c r="O127" s="9" t="e">
        <f>O128+O130</f>
        <v>#REF!</v>
      </c>
      <c r="P127" s="10"/>
      <c r="Q127" s="10"/>
    </row>
    <row r="128" spans="1:18" outlineLevel="3" x14ac:dyDescent="0.3">
      <c r="A128" s="44"/>
      <c r="B128" s="48" t="s">
        <v>45</v>
      </c>
      <c r="C128" s="35"/>
      <c r="D128" s="35"/>
      <c r="E128" s="7"/>
      <c r="F128" s="6"/>
      <c r="G128" s="75"/>
      <c r="H128" s="91"/>
      <c r="I128" s="91"/>
      <c r="J128" s="91"/>
      <c r="K128" s="91"/>
      <c r="L128" s="91"/>
      <c r="M128" s="8"/>
      <c r="N128" s="8"/>
      <c r="O128" s="9" t="e">
        <f>SUM(O129:O129)</f>
        <v>#REF!</v>
      </c>
      <c r="P128" s="10"/>
      <c r="Q128" s="10"/>
    </row>
    <row r="129" spans="1:18" ht="31.2" outlineLevel="3" x14ac:dyDescent="0.3">
      <c r="A129" s="44"/>
      <c r="B129" s="13" t="s">
        <v>151</v>
      </c>
      <c r="C129" s="58"/>
      <c r="D129" s="58"/>
      <c r="E129" s="11" t="s">
        <v>1</v>
      </c>
      <c r="F129" s="11"/>
      <c r="G129" s="29"/>
      <c r="H129" s="8">
        <v>1.35</v>
      </c>
      <c r="I129" s="8">
        <v>1.35</v>
      </c>
      <c r="J129" s="8">
        <v>1.35</v>
      </c>
      <c r="K129" s="8">
        <v>1.35</v>
      </c>
      <c r="L129" s="8">
        <v>2.4900000000000002</v>
      </c>
      <c r="M129" s="8">
        <f>SUM(H129:L129)</f>
        <v>7.89</v>
      </c>
      <c r="N129" s="54" t="e">
        <f>VLOOKUP(B129,#REF!,5,0)</f>
        <v>#REF!</v>
      </c>
      <c r="O129" s="8" t="e">
        <f>N129*$M129</f>
        <v>#REF!</v>
      </c>
      <c r="P129" s="12" t="s">
        <v>152</v>
      </c>
      <c r="Q129" s="12"/>
    </row>
    <row r="130" spans="1:18" outlineLevel="3" x14ac:dyDescent="0.3">
      <c r="A130" s="45"/>
      <c r="B130" s="49" t="s">
        <v>46</v>
      </c>
      <c r="C130" s="18"/>
      <c r="D130" s="18"/>
      <c r="E130" s="20" t="s">
        <v>4</v>
      </c>
      <c r="F130" s="15"/>
      <c r="G130" s="76"/>
      <c r="H130" s="92"/>
      <c r="I130" s="92"/>
      <c r="J130" s="92"/>
      <c r="K130" s="92"/>
      <c r="L130" s="92"/>
      <c r="M130" s="14"/>
      <c r="N130" s="14"/>
      <c r="O130" s="16" t="e">
        <f>SUM(O131:O132)</f>
        <v>#REF!</v>
      </c>
      <c r="P130" s="20"/>
      <c r="Q130" s="20"/>
    </row>
    <row r="131" spans="1:18" ht="31.2" outlineLevel="3" x14ac:dyDescent="0.3">
      <c r="A131" s="46"/>
      <c r="B131" s="19" t="s">
        <v>153</v>
      </c>
      <c r="C131" s="20"/>
      <c r="D131" s="20" t="s">
        <v>154</v>
      </c>
      <c r="E131" s="20" t="s">
        <v>4</v>
      </c>
      <c r="F131" s="20"/>
      <c r="G131" s="20">
        <v>0.7</v>
      </c>
      <c r="H131" s="21">
        <v>1.8</v>
      </c>
      <c r="I131" s="21">
        <v>1.8</v>
      </c>
      <c r="J131" s="21">
        <v>1.8</v>
      </c>
      <c r="K131" s="21">
        <v>1.8</v>
      </c>
      <c r="L131" s="21">
        <v>3.32</v>
      </c>
      <c r="M131" s="21">
        <f>SUM(H131:L131)</f>
        <v>10.52</v>
      </c>
      <c r="N131" s="21" t="e">
        <f>VLOOKUP(B131,#REF!,5,0)</f>
        <v>#REF!</v>
      </c>
      <c r="O131" s="14" t="e">
        <f t="shared" ref="O131:O135" si="43">N131*$M131</f>
        <v>#REF!</v>
      </c>
      <c r="P131" s="20"/>
      <c r="Q131" s="20" t="e">
        <f>VLOOKUP(B131,#REF!,8,0)</f>
        <v>#REF!</v>
      </c>
    </row>
    <row r="132" spans="1:18" ht="31.2" outlineLevel="3" x14ac:dyDescent="0.3">
      <c r="A132" s="46"/>
      <c r="B132" s="19" t="s">
        <v>158</v>
      </c>
      <c r="C132" s="20"/>
      <c r="D132" s="20"/>
      <c r="E132" s="20"/>
      <c r="F132" s="20"/>
      <c r="G132" s="20"/>
      <c r="H132" s="21"/>
      <c r="I132" s="21"/>
      <c r="J132" s="21"/>
      <c r="K132" s="21"/>
      <c r="L132" s="21"/>
      <c r="M132" s="21" t="e">
        <f>O132/O128*100</f>
        <v>#REF!</v>
      </c>
      <c r="N132" s="21"/>
      <c r="O132" s="14" t="e">
        <f>SUM(O133:O135)</f>
        <v>#REF!</v>
      </c>
      <c r="P132" s="20"/>
      <c r="Q132" s="20"/>
    </row>
    <row r="133" spans="1:18" s="95" customFormat="1" hidden="1" outlineLevel="4" x14ac:dyDescent="0.3">
      <c r="A133" s="96"/>
      <c r="B133" s="97" t="s">
        <v>155</v>
      </c>
      <c r="C133" s="98"/>
      <c r="D133" s="98"/>
      <c r="E133" s="98" t="s">
        <v>4</v>
      </c>
      <c r="F133" s="98"/>
      <c r="G133" s="98"/>
      <c r="H133" s="99">
        <v>1.35</v>
      </c>
      <c r="I133" s="99">
        <v>1.35</v>
      </c>
      <c r="J133" s="99">
        <v>1.35</v>
      </c>
      <c r="K133" s="99">
        <v>1.35</v>
      </c>
      <c r="L133" s="99">
        <v>2.4900000000000002</v>
      </c>
      <c r="M133" s="99">
        <f t="shared" ref="M133:M135" si="44">SUM(H133:L133)</f>
        <v>7.89</v>
      </c>
      <c r="N133" s="99" t="e">
        <f>VLOOKUP(B133,#REF!,5,0)</f>
        <v>#REF!</v>
      </c>
      <c r="O133" s="100" t="e">
        <f t="shared" si="43"/>
        <v>#REF!</v>
      </c>
      <c r="P133" s="98"/>
      <c r="Q133" s="98"/>
    </row>
    <row r="134" spans="1:18" s="95" customFormat="1" hidden="1" outlineLevel="4" x14ac:dyDescent="0.3">
      <c r="A134" s="96"/>
      <c r="B134" s="97" t="s">
        <v>156</v>
      </c>
      <c r="C134" s="98"/>
      <c r="D134" s="98"/>
      <c r="E134" s="98" t="s">
        <v>27</v>
      </c>
      <c r="F134" s="98"/>
      <c r="G134" s="98"/>
      <c r="H134" s="99">
        <v>50</v>
      </c>
      <c r="I134" s="99">
        <v>50</v>
      </c>
      <c r="J134" s="99">
        <v>50</v>
      </c>
      <c r="K134" s="99">
        <v>50</v>
      </c>
      <c r="L134" s="99">
        <v>100</v>
      </c>
      <c r="M134" s="99">
        <f t="shared" si="44"/>
        <v>300</v>
      </c>
      <c r="N134" s="99" t="e">
        <f>VLOOKUP(B134,#REF!,5,0)</f>
        <v>#REF!</v>
      </c>
      <c r="O134" s="100" t="e">
        <f t="shared" si="43"/>
        <v>#REF!</v>
      </c>
      <c r="P134" s="98"/>
      <c r="Q134" s="98"/>
    </row>
    <row r="135" spans="1:18" s="95" customFormat="1" hidden="1" outlineLevel="4" x14ac:dyDescent="0.3">
      <c r="A135" s="96"/>
      <c r="B135" s="97" t="s">
        <v>157</v>
      </c>
      <c r="C135" s="98"/>
      <c r="D135" s="98"/>
      <c r="E135" s="98" t="s">
        <v>27</v>
      </c>
      <c r="F135" s="98"/>
      <c r="G135" s="98"/>
      <c r="H135" s="99">
        <v>50</v>
      </c>
      <c r="I135" s="99">
        <v>50</v>
      </c>
      <c r="J135" s="99">
        <v>50</v>
      </c>
      <c r="K135" s="99">
        <v>50</v>
      </c>
      <c r="L135" s="99">
        <v>100</v>
      </c>
      <c r="M135" s="99">
        <f t="shared" si="44"/>
        <v>300</v>
      </c>
      <c r="N135" s="99" t="e">
        <f>VLOOKUP(B135,#REF!,5,0)</f>
        <v>#REF!</v>
      </c>
      <c r="O135" s="100" t="e">
        <f t="shared" si="43"/>
        <v>#REF!</v>
      </c>
      <c r="P135" s="98"/>
      <c r="Q135" s="98"/>
    </row>
    <row r="136" spans="1:18" x14ac:dyDescent="0.3">
      <c r="A136" s="63"/>
      <c r="B136" s="64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31" t="s">
        <v>112</v>
      </c>
      <c r="O136" s="64" t="e">
        <f>O16+O43+O83+O95+O111+O127</f>
        <v>#REF!</v>
      </c>
      <c r="P136" s="64"/>
      <c r="Q136" s="64"/>
      <c r="R136" s="89" t="s">
        <v>113</v>
      </c>
    </row>
    <row r="137" spans="1:18" ht="16.2" x14ac:dyDescent="0.3">
      <c r="A137" s="65"/>
      <c r="B137" s="66"/>
      <c r="C137" s="66"/>
      <c r="D137" s="66"/>
      <c r="E137" s="65"/>
      <c r="F137" s="65"/>
      <c r="G137" s="65"/>
      <c r="H137" s="65"/>
      <c r="I137" s="65"/>
      <c r="J137" s="65"/>
      <c r="K137" s="65"/>
      <c r="L137" s="65"/>
      <c r="M137" s="65"/>
      <c r="N137" s="62" t="s">
        <v>52</v>
      </c>
      <c r="O137" s="67" t="e">
        <f>O84+O44+O17+O96+O112+O128</f>
        <v>#REF!</v>
      </c>
      <c r="P137" s="65"/>
      <c r="Q137" s="65"/>
      <c r="R137" s="89"/>
    </row>
    <row r="138" spans="1:18" ht="16.2" x14ac:dyDescent="0.3">
      <c r="A138" s="65"/>
      <c r="B138" s="66"/>
      <c r="C138" s="66"/>
      <c r="D138" s="66"/>
      <c r="E138" s="65"/>
      <c r="F138" s="65"/>
      <c r="G138" s="65"/>
      <c r="H138" s="65"/>
      <c r="I138" s="65"/>
      <c r="J138" s="65"/>
      <c r="K138" s="65"/>
      <c r="L138" s="65"/>
      <c r="M138" s="65"/>
      <c r="N138" s="62" t="s">
        <v>53</v>
      </c>
      <c r="O138" s="67" t="e">
        <f>O87+O53+O26+O99+O117+O130</f>
        <v>#REF!</v>
      </c>
      <c r="P138" s="65"/>
      <c r="Q138" s="65"/>
      <c r="R138" s="89"/>
    </row>
    <row r="139" spans="1:18" ht="16.2" x14ac:dyDescent="0.3">
      <c r="A139" s="65"/>
      <c r="B139" s="66"/>
      <c r="C139" s="66"/>
      <c r="D139" s="66"/>
      <c r="E139" s="65"/>
      <c r="F139" s="65"/>
      <c r="G139" s="65"/>
      <c r="H139" s="65"/>
      <c r="I139" s="65"/>
      <c r="J139" s="65"/>
      <c r="K139" s="65"/>
      <c r="L139" s="65"/>
      <c r="M139" s="65"/>
      <c r="N139" s="62" t="s">
        <v>117</v>
      </c>
      <c r="O139" s="67" t="e">
        <f>O136*20/120</f>
        <v>#REF!</v>
      </c>
      <c r="P139" s="65"/>
      <c r="Q139" s="65"/>
      <c r="R139" s="89" t="s">
        <v>114</v>
      </c>
    </row>
    <row r="140" spans="1:18" x14ac:dyDescent="0.3">
      <c r="R140" s="83"/>
    </row>
    <row r="141" spans="1:18" x14ac:dyDescent="0.3">
      <c r="B141" s="51" t="s">
        <v>57</v>
      </c>
      <c r="C141" s="61"/>
      <c r="D141" s="61"/>
    </row>
    <row r="142" spans="1:18" s="78" customFormat="1" x14ac:dyDescent="0.3">
      <c r="A142" s="69" t="s">
        <v>115</v>
      </c>
      <c r="B142" s="201" t="s">
        <v>199</v>
      </c>
      <c r="C142" s="201"/>
      <c r="D142" s="201"/>
      <c r="E142" s="201"/>
      <c r="F142" s="201"/>
      <c r="G142" s="201"/>
      <c r="H142" s="201"/>
      <c r="I142" s="201"/>
      <c r="J142" s="201"/>
      <c r="K142" s="201"/>
      <c r="L142" s="201"/>
      <c r="M142" s="201"/>
      <c r="N142" s="201"/>
      <c r="O142" s="201"/>
      <c r="P142" s="201"/>
      <c r="Q142" s="201"/>
    </row>
    <row r="143" spans="1:18" s="78" customFormat="1" x14ac:dyDescent="0.3">
      <c r="A143" s="69" t="s">
        <v>115</v>
      </c>
      <c r="B143" s="201" t="s">
        <v>74</v>
      </c>
      <c r="C143" s="201"/>
      <c r="D143" s="201"/>
      <c r="E143" s="201"/>
      <c r="F143" s="201"/>
      <c r="G143" s="201"/>
      <c r="H143" s="201"/>
      <c r="I143" s="201"/>
      <c r="J143" s="201"/>
      <c r="K143" s="201"/>
      <c r="L143" s="201"/>
      <c r="M143" s="201"/>
      <c r="N143" s="201"/>
      <c r="O143" s="201"/>
      <c r="P143" s="201"/>
      <c r="Q143" s="201"/>
    </row>
    <row r="144" spans="1:18" s="78" customFormat="1" x14ac:dyDescent="0.3">
      <c r="A144" s="69" t="s">
        <v>115</v>
      </c>
      <c r="B144" s="201" t="s">
        <v>80</v>
      </c>
      <c r="C144" s="201"/>
      <c r="D144" s="201"/>
      <c r="E144" s="201"/>
      <c r="F144" s="201"/>
      <c r="G144" s="201"/>
      <c r="H144" s="201"/>
      <c r="I144" s="201"/>
      <c r="J144" s="201"/>
      <c r="K144" s="201"/>
      <c r="L144" s="201"/>
      <c r="M144" s="201"/>
      <c r="N144" s="201"/>
      <c r="O144" s="201"/>
      <c r="P144" s="201"/>
      <c r="Q144" s="201"/>
      <c r="R144" s="70"/>
    </row>
    <row r="145" spans="1:18" s="78" customFormat="1" ht="34.5" customHeight="1" x14ac:dyDescent="0.3">
      <c r="A145" s="69" t="s">
        <v>115</v>
      </c>
      <c r="B145" s="201" t="s">
        <v>81</v>
      </c>
      <c r="C145" s="201"/>
      <c r="D145" s="201"/>
      <c r="E145" s="201"/>
      <c r="F145" s="201"/>
      <c r="G145" s="201"/>
      <c r="H145" s="201"/>
      <c r="I145" s="201"/>
      <c r="J145" s="201"/>
      <c r="K145" s="201"/>
      <c r="L145" s="201"/>
      <c r="M145" s="201"/>
      <c r="N145" s="201"/>
      <c r="O145" s="201"/>
      <c r="P145" s="201"/>
      <c r="Q145" s="201"/>
      <c r="R145" s="90"/>
    </row>
    <row r="146" spans="1:18" s="78" customFormat="1" ht="35.25" customHeight="1" x14ac:dyDescent="0.3">
      <c r="A146" s="69" t="s">
        <v>115</v>
      </c>
      <c r="B146" s="201" t="s">
        <v>87</v>
      </c>
      <c r="C146" s="201"/>
      <c r="D146" s="201"/>
      <c r="E146" s="201"/>
      <c r="F146" s="201"/>
      <c r="G146" s="201"/>
      <c r="H146" s="201"/>
      <c r="I146" s="201"/>
      <c r="J146" s="201"/>
      <c r="K146" s="201"/>
      <c r="L146" s="201"/>
      <c r="M146" s="201"/>
      <c r="N146" s="201"/>
      <c r="O146" s="201"/>
      <c r="P146" s="201"/>
      <c r="Q146" s="201"/>
      <c r="R146" s="68"/>
    </row>
    <row r="147" spans="1:18" ht="36" customHeight="1" x14ac:dyDescent="0.3">
      <c r="A147" s="69" t="s">
        <v>115</v>
      </c>
      <c r="B147" s="202" t="s">
        <v>185</v>
      </c>
      <c r="C147" s="202"/>
      <c r="D147" s="202"/>
      <c r="E147" s="202"/>
      <c r="F147" s="202"/>
      <c r="G147" s="202"/>
      <c r="H147" s="202"/>
      <c r="I147" s="202"/>
      <c r="J147" s="202"/>
      <c r="K147" s="202"/>
      <c r="L147" s="202"/>
      <c r="M147" s="202"/>
      <c r="N147" s="202"/>
      <c r="O147" s="202"/>
      <c r="P147" s="202"/>
      <c r="Q147" s="202"/>
    </row>
    <row r="148" spans="1:18" ht="17.25" customHeight="1" x14ac:dyDescent="0.3">
      <c r="A148" s="69" t="s">
        <v>115</v>
      </c>
      <c r="B148" s="202" t="s">
        <v>187</v>
      </c>
      <c r="C148" s="202"/>
      <c r="D148" s="202"/>
      <c r="E148" s="202"/>
      <c r="F148" s="202"/>
      <c r="G148" s="202"/>
      <c r="H148" s="202"/>
      <c r="I148" s="202"/>
      <c r="J148" s="202"/>
      <c r="K148" s="202"/>
      <c r="L148" s="202"/>
      <c r="M148" s="202"/>
      <c r="N148" s="202"/>
      <c r="O148" s="202"/>
      <c r="P148" s="202"/>
      <c r="Q148" s="202"/>
    </row>
    <row r="149" spans="1:18" ht="34.5" customHeight="1" x14ac:dyDescent="0.3">
      <c r="A149" s="69" t="s">
        <v>115</v>
      </c>
      <c r="B149" s="202" t="s">
        <v>186</v>
      </c>
      <c r="C149" s="202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202"/>
      <c r="O149" s="202"/>
      <c r="P149" s="202"/>
      <c r="Q149" s="202"/>
    </row>
  </sheetData>
  <autoFilter ref="A12:R12" xr:uid="{00000000-0001-0000-0400-000000000000}"/>
  <mergeCells count="10">
    <mergeCell ref="B146:Q146"/>
    <mergeCell ref="B147:Q147"/>
    <mergeCell ref="B148:Q148"/>
    <mergeCell ref="B149:Q149"/>
    <mergeCell ref="A10:P10"/>
    <mergeCell ref="A11:P11"/>
    <mergeCell ref="B142:Q142"/>
    <mergeCell ref="B143:Q143"/>
    <mergeCell ref="B144:Q144"/>
    <mergeCell ref="B145:Q145"/>
  </mergeCells>
  <conditionalFormatting sqref="B67:B81">
    <cfRule type="duplicateValues" dxfId="4" priority="4"/>
  </conditionalFormatting>
  <conditionalFormatting sqref="B105:B109">
    <cfRule type="duplicateValues" dxfId="3" priority="1"/>
  </conditionalFormatting>
  <conditionalFormatting sqref="B133:B135">
    <cfRule type="duplicateValues" dxfId="2" priority="5"/>
  </conditionalFormatting>
  <conditionalFormatting sqref="Q27:Q36">
    <cfRule type="cellIs" dxfId="1" priority="3" operator="equal">
      <formula>0</formula>
    </cfRule>
  </conditionalFormatting>
  <conditionalFormatting sqref="Q54:Q65 Q88:Q91 Q100:Q101 Q118:Q121 Q131">
    <cfRule type="cellIs" dxfId="0" priority="2" operator="equal">
      <formula>0</formula>
    </cfRule>
  </conditionalFormatting>
  <pageMargins left="0.39" right="0.43" top="0.31" bottom="0.24" header="0.31" footer="0.21"/>
  <pageSetup paperSize="9" scale="3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R24"/>
  <sheetViews>
    <sheetView tabSelected="1" view="pageBreakPreview" zoomScale="70" zoomScaleNormal="55" zoomScaleSheetLayoutView="70" workbookViewId="0">
      <selection activeCell="B41" sqref="B41"/>
    </sheetView>
  </sheetViews>
  <sheetFormatPr defaultColWidth="9.109375" defaultRowHeight="15.6" outlineLevelRow="1" outlineLevelCol="1" x14ac:dyDescent="0.3"/>
  <cols>
    <col min="1" max="1" width="15.44140625" style="17" customWidth="1"/>
    <col min="2" max="2" width="70.33203125" style="123" customWidth="1"/>
    <col min="3" max="4" width="5.33203125" style="124" customWidth="1"/>
    <col min="5" max="5" width="5.33203125" style="83" customWidth="1"/>
    <col min="6" max="7" width="5.33203125" style="121" customWidth="1"/>
    <col min="8" max="13" width="5.33203125" style="121" customWidth="1" outlineLevel="1"/>
    <col min="14" max="14" width="5.33203125" style="119" customWidth="1"/>
    <col min="15" max="16" width="5.33203125" style="107" customWidth="1"/>
    <col min="17" max="17" width="5.33203125" style="124" customWidth="1"/>
    <col min="18" max="18" width="5.33203125" style="25" customWidth="1"/>
    <col min="19" max="16384" width="9.109375" style="17"/>
  </cols>
  <sheetData>
    <row r="1" spans="1:18" s="77" customFormat="1" x14ac:dyDescent="0.3">
      <c r="N1" s="79" t="s">
        <v>97</v>
      </c>
    </row>
    <row r="2" spans="1:18" s="77" customFormat="1" x14ac:dyDescent="0.3">
      <c r="N2" s="80" t="s">
        <v>98</v>
      </c>
    </row>
    <row r="3" spans="1:18" s="77" customFormat="1" x14ac:dyDescent="0.3">
      <c r="F3" s="105"/>
      <c r="G3" s="105"/>
      <c r="H3" s="105"/>
      <c r="I3" s="105"/>
      <c r="J3" s="105"/>
      <c r="K3" s="105"/>
      <c r="L3" s="105"/>
      <c r="M3" s="105"/>
      <c r="N3" s="118"/>
    </row>
    <row r="4" spans="1:18" s="77" customFormat="1" x14ac:dyDescent="0.3">
      <c r="B4" s="118" t="s">
        <v>99</v>
      </c>
      <c r="C4" s="81" t="s">
        <v>100</v>
      </c>
      <c r="D4" s="81"/>
      <c r="E4" s="81"/>
      <c r="K4" s="118" t="s">
        <v>101</v>
      </c>
      <c r="Q4" s="81"/>
      <c r="R4" s="81"/>
    </row>
    <row r="5" spans="1:18" s="77" customFormat="1" x14ac:dyDescent="0.3">
      <c r="C5" s="82" t="s">
        <v>182</v>
      </c>
      <c r="D5" s="82"/>
      <c r="E5" s="82"/>
      <c r="K5" s="77" t="s">
        <v>205</v>
      </c>
      <c r="Q5" s="82"/>
      <c r="R5" s="82"/>
    </row>
    <row r="6" spans="1:18" s="77" customFormat="1" x14ac:dyDescent="0.3">
      <c r="C6" s="82" t="s">
        <v>102</v>
      </c>
      <c r="D6" s="82"/>
      <c r="E6" s="82"/>
      <c r="K6" s="77" t="s">
        <v>102</v>
      </c>
      <c r="Q6" s="82"/>
      <c r="R6" s="82"/>
    </row>
    <row r="7" spans="1:18" s="77" customFormat="1" x14ac:dyDescent="0.3">
      <c r="C7" s="82"/>
      <c r="D7" s="82"/>
      <c r="E7" s="82"/>
      <c r="Q7" s="82"/>
      <c r="R7" s="82"/>
    </row>
    <row r="8" spans="1:18" s="83" customFormat="1" x14ac:dyDescent="0.3">
      <c r="B8" s="83" t="s">
        <v>103</v>
      </c>
      <c r="C8" s="84" t="s">
        <v>104</v>
      </c>
      <c r="D8" s="84"/>
      <c r="E8" s="84"/>
      <c r="K8" s="83" t="s">
        <v>105</v>
      </c>
      <c r="O8" s="107"/>
      <c r="Q8" s="84"/>
      <c r="R8" s="84"/>
    </row>
    <row r="9" spans="1:18" s="77" customFormat="1" x14ac:dyDescent="0.3">
      <c r="F9" s="105"/>
      <c r="G9" s="105"/>
      <c r="H9" s="105"/>
      <c r="I9" s="105"/>
      <c r="J9" s="105"/>
      <c r="K9" s="105"/>
      <c r="L9" s="105"/>
      <c r="M9" s="105"/>
    </row>
    <row r="10" spans="1:18" ht="24" customHeight="1" x14ac:dyDescent="0.3">
      <c r="A10" s="191" t="s">
        <v>212</v>
      </c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  <c r="Q10" s="191"/>
      <c r="R10" s="191"/>
    </row>
    <row r="11" spans="1:18" ht="24" customHeight="1" thickBot="1" x14ac:dyDescent="0.35">
      <c r="A11" s="191" t="s">
        <v>213</v>
      </c>
      <c r="B11" s="191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</row>
    <row r="12" spans="1:18" ht="19.8" customHeight="1" thickBot="1" x14ac:dyDescent="0.35">
      <c r="A12" s="192" t="s">
        <v>206</v>
      </c>
      <c r="B12" s="195" t="s">
        <v>41</v>
      </c>
      <c r="C12" s="199" t="s">
        <v>208</v>
      </c>
      <c r="D12" s="200"/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</row>
    <row r="13" spans="1:18" ht="16.2" thickBot="1" x14ac:dyDescent="0.35">
      <c r="A13" s="193"/>
      <c r="B13" s="193"/>
      <c r="C13" s="188" t="s">
        <v>211</v>
      </c>
      <c r="D13" s="189"/>
      <c r="E13" s="189"/>
      <c r="F13" s="190"/>
      <c r="G13" s="188" t="s">
        <v>209</v>
      </c>
      <c r="H13" s="189"/>
      <c r="I13" s="189"/>
      <c r="J13" s="190"/>
      <c r="K13" s="188" t="s">
        <v>210</v>
      </c>
      <c r="L13" s="189"/>
      <c r="M13" s="189"/>
      <c r="N13" s="190"/>
      <c r="O13" s="196" t="s">
        <v>207</v>
      </c>
      <c r="P13" s="197"/>
      <c r="Q13" s="197"/>
      <c r="R13" s="198"/>
    </row>
    <row r="14" spans="1:18" s="83" customFormat="1" ht="16.2" thickBot="1" x14ac:dyDescent="0.35">
      <c r="A14" s="194"/>
      <c r="B14" s="188"/>
      <c r="C14" s="125"/>
      <c r="D14" s="126"/>
      <c r="E14" s="126"/>
      <c r="F14" s="127"/>
      <c r="G14" s="137"/>
      <c r="H14" s="126"/>
      <c r="I14" s="126"/>
      <c r="J14" s="147"/>
      <c r="K14" s="125"/>
      <c r="L14" s="126"/>
      <c r="M14" s="126"/>
      <c r="N14" s="127"/>
      <c r="O14" s="137"/>
      <c r="P14" s="126"/>
      <c r="Q14" s="126"/>
      <c r="R14" s="147"/>
    </row>
    <row r="15" spans="1:18" s="78" customFormat="1" ht="21.6" customHeight="1" x14ac:dyDescent="0.3">
      <c r="A15" s="159" t="s">
        <v>59</v>
      </c>
      <c r="B15" s="173" t="s">
        <v>39</v>
      </c>
      <c r="C15" s="160"/>
      <c r="D15" s="161"/>
      <c r="E15" s="162"/>
      <c r="F15" s="163"/>
      <c r="G15" s="164"/>
      <c r="H15" s="162"/>
      <c r="I15" s="162"/>
      <c r="J15" s="161"/>
      <c r="K15" s="165"/>
      <c r="L15" s="162"/>
      <c r="M15" s="162"/>
      <c r="N15" s="166"/>
      <c r="O15" s="167"/>
      <c r="P15" s="168"/>
      <c r="Q15" s="169"/>
      <c r="R15" s="170"/>
    </row>
    <row r="16" spans="1:18" s="78" customFormat="1" ht="21.6" customHeight="1" x14ac:dyDescent="0.3">
      <c r="A16" s="171" t="s">
        <v>60</v>
      </c>
      <c r="B16" s="174" t="s">
        <v>62</v>
      </c>
      <c r="C16" s="141"/>
      <c r="D16" s="122"/>
      <c r="E16" s="35"/>
      <c r="F16" s="142"/>
      <c r="G16" s="138"/>
      <c r="H16" s="35"/>
      <c r="I16" s="35"/>
      <c r="J16" s="122"/>
      <c r="K16" s="152"/>
      <c r="L16" s="35"/>
      <c r="M16" s="35"/>
      <c r="N16" s="153"/>
      <c r="O16" s="150"/>
      <c r="P16" s="10"/>
      <c r="Q16" s="36"/>
      <c r="R16" s="157"/>
    </row>
    <row r="17" spans="1:18" s="132" customFormat="1" ht="21.6" customHeight="1" outlineLevel="1" x14ac:dyDescent="0.3">
      <c r="A17" s="172"/>
      <c r="B17" s="175" t="s">
        <v>118</v>
      </c>
      <c r="C17" s="143"/>
      <c r="D17" s="128"/>
      <c r="E17" s="129"/>
      <c r="F17" s="182"/>
      <c r="G17" s="186"/>
      <c r="H17" s="187"/>
      <c r="I17" s="187"/>
      <c r="J17" s="148"/>
      <c r="K17" s="154"/>
      <c r="L17" s="120"/>
      <c r="M17" s="120"/>
      <c r="N17" s="155"/>
      <c r="O17" s="151"/>
      <c r="P17" s="130"/>
      <c r="Q17" s="131"/>
      <c r="R17" s="158"/>
    </row>
    <row r="18" spans="1:18" s="135" customFormat="1" ht="21.6" customHeight="1" outlineLevel="1" x14ac:dyDescent="0.3">
      <c r="A18" s="172"/>
      <c r="B18" s="175" t="s">
        <v>119</v>
      </c>
      <c r="C18" s="145"/>
      <c r="D18" s="133"/>
      <c r="E18" s="129"/>
      <c r="F18" s="144"/>
      <c r="G18" s="183"/>
      <c r="H18" s="177"/>
      <c r="I18" s="177"/>
      <c r="J18" s="179"/>
      <c r="K18" s="156"/>
      <c r="L18" s="134"/>
      <c r="M18" s="134"/>
      <c r="N18" s="155"/>
      <c r="O18" s="151"/>
      <c r="P18" s="130"/>
      <c r="Q18" s="131"/>
      <c r="R18" s="158"/>
    </row>
    <row r="19" spans="1:18" s="135" customFormat="1" ht="21.6" customHeight="1" outlineLevel="1" x14ac:dyDescent="0.3">
      <c r="A19" s="172"/>
      <c r="B19" s="175" t="s">
        <v>120</v>
      </c>
      <c r="C19" s="146"/>
      <c r="D19" s="136"/>
      <c r="E19" s="129"/>
      <c r="F19" s="144"/>
      <c r="G19" s="140"/>
      <c r="H19" s="134"/>
      <c r="I19" s="134"/>
      <c r="J19" s="179"/>
      <c r="K19" s="176"/>
      <c r="L19" s="177"/>
      <c r="M19" s="177"/>
      <c r="N19" s="155"/>
      <c r="O19" s="151"/>
      <c r="P19" s="130"/>
      <c r="Q19" s="131"/>
      <c r="R19" s="158"/>
    </row>
    <row r="20" spans="1:18" s="135" customFormat="1" ht="21.6" customHeight="1" outlineLevel="1" x14ac:dyDescent="0.3">
      <c r="A20" s="172"/>
      <c r="B20" s="175" t="s">
        <v>121</v>
      </c>
      <c r="C20" s="146"/>
      <c r="D20" s="136"/>
      <c r="E20" s="129"/>
      <c r="F20" s="144"/>
      <c r="G20" s="140"/>
      <c r="H20" s="134"/>
      <c r="I20" s="134"/>
      <c r="J20" s="149"/>
      <c r="K20" s="176"/>
      <c r="L20" s="177"/>
      <c r="M20" s="177"/>
      <c r="N20" s="178"/>
      <c r="O20" s="151"/>
      <c r="P20" s="130"/>
      <c r="Q20" s="131"/>
      <c r="R20" s="158"/>
    </row>
    <row r="21" spans="1:18" s="132" customFormat="1" ht="21.6" customHeight="1" outlineLevel="1" x14ac:dyDescent="0.3">
      <c r="A21" s="172"/>
      <c r="B21" s="175" t="s">
        <v>122</v>
      </c>
      <c r="C21" s="143"/>
      <c r="D21" s="128"/>
      <c r="E21" s="129"/>
      <c r="F21" s="144"/>
      <c r="G21" s="139"/>
      <c r="H21" s="120"/>
      <c r="I21" s="120"/>
      <c r="J21" s="148"/>
      <c r="K21" s="154"/>
      <c r="L21" s="120"/>
      <c r="M21" s="187"/>
      <c r="N21" s="178"/>
      <c r="O21" s="180"/>
      <c r="P21" s="181"/>
      <c r="Q21" s="131"/>
      <c r="R21" s="158"/>
    </row>
    <row r="22" spans="1:18" s="135" customFormat="1" ht="21.6" customHeight="1" outlineLevel="1" x14ac:dyDescent="0.3">
      <c r="A22" s="172"/>
      <c r="B22" s="175" t="s">
        <v>214</v>
      </c>
      <c r="C22" s="145"/>
      <c r="D22" s="133"/>
      <c r="E22" s="129"/>
      <c r="F22" s="144"/>
      <c r="G22" s="140"/>
      <c r="H22" s="134"/>
      <c r="I22" s="134"/>
      <c r="J22" s="149"/>
      <c r="K22" s="156"/>
      <c r="L22" s="134"/>
      <c r="M22" s="134"/>
      <c r="N22" s="155"/>
      <c r="O22" s="180"/>
      <c r="P22" s="181"/>
      <c r="Q22" s="184"/>
      <c r="R22" s="185"/>
    </row>
    <row r="23" spans="1:18" s="135" customFormat="1" ht="21.6" customHeight="1" outlineLevel="1" x14ac:dyDescent="0.3">
      <c r="A23" s="172"/>
      <c r="B23" s="175" t="s">
        <v>215</v>
      </c>
      <c r="C23" s="146"/>
      <c r="D23" s="136"/>
      <c r="E23" s="129"/>
      <c r="F23" s="144"/>
      <c r="G23" s="140"/>
      <c r="H23" s="134"/>
      <c r="I23" s="177"/>
      <c r="J23" s="179"/>
      <c r="K23" s="176"/>
      <c r="L23" s="177"/>
      <c r="M23" s="134"/>
      <c r="N23" s="155"/>
      <c r="O23" s="151"/>
      <c r="P23" s="130"/>
      <c r="Q23" s="131"/>
      <c r="R23" s="158"/>
    </row>
    <row r="24" spans="1:18" s="135" customFormat="1" ht="21.6" customHeight="1" outlineLevel="1" x14ac:dyDescent="0.3">
      <c r="A24" s="172"/>
      <c r="B24" s="175" t="s">
        <v>216</v>
      </c>
      <c r="C24" s="146"/>
      <c r="D24" s="136"/>
      <c r="E24" s="129"/>
      <c r="F24" s="144"/>
      <c r="G24" s="140"/>
      <c r="H24" s="177"/>
      <c r="I24" s="177"/>
      <c r="J24" s="179"/>
      <c r="K24" s="176"/>
      <c r="L24" s="134"/>
      <c r="M24" s="134"/>
      <c r="N24" s="155"/>
      <c r="O24" s="151"/>
      <c r="P24" s="130"/>
      <c r="Q24" s="131"/>
      <c r="R24" s="158"/>
    </row>
  </sheetData>
  <sheetProtection selectLockedCells="1"/>
  <mergeCells count="9">
    <mergeCell ref="G13:J13"/>
    <mergeCell ref="K13:N13"/>
    <mergeCell ref="A10:R10"/>
    <mergeCell ref="A12:A14"/>
    <mergeCell ref="B12:B14"/>
    <mergeCell ref="C13:F13"/>
    <mergeCell ref="A11:R11"/>
    <mergeCell ref="O13:R13"/>
    <mergeCell ref="C12:R12"/>
  </mergeCells>
  <phoneticPr fontId="13" type="noConversion"/>
  <conditionalFormatting sqref="A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39" right="0.43" top="0.31" bottom="0.24" header="0.31" footer="0.21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Кровля ГП-57 (2)</vt:lpstr>
      <vt:lpstr>ГПР Кровля ГП-75</vt:lpstr>
      <vt:lpstr>'ГПР Кровля ГП-75'!Область_печати</vt:lpstr>
      <vt:lpstr>'Кровля ГП-57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Леонид М. Михайлов</dc:creator>
  <cp:lastModifiedBy>Цветков Аркадий Александрович</cp:lastModifiedBy>
  <dcterms:created xsi:type="dcterms:W3CDTF">2019-08-23T07:04:52Z</dcterms:created>
  <dcterms:modified xsi:type="dcterms:W3CDTF">2026-08-10T11:25:53Z</dcterms:modified>
</cp:coreProperties>
</file>