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МЫС - ЖК Мириады\2 Очередь (ГП-105, 106, 107)\11 Внутренние сети\11.02-11.04, 11.07 ОВиК\На отправку в тендер\"/>
    </mc:Choice>
  </mc:AlternateContent>
  <xr:revisionPtr revIDLastSave="0" documentId="13_ncr:1_{4752A874-2C14-4C04-983F-383C3E0468C8}" xr6:coauthVersionLast="47" xr6:coauthVersionMax="47" xr10:uidLastSave="{00000000-0000-0000-0000-000000000000}"/>
  <bookViews>
    <workbookView xWindow="285" yWindow="855" windowWidth="29430" windowHeight="18435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definedNames>
    <definedName name="_xlnm._FilterDatabase" localSheetId="0" hidden="1">ЛСР!$A$7:$L$201</definedName>
  </definedNames>
  <calcPr calcId="191029"/>
</workbook>
</file>

<file path=xl/calcChain.xml><?xml version="1.0" encoding="utf-8"?>
<calcChain xmlns="http://schemas.openxmlformats.org/spreadsheetml/2006/main">
  <c r="L192" i="1" l="1" a="1"/>
  <c r="L192" i="1" s="1"/>
  <c r="L191" i="1" a="1"/>
  <c r="L191" i="1" s="1"/>
  <c r="L190" i="1" a="1"/>
  <c r="L190" i="1" s="1"/>
  <c r="L189" i="1" a="1"/>
  <c r="L189" i="1" s="1"/>
  <c r="L188" i="1" a="1"/>
  <c r="L188" i="1" s="1"/>
  <c r="L187" i="1" a="1"/>
  <c r="L187" i="1" s="1"/>
  <c r="L186" i="1" a="1"/>
  <c r="L186" i="1" s="1"/>
  <c r="I152" i="1" a="1"/>
  <c r="I152" i="1" s="1"/>
  <c r="I150" i="1" a="1"/>
  <c r="I150" i="1" s="1"/>
  <c r="H152" i="1"/>
  <c r="H150" i="1"/>
  <c r="H13" i="1"/>
  <c r="I13" i="1" a="1"/>
  <c r="I13" i="1" s="1"/>
  <c r="J13" i="1" s="1"/>
  <c r="J12" i="1" s="1"/>
  <c r="H15" i="1"/>
  <c r="I15" i="1" a="1"/>
  <c r="I15" i="1" s="1"/>
  <c r="H17" i="1"/>
  <c r="I17" i="1" a="1"/>
  <c r="I17" i="1" s="1"/>
  <c r="H19" i="1"/>
  <c r="L19" i="1" a="1"/>
  <c r="L19" i="1" s="1"/>
  <c r="I19" i="1" a="1"/>
  <c r="I19" i="1" s="1"/>
  <c r="J19" i="1" s="1"/>
  <c r="H20" i="1"/>
  <c r="L20" i="1" a="1"/>
  <c r="L20" i="1" s="1"/>
  <c r="I20" i="1" a="1"/>
  <c r="I20" i="1" s="1"/>
  <c r="J20" i="1" s="1"/>
  <c r="H21" i="1"/>
  <c r="L21" i="1" a="1"/>
  <c r="L21" i="1" s="1"/>
  <c r="I21" i="1" a="1"/>
  <c r="I21" i="1" s="1"/>
  <c r="J21" i="1" s="1"/>
  <c r="H23" i="1"/>
  <c r="I23" i="1" a="1"/>
  <c r="I23" i="1" s="1"/>
  <c r="H25" i="1"/>
  <c r="L25" i="1" a="1"/>
  <c r="L25" i="1" s="1"/>
  <c r="I25" i="1" a="1"/>
  <c r="I25" i="1" s="1"/>
  <c r="H27" i="1"/>
  <c r="I27" i="1" a="1"/>
  <c r="I27" i="1" s="1"/>
  <c r="J27" i="1" s="1"/>
  <c r="J26" i="1" s="1"/>
  <c r="H29" i="1"/>
  <c r="L29" i="1" a="1"/>
  <c r="L29" i="1" s="1"/>
  <c r="I29" i="1" a="1"/>
  <c r="I29" i="1" s="1"/>
  <c r="H31" i="1"/>
  <c r="I31" i="1" a="1"/>
  <c r="I31" i="1" s="1"/>
  <c r="H33" i="1"/>
  <c r="L33" i="1" a="1"/>
  <c r="L33" i="1" s="1"/>
  <c r="I33" i="1" a="1"/>
  <c r="I33" i="1" s="1"/>
  <c r="J33" i="1" s="1"/>
  <c r="J32" i="1" s="1"/>
  <c r="H35" i="1"/>
  <c r="I35" i="1" a="1"/>
  <c r="I35" i="1" s="1"/>
  <c r="J35" i="1" s="1"/>
  <c r="J34" i="1" s="1"/>
  <c r="H37" i="1"/>
  <c r="L37" i="1" a="1"/>
  <c r="L37" i="1" s="1"/>
  <c r="I37" i="1" a="1"/>
  <c r="I37" i="1" s="1"/>
  <c r="H39" i="1"/>
  <c r="I39" i="1" a="1"/>
  <c r="I39" i="1" s="1"/>
  <c r="J39" i="1" s="1"/>
  <c r="J38" i="1" s="1"/>
  <c r="H41" i="1"/>
  <c r="L41" i="1" a="1"/>
  <c r="L41" i="1" s="1"/>
  <c r="I41" i="1" a="1"/>
  <c r="I41" i="1" s="1"/>
  <c r="H42" i="1"/>
  <c r="L42" i="1" a="1"/>
  <c r="L42" i="1" s="1"/>
  <c r="I42" i="1" a="1"/>
  <c r="I42" i="1" s="1"/>
  <c r="H44" i="1"/>
  <c r="I44" i="1" a="1"/>
  <c r="I44" i="1" s="1"/>
  <c r="H46" i="1"/>
  <c r="L46" i="1" a="1"/>
  <c r="L46" i="1" s="1"/>
  <c r="I46" i="1" a="1"/>
  <c r="I46" i="1" s="1"/>
  <c r="J46" i="1" s="1"/>
  <c r="H47" i="1"/>
  <c r="L47" i="1" a="1"/>
  <c r="L47" i="1" s="1"/>
  <c r="I47" i="1" a="1"/>
  <c r="I47" i="1" s="1"/>
  <c r="J47" i="1" s="1"/>
  <c r="H49" i="1"/>
  <c r="I49" i="1" a="1"/>
  <c r="I49" i="1" s="1"/>
  <c r="J49" i="1" s="1"/>
  <c r="J48" i="1" s="1"/>
  <c r="H51" i="1"/>
  <c r="L51" i="1" a="1"/>
  <c r="L51" i="1" s="1"/>
  <c r="I51" i="1" a="1"/>
  <c r="I51" i="1" s="1"/>
  <c r="H53" i="1"/>
  <c r="I53" i="1" a="1"/>
  <c r="I53" i="1" s="1"/>
  <c r="H55" i="1"/>
  <c r="L55" i="1" a="1"/>
  <c r="L55" i="1" s="1"/>
  <c r="I55" i="1" a="1"/>
  <c r="I55" i="1" s="1"/>
  <c r="H56" i="1"/>
  <c r="L56" i="1" a="1"/>
  <c r="L56" i="1" s="1"/>
  <c r="I56" i="1" a="1"/>
  <c r="I56" i="1" s="1"/>
  <c r="H57" i="1"/>
  <c r="L57" i="1" a="1"/>
  <c r="L57" i="1" s="1"/>
  <c r="I57" i="1" a="1"/>
  <c r="I57" i="1" s="1"/>
  <c r="H59" i="1"/>
  <c r="I59" i="1" a="1"/>
  <c r="I59" i="1" s="1"/>
  <c r="H61" i="1"/>
  <c r="L61" i="1" a="1"/>
  <c r="L61" i="1" s="1"/>
  <c r="I61" i="1" a="1"/>
  <c r="I61" i="1" s="1"/>
  <c r="H63" i="1"/>
  <c r="I63" i="1" a="1"/>
  <c r="I63" i="1" s="1"/>
  <c r="J63" i="1" s="1"/>
  <c r="J62" i="1" s="1"/>
  <c r="H65" i="1"/>
  <c r="L65" i="1" a="1"/>
  <c r="L65" i="1" s="1"/>
  <c r="I65" i="1" a="1"/>
  <c r="I65" i="1" s="1"/>
  <c r="J65" i="1" s="1"/>
  <c r="J64" i="1" s="1"/>
  <c r="H69" i="1"/>
  <c r="I69" i="1" a="1"/>
  <c r="I69" i="1" s="1"/>
  <c r="J69" i="1" s="1"/>
  <c r="J68" i="1" s="1"/>
  <c r="H71" i="1"/>
  <c r="I71" i="1" a="1"/>
  <c r="I71" i="1" s="1"/>
  <c r="J71" i="1" s="1"/>
  <c r="J70" i="1" s="1"/>
  <c r="H73" i="1"/>
  <c r="L73" i="1" a="1"/>
  <c r="L73" i="1" s="1"/>
  <c r="I73" i="1" a="1"/>
  <c r="I73" i="1" s="1"/>
  <c r="J73" i="1" s="1"/>
  <c r="H74" i="1"/>
  <c r="L74" i="1" a="1"/>
  <c r="L74" i="1" s="1"/>
  <c r="I74" i="1" a="1"/>
  <c r="I74" i="1" s="1"/>
  <c r="H76" i="1"/>
  <c r="I76" i="1" a="1"/>
  <c r="I76" i="1" s="1"/>
  <c r="J76" i="1" s="1"/>
  <c r="J75" i="1" s="1"/>
  <c r="H78" i="1"/>
  <c r="L78" i="1" a="1"/>
  <c r="L78" i="1" s="1"/>
  <c r="I78" i="1" a="1"/>
  <c r="I78" i="1" s="1"/>
  <c r="J78" i="1" s="1"/>
  <c r="J77" i="1" s="1"/>
  <c r="H80" i="1"/>
  <c r="I80" i="1" a="1"/>
  <c r="I80" i="1" s="1"/>
  <c r="H82" i="1"/>
  <c r="L82" i="1" a="1"/>
  <c r="L82" i="1" s="1"/>
  <c r="I82" i="1" a="1"/>
  <c r="I82" i="1" s="1"/>
  <c r="H84" i="1"/>
  <c r="I84" i="1" a="1"/>
  <c r="I84" i="1" s="1"/>
  <c r="J84" i="1" s="1"/>
  <c r="J83" i="1" s="1"/>
  <c r="H86" i="1"/>
  <c r="L86" i="1" a="1"/>
  <c r="L86" i="1" s="1"/>
  <c r="I86" i="1" a="1"/>
  <c r="I86" i="1" s="1"/>
  <c r="J86" i="1" s="1"/>
  <c r="H87" i="1"/>
  <c r="L87" i="1" a="1"/>
  <c r="L87" i="1" s="1"/>
  <c r="I87" i="1" a="1"/>
  <c r="I87" i="1" s="1"/>
  <c r="H89" i="1"/>
  <c r="I89" i="1" a="1"/>
  <c r="I89" i="1" s="1"/>
  <c r="H91" i="1"/>
  <c r="L91" i="1" a="1"/>
  <c r="L91" i="1" s="1"/>
  <c r="I91" i="1" a="1"/>
  <c r="I91" i="1" s="1"/>
  <c r="H95" i="1"/>
  <c r="I95" i="1" a="1"/>
  <c r="I95" i="1" s="1"/>
  <c r="H97" i="1"/>
  <c r="I97" i="1" a="1"/>
  <c r="I97" i="1" s="1"/>
  <c r="H99" i="1"/>
  <c r="L99" i="1" a="1"/>
  <c r="L99" i="1" s="1"/>
  <c r="I99" i="1" a="1"/>
  <c r="I99" i="1" s="1"/>
  <c r="H101" i="1"/>
  <c r="I101" i="1" a="1"/>
  <c r="I101" i="1" s="1"/>
  <c r="J101" i="1" s="1"/>
  <c r="J100" i="1" s="1"/>
  <c r="H103" i="1"/>
  <c r="L103" i="1" a="1"/>
  <c r="L103" i="1" s="1"/>
  <c r="I103" i="1" a="1"/>
  <c r="I103" i="1" s="1"/>
  <c r="H105" i="1"/>
  <c r="I105" i="1" a="1"/>
  <c r="I105" i="1" s="1"/>
  <c r="H107" i="1"/>
  <c r="L107" i="1" a="1"/>
  <c r="L107" i="1" s="1"/>
  <c r="I107" i="1" a="1"/>
  <c r="I107" i="1" s="1"/>
  <c r="H109" i="1"/>
  <c r="I109" i="1" a="1"/>
  <c r="I109" i="1" s="1"/>
  <c r="J109" i="1" s="1"/>
  <c r="J108" i="1" s="1"/>
  <c r="H111" i="1"/>
  <c r="H113" i="1"/>
  <c r="L113" i="1" a="1"/>
  <c r="L113" i="1" s="1"/>
  <c r="I113" i="1" a="1"/>
  <c r="I113" i="1" s="1"/>
  <c r="H114" i="1"/>
  <c r="L114" i="1" a="1"/>
  <c r="L114" i="1" s="1"/>
  <c r="I114" i="1" a="1"/>
  <c r="I114" i="1" s="1"/>
  <c r="H116" i="1"/>
  <c r="I116" i="1" a="1"/>
  <c r="I116" i="1" s="1"/>
  <c r="J116" i="1" s="1"/>
  <c r="J115" i="1" s="1"/>
  <c r="H118" i="1"/>
  <c r="L118" i="1" a="1"/>
  <c r="L118" i="1" s="1"/>
  <c r="I118" i="1" a="1"/>
  <c r="I118" i="1" s="1"/>
  <c r="H120" i="1"/>
  <c r="I120" i="1" a="1"/>
  <c r="I120" i="1" s="1"/>
  <c r="J120" i="1" s="1"/>
  <c r="J119" i="1" s="1"/>
  <c r="H122" i="1"/>
  <c r="L122" i="1" a="1"/>
  <c r="L122" i="1" s="1"/>
  <c r="I122" i="1" a="1"/>
  <c r="I122" i="1" s="1"/>
  <c r="J122" i="1" s="1"/>
  <c r="J121" i="1" s="1"/>
  <c r="H126" i="1"/>
  <c r="I126" i="1" a="1"/>
  <c r="I126" i="1" s="1"/>
  <c r="H128" i="1"/>
  <c r="L128" i="1" a="1"/>
  <c r="L128" i="1" s="1"/>
  <c r="I128" i="1" a="1"/>
  <c r="I128" i="1" s="1"/>
  <c r="H130" i="1"/>
  <c r="I130" i="1" a="1"/>
  <c r="I130" i="1" s="1"/>
  <c r="H132" i="1"/>
  <c r="L132" i="1" a="1"/>
  <c r="L132" i="1" s="1"/>
  <c r="I132" i="1" a="1"/>
  <c r="I132" i="1" s="1"/>
  <c r="H134" i="1"/>
  <c r="I134" i="1" a="1"/>
  <c r="I134" i="1" s="1"/>
  <c r="H136" i="1"/>
  <c r="L136" i="1" a="1"/>
  <c r="L136" i="1" s="1"/>
  <c r="I136" i="1" a="1"/>
  <c r="I136" i="1" s="1"/>
  <c r="H138" i="1"/>
  <c r="I138" i="1" a="1"/>
  <c r="I138" i="1" s="1"/>
  <c r="J138" i="1" s="1"/>
  <c r="J137" i="1" s="1"/>
  <c r="H140" i="1"/>
  <c r="L140" i="1" a="1"/>
  <c r="L140" i="1" s="1"/>
  <c r="I140" i="1" a="1"/>
  <c r="I140" i="1" s="1"/>
  <c r="H142" i="1"/>
  <c r="I142" i="1" a="1"/>
  <c r="I142" i="1" s="1"/>
  <c r="H144" i="1"/>
  <c r="L144" i="1" a="1"/>
  <c r="L144" i="1" s="1"/>
  <c r="I144" i="1" a="1"/>
  <c r="I144" i="1" s="1"/>
  <c r="H148" i="1"/>
  <c r="I148" i="1" a="1"/>
  <c r="I148" i="1" s="1"/>
  <c r="H154" i="1"/>
  <c r="I154" i="1" a="1"/>
  <c r="I154" i="1" s="1"/>
  <c r="H156" i="1"/>
  <c r="L156" i="1" a="1"/>
  <c r="L156" i="1" s="1"/>
  <c r="I156" i="1" a="1"/>
  <c r="I156" i="1" s="1"/>
  <c r="H158" i="1"/>
  <c r="I158" i="1" a="1"/>
  <c r="I158" i="1" s="1"/>
  <c r="J158" i="1" s="1"/>
  <c r="J157" i="1" s="1"/>
  <c r="H160" i="1"/>
  <c r="L160" i="1" a="1"/>
  <c r="L160" i="1" s="1"/>
  <c r="I160" i="1" a="1"/>
  <c r="I160" i="1" s="1"/>
  <c r="H161" i="1"/>
  <c r="L161" i="1" a="1"/>
  <c r="L161" i="1" s="1"/>
  <c r="I161" i="1" a="1"/>
  <c r="I161" i="1" s="1"/>
  <c r="J161" i="1" s="1"/>
  <c r="H163" i="1"/>
  <c r="I163" i="1" a="1"/>
  <c r="I163" i="1" s="1"/>
  <c r="J163" i="1" s="1"/>
  <c r="J162" i="1" s="1"/>
  <c r="H165" i="1"/>
  <c r="L165" i="1" a="1"/>
  <c r="L165" i="1" s="1"/>
  <c r="I165" i="1" a="1"/>
  <c r="I165" i="1" s="1"/>
  <c r="J165" i="1" s="1"/>
  <c r="J164" i="1" s="1"/>
  <c r="H167" i="1"/>
  <c r="I167" i="1" a="1"/>
  <c r="I167" i="1" s="1"/>
  <c r="J167" i="1" s="1"/>
  <c r="J166" i="1" s="1"/>
  <c r="H169" i="1"/>
  <c r="L169" i="1" a="1"/>
  <c r="L169" i="1" s="1"/>
  <c r="I169" i="1" a="1"/>
  <c r="I169" i="1" s="1"/>
  <c r="H170" i="1"/>
  <c r="L170" i="1" a="1"/>
  <c r="L170" i="1" s="1"/>
  <c r="I170" i="1" a="1"/>
  <c r="I170" i="1" s="1"/>
  <c r="H172" i="1"/>
  <c r="I172" i="1" a="1"/>
  <c r="I172" i="1" s="1"/>
  <c r="J172" i="1" s="1"/>
  <c r="J171" i="1" s="1"/>
  <c r="H174" i="1"/>
  <c r="L174" i="1" a="1"/>
  <c r="L174" i="1" s="1"/>
  <c r="I174" i="1" a="1"/>
  <c r="I174" i="1" s="1"/>
  <c r="H196" i="1"/>
  <c r="I196" i="1" a="1"/>
  <c r="I196" i="1" s="1"/>
  <c r="H178" i="1"/>
  <c r="I178" i="1" a="1"/>
  <c r="I178" i="1" s="1"/>
  <c r="H180" i="1"/>
  <c r="L180" i="1" a="1"/>
  <c r="L180" i="1" s="1"/>
  <c r="I180" i="1" a="1"/>
  <c r="I180" i="1" s="1"/>
  <c r="J180" i="1" s="1"/>
  <c r="J179" i="1" s="1"/>
  <c r="H182" i="1"/>
  <c r="I182" i="1" a="1"/>
  <c r="I182" i="1" s="1"/>
  <c r="H184" i="1"/>
  <c r="L184" i="1" a="1"/>
  <c r="L184" i="1" s="1"/>
  <c r="I184" i="1" a="1"/>
  <c r="I184" i="1" s="1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J152" i="1" l="1"/>
  <c r="J151" i="1" s="1"/>
  <c r="J160" i="1"/>
  <c r="J159" i="1" s="1"/>
  <c r="J41" i="1"/>
  <c r="J150" i="1"/>
  <c r="J149" i="1" s="1"/>
  <c r="J42" i="1"/>
  <c r="J74" i="1"/>
  <c r="J72" i="1" s="1"/>
  <c r="J114" i="1"/>
  <c r="J136" i="1"/>
  <c r="J135" i="1" s="1"/>
  <c r="J196" i="1"/>
  <c r="J195" i="1" s="1"/>
  <c r="J194" i="1" s="1"/>
  <c r="J193" i="1" s="1"/>
  <c r="E32" i="2"/>
  <c r="J51" i="1"/>
  <c r="J50" i="1" s="1"/>
  <c r="J148" i="1"/>
  <c r="J147" i="1" s="1"/>
  <c r="J55" i="1"/>
  <c r="J99" i="1"/>
  <c r="J98" i="1" s="1"/>
  <c r="J178" i="1"/>
  <c r="J177" i="1" s="1"/>
  <c r="J132" i="1"/>
  <c r="J131" i="1" s="1"/>
  <c r="J44" i="1"/>
  <c r="J43" i="1" s="1"/>
  <c r="J89" i="1"/>
  <c r="J88" i="1" s="1"/>
  <c r="J23" i="1"/>
  <c r="J22" i="1" s="1"/>
  <c r="J31" i="1"/>
  <c r="J30" i="1" s="1"/>
  <c r="J37" i="1"/>
  <c r="J36" i="1" s="1"/>
  <c r="J56" i="1"/>
  <c r="J45" i="1"/>
  <c r="J57" i="1"/>
  <c r="J59" i="1"/>
  <c r="J58" i="1" s="1"/>
  <c r="J174" i="1"/>
  <c r="J173" i="1" s="1"/>
  <c r="J95" i="1"/>
  <c r="J94" i="1" s="1"/>
  <c r="J97" i="1"/>
  <c r="J96" i="1" s="1"/>
  <c r="J103" i="1"/>
  <c r="J102" i="1" s="1"/>
  <c r="J105" i="1"/>
  <c r="J104" i="1" s="1"/>
  <c r="J113" i="1"/>
  <c r="J118" i="1"/>
  <c r="J126" i="1"/>
  <c r="J125" i="1" s="1"/>
  <c r="J130" i="1"/>
  <c r="J129" i="1" s="1"/>
  <c r="J169" i="1"/>
  <c r="J142" i="1"/>
  <c r="J141" i="1" s="1"/>
  <c r="J144" i="1"/>
  <c r="J143" i="1" s="1"/>
  <c r="J154" i="1"/>
  <c r="J153" i="1" s="1"/>
  <c r="J156" i="1"/>
  <c r="J184" i="1"/>
  <c r="J17" i="1"/>
  <c r="J16" i="1" s="1"/>
  <c r="J87" i="1"/>
  <c r="J85" i="1" s="1"/>
  <c r="J107" i="1"/>
  <c r="J106" i="1" s="1"/>
  <c r="J134" i="1"/>
  <c r="J133" i="1" s="1"/>
  <c r="J18" i="1"/>
  <c r="J29" i="1"/>
  <c r="J28" i="1" s="1"/>
  <c r="J182" i="1"/>
  <c r="J181" i="1" s="1"/>
  <c r="J140" i="1"/>
  <c r="J139" i="1" s="1"/>
  <c r="J91" i="1"/>
  <c r="J82" i="1"/>
  <c r="J81" i="1" s="1"/>
  <c r="J53" i="1"/>
  <c r="J15" i="1"/>
  <c r="J14" i="1" s="1"/>
  <c r="J128" i="1"/>
  <c r="J127" i="1" s="1"/>
  <c r="J25" i="1"/>
  <c r="J170" i="1"/>
  <c r="J80" i="1"/>
  <c r="J79" i="1" s="1"/>
  <c r="J61" i="1"/>
  <c r="J40" i="1" l="1"/>
  <c r="J155" i="1"/>
  <c r="J112" i="1"/>
  <c r="J117" i="1"/>
  <c r="J90" i="1"/>
  <c r="J67" i="1" s="1"/>
  <c r="J66" i="1" s="1"/>
  <c r="J24" i="1"/>
  <c r="J124" i="1"/>
  <c r="J123" i="1" s="1"/>
  <c r="J60" i="1"/>
  <c r="J52" i="1"/>
  <c r="J168" i="1"/>
  <c r="J183" i="1"/>
  <c r="J54" i="1"/>
  <c r="J146" i="1" l="1"/>
  <c r="J145" i="1" s="1"/>
  <c r="J11" i="1"/>
  <c r="J10" i="1" s="1"/>
  <c r="I111" i="1" l="1" a="1"/>
  <c r="I111" i="1" s="1"/>
  <c r="J111" i="1" s="1"/>
  <c r="J110" i="1" s="1"/>
  <c r="J93" i="1" l="1"/>
  <c r="J92" i="1" s="1"/>
  <c r="J198" i="1"/>
  <c r="E34" i="2" s="1"/>
  <c r="H186" i="1" l="1"/>
  <c r="J186" i="1" s="1"/>
  <c r="H188" i="1"/>
  <c r="J188" i="1" s="1"/>
  <c r="H191" i="1"/>
  <c r="J191" i="1" s="1"/>
  <c r="H187" i="1"/>
  <c r="J187" i="1" s="1"/>
  <c r="H192" i="1"/>
  <c r="J192" i="1" s="1"/>
  <c r="H190" i="1"/>
  <c r="J190" i="1" s="1"/>
  <c r="H189" i="1"/>
  <c r="J189" i="1" s="1"/>
  <c r="J185" i="1" l="1"/>
  <c r="J176" i="1" l="1"/>
  <c r="J175" i="1" s="1"/>
  <c r="J9" i="1" s="1"/>
  <c r="J199" i="1"/>
  <c r="J197" i="1" l="1"/>
  <c r="G42" i="3"/>
  <c r="G43" i="3"/>
  <c r="G45" i="3"/>
  <c r="G46" i="3"/>
  <c r="G41" i="3"/>
  <c r="G44" i="3"/>
  <c r="G40" i="3"/>
  <c r="G47" i="3" l="1"/>
  <c r="G49" i="3" s="1"/>
</calcChain>
</file>

<file path=xl/sharedStrings.xml><?xml version="1.0" encoding="utf-8"?>
<sst xmlns="http://schemas.openxmlformats.org/spreadsheetml/2006/main" count="699" uniqueCount="182">
  <si>
    <t>Локальный сметный расчет (ЛСР) №5</t>
  </si>
  <si>
    <t>Объект: «Комплексная застройка территории, расположенной в границах улиц: Тобольский тракт - Обход города Тюмени (мкр. Губернаторский). Многоэтажный жилой дом ГП-72.105» Секция 1</t>
  </si>
  <si>
    <t>Ведомость объемов работ и расхода материалов по работе: Устройство системы канализации и сопутствующим работам (согласно проекту шифр ВК,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</si>
  <si>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</si>
  <si>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</si>
  <si>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</si>
  <si>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</si>
  <si>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</si>
  <si>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</si>
  <si>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1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</si>
  <si>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</si>
  <si>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</si>
  <si>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</si>
  <si>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</si>
  <si>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</si>
  <si>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11</t>
  </si>
  <si>
    <t>Внутренние инженерные сети</t>
  </si>
  <si>
    <t>11.03</t>
  </si>
  <si>
    <t>Устройство системы канализации</t>
  </si>
  <si>
    <t>11.03.01</t>
  </si>
  <si>
    <t>Устройство канализации К-1</t>
  </si>
  <si>
    <t>11.03.01.00</t>
  </si>
  <si>
    <t>Работы:</t>
  </si>
  <si>
    <t>Бурение отверстий до 130 мм</t>
  </si>
  <si>
    <t>шт</t>
  </si>
  <si>
    <t>Бурение отверстий до 80 мм</t>
  </si>
  <si>
    <t>Изоляция трубопровода</t>
  </si>
  <si>
    <t>м</t>
  </si>
  <si>
    <t>Материалы:</t>
  </si>
  <si>
    <t>1</t>
  </si>
  <si>
    <t>Цилиндры фольгированные</t>
  </si>
  <si>
    <t>Rockwool</t>
  </si>
  <si>
    <t>110х50 мм</t>
  </si>
  <si>
    <t>пог. м</t>
  </si>
  <si>
    <t>2</t>
  </si>
  <si>
    <t>Трубная изоляция</t>
  </si>
  <si>
    <t>K-FLEX</t>
  </si>
  <si>
    <t>из вспененного полиэтилена 13мм 42х13</t>
  </si>
  <si>
    <t>3</t>
  </si>
  <si>
    <t>Теплоизоляция трубная</t>
  </si>
  <si>
    <t>110х20мм Навивные цилидры из каменной ваты фольгированные</t>
  </si>
  <si>
    <t>гильза для канализации</t>
  </si>
  <si>
    <t>Монтаж защитного кожуха</t>
  </si>
  <si>
    <t>м2</t>
  </si>
  <si>
    <t>Окожушка</t>
  </si>
  <si>
    <t>оцинк. сталь 0,5мм</t>
  </si>
  <si>
    <t>Гильзы</t>
  </si>
  <si>
    <t>Монтаж клапана (фланцевые, резьбовые) до 32 мм</t>
  </si>
  <si>
    <t>Клапан обратный</t>
  </si>
  <si>
    <t>Valtec</t>
  </si>
  <si>
    <t>1 1/4 Ду-32 Ру-16бар</t>
  </si>
  <si>
    <t>Монтаж клапана канализационного</t>
  </si>
  <si>
    <t>Клапан канализационный</t>
  </si>
  <si>
    <t>Контур</t>
  </si>
  <si>
    <t>110 вакуумный белый</t>
  </si>
  <si>
    <t>Монтаж кранов (фланцевые, резьбовые) до 32 мм</t>
  </si>
  <si>
    <t>Кран шаровой</t>
  </si>
  <si>
    <t>полнопроходной с НГ 1 1/4</t>
  </si>
  <si>
    <t>Монтаж муфты противопожарной</t>
  </si>
  <si>
    <t>Муфта противопожарная</t>
  </si>
  <si>
    <t>ПМ-50/60</t>
  </si>
  <si>
    <t>ПМ-110/60</t>
  </si>
  <si>
    <t>Монтаж ревизии</t>
  </si>
  <si>
    <t>Ревизия канализационная</t>
  </si>
  <si>
    <t>полипропиленовая Ду-50 бесшумная</t>
  </si>
  <si>
    <t>полипропиленовая Ду-110 бесшумная</t>
  </si>
  <si>
    <t>Монтаж трапа</t>
  </si>
  <si>
    <t>Трап</t>
  </si>
  <si>
    <t>с сухим затвором верикальный Ф50</t>
  </si>
  <si>
    <t>Прокладка трубы канализационной (для внутренних работ)</t>
  </si>
  <si>
    <t>Труба канализационная (пог.м.)</t>
  </si>
  <si>
    <t>бесшумная белая D-110х3,4</t>
  </si>
  <si>
    <t>бесшумная белая D-50х3,4</t>
  </si>
  <si>
    <t>серая ПП D-50х3,4</t>
  </si>
  <si>
    <t>Прокладка трубы ППН</t>
  </si>
  <si>
    <t>Труба полипропиленовая</t>
  </si>
  <si>
    <t>PPH PN20 DN40х6,7 арм.стекловолокно</t>
  </si>
  <si>
    <t>Прокладка трубы ПЭ</t>
  </si>
  <si>
    <t>Труба полиэтиленовая (пог.м.)</t>
  </si>
  <si>
    <t>ПЭ-100 SDR17,0 DN110 N-техническая</t>
  </si>
  <si>
    <t>%</t>
  </si>
  <si>
    <t>11.03.02</t>
  </si>
  <si>
    <t>Устройство канализации К-2</t>
  </si>
  <si>
    <t>11.03.02.00</t>
  </si>
  <si>
    <t>Бурение отверстий 130 мм</t>
  </si>
  <si>
    <t>Ф110*9мм</t>
  </si>
  <si>
    <t>гильзы</t>
  </si>
  <si>
    <t>Базальтовый мат фольгированный, огнеупорный 10 мм</t>
  </si>
  <si>
    <t>НПВХ Ду-110</t>
  </si>
  <si>
    <t>Тройник клеевой 90º Д110 PN10 + Патрубок гладкий с ПВХ фланцем 110 мм  (прочистка, ревизия)</t>
  </si>
  <si>
    <t>НПВХ Ду- Ostendof</t>
  </si>
  <si>
    <t>Прокладка трубы НПВХ клеевая</t>
  </si>
  <si>
    <t>Труба НПВХ</t>
  </si>
  <si>
    <t>клеевая Ф110х4,2 PN10 L=3m</t>
  </si>
  <si>
    <t>11.03.03</t>
  </si>
  <si>
    <t>Устройство канализации Т-8</t>
  </si>
  <si>
    <t>11.03.03.00</t>
  </si>
  <si>
    <t>Бурение отверстий до 60мм</t>
  </si>
  <si>
    <t>42х13мм вспененный полиэтилен</t>
  </si>
  <si>
    <t>Ф50 вакуумный серый</t>
  </si>
  <si>
    <t>ПМ-40</t>
  </si>
  <si>
    <t>Пробивка отверстий до 40 мм</t>
  </si>
  <si>
    <t>PPH PN20 DN25х5,4 арм.стекловолокно</t>
  </si>
  <si>
    <t>Прокладка трубы ПЭ сшитый (МП)</t>
  </si>
  <si>
    <t>Труба сшитый полиэтилен</t>
  </si>
  <si>
    <t>ONE PLUS</t>
  </si>
  <si>
    <t>DN-20х2,8 PN-10bar PEXа</t>
  </si>
  <si>
    <t>Прокладка трубы стальной от 57 мм</t>
  </si>
  <si>
    <t>Труба электросварная (пог.м.)</t>
  </si>
  <si>
    <t>стальная D-57х2,5</t>
  </si>
  <si>
    <t>11.03.04</t>
  </si>
  <si>
    <t>Устройство канализации К-3</t>
  </si>
  <si>
    <t>11.03.04.00</t>
  </si>
  <si>
    <t>Монтаж дренажного насоса</t>
  </si>
  <si>
    <t>Насос дренажный</t>
  </si>
  <si>
    <t>ГНОМ 7/7</t>
  </si>
  <si>
    <t>Монтаж клапанов</t>
  </si>
  <si>
    <t>Монтаж кранов</t>
  </si>
  <si>
    <t>11.03.05</t>
  </si>
  <si>
    <t>Устройство канализации в КУИ</t>
  </si>
  <si>
    <t>11.03.05.00</t>
  </si>
  <si>
    <t>Установка раковины</t>
  </si>
  <si>
    <t>Раковина</t>
  </si>
  <si>
    <t>с пьедесталом керамика</t>
  </si>
  <si>
    <t>Установка смесителя</t>
  </si>
  <si>
    <t>Смеситель</t>
  </si>
  <si>
    <t>для раковины однорычажный хром</t>
  </si>
  <si>
    <t>для ванны и душа двухвентильный хром</t>
  </si>
  <si>
    <t>Установка унитаза</t>
  </si>
  <si>
    <t>Унитаз</t>
  </si>
  <si>
    <t>компакт с косым выпуском</t>
  </si>
  <si>
    <t>11.03.06</t>
  </si>
  <si>
    <t>ПНР</t>
  </si>
  <si>
    <t>11.03.06.00</t>
  </si>
  <si>
    <t>Пусконаладочные работы системы канализации: пролив</t>
  </si>
  <si>
    <t>компл.</t>
  </si>
  <si>
    <t>11.03.99</t>
  </si>
  <si>
    <t>Прочие работы</t>
  </si>
  <si>
    <t>11.03.99.00</t>
  </si>
  <si>
    <t>Эмаль (кг.)</t>
  </si>
  <si>
    <t>ПФ-115</t>
  </si>
  <si>
    <t>кг</t>
  </si>
  <si>
    <t>Для навигации</t>
  </si>
  <si>
    <t>Монтаж трубы гофрированной</t>
  </si>
  <si>
    <t>Труба гофрированная защитная</t>
  </si>
  <si>
    <t>Ø22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</si>
  <si>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</si>
  <si>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</si>
  <si>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</si>
  <si>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</si>
  <si>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</si>
  <si>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</si>
  <si>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</si>
  <si>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</si>
  <si>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</si>
  <si>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</si>
  <si>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ЛСР</t>
  </si>
  <si>
    <t>ЛСРГуид</t>
  </si>
  <si>
    <t>ГП-72.105.01.11.03 Секция 1_Устройство системы канализации №1</t>
  </si>
  <si>
    <t>37550d7e-b580-11f0-8b59-a036bcbd010b</t>
  </si>
  <si>
    <t>Итог</t>
  </si>
  <si>
    <t>Прочие материалы</t>
  </si>
  <si>
    <t>Фасонные изделия и фитинги для ППН трубы</t>
  </si>
  <si>
    <t>Фасонные изделия и фитинги для НПВХ трубы</t>
  </si>
  <si>
    <t>Фасонные изделия и фитинги для ПЭ трубы</t>
  </si>
  <si>
    <t>Фасонные изделия и фитинги для ПЭ (сшитый) трубы</t>
  </si>
  <si>
    <t>Фасонные изделия и фитинги для стальной трубы</t>
  </si>
  <si>
    <t>Фасонные изделия и фитинги для канализационной трубы</t>
  </si>
  <si>
    <t>ИТОГО по сметному расчету, в тч НДС:</t>
  </si>
  <si>
    <t>в тч НДС ____%</t>
  </si>
  <si>
    <t>Прочие работы (навигация)</t>
  </si>
  <si>
    <t>Проверка:</t>
  </si>
  <si>
    <t>для всех разделов, расчитывается от стоимости материалов</t>
  </si>
  <si>
    <t>Примечание: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</si>
  <si>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</si>
  <si>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</si>
  <si>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</si>
  <si>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</t>
  </si>
  <si>
    <t>Стоимость Работ по настоящему Договору является твердой и включает в себя все виды работ, необходимые для выполнения полного комплекса работ (в случае необходимости закрытия объема больше, чем предусмотрено ЛСР, расценки на работы подлежат корректировке в меньшую сторону с сохранением твердой стоимости работ)</t>
  </si>
  <si>
    <t>-</t>
  </si>
  <si>
    <t>указать %</t>
  </si>
  <si>
    <t>В стоимость пусконоладочных работ входит: ПНР Насосной станции ХП, ПНР Насосной станции пожаротушения, Автоматизация (узлов учета воды, повысительной НУ) с учетом материалов, Автоматизация насосов системы пожаротушения (кабельно проводниковая продукция, лотки итд) с учетом материалов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</si>
</sst>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00"/>
    <numFmt numFmtId="165" formatCode="0.0"/>
    <numFmt numFmtId="166" formatCode="#,##0.00\ _₽"/>
  </numFmts>
  <fonts count="16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color rgb="FFFF0000"/>
      <name val="Arial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b/>
      <u/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color rgb="FFC00000"/>
      <name val="Times New Roman"/>
      <family val="1"/>
      <charset val="204"/>
    </font>
    <font>
      <sz val="10"/>
      <color theme="1"/>
      <name val="Arial Narrow"/>
      <family val="2"/>
      <charset val="204"/>
    </font>
    <font>
      <b/>
      <sz val="8"/>
      <color rgb="FFFF0000"/>
      <name val="Arial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4">
    <xf numFmtId="0" fontId="0" fillId="0" borderId="0"/>
    <xf numFmtId="43" fontId="8" fillId="0" borderId="0" applyFont="0" applyFill="0" applyBorder="0" applyAlignment="0" applyProtection="0"/>
    <xf numFmtId="0" fontId="1" fillId="0" borderId="0"/>
    <xf numFmtId="0" fontId="1" fillId="0" borderId="0"/>
  </cellStyleXfs>
  <cellXfs count="131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left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3" fontId="0" fillId="5" borderId="5" xfId="0" applyNumberFormat="1" applyFill="1" applyBorder="1" applyAlignment="1">
      <alignment horizontal="right" vertical="center"/>
    </xf>
    <xf numFmtId="165" fontId="0" fillId="5" borderId="5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horizontal="right"/>
    </xf>
    <xf numFmtId="0" fontId="0" fillId="7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3" fontId="0" fillId="0" borderId="5" xfId="0" applyNumberFormat="1" applyBorder="1" applyAlignment="1">
      <alignment horizontal="right" vertical="center"/>
    </xf>
    <xf numFmtId="165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3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" fontId="0" fillId="0" borderId="2" xfId="0" applyNumberFormat="1" applyBorder="1" applyAlignment="1">
      <alignment horizontal="right" vertical="center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3" fillId="4" borderId="0" xfId="0" applyNumberFormat="1" applyFont="1" applyFill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4" fontId="3" fillId="6" borderId="5" xfId="0" applyNumberFormat="1" applyFont="1" applyFill="1" applyBorder="1" applyAlignment="1">
      <alignment horizontal="right" vertical="center"/>
    </xf>
    <xf numFmtId="0" fontId="5" fillId="5" borderId="5" xfId="0" applyFont="1" applyFill="1" applyBorder="1" applyAlignment="1">
      <alignment horizontal="center" vertical="center"/>
    </xf>
    <xf numFmtId="1" fontId="5" fillId="8" borderId="5" xfId="0" applyNumberFormat="1" applyFont="1" applyFill="1" applyBorder="1" applyAlignment="1">
      <alignment horizontal="right" vertical="center"/>
    </xf>
    <xf numFmtId="4" fontId="5" fillId="5" borderId="5" xfId="0" applyNumberFormat="1" applyFont="1" applyFill="1" applyBorder="1" applyAlignment="1">
      <alignment horizontal="right" vertical="center"/>
    </xf>
    <xf numFmtId="1" fontId="0" fillId="8" borderId="2" xfId="0" applyNumberFormat="1" applyFill="1" applyBorder="1" applyAlignment="1">
      <alignment horizontal="right" vertical="center"/>
    </xf>
    <xf numFmtId="4" fontId="0" fillId="0" borderId="0" xfId="0" applyNumberFormat="1" applyAlignment="1">
      <alignment horizontal="left"/>
    </xf>
    <xf numFmtId="4" fontId="0" fillId="5" borderId="5" xfId="0" applyNumberFormat="1" applyFill="1" applyBorder="1" applyAlignment="1">
      <alignment horizontal="center" vertical="center" wrapText="1"/>
    </xf>
    <xf numFmtId="4" fontId="6" fillId="0" borderId="5" xfId="0" applyNumberFormat="1" applyFont="1" applyBorder="1" applyAlignment="1">
      <alignment horizontal="right" vertical="center"/>
    </xf>
    <xf numFmtId="4" fontId="6" fillId="5" borderId="5" xfId="0" applyNumberFormat="1" applyFont="1" applyFill="1" applyBorder="1" applyAlignment="1">
      <alignment horizontal="right" vertical="center"/>
    </xf>
    <xf numFmtId="4" fontId="7" fillId="4" borderId="0" xfId="0" applyNumberFormat="1" applyFont="1" applyFill="1" applyAlignment="1">
      <alignment horizontal="right" vertical="center"/>
    </xf>
    <xf numFmtId="4" fontId="6" fillId="4" borderId="5" xfId="0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center"/>
    </xf>
    <xf numFmtId="4" fontId="3" fillId="6" borderId="7" xfId="0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left"/>
    </xf>
    <xf numFmtId="0" fontId="6" fillId="5" borderId="5" xfId="0" applyFont="1" applyFill="1" applyBorder="1" applyAlignment="1">
      <alignment horizontal="left" wrapText="1"/>
    </xf>
    <xf numFmtId="0" fontId="6" fillId="0" borderId="7" xfId="0" applyFont="1" applyBorder="1" applyAlignment="1">
      <alignment horizontal="left" wrapText="1"/>
    </xf>
    <xf numFmtId="0" fontId="5" fillId="5" borderId="5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9" fillId="9" borderId="0" xfId="0" applyFont="1" applyFill="1" applyAlignment="1">
      <alignment vertical="center" wrapText="1"/>
    </xf>
    <xf numFmtId="0" fontId="10" fillId="9" borderId="0" xfId="0" applyFont="1" applyFill="1" applyAlignment="1">
      <alignment horizontal="center" vertical="center" wrapText="1"/>
    </xf>
    <xf numFmtId="166" fontId="10" fillId="9" borderId="0" xfId="0" applyNumberFormat="1" applyFont="1" applyFill="1" applyAlignment="1">
      <alignment horizontal="center" vertical="center" wrapText="1"/>
    </xf>
    <xf numFmtId="166" fontId="11" fillId="9" borderId="0" xfId="0" applyNumberFormat="1" applyFont="1" applyFill="1" applyAlignment="1">
      <alignment horizontal="center" vertical="center" wrapText="1"/>
    </xf>
    <xf numFmtId="49" fontId="10" fillId="9" borderId="0" xfId="0" applyNumberFormat="1" applyFont="1" applyFill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43" fontId="10" fillId="0" borderId="0" xfId="1" applyFont="1" applyFill="1" applyBorder="1" applyAlignment="1">
      <alignment horizontal="center" vertical="center"/>
    </xf>
    <xf numFmtId="0" fontId="10" fillId="0" borderId="0" xfId="2" applyFont="1" applyAlignment="1">
      <alignment vertical="center" wrapText="1"/>
    </xf>
    <xf numFmtId="0" fontId="10" fillId="0" borderId="0" xfId="2" applyFont="1" applyAlignment="1">
      <alignment vertical="top" wrapText="1"/>
    </xf>
    <xf numFmtId="0" fontId="10" fillId="0" borderId="0" xfId="0" applyFont="1" applyAlignment="1">
      <alignment vertical="top" wrapText="1"/>
    </xf>
    <xf numFmtId="0" fontId="12" fillId="0" borderId="0" xfId="0" applyFont="1" applyAlignment="1">
      <alignment horizontal="right" vertical="center"/>
    </xf>
    <xf numFmtId="0" fontId="5" fillId="6" borderId="7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left"/>
    </xf>
    <xf numFmtId="0" fontId="15" fillId="4" borderId="5" xfId="0" applyFont="1" applyFill="1" applyBorder="1" applyAlignment="1">
      <alignment horizontal="left" wrapText="1"/>
    </xf>
    <xf numFmtId="0" fontId="5" fillId="4" borderId="5" xfId="0" applyFont="1" applyFill="1" applyBorder="1" applyAlignment="1">
      <alignment horizontal="center" vertical="center"/>
    </xf>
    <xf numFmtId="4" fontId="5" fillId="4" borderId="5" xfId="0" applyNumberFormat="1" applyFont="1" applyFill="1" applyBorder="1" applyAlignment="1">
      <alignment horizontal="center" vertical="center"/>
    </xf>
    <xf numFmtId="4" fontId="15" fillId="4" borderId="0" xfId="0" applyNumberFormat="1" applyFont="1" applyFill="1" applyAlignment="1">
      <alignment horizontal="right" vertical="center"/>
    </xf>
    <xf numFmtId="0" fontId="5" fillId="0" borderId="5" xfId="0" applyFont="1" applyBorder="1" applyAlignment="1">
      <alignment horizontal="center"/>
    </xf>
    <xf numFmtId="0" fontId="5" fillId="5" borderId="5" xfId="0" applyFont="1" applyFill="1" applyBorder="1" applyAlignment="1">
      <alignment horizontal="left" wrapText="1"/>
    </xf>
    <xf numFmtId="0" fontId="5" fillId="5" borderId="5" xfId="0" applyFont="1" applyFill="1" applyBorder="1" applyAlignment="1">
      <alignment horizontal="right" vertical="center"/>
    </xf>
    <xf numFmtId="3" fontId="5" fillId="5" borderId="5" xfId="0" applyNumberFormat="1" applyFont="1" applyFill="1" applyBorder="1" applyAlignment="1">
      <alignment horizontal="right" vertical="center"/>
    </xf>
    <xf numFmtId="0" fontId="5" fillId="5" borderId="5" xfId="0" applyFont="1" applyFill="1" applyBorder="1" applyAlignment="1">
      <alignment horizontal="center"/>
    </xf>
    <xf numFmtId="0" fontId="13" fillId="10" borderId="0" xfId="0" applyFont="1" applyFill="1" applyAlignment="1">
      <alignment horizontal="left" vertical="center" wrapText="1"/>
    </xf>
    <xf numFmtId="0" fontId="3" fillId="7" borderId="7" xfId="0" applyFont="1" applyFill="1" applyBorder="1" applyAlignment="1">
      <alignment horizontal="center" vertical="center" wrapText="1"/>
    </xf>
    <xf numFmtId="4" fontId="3" fillId="7" borderId="7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 wrapText="1"/>
    </xf>
    <xf numFmtId="4" fontId="3" fillId="0" borderId="8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6" borderId="9" xfId="0" applyFont="1" applyFill="1" applyBorder="1" applyAlignment="1">
      <alignment horizontal="right"/>
    </xf>
    <xf numFmtId="0" fontId="3" fillId="6" borderId="6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4" fillId="6" borderId="9" xfId="0" applyFont="1" applyFill="1" applyBorder="1" applyAlignment="1">
      <alignment horizontal="right"/>
    </xf>
    <xf numFmtId="0" fontId="4" fillId="6" borderId="6" xfId="0" applyFont="1" applyFill="1" applyBorder="1" applyAlignment="1">
      <alignment horizontal="right"/>
    </xf>
    <xf numFmtId="0" fontId="4" fillId="6" borderId="7" xfId="0" applyFont="1" applyFill="1" applyBorder="1" applyAlignment="1">
      <alignment horizontal="right"/>
    </xf>
    <xf numFmtId="0" fontId="14" fillId="9" borderId="0" xfId="3" applyFont="1" applyFill="1" applyAlignment="1">
      <alignment horizontal="left" vertical="center" wrapText="1"/>
    </xf>
    <xf numFmtId="0" fontId="10" fillId="0" borderId="0" xfId="2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4">
    <cellStyle name="Обычный" xfId="0" builtinId="0"/>
    <cellStyle name="Обычный 3 2 2 3 2" xfId="2" xr:uid="{6722AA86-20F9-4860-9A16-2BCC515A4345}"/>
    <cellStyle name="Обычный 3 2 2 4 7" xfId="3" xr:uid="{62CCEBFC-B031-4BC1-A769-73B8788EA5B9}"/>
    <cellStyle name="Финансовый" xfId="1" builtinId="3"/>
  </cellStyles>
  <dxfs count="40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colors>
    <mruColors>
      <color rgb="FFA2FADD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16329D6-E287-4A6A-934F-68A2A4B1D636}" name="Р" displayName="Р" ref="A3:F32" totalsRowCount="1" headerRowDxfId="39" headerRowBorderDxfId="38" tableBorderDxfId="37" totalsRowBorderDxfId="36">
  <autoFilter ref="A3:F31" xr:uid="{216329D6-E287-4A6A-934F-68A2A4B1D636}"/>
  <tableColumns count="6">
    <tableColumn id="1" xr3:uid="{C348F4FF-3C06-4A8D-9542-B707DAB10C43}" name="Наименование" totalsRowLabel="Итог" dataDxfId="35" totalsRowDxfId="34"/>
    <tableColumn id="2" xr3:uid="{5CF6B76A-E93B-4AA0-BAAD-AA9BB4D1BEA7}" name="Ед. изм." dataDxfId="33" totalsRowDxfId="32"/>
    <tableColumn id="3" xr3:uid="{C7C191DC-451D-4D5C-824F-D96CC21DAB7B}" name="Количество" dataDxfId="31" totalsRowDxfId="30"/>
    <tableColumn id="4" xr3:uid="{EF2EB7FC-5C47-405D-A20E-854470D17241}" name="Цена за ед., руб" dataDxfId="29" totalsRowDxfId="28"/>
    <tableColumn id="5" xr3:uid="{BAE504F5-B922-4A84-841B-E58A9B5ED49B}" name="Сумма, руб" totalsRowFunction="sum" dataDxfId="27" totalsRowDxfId="26">
      <calculatedColumnFormula>ROUND(Р[[#This Row],[Количество]]*Р[[#This Row],[Цена за ед., руб]],2)</calculatedColumnFormula>
    </tableColumn>
    <tableColumn id="6" xr3:uid="{646F442A-E028-43F1-9C04-96D3352FBA5D}" name="Примечание" dataDxfId="25" totalsRowDxfId="2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A6AEEB3-55EE-41E3-B63A-DE016F55FCFD}" name="М" displayName="М" ref="A3:I47" totalsRowCount="1" headerRowDxfId="23" headerRowBorderDxfId="22" tableBorderDxfId="21" totalsRowBorderDxfId="20">
  <autoFilter ref="A3:I46" xr:uid="{DA6AEEB3-55EE-41E3-B63A-DE016F55FCFD}"/>
  <tableColumns count="9">
    <tableColumn id="1" xr3:uid="{4C5722EC-5BAE-46EE-B814-495449775134}" name="Наим." totalsRowLabel="Итог" dataDxfId="19" totalsRowDxfId="8"/>
    <tableColumn id="2" xr3:uid="{B01C6DB4-FEF1-42E1-9AC9-D5E3D375ECB1}" name="Артикул, марка, произв." dataDxfId="18" totalsRowDxfId="7"/>
    <tableColumn id="3" xr3:uid="{B83263ED-1B37-47BF-80C0-874F700AAB05}" name="Хар-ка" dataDxfId="17" totalsRowDxfId="6"/>
    <tableColumn id="4" xr3:uid="{F29E747F-C190-418A-9DB4-4522E4A91157}" name="Ед. изм." dataDxfId="16" totalsRowDxfId="5"/>
    <tableColumn id="5" xr3:uid="{120B2CDE-20DC-406D-8137-B506E85961B6}" name="Количество" dataDxfId="15" totalsRowDxfId="4"/>
    <tableColumn id="6" xr3:uid="{16A4952D-38DD-4886-9216-10088E88DD94}" name="Цена за ед., руб" dataDxfId="14" totalsRowDxfId="3"/>
    <tableColumn id="7" xr3:uid="{D65756D6-C614-4AF9-B326-B09D39451572}" name="Сумма, руб" totalsRowFunction="sum" dataDxfId="13" totalsRowDxfId="2">
      <calculatedColumnFormula>ROUND(М[[#This Row],[Количество]]*М[[#This Row],[Цена за ед., руб]],2)</calculatedColumnFormula>
    </tableColumn>
    <tableColumn id="8" xr3:uid="{6ED778B4-03E3-4E5B-B8D9-CF58CE2A30A7}" name="Прим." dataDxfId="12" totalsRowDxfId="1"/>
    <tableColumn id="9" xr3:uid="{FD9DBC9B-E1C9-4D6D-B3CE-47A459AC9173}" name="Форма закупа" dataDxfId="11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Y212"/>
  <sheetViews>
    <sheetView tabSelected="1" workbookViewId="0">
      <pane ySplit="7" topLeftCell="A167" activePane="bottomLeft" state="frozen"/>
      <selection pane="bottomLeft" activeCell="L186" sqref="L186:L192"/>
    </sheetView>
  </sheetViews>
  <sheetFormatPr defaultColWidth="10.5" defaultRowHeight="11.45" customHeight="1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7" width="10.5" style="1" customWidth="1"/>
    <col min="8" max="8" width="14.6640625" style="1" customWidth="1"/>
    <col min="9" max="9" width="16" style="1" customWidth="1"/>
    <col min="10" max="10" width="17" style="1" customWidth="1"/>
    <col min="11" max="11" width="35" style="1" customWidth="1"/>
    <col min="12" max="12" width="23.33203125" style="1" customWidth="1"/>
  </cols>
  <sheetData>
    <row r="1" spans="1:12" ht="11.1" customHeight="1" x14ac:dyDescent="0.2"/>
    <row r="2" spans="1:12" ht="11.1" customHeight="1" x14ac:dyDescent="0.2">
      <c r="B2" s="122" t="s">
        <v>0</v>
      </c>
      <c r="C2" s="122"/>
      <c r="D2" s="122"/>
      <c r="E2" s="122"/>
      <c r="F2" s="122"/>
      <c r="G2" s="122"/>
      <c r="H2" s="122"/>
      <c r="I2" s="122"/>
      <c r="J2" s="122"/>
    </row>
    <row r="3" spans="1:12" ht="23.1" customHeight="1" x14ac:dyDescent="0.2">
      <c r="B3" s="123" t="s">
        <v>1</v>
      </c>
      <c r="C3" s="123"/>
      <c r="D3" s="123"/>
      <c r="E3" s="123"/>
      <c r="F3" s="123"/>
      <c r="G3" s="123"/>
      <c r="H3" s="123"/>
      <c r="I3" s="123"/>
      <c r="J3" s="123"/>
    </row>
    <row r="4" spans="1:12" ht="11.1" customHeight="1" x14ac:dyDescent="0.2">
      <c r="B4" s="123" t="s">
        <v>2</v>
      </c>
      <c r="C4" s="123"/>
      <c r="D4" s="123"/>
      <c r="E4" s="123"/>
      <c r="F4" s="123"/>
      <c r="G4" s="123"/>
      <c r="H4" s="123"/>
      <c r="I4" s="123"/>
      <c r="J4" s="123"/>
    </row>
    <row r="5" spans="1:12" ht="11.1" customHeight="1" x14ac:dyDescent="0.2"/>
    <row r="6" spans="1:12" ht="11.1" customHeight="1" x14ac:dyDescent="0.2">
      <c r="A6" s="108" t="s">
        <v>3</v>
      </c>
      <c r="B6" s="108" t="s">
        <v>4</v>
      </c>
      <c r="C6" s="124" t="s">
        <v>5</v>
      </c>
      <c r="D6" s="126" t="s">
        <v>6</v>
      </c>
      <c r="E6" s="108" t="s">
        <v>7</v>
      </c>
      <c r="F6" s="110" t="s">
        <v>8</v>
      </c>
      <c r="G6" s="128" t="s">
        <v>9</v>
      </c>
      <c r="H6" s="108" t="s">
        <v>10</v>
      </c>
      <c r="I6" s="110" t="s">
        <v>11</v>
      </c>
      <c r="J6" s="110" t="s">
        <v>12</v>
      </c>
      <c r="K6" s="108" t="s">
        <v>13</v>
      </c>
      <c r="L6" s="110" t="s">
        <v>14</v>
      </c>
    </row>
    <row r="7" spans="1:12" ht="11.1" customHeight="1" x14ac:dyDescent="0.2">
      <c r="A7" s="109"/>
      <c r="B7" s="109"/>
      <c r="C7" s="125"/>
      <c r="D7" s="127"/>
      <c r="E7" s="109"/>
      <c r="F7" s="111"/>
      <c r="G7" s="129"/>
      <c r="H7" s="109"/>
      <c r="I7" s="111"/>
      <c r="J7" s="111"/>
      <c r="K7" s="109"/>
      <c r="L7" s="111"/>
    </row>
    <row r="8" spans="1:12" ht="11.1" customHeight="1" x14ac:dyDescent="0.2">
      <c r="A8" s="3" t="s">
        <v>15</v>
      </c>
      <c r="B8" s="4" t="s">
        <v>16</v>
      </c>
      <c r="C8" s="5"/>
      <c r="D8" s="5"/>
      <c r="E8" s="6"/>
      <c r="F8" s="7"/>
      <c r="G8" s="7"/>
      <c r="H8" s="7"/>
      <c r="I8" s="54"/>
      <c r="J8" s="54"/>
      <c r="K8" s="5"/>
      <c r="L8" s="5"/>
    </row>
    <row r="9" spans="1:12" ht="11.1" customHeight="1" outlineLevel="1" x14ac:dyDescent="0.2">
      <c r="A9" s="8" t="s">
        <v>17</v>
      </c>
      <c r="B9" s="9" t="s">
        <v>18</v>
      </c>
      <c r="C9" s="10"/>
      <c r="D9" s="10"/>
      <c r="E9" s="11"/>
      <c r="F9" s="12"/>
      <c r="G9" s="12"/>
      <c r="H9" s="12"/>
      <c r="I9" s="55"/>
      <c r="J9" s="55">
        <f ca="1">SUM($J$175,$J$193,$J$145,$J$123,$J$92,$J$66,$J$10)</f>
        <v>0</v>
      </c>
      <c r="K9" s="10"/>
      <c r="L9" s="10"/>
    </row>
    <row r="10" spans="1:12" ht="11.1" customHeight="1" outlineLevel="2" x14ac:dyDescent="0.2">
      <c r="A10" s="13" t="s">
        <v>19</v>
      </c>
      <c r="B10" s="14" t="s">
        <v>20</v>
      </c>
      <c r="C10" s="15"/>
      <c r="D10" s="15"/>
      <c r="E10" s="16"/>
      <c r="F10" s="17"/>
      <c r="G10" s="18"/>
      <c r="H10" s="18"/>
      <c r="I10" s="56"/>
      <c r="J10" s="56">
        <f>SUM($J$11)</f>
        <v>0</v>
      </c>
      <c r="K10" s="19"/>
      <c r="L10" s="19"/>
    </row>
    <row r="11" spans="1:12" ht="11.1" customHeight="1" outlineLevel="3" x14ac:dyDescent="0.2">
      <c r="A11" s="13" t="s">
        <v>21</v>
      </c>
      <c r="B11" s="14" t="s">
        <v>20</v>
      </c>
      <c r="C11" s="15"/>
      <c r="D11" s="15"/>
      <c r="E11" s="16"/>
      <c r="F11" s="17"/>
      <c r="G11" s="18"/>
      <c r="H11" s="18"/>
      <c r="I11" s="56"/>
      <c r="J11" s="56">
        <f>SUM($J$64,$J$62,$J$60,$J$58,$J$54,$J$52,$J$50,$J$48,$J$45,$J$43,$J$40,$J$38,$J$36,$J$34,$J$32,$J$30,$J$28,$J$26,$J$24,$J$22,$J$18,$J$16,$J$14,$J$12)</f>
        <v>0</v>
      </c>
      <c r="K11" s="19"/>
      <c r="L11" s="19"/>
    </row>
    <row r="12" spans="1:12" ht="11.1" customHeight="1" outlineLevel="4" x14ac:dyDescent="0.2">
      <c r="A12" s="20"/>
      <c r="B12" s="14" t="s">
        <v>22</v>
      </c>
      <c r="C12" s="21"/>
      <c r="D12" s="21"/>
      <c r="E12" s="21"/>
      <c r="F12" s="21"/>
      <c r="G12" s="21"/>
      <c r="H12" s="21"/>
      <c r="I12" s="57"/>
      <c r="J12" s="58">
        <f>SUM($J$13)</f>
        <v>0</v>
      </c>
      <c r="K12" s="18"/>
      <c r="L12" s="22"/>
    </row>
    <row r="13" spans="1:12" ht="11.1" customHeight="1" outlineLevel="4" x14ac:dyDescent="0.2">
      <c r="A13" s="23"/>
      <c r="B13" s="24" t="s">
        <v>23</v>
      </c>
      <c r="C13" s="25"/>
      <c r="D13" s="25"/>
      <c r="E13" s="26" t="s">
        <v>24</v>
      </c>
      <c r="F13" s="27"/>
      <c r="G13" s="28">
        <v>318</v>
      </c>
      <c r="H13" s="28">
        <f>SUM($G$13:$G$13)</f>
        <v>318</v>
      </c>
      <c r="I13" s="59">
        <f t="array" ref="I13">INDEX(Р[Цена за ед., руб],MATCH(1,IF(($B13=Р[Наименование])*($K13=Р[Примечание]),{1},($B13=Р[Наименование])*($K13=Р[Примечание])),0))</f>
        <v>0</v>
      </c>
      <c r="J13" s="59">
        <f>ROUND($H$13*$I$13,2)</f>
        <v>0</v>
      </c>
      <c r="K13" s="25"/>
      <c r="L13" s="25"/>
    </row>
    <row r="14" spans="1:12" ht="11.1" customHeight="1" outlineLevel="4" x14ac:dyDescent="0.2">
      <c r="A14" s="20"/>
      <c r="B14" s="14" t="s">
        <v>22</v>
      </c>
      <c r="C14" s="21"/>
      <c r="D14" s="21"/>
      <c r="E14" s="21"/>
      <c r="F14" s="21"/>
      <c r="G14" s="21"/>
      <c r="H14" s="21"/>
      <c r="I14" s="57"/>
      <c r="J14" s="69">
        <f>SUM($J$15)</f>
        <v>0</v>
      </c>
      <c r="K14" s="18"/>
      <c r="L14" s="22"/>
    </row>
    <row r="15" spans="1:12" ht="11.1" customHeight="1" outlineLevel="4" x14ac:dyDescent="0.2">
      <c r="A15" s="23"/>
      <c r="B15" s="24" t="s">
        <v>25</v>
      </c>
      <c r="C15" s="25"/>
      <c r="D15" s="25"/>
      <c r="E15" s="26" t="s">
        <v>24</v>
      </c>
      <c r="F15" s="27"/>
      <c r="G15" s="28">
        <v>52</v>
      </c>
      <c r="H15" s="28">
        <f>SUM($G$15:$G$15)</f>
        <v>52</v>
      </c>
      <c r="I15" s="59">
        <f t="array" ref="I15">INDEX(Р[Цена за ед., руб],MATCH(1,IF(($B15=Р[Наименование])*($K15=Р[Примечание]),{1},($B15=Р[Наименование])*($K15=Р[Примечание])),0))</f>
        <v>0</v>
      </c>
      <c r="J15" s="68">
        <f>ROUND($H$15*$I$15,2)</f>
        <v>0</v>
      </c>
      <c r="K15" s="25"/>
      <c r="L15" s="25"/>
    </row>
    <row r="16" spans="1:12" ht="11.1" customHeight="1" outlineLevel="4" x14ac:dyDescent="0.2">
      <c r="A16" s="20"/>
      <c r="B16" s="14" t="s">
        <v>22</v>
      </c>
      <c r="C16" s="21"/>
      <c r="D16" s="21"/>
      <c r="E16" s="21"/>
      <c r="F16" s="21"/>
      <c r="G16" s="21"/>
      <c r="H16" s="21"/>
      <c r="I16" s="57"/>
      <c r="J16" s="69">
        <f>SUM($J$17)</f>
        <v>0</v>
      </c>
      <c r="K16" s="18"/>
      <c r="L16" s="22"/>
    </row>
    <row r="17" spans="1:12" ht="11.1" customHeight="1" outlineLevel="4" x14ac:dyDescent="0.2">
      <c r="A17" s="23"/>
      <c r="B17" s="24" t="s">
        <v>26</v>
      </c>
      <c r="C17" s="25"/>
      <c r="D17" s="25"/>
      <c r="E17" s="26" t="s">
        <v>27</v>
      </c>
      <c r="F17" s="27"/>
      <c r="G17" s="28">
        <v>130</v>
      </c>
      <c r="H17" s="28">
        <f>SUM($G$17:$G$17)</f>
        <v>130</v>
      </c>
      <c r="I17" s="59">
        <f t="array" ref="I17">INDEX(Р[Цена за ед., руб],MATCH(1,IF(($B17=Р[Наименование])*($K17=Р[Примечание]),{1},($B17=Р[Наименование])*($K17=Р[Примечание])),0))</f>
        <v>0</v>
      </c>
      <c r="J17" s="68">
        <f>ROUND($H$17*$I$17,2)</f>
        <v>0</v>
      </c>
      <c r="K17" s="25"/>
      <c r="L17" s="25"/>
    </row>
    <row r="18" spans="1:12" ht="11.1" customHeight="1" outlineLevel="4" x14ac:dyDescent="0.2">
      <c r="A18" s="20"/>
      <c r="B18" s="14" t="s">
        <v>28</v>
      </c>
      <c r="C18" s="21"/>
      <c r="D18" s="21"/>
      <c r="E18" s="21"/>
      <c r="F18" s="21"/>
      <c r="G18" s="21"/>
      <c r="H18" s="21"/>
      <c r="I18" s="57"/>
      <c r="J18" s="69">
        <f>SUM($J$19:$J$21)</f>
        <v>0</v>
      </c>
      <c r="K18" s="18"/>
      <c r="L18" s="22"/>
    </row>
    <row r="19" spans="1:12" ht="11.1" customHeight="1" outlineLevel="4" x14ac:dyDescent="0.2">
      <c r="A19" s="23" t="s">
        <v>29</v>
      </c>
      <c r="B19" s="24" t="s">
        <v>30</v>
      </c>
      <c r="C19" s="25" t="s">
        <v>31</v>
      </c>
      <c r="D19" s="25" t="s">
        <v>32</v>
      </c>
      <c r="E19" s="26" t="s">
        <v>33</v>
      </c>
      <c r="F19" s="27"/>
      <c r="G19" s="28">
        <v>13</v>
      </c>
      <c r="H19" s="28">
        <f>SUM($G$19:$G$19)</f>
        <v>13</v>
      </c>
      <c r="I19" s="59">
        <f t="array" ref="I19">INDEX(М[Цена за ед., руб],MATCH(1,IF(($B19=М[Наим.])*($C19=М[Артикул, марка, произв.])*($D19=М[Хар-ка])*($K19=М[Прим.]),{1},($B19=М[Наим.])*($C19=М[Артикул, марка, произв.])*($D19=М[Хар-ка])*($K19=М[Прим.])),0))</f>
        <v>0</v>
      </c>
      <c r="J19" s="68">
        <f>ROUND($H$19*$I$19,2)</f>
        <v>0</v>
      </c>
      <c r="K19" s="25"/>
      <c r="L19" s="25">
        <f t="array" ref="L19">INDEX(М[Форма закупа],MATCH(1,IF(($B19=М[Наим.])*($C19=М[Артикул, марка, произв.])*($D19=М[Хар-ка])*($K19=М[Прим.]),{1},($B19=М[Наим.])*($C19=М[Артикул, марка, произв.])*($D19=М[Хар-ка])*($K19=М[Прим.])),0))</f>
        <v>0</v>
      </c>
    </row>
    <row r="20" spans="1:12" ht="35.1" customHeight="1" outlineLevel="4" x14ac:dyDescent="0.2">
      <c r="A20" s="23" t="s">
        <v>34</v>
      </c>
      <c r="B20" s="24" t="s">
        <v>35</v>
      </c>
      <c r="C20" s="25" t="s">
        <v>36</v>
      </c>
      <c r="D20" s="25" t="s">
        <v>37</v>
      </c>
      <c r="E20" s="26" t="s">
        <v>33</v>
      </c>
      <c r="F20" s="27"/>
      <c r="G20" s="28">
        <v>8</v>
      </c>
      <c r="H20" s="28">
        <f>SUM($G$20:$G$20)</f>
        <v>8</v>
      </c>
      <c r="I20" s="59">
        <f t="array" ref="I20">INDEX(М[Цена за ед., руб],MATCH(1,IF(($B20=М[Наим.])*($C20=М[Артикул, марка, произв.])*($D20=М[Хар-ка])*($K20=М[Прим.]),{1},($B20=М[Наим.])*($C20=М[Артикул, марка, произв.])*($D20=М[Хар-ка])*($K20=М[Прим.])),0))</f>
        <v>0</v>
      </c>
      <c r="J20" s="68">
        <f>ROUND($H$20*$I$20,2)</f>
        <v>0</v>
      </c>
      <c r="K20" s="25"/>
      <c r="L20" s="25">
        <f t="array" ref="L20">INDEX(М[Форма закупа],MATCH(1,IF(($B20=М[Наим.])*($C20=М[Артикул, марка, произв.])*($D20=М[Хар-ка])*($K20=М[Прим.]),{1},($B20=М[Наим.])*($C20=М[Артикул, марка, произв.])*($D20=М[Хар-ка])*($K20=М[Прим.])),0))</f>
        <v>0</v>
      </c>
    </row>
    <row r="21" spans="1:12" ht="59.1" customHeight="1" outlineLevel="4" x14ac:dyDescent="0.2">
      <c r="A21" s="23" t="s">
        <v>38</v>
      </c>
      <c r="B21" s="24" t="s">
        <v>39</v>
      </c>
      <c r="C21" s="25" t="s">
        <v>31</v>
      </c>
      <c r="D21" s="25" t="s">
        <v>40</v>
      </c>
      <c r="E21" s="26" t="s">
        <v>33</v>
      </c>
      <c r="F21" s="27"/>
      <c r="G21" s="28">
        <v>109</v>
      </c>
      <c r="H21" s="28">
        <f>SUM($G$21:$G$21)</f>
        <v>109</v>
      </c>
      <c r="I21" s="59">
        <f t="array" ref="I21">INDEX(М[Цена за ед., руб],MATCH(1,IF(($B21=М[Наим.])*($C21=М[Артикул, марка, произв.])*($D21=М[Хар-ка])*($K21=М[Прим.]),{1},($B21=М[Наим.])*($C21=М[Артикул, марка, произв.])*($D21=М[Хар-ка])*($K21=М[Прим.])),0))</f>
        <v>0</v>
      </c>
      <c r="J21" s="68">
        <f>ROUND($H$21*$I$21,2)</f>
        <v>0</v>
      </c>
      <c r="K21" s="25" t="s">
        <v>41</v>
      </c>
      <c r="L21" s="25">
        <f t="array" ref="L21">INDEX(М[Форма закупа],MATCH(1,IF(($B21=М[Наим.])*($C21=М[Артикул, марка, произв.])*($D21=М[Хар-ка])*($K21=М[Прим.]),{1},($B21=М[Наим.])*($C21=М[Артикул, марка, произв.])*($D21=М[Хар-ка])*($K21=М[Прим.])),0))</f>
        <v>0</v>
      </c>
    </row>
    <row r="22" spans="1:12" ht="11.1" customHeight="1" outlineLevel="4" x14ac:dyDescent="0.2">
      <c r="A22" s="20"/>
      <c r="B22" s="14" t="s">
        <v>22</v>
      </c>
      <c r="C22" s="21"/>
      <c r="D22" s="21"/>
      <c r="E22" s="21"/>
      <c r="F22" s="21"/>
      <c r="G22" s="21"/>
      <c r="H22" s="21"/>
      <c r="I22" s="57"/>
      <c r="J22" s="69">
        <f>SUM($J$23)</f>
        <v>0</v>
      </c>
      <c r="K22" s="18"/>
      <c r="L22" s="22"/>
    </row>
    <row r="23" spans="1:12" ht="11.1" customHeight="1" outlineLevel="4" x14ac:dyDescent="0.2">
      <c r="A23" s="23"/>
      <c r="B23" s="24" t="s">
        <v>42</v>
      </c>
      <c r="C23" s="25"/>
      <c r="D23" s="25"/>
      <c r="E23" s="26" t="s">
        <v>43</v>
      </c>
      <c r="F23" s="27"/>
      <c r="G23" s="28">
        <v>60</v>
      </c>
      <c r="H23" s="28">
        <f>SUM($G$23:$G$23)</f>
        <v>60</v>
      </c>
      <c r="I23" s="59">
        <f t="array" ref="I23">INDEX(Р[Цена за ед., руб],MATCH(1,IF(($B23=Р[Наименование])*($K23=Р[Примечание]),{1},($B23=Р[Наименование])*($K23=Р[Примечание])),0))</f>
        <v>0</v>
      </c>
      <c r="J23" s="68">
        <f>ROUND($H$23*$I$23,2)</f>
        <v>0</v>
      </c>
      <c r="K23" s="25"/>
      <c r="L23" s="25"/>
    </row>
    <row r="24" spans="1:12" ht="11.1" customHeight="1" outlineLevel="4" x14ac:dyDescent="0.2">
      <c r="A24" s="20"/>
      <c r="B24" s="14" t="s">
        <v>28</v>
      </c>
      <c r="C24" s="21"/>
      <c r="D24" s="21"/>
      <c r="E24" s="21"/>
      <c r="F24" s="21"/>
      <c r="G24" s="21"/>
      <c r="H24" s="21"/>
      <c r="I24" s="57"/>
      <c r="J24" s="69">
        <f>SUM($J$25)</f>
        <v>0</v>
      </c>
      <c r="K24" s="18"/>
      <c r="L24" s="22"/>
    </row>
    <row r="25" spans="1:12" ht="23.1" customHeight="1" outlineLevel="4" x14ac:dyDescent="0.2">
      <c r="A25" s="23" t="s">
        <v>29</v>
      </c>
      <c r="B25" s="24" t="s">
        <v>44</v>
      </c>
      <c r="C25" s="25"/>
      <c r="D25" s="25" t="s">
        <v>45</v>
      </c>
      <c r="E25" s="26" t="s">
        <v>43</v>
      </c>
      <c r="F25" s="27"/>
      <c r="G25" s="28">
        <v>60</v>
      </c>
      <c r="H25" s="28">
        <f>SUM($G$25:$G$25)</f>
        <v>60</v>
      </c>
      <c r="I25" s="59">
        <f t="array" ref="I25">INDEX(М[Цена за ед., руб],MATCH(1,IF(($B25=М[Наим.])*($C25=М[Артикул, марка, произв.])*($D25=М[Хар-ка])*($K25=М[Прим.]),{1},($B25=М[Наим.])*($C25=М[Артикул, марка, произв.])*($D25=М[Хар-ка])*($K25=М[Прим.])),0))</f>
        <v>0</v>
      </c>
      <c r="J25" s="68">
        <f>ROUND($H$25*$I$25,2)</f>
        <v>0</v>
      </c>
      <c r="K25" s="25" t="s">
        <v>46</v>
      </c>
      <c r="L25" s="25">
        <f t="array" ref="L25">INDEX(М[Форма закупа],MATCH(1,IF(($B25=М[Наим.])*($C25=М[Артикул, марка, произв.])*($D25=М[Хар-ка])*($K25=М[Прим.]),{1},($B25=М[Наим.])*($C25=М[Артикул, марка, произв.])*($D25=М[Хар-ка])*($K25=М[Прим.])),0))</f>
        <v>0</v>
      </c>
    </row>
    <row r="26" spans="1:12" ht="11.1" customHeight="1" outlineLevel="4" x14ac:dyDescent="0.2">
      <c r="A26" s="20"/>
      <c r="B26" s="14" t="s">
        <v>22</v>
      </c>
      <c r="C26" s="21"/>
      <c r="D26" s="21"/>
      <c r="E26" s="21"/>
      <c r="F26" s="21"/>
      <c r="G26" s="21"/>
      <c r="H26" s="21"/>
      <c r="I26" s="57"/>
      <c r="J26" s="69">
        <f>SUM($J$27)</f>
        <v>0</v>
      </c>
      <c r="K26" s="18"/>
      <c r="L26" s="22"/>
    </row>
    <row r="27" spans="1:12" ht="23.1" customHeight="1" outlineLevel="4" x14ac:dyDescent="0.2">
      <c r="A27" s="23"/>
      <c r="B27" s="24" t="s">
        <v>47</v>
      </c>
      <c r="C27" s="25"/>
      <c r="D27" s="25"/>
      <c r="E27" s="26" t="s">
        <v>24</v>
      </c>
      <c r="F27" s="27"/>
      <c r="G27" s="28">
        <v>1</v>
      </c>
      <c r="H27" s="28">
        <f>SUM($G$27:$G$27)</f>
        <v>1</v>
      </c>
      <c r="I27" s="59">
        <f t="array" ref="I27">INDEX(Р[Цена за ед., руб],MATCH(1,IF(($B27=Р[Наименование])*($K27=Р[Примечание]),{1},($B27=Р[Наименование])*($K27=Р[Примечание])),0))</f>
        <v>0</v>
      </c>
      <c r="J27" s="68">
        <f>ROUND($H$27*$I$27,2)</f>
        <v>0</v>
      </c>
      <c r="K27" s="25"/>
      <c r="L27" s="25"/>
    </row>
    <row r="28" spans="1:12" ht="11.1" customHeight="1" outlineLevel="4" x14ac:dyDescent="0.2">
      <c r="A28" s="20"/>
      <c r="B28" s="14" t="s">
        <v>28</v>
      </c>
      <c r="C28" s="21"/>
      <c r="D28" s="21"/>
      <c r="E28" s="21"/>
      <c r="F28" s="21"/>
      <c r="G28" s="21"/>
      <c r="H28" s="21"/>
      <c r="I28" s="57"/>
      <c r="J28" s="69">
        <f>SUM($J$29)</f>
        <v>0</v>
      </c>
      <c r="K28" s="18"/>
      <c r="L28" s="22"/>
    </row>
    <row r="29" spans="1:12" ht="23.1" customHeight="1" outlineLevel="4" x14ac:dyDescent="0.2">
      <c r="A29" s="23" t="s">
        <v>29</v>
      </c>
      <c r="B29" s="24" t="s">
        <v>48</v>
      </c>
      <c r="C29" s="25" t="s">
        <v>49</v>
      </c>
      <c r="D29" s="25" t="s">
        <v>50</v>
      </c>
      <c r="E29" s="26" t="s">
        <v>24</v>
      </c>
      <c r="F29" s="27"/>
      <c r="G29" s="28">
        <v>1</v>
      </c>
      <c r="H29" s="28">
        <f>SUM($G$29:$G$29)</f>
        <v>1</v>
      </c>
      <c r="I29" s="59">
        <f t="array" ref="I29">INDEX(М[Цена за ед., руб],MATCH(1,IF(($B29=М[Наим.])*($C29=М[Артикул, марка, произв.])*($D29=М[Хар-ка])*($K29=М[Прим.]),{1},($B29=М[Наим.])*($C29=М[Артикул, марка, произв.])*($D29=М[Хар-ка])*($K29=М[Прим.])),0))</f>
        <v>0</v>
      </c>
      <c r="J29" s="68">
        <f>ROUND($H$29*$I$29,2)</f>
        <v>0</v>
      </c>
      <c r="K29" s="25"/>
      <c r="L29" s="25">
        <f t="array" ref="L29">INDEX(М[Форма закупа],MATCH(1,IF(($B29=М[Наим.])*($C29=М[Артикул, марка, произв.])*($D29=М[Хар-ка])*($K29=М[Прим.]),{1},($B29=М[Наим.])*($C29=М[Артикул, марка, произв.])*($D29=М[Хар-ка])*($K29=М[Прим.])),0))</f>
        <v>0</v>
      </c>
    </row>
    <row r="30" spans="1:12" ht="11.1" customHeight="1" outlineLevel="4" x14ac:dyDescent="0.2">
      <c r="A30" s="20"/>
      <c r="B30" s="14" t="s">
        <v>22</v>
      </c>
      <c r="C30" s="21"/>
      <c r="D30" s="21"/>
      <c r="E30" s="21"/>
      <c r="F30" s="21"/>
      <c r="G30" s="21"/>
      <c r="H30" s="21"/>
      <c r="I30" s="57"/>
      <c r="J30" s="69">
        <f>SUM($J$31)</f>
        <v>0</v>
      </c>
      <c r="K30" s="18"/>
      <c r="L30" s="22"/>
    </row>
    <row r="31" spans="1:12" ht="11.1" customHeight="1" outlineLevel="4" x14ac:dyDescent="0.2">
      <c r="A31" s="23"/>
      <c r="B31" s="24" t="s">
        <v>51</v>
      </c>
      <c r="C31" s="25"/>
      <c r="D31" s="25"/>
      <c r="E31" s="26" t="s">
        <v>24</v>
      </c>
      <c r="F31" s="27"/>
      <c r="G31" s="28">
        <v>6</v>
      </c>
      <c r="H31" s="28">
        <f>SUM($G$31:$G$31)</f>
        <v>6</v>
      </c>
      <c r="I31" s="59">
        <f t="array" ref="I31">INDEX(Р[Цена за ед., руб],MATCH(1,IF(($B31=Р[Наименование])*($K31=Р[Примечание]),{1},($B31=Р[Наименование])*($K31=Р[Примечание])),0))</f>
        <v>0</v>
      </c>
      <c r="J31" s="68">
        <f>ROUND($H$31*$I$31,2)</f>
        <v>0</v>
      </c>
      <c r="K31" s="25"/>
      <c r="L31" s="25"/>
    </row>
    <row r="32" spans="1:12" ht="11.1" customHeight="1" outlineLevel="4" x14ac:dyDescent="0.2">
      <c r="A32" s="20"/>
      <c r="B32" s="14" t="s">
        <v>28</v>
      </c>
      <c r="C32" s="21"/>
      <c r="D32" s="21"/>
      <c r="E32" s="21"/>
      <c r="F32" s="21"/>
      <c r="G32" s="21"/>
      <c r="H32" s="21"/>
      <c r="I32" s="57"/>
      <c r="J32" s="69">
        <f>SUM($J$33)</f>
        <v>0</v>
      </c>
      <c r="K32" s="18"/>
      <c r="L32" s="22"/>
    </row>
    <row r="33" spans="1:12" ht="23.1" customHeight="1" outlineLevel="4" x14ac:dyDescent="0.2">
      <c r="A33" s="23" t="s">
        <v>29</v>
      </c>
      <c r="B33" s="24" t="s">
        <v>52</v>
      </c>
      <c r="C33" s="25" t="s">
        <v>53</v>
      </c>
      <c r="D33" s="25" t="s">
        <v>54</v>
      </c>
      <c r="E33" s="26" t="s">
        <v>24</v>
      </c>
      <c r="F33" s="27"/>
      <c r="G33" s="28">
        <v>6</v>
      </c>
      <c r="H33" s="28">
        <f>SUM($G$33:$G$33)</f>
        <v>6</v>
      </c>
      <c r="I33" s="59">
        <f t="array" ref="I33">INDEX(М[Цена за ед., руб],MATCH(1,IF(($B33=М[Наим.])*($C33=М[Артикул, марка, произв.])*($D33=М[Хар-ка])*($K33=М[Прим.]),{1},($B33=М[Наим.])*($C33=М[Артикул, марка, произв.])*($D33=М[Хар-ка])*($K33=М[Прим.])),0))</f>
        <v>0</v>
      </c>
      <c r="J33" s="68">
        <f>ROUND($H$33*$I$33,2)</f>
        <v>0</v>
      </c>
      <c r="K33" s="25"/>
      <c r="L33" s="25">
        <f t="array" ref="L33">INDEX(М[Форма закупа],MATCH(1,IF(($B33=М[Наим.])*($C33=М[Артикул, марка, произв.])*($D33=М[Хар-ка])*($K33=М[Прим.]),{1},($B33=М[Наим.])*($C33=М[Артикул, марка, произв.])*($D33=М[Хар-ка])*($K33=М[Прим.])),0))</f>
        <v>0</v>
      </c>
    </row>
    <row r="34" spans="1:12" ht="11.1" customHeight="1" outlineLevel="4" x14ac:dyDescent="0.2">
      <c r="A34" s="20"/>
      <c r="B34" s="14" t="s">
        <v>22</v>
      </c>
      <c r="C34" s="21"/>
      <c r="D34" s="21"/>
      <c r="E34" s="21"/>
      <c r="F34" s="21"/>
      <c r="G34" s="21"/>
      <c r="H34" s="21"/>
      <c r="I34" s="57"/>
      <c r="J34" s="69">
        <f>SUM($J$35)</f>
        <v>0</v>
      </c>
      <c r="K34" s="18"/>
      <c r="L34" s="22"/>
    </row>
    <row r="35" spans="1:12" ht="23.1" customHeight="1" outlineLevel="4" x14ac:dyDescent="0.2">
      <c r="A35" s="23"/>
      <c r="B35" s="24" t="s">
        <v>55</v>
      </c>
      <c r="C35" s="25"/>
      <c r="D35" s="25"/>
      <c r="E35" s="26" t="s">
        <v>24</v>
      </c>
      <c r="F35" s="27"/>
      <c r="G35" s="28">
        <v>1</v>
      </c>
      <c r="H35" s="28">
        <f>SUM($G$35:$G$35)</f>
        <v>1</v>
      </c>
      <c r="I35" s="59">
        <f t="array" ref="I35">INDEX(Р[Цена за ед., руб],MATCH(1,IF(($B35=Р[Наименование])*($K35=Р[Примечание]),{1},($B35=Р[Наименование])*($K35=Р[Примечание])),0))</f>
        <v>0</v>
      </c>
      <c r="J35" s="68">
        <f>ROUND($H$35*$I$35,2)</f>
        <v>0</v>
      </c>
      <c r="K35" s="25"/>
      <c r="L35" s="25"/>
    </row>
    <row r="36" spans="1:12" ht="11.1" customHeight="1" outlineLevel="4" x14ac:dyDescent="0.2">
      <c r="A36" s="20"/>
      <c r="B36" s="14" t="s">
        <v>28</v>
      </c>
      <c r="C36" s="21"/>
      <c r="D36" s="21"/>
      <c r="E36" s="21"/>
      <c r="F36" s="21"/>
      <c r="G36" s="21"/>
      <c r="H36" s="21"/>
      <c r="I36" s="57"/>
      <c r="J36" s="69">
        <f>SUM($J$37)</f>
        <v>0</v>
      </c>
      <c r="K36" s="18"/>
      <c r="L36" s="22"/>
    </row>
    <row r="37" spans="1:12" ht="23.1" customHeight="1" outlineLevel="4" x14ac:dyDescent="0.2">
      <c r="A37" s="23" t="s">
        <v>29</v>
      </c>
      <c r="B37" s="24" t="s">
        <v>56</v>
      </c>
      <c r="C37" s="25" t="s">
        <v>49</v>
      </c>
      <c r="D37" s="25" t="s">
        <v>57</v>
      </c>
      <c r="E37" s="26" t="s">
        <v>24</v>
      </c>
      <c r="F37" s="29">
        <v>1</v>
      </c>
      <c r="G37" s="28">
        <v>1</v>
      </c>
      <c r="H37" s="28">
        <f>SUM($G$37:$G$37)</f>
        <v>1</v>
      </c>
      <c r="I37" s="59">
        <f t="array" ref="I37">INDEX(М[Цена за ед., руб],MATCH(1,IF(($B37=М[Наим.])*($C37=М[Артикул, марка, произв.])*($D37=М[Хар-ка])*($K37=М[Прим.]),{1},($B37=М[Наим.])*($C37=М[Артикул, марка, произв.])*($D37=М[Хар-ка])*($K37=М[Прим.])),0))</f>
        <v>0</v>
      </c>
      <c r="J37" s="68">
        <f>ROUND($H$37*$I$37,2)</f>
        <v>0</v>
      </c>
      <c r="K37" s="25"/>
      <c r="L37" s="25">
        <f t="array" ref="L37">INDEX(М[Форма закупа],MATCH(1,IF(($B37=М[Наим.])*($C37=М[Артикул, марка, произв.])*($D37=М[Хар-ка])*($K37=М[Прим.]),{1},($B37=М[Наим.])*($C37=М[Артикул, марка, произв.])*($D37=М[Хар-ка])*($K37=М[Прим.])),0))</f>
        <v>0</v>
      </c>
    </row>
    <row r="38" spans="1:12" ht="11.1" customHeight="1" outlineLevel="4" x14ac:dyDescent="0.2">
      <c r="A38" s="20"/>
      <c r="B38" s="14" t="s">
        <v>22</v>
      </c>
      <c r="C38" s="21"/>
      <c r="D38" s="21"/>
      <c r="E38" s="21"/>
      <c r="F38" s="21"/>
      <c r="G38" s="21"/>
      <c r="H38" s="21"/>
      <c r="I38" s="57"/>
      <c r="J38" s="69">
        <f>SUM($J$39)</f>
        <v>0</v>
      </c>
      <c r="K38" s="18"/>
      <c r="L38" s="22"/>
    </row>
    <row r="39" spans="1:12" ht="11.1" customHeight="1" outlineLevel="4" x14ac:dyDescent="0.2">
      <c r="A39" s="23"/>
      <c r="B39" s="24" t="s">
        <v>58</v>
      </c>
      <c r="C39" s="25"/>
      <c r="D39" s="25"/>
      <c r="E39" s="26" t="s">
        <v>24</v>
      </c>
      <c r="F39" s="27"/>
      <c r="G39" s="28">
        <v>428</v>
      </c>
      <c r="H39" s="28">
        <f>SUM($G$39:$G$39)</f>
        <v>428</v>
      </c>
      <c r="I39" s="59">
        <f t="array" ref="I39">INDEX(Р[Цена за ед., руб],MATCH(1,IF(($B39=Р[Наименование])*($K39=Р[Примечание]),{1},($B39=Р[Наименование])*($K39=Р[Примечание])),0))</f>
        <v>0</v>
      </c>
      <c r="J39" s="68">
        <f>ROUND($H$39*$I$39,2)</f>
        <v>0</v>
      </c>
      <c r="K39" s="25"/>
      <c r="L39" s="25"/>
    </row>
    <row r="40" spans="1:12" ht="11.1" customHeight="1" outlineLevel="4" x14ac:dyDescent="0.2">
      <c r="A40" s="20"/>
      <c r="B40" s="14" t="s">
        <v>28</v>
      </c>
      <c r="C40" s="21"/>
      <c r="D40" s="21"/>
      <c r="E40" s="21"/>
      <c r="F40" s="21"/>
      <c r="G40" s="21"/>
      <c r="H40" s="21"/>
      <c r="I40" s="57"/>
      <c r="J40" s="69">
        <f>SUM($J$41:$J$42)</f>
        <v>0</v>
      </c>
      <c r="K40" s="18"/>
      <c r="L40" s="22"/>
    </row>
    <row r="41" spans="1:12" ht="11.1" customHeight="1" outlineLevel="4" x14ac:dyDescent="0.2">
      <c r="A41" s="23" t="s">
        <v>29</v>
      </c>
      <c r="B41" s="24" t="s">
        <v>59</v>
      </c>
      <c r="C41" s="25"/>
      <c r="D41" s="25" t="s">
        <v>60</v>
      </c>
      <c r="E41" s="26" t="s">
        <v>24</v>
      </c>
      <c r="F41" s="27"/>
      <c r="G41" s="28">
        <v>97</v>
      </c>
      <c r="H41" s="28">
        <f>SUM($G$41:$G$41)</f>
        <v>97</v>
      </c>
      <c r="I41" s="59">
        <f t="array" ref="I41">INDEX(М[Цена за ед., руб],MATCH(1,IF(($B41=М[Наим.])*($C41=М[Артикул, марка, произв.])*($D41=М[Хар-ка])*($K41=М[Прим.]),{1},($B41=М[Наим.])*($C41=М[Артикул, марка, произв.])*($D41=М[Хар-ка])*($K41=М[Прим.])),0))</f>
        <v>0</v>
      </c>
      <c r="J41" s="68">
        <f>ROUND($H$41*$I$41,2)</f>
        <v>0</v>
      </c>
      <c r="K41" s="25"/>
      <c r="L41" s="25">
        <f t="array" ref="L41">INDEX(М[Форма закупа],MATCH(1,IF(($B41=М[Наим.])*($C41=М[Артикул, марка, произв.])*($D41=М[Хар-ка])*($K41=М[Прим.]),{1},($B41=М[Наим.])*($C41=М[Артикул, марка, произв.])*($D41=М[Хар-ка])*($K41=М[Прим.])),0))</f>
        <v>0</v>
      </c>
    </row>
    <row r="42" spans="1:12" ht="11.1" customHeight="1" outlineLevel="4" x14ac:dyDescent="0.2">
      <c r="A42" s="23" t="s">
        <v>34</v>
      </c>
      <c r="B42" s="24" t="s">
        <v>59</v>
      </c>
      <c r="C42" s="25"/>
      <c r="D42" s="25" t="s">
        <v>61</v>
      </c>
      <c r="E42" s="26" t="s">
        <v>24</v>
      </c>
      <c r="F42" s="27"/>
      <c r="G42" s="28">
        <v>331</v>
      </c>
      <c r="H42" s="28">
        <f>SUM($G$42:$G$42)</f>
        <v>331</v>
      </c>
      <c r="I42" s="59">
        <f t="array" ref="I42">INDEX(М[Цена за ед., руб],MATCH(1,IF(($B42=М[Наим.])*($C42=М[Артикул, марка, произв.])*($D42=М[Хар-ка])*($K42=М[Прим.]),{1},($B42=М[Наим.])*($C42=М[Артикул, марка, произв.])*($D42=М[Хар-ка])*($K42=М[Прим.])),0))</f>
        <v>0</v>
      </c>
      <c r="J42" s="68">
        <f>ROUND($H$42*$I$42,2)</f>
        <v>0</v>
      </c>
      <c r="K42" s="25"/>
      <c r="L42" s="25">
        <f t="array" ref="L42">INDEX(М[Форма закупа],MATCH(1,IF(($B42=М[Наим.])*($C42=М[Артикул, марка, произв.])*($D42=М[Хар-ка])*($K42=М[Прим.]),{1},($B42=М[Наим.])*($C42=М[Артикул, марка, произв.])*($D42=М[Хар-ка])*($K42=М[Прим.])),0))</f>
        <v>0</v>
      </c>
    </row>
    <row r="43" spans="1:12" ht="11.1" customHeight="1" outlineLevel="4" x14ac:dyDescent="0.2">
      <c r="A43" s="20"/>
      <c r="B43" s="14" t="s">
        <v>22</v>
      </c>
      <c r="C43" s="21"/>
      <c r="D43" s="21"/>
      <c r="E43" s="21"/>
      <c r="F43" s="21"/>
      <c r="G43" s="21"/>
      <c r="H43" s="21"/>
      <c r="I43" s="57"/>
      <c r="J43" s="69">
        <f>SUM($J$44)</f>
        <v>0</v>
      </c>
      <c r="K43" s="18"/>
      <c r="L43" s="22"/>
    </row>
    <row r="44" spans="1:12" ht="11.1" customHeight="1" outlineLevel="4" x14ac:dyDescent="0.2">
      <c r="A44" s="23"/>
      <c r="B44" s="24" t="s">
        <v>62</v>
      </c>
      <c r="C44" s="25"/>
      <c r="D44" s="25"/>
      <c r="E44" s="26" t="s">
        <v>24</v>
      </c>
      <c r="F44" s="27"/>
      <c r="G44" s="28">
        <v>150</v>
      </c>
      <c r="H44" s="28">
        <f>SUM($G$44:$G$44)</f>
        <v>150</v>
      </c>
      <c r="I44" s="59">
        <f t="array" ref="I44">INDEX(Р[Цена за ед., руб],MATCH(1,IF(($B44=Р[Наименование])*($K44=Р[Примечание]),{1},($B44=Р[Наименование])*($K44=Р[Примечание])),0))</f>
        <v>0</v>
      </c>
      <c r="J44" s="68">
        <f>ROUND($H$44*$I$44,2)</f>
        <v>0</v>
      </c>
      <c r="K44" s="25"/>
      <c r="L44" s="25"/>
    </row>
    <row r="45" spans="1:12" ht="11.1" customHeight="1" outlineLevel="4" x14ac:dyDescent="0.2">
      <c r="A45" s="20"/>
      <c r="B45" s="14" t="s">
        <v>28</v>
      </c>
      <c r="C45" s="21"/>
      <c r="D45" s="21"/>
      <c r="E45" s="21"/>
      <c r="F45" s="21"/>
      <c r="G45" s="21"/>
      <c r="H45" s="21"/>
      <c r="I45" s="57"/>
      <c r="J45" s="69">
        <f>SUM($J$46:$J$47)</f>
        <v>0</v>
      </c>
      <c r="K45" s="18"/>
      <c r="L45" s="22"/>
    </row>
    <row r="46" spans="1:12" ht="23.1" customHeight="1" outlineLevel="4" x14ac:dyDescent="0.2">
      <c r="A46" s="23" t="s">
        <v>29</v>
      </c>
      <c r="B46" s="24" t="s">
        <v>63</v>
      </c>
      <c r="C46" s="25" t="s">
        <v>53</v>
      </c>
      <c r="D46" s="25" t="s">
        <v>64</v>
      </c>
      <c r="E46" s="26" t="s">
        <v>24</v>
      </c>
      <c r="F46" s="27"/>
      <c r="G46" s="28">
        <v>2</v>
      </c>
      <c r="H46" s="28">
        <f>SUM($G$46:$G$46)</f>
        <v>2</v>
      </c>
      <c r="I46" s="59">
        <f t="array" ref="I46">INDEX(М[Цена за ед., руб],MATCH(1,IF(($B46=М[Наим.])*($C46=М[Артикул, марка, произв.])*($D46=М[Хар-ка])*($K46=М[Прим.]),{1},($B46=М[Наим.])*($C46=М[Артикул, марка, произв.])*($D46=М[Хар-ка])*($K46=М[Прим.])),0))</f>
        <v>0</v>
      </c>
      <c r="J46" s="68">
        <f>ROUND($H$46*$I$46,2)</f>
        <v>0</v>
      </c>
      <c r="K46" s="25"/>
      <c r="L46" s="25">
        <f t="array" ref="L46">INDEX(М[Форма закупа],MATCH(1,IF(($B46=М[Наим.])*($C46=М[Артикул, марка, произв.])*($D46=М[Хар-ка])*($K46=М[Прим.]),{1},($B46=М[Наим.])*($C46=М[Артикул, марка, произв.])*($D46=М[Хар-ка])*($K46=М[Прим.])),0))</f>
        <v>0</v>
      </c>
    </row>
    <row r="47" spans="1:12" ht="23.1" customHeight="1" outlineLevel="4" x14ac:dyDescent="0.2">
      <c r="A47" s="23" t="s">
        <v>34</v>
      </c>
      <c r="B47" s="24" t="s">
        <v>63</v>
      </c>
      <c r="C47" s="25" t="s">
        <v>53</v>
      </c>
      <c r="D47" s="25" t="s">
        <v>65</v>
      </c>
      <c r="E47" s="26" t="s">
        <v>24</v>
      </c>
      <c r="F47" s="27"/>
      <c r="G47" s="28">
        <v>148</v>
      </c>
      <c r="H47" s="28">
        <f>SUM($G$47:$G$47)</f>
        <v>148</v>
      </c>
      <c r="I47" s="59">
        <f t="array" ref="I47">INDEX(М[Цена за ед., руб],MATCH(1,IF(($B47=М[Наим.])*($C47=М[Артикул, марка, произв.])*($D47=М[Хар-ка])*($K47=М[Прим.]),{1},($B47=М[Наим.])*($C47=М[Артикул, марка, произв.])*($D47=М[Хар-ка])*($K47=М[Прим.])),0))</f>
        <v>0</v>
      </c>
      <c r="J47" s="68">
        <f>ROUND($H$47*$I$47,2)</f>
        <v>0</v>
      </c>
      <c r="K47" s="25"/>
      <c r="L47" s="25">
        <f t="array" ref="L47">INDEX(М[Форма закупа],MATCH(1,IF(($B47=М[Наим.])*($C47=М[Артикул, марка, произв.])*($D47=М[Хар-ка])*($K47=М[Прим.]),{1},($B47=М[Наим.])*($C47=М[Артикул, марка, произв.])*($D47=М[Хар-ка])*($K47=М[Прим.])),0))</f>
        <v>0</v>
      </c>
    </row>
    <row r="48" spans="1:12" ht="11.1" customHeight="1" outlineLevel="4" x14ac:dyDescent="0.2">
      <c r="A48" s="20"/>
      <c r="B48" s="14" t="s">
        <v>22</v>
      </c>
      <c r="C48" s="21"/>
      <c r="D48" s="21"/>
      <c r="E48" s="21"/>
      <c r="F48" s="21"/>
      <c r="G48" s="21"/>
      <c r="H48" s="21"/>
      <c r="I48" s="57"/>
      <c r="J48" s="69">
        <f>SUM($J$49)</f>
        <v>0</v>
      </c>
      <c r="K48" s="18"/>
      <c r="L48" s="22"/>
    </row>
    <row r="49" spans="1:12" ht="11.1" customHeight="1" outlineLevel="4" x14ac:dyDescent="0.2">
      <c r="A49" s="23"/>
      <c r="B49" s="24" t="s">
        <v>66</v>
      </c>
      <c r="C49" s="25"/>
      <c r="D49" s="25"/>
      <c r="E49" s="26" t="s">
        <v>24</v>
      </c>
      <c r="F49" s="27"/>
      <c r="G49" s="28">
        <v>48</v>
      </c>
      <c r="H49" s="28">
        <f>SUM($G$49:$G$49)</f>
        <v>48</v>
      </c>
      <c r="I49" s="59">
        <f t="array" ref="I49">INDEX(Р[Цена за ед., руб],MATCH(1,IF(($B49=Р[Наименование])*($K49=Р[Примечание]),{1},($B49=Р[Наименование])*($K49=Р[Примечание])),0))</f>
        <v>0</v>
      </c>
      <c r="J49" s="68">
        <f>ROUND($H$49*$I$49,2)</f>
        <v>0</v>
      </c>
      <c r="K49" s="25"/>
      <c r="L49" s="25"/>
    </row>
    <row r="50" spans="1:12" ht="11.1" customHeight="1" outlineLevel="4" x14ac:dyDescent="0.2">
      <c r="A50" s="20"/>
      <c r="B50" s="14" t="s">
        <v>28</v>
      </c>
      <c r="C50" s="21"/>
      <c r="D50" s="21"/>
      <c r="E50" s="21"/>
      <c r="F50" s="21"/>
      <c r="G50" s="21"/>
      <c r="H50" s="21"/>
      <c r="I50" s="57"/>
      <c r="J50" s="69">
        <f>SUM($J$51)</f>
        <v>0</v>
      </c>
      <c r="K50" s="18"/>
      <c r="L50" s="22"/>
    </row>
    <row r="51" spans="1:12" ht="23.1" customHeight="1" outlineLevel="4" x14ac:dyDescent="0.2">
      <c r="A51" s="23" t="s">
        <v>29</v>
      </c>
      <c r="B51" s="24" t="s">
        <v>67</v>
      </c>
      <c r="C51" s="25"/>
      <c r="D51" s="25" t="s">
        <v>68</v>
      </c>
      <c r="E51" s="26" t="s">
        <v>24</v>
      </c>
      <c r="F51" s="29">
        <v>1</v>
      </c>
      <c r="G51" s="28">
        <v>48</v>
      </c>
      <c r="H51" s="28">
        <f>SUM($G$51:$G$51)</f>
        <v>48</v>
      </c>
      <c r="I51" s="59">
        <f t="array" ref="I51">INDEX(М[Цена за ед., руб],MATCH(1,IF(($B51=М[Наим.])*($C51=М[Артикул, марка, произв.])*($D51=М[Хар-ка])*($K51=М[Прим.]),{1},($B51=М[Наим.])*($C51=М[Артикул, марка, произв.])*($D51=М[Хар-ка])*($K51=М[Прим.])),0))</f>
        <v>0</v>
      </c>
      <c r="J51" s="68">
        <f>ROUND($H$51*$I$51,2)</f>
        <v>0</v>
      </c>
      <c r="K51" s="25"/>
      <c r="L51" s="25">
        <f t="array" ref="L51">INDEX(М[Форма закупа],MATCH(1,IF(($B51=М[Наим.])*($C51=М[Артикул, марка, произв.])*($D51=М[Хар-ка])*($K51=М[Прим.]),{1},($B51=М[Наим.])*($C51=М[Артикул, марка, произв.])*($D51=М[Хар-ка])*($K51=М[Прим.])),0))</f>
        <v>0</v>
      </c>
    </row>
    <row r="52" spans="1:12" ht="11.1" customHeight="1" outlineLevel="4" x14ac:dyDescent="0.2">
      <c r="A52" s="20"/>
      <c r="B52" s="14" t="s">
        <v>22</v>
      </c>
      <c r="C52" s="21"/>
      <c r="D52" s="21"/>
      <c r="E52" s="21"/>
      <c r="F52" s="21"/>
      <c r="G52" s="21"/>
      <c r="H52" s="21"/>
      <c r="I52" s="57"/>
      <c r="J52" s="69">
        <f>SUM($J$53)</f>
        <v>0</v>
      </c>
      <c r="K52" s="18"/>
      <c r="L52" s="22"/>
    </row>
    <row r="53" spans="1:12" ht="23.1" customHeight="1" outlineLevel="4" x14ac:dyDescent="0.2">
      <c r="A53" s="23"/>
      <c r="B53" s="24" t="s">
        <v>69</v>
      </c>
      <c r="C53" s="25"/>
      <c r="D53" s="25"/>
      <c r="E53" s="26" t="s">
        <v>27</v>
      </c>
      <c r="F53" s="27"/>
      <c r="G53" s="30">
        <v>1351</v>
      </c>
      <c r="H53" s="30">
        <f>SUM($G$53:$G$53)</f>
        <v>1351</v>
      </c>
      <c r="I53" s="59">
        <f t="array" ref="I53">INDEX(Р[Цена за ед., руб],MATCH(1,IF(($B53=Р[Наименование])*($K53=Р[Примечание]),{1},($B53=Р[Наименование])*($K53=Р[Примечание])),0))</f>
        <v>0</v>
      </c>
      <c r="J53" s="68">
        <f>ROUND($H$53*$I$53,2)</f>
        <v>0</v>
      </c>
      <c r="K53" s="25"/>
      <c r="L53" s="25"/>
    </row>
    <row r="54" spans="1:12" ht="11.1" customHeight="1" outlineLevel="4" x14ac:dyDescent="0.2">
      <c r="A54" s="20"/>
      <c r="B54" s="14" t="s">
        <v>28</v>
      </c>
      <c r="C54" s="21"/>
      <c r="D54" s="21"/>
      <c r="E54" s="21"/>
      <c r="F54" s="21"/>
      <c r="G54" s="21"/>
      <c r="H54" s="21"/>
      <c r="I54" s="57"/>
      <c r="J54" s="69">
        <f>SUM($J$55:$J$57)</f>
        <v>0</v>
      </c>
      <c r="K54" s="18"/>
      <c r="L54" s="22"/>
    </row>
    <row r="55" spans="1:12" ht="23.1" customHeight="1" outlineLevel="4" x14ac:dyDescent="0.2">
      <c r="A55" s="71" t="s">
        <v>29</v>
      </c>
      <c r="B55" s="24" t="s">
        <v>70</v>
      </c>
      <c r="C55" s="25" t="s">
        <v>53</v>
      </c>
      <c r="D55" s="25" t="s">
        <v>71</v>
      </c>
      <c r="E55" s="26" t="s">
        <v>33</v>
      </c>
      <c r="F55" s="29">
        <v>1</v>
      </c>
      <c r="G55" s="30">
        <v>1161</v>
      </c>
      <c r="H55" s="30">
        <f>SUM($G$55:$G$55)</f>
        <v>1161</v>
      </c>
      <c r="I55" s="59">
        <f t="array" ref="I55">INDEX(М[Цена за ед., руб],MATCH(1,IF(($B55=М[Наим.])*($C55=М[Артикул, марка, произв.])*($D55=М[Хар-ка])*($K55=М[Прим.]),{1},($B55=М[Наим.])*($C55=М[Артикул, марка, произв.])*($D55=М[Хар-ка])*($K55=М[Прим.])),0))</f>
        <v>0</v>
      </c>
      <c r="J55" s="68">
        <f>ROUND($H$55*$I$55,2)</f>
        <v>0</v>
      </c>
      <c r="K55" s="25"/>
      <c r="L55" s="25">
        <f t="array" ref="L55">INDEX(М[Форма закупа],MATCH(1,IF(($B55=М[Наим.])*($C55=М[Артикул, марка, произв.])*($D55=М[Хар-ка])*($K55=М[Прим.]),{1},($B55=М[Наим.])*($C55=М[Артикул, марка, произв.])*($D55=М[Хар-ка])*($K55=М[Прим.])),0))</f>
        <v>0</v>
      </c>
    </row>
    <row r="56" spans="1:12" ht="23.1" customHeight="1" outlineLevel="4" x14ac:dyDescent="0.2">
      <c r="A56" s="71" t="s">
        <v>34</v>
      </c>
      <c r="B56" s="24" t="s">
        <v>70</v>
      </c>
      <c r="C56" s="25" t="s">
        <v>53</v>
      </c>
      <c r="D56" s="25" t="s">
        <v>72</v>
      </c>
      <c r="E56" s="26" t="s">
        <v>33</v>
      </c>
      <c r="F56" s="29">
        <v>1</v>
      </c>
      <c r="G56" s="28">
        <v>20</v>
      </c>
      <c r="H56" s="28">
        <f>SUM($G$56:$G$56)</f>
        <v>20</v>
      </c>
      <c r="I56" s="59">
        <f t="array" ref="I56">INDEX(М[Цена за ед., руб],MATCH(1,IF(($B56=М[Наим.])*($C56=М[Артикул, марка, произв.])*($D56=М[Хар-ка])*($K56=М[Прим.]),{1},($B56=М[Наим.])*($C56=М[Артикул, марка, произв.])*($D56=М[Хар-ка])*($K56=М[Прим.])),0))</f>
        <v>0</v>
      </c>
      <c r="J56" s="68">
        <f>ROUND($H$56*$I$56,2)</f>
        <v>0</v>
      </c>
      <c r="K56" s="25"/>
      <c r="L56" s="25">
        <f t="array" ref="L56">INDEX(М[Форма закупа],MATCH(1,IF(($B56=М[Наим.])*($C56=М[Артикул, марка, произв.])*($D56=М[Хар-ка])*($K56=М[Прим.]),{1},($B56=М[Наим.])*($C56=М[Артикул, марка, произв.])*($D56=М[Хар-ка])*($K56=М[Прим.])),0))</f>
        <v>0</v>
      </c>
    </row>
    <row r="57" spans="1:12" ht="11.1" customHeight="1" outlineLevel="4" x14ac:dyDescent="0.2">
      <c r="A57" s="71" t="s">
        <v>38</v>
      </c>
      <c r="B57" s="24" t="s">
        <v>70</v>
      </c>
      <c r="C57" s="25" t="s">
        <v>53</v>
      </c>
      <c r="D57" s="25" t="s">
        <v>73</v>
      </c>
      <c r="E57" s="26" t="s">
        <v>33</v>
      </c>
      <c r="F57" s="27"/>
      <c r="G57" s="28">
        <v>170</v>
      </c>
      <c r="H57" s="28">
        <f>SUM($G$57:$G$57)</f>
        <v>170</v>
      </c>
      <c r="I57" s="59">
        <f t="array" ref="I57">INDEX(М[Цена за ед., руб],MATCH(1,IF(($B57=М[Наим.])*($C57=М[Артикул, марка, произв.])*($D57=М[Хар-ка])*($K57=М[Прим.]),{1},($B57=М[Наим.])*($C57=М[Артикул, марка, произв.])*($D57=М[Хар-ка])*($K57=М[Прим.])),0))</f>
        <v>0</v>
      </c>
      <c r="J57" s="68">
        <f>ROUND($H$57*$I$57,2)</f>
        <v>0</v>
      </c>
      <c r="K57" s="25"/>
      <c r="L57" s="25">
        <f t="array" ref="L57">INDEX(М[Форма закупа],MATCH(1,IF(($B57=М[Наим.])*($C57=М[Артикул, марка, произв.])*($D57=М[Хар-ка])*($K57=М[Прим.]),{1},($B57=М[Наим.])*($C57=М[Артикул, марка, произв.])*($D57=М[Хар-ка])*($K57=М[Прим.])),0))</f>
        <v>0</v>
      </c>
    </row>
    <row r="58" spans="1:12" ht="11.1" customHeight="1" outlineLevel="4" x14ac:dyDescent="0.2">
      <c r="A58" s="20"/>
      <c r="B58" s="14" t="s">
        <v>22</v>
      </c>
      <c r="C58" s="21"/>
      <c r="D58" s="21"/>
      <c r="E58" s="21"/>
      <c r="F58" s="21"/>
      <c r="G58" s="21"/>
      <c r="H58" s="21"/>
      <c r="I58" s="57"/>
      <c r="J58" s="69">
        <f>SUM($J$59)</f>
        <v>0</v>
      </c>
      <c r="K58" s="18"/>
      <c r="L58" s="22"/>
    </row>
    <row r="59" spans="1:12" ht="11.1" customHeight="1" outlineLevel="4" x14ac:dyDescent="0.2">
      <c r="A59" s="23"/>
      <c r="B59" s="24" t="s">
        <v>74</v>
      </c>
      <c r="C59" s="25"/>
      <c r="D59" s="25"/>
      <c r="E59" s="26" t="s">
        <v>27</v>
      </c>
      <c r="F59" s="27"/>
      <c r="G59" s="28">
        <v>8</v>
      </c>
      <c r="H59" s="28">
        <f>SUM($G$59:$G$59)</f>
        <v>8</v>
      </c>
      <c r="I59" s="59">
        <f t="array" ref="I59">INDEX(Р[Цена за ед., руб],MATCH(1,IF(($B59=Р[Наименование])*($K59=Р[Примечание]),{1},($B59=Р[Наименование])*($K59=Р[Примечание])),0))</f>
        <v>0</v>
      </c>
      <c r="J59" s="68">
        <f>ROUND($H$59*$I$59,2)</f>
        <v>0</v>
      </c>
      <c r="K59" s="25"/>
      <c r="L59" s="25"/>
    </row>
    <row r="60" spans="1:12" ht="11.1" customHeight="1" outlineLevel="4" x14ac:dyDescent="0.2">
      <c r="A60" s="20"/>
      <c r="B60" s="14" t="s">
        <v>28</v>
      </c>
      <c r="C60" s="21"/>
      <c r="D60" s="21"/>
      <c r="E60" s="21"/>
      <c r="F60" s="21"/>
      <c r="G60" s="21"/>
      <c r="H60" s="21"/>
      <c r="I60" s="57"/>
      <c r="J60" s="69">
        <f>SUM($J$61)</f>
        <v>0</v>
      </c>
      <c r="K60" s="18"/>
      <c r="L60" s="22"/>
    </row>
    <row r="61" spans="1:12" ht="35.1" customHeight="1" outlineLevel="4" x14ac:dyDescent="0.2">
      <c r="A61" s="71" t="s">
        <v>29</v>
      </c>
      <c r="B61" s="24" t="s">
        <v>75</v>
      </c>
      <c r="C61" s="25" t="s">
        <v>53</v>
      </c>
      <c r="D61" s="25" t="s">
        <v>76</v>
      </c>
      <c r="E61" s="26" t="s">
        <v>33</v>
      </c>
      <c r="F61" s="29">
        <v>1</v>
      </c>
      <c r="G61" s="28">
        <v>8</v>
      </c>
      <c r="H61" s="28">
        <f>SUM($G$61:$G$61)</f>
        <v>8</v>
      </c>
      <c r="I61" s="59">
        <f t="array" ref="I61">INDEX(М[Цена за ед., руб],MATCH(1,IF(($B61=М[Наим.])*($C61=М[Артикул, марка, произв.])*($D61=М[Хар-ка])*($K61=М[Прим.]),{1},($B61=М[Наим.])*($C61=М[Артикул, марка, произв.])*($D61=М[Хар-ка])*($K61=М[Прим.])),0))</f>
        <v>0</v>
      </c>
      <c r="J61" s="68">
        <f>ROUND($H$61*$I$61,2)</f>
        <v>0</v>
      </c>
      <c r="K61" s="25"/>
      <c r="L61" s="25">
        <f t="array" ref="L61">INDEX(М[Форма закупа],MATCH(1,IF(($B61=М[Наим.])*($C61=М[Артикул, марка, произв.])*($D61=М[Хар-ка])*($K61=М[Прим.]),{1},($B61=М[Наим.])*($C61=М[Артикул, марка, произв.])*($D61=М[Хар-ка])*($K61=М[Прим.])),0))</f>
        <v>0</v>
      </c>
    </row>
    <row r="62" spans="1:12" ht="11.1" customHeight="1" outlineLevel="4" x14ac:dyDescent="0.2">
      <c r="A62" s="20"/>
      <c r="B62" s="14" t="s">
        <v>22</v>
      </c>
      <c r="C62" s="21"/>
      <c r="D62" s="21"/>
      <c r="E62" s="21"/>
      <c r="F62" s="21"/>
      <c r="G62" s="21"/>
      <c r="H62" s="21"/>
      <c r="I62" s="57"/>
      <c r="J62" s="69">
        <f>SUM($J$63)</f>
        <v>0</v>
      </c>
      <c r="K62" s="18"/>
      <c r="L62" s="22"/>
    </row>
    <row r="63" spans="1:12" ht="11.1" customHeight="1" outlineLevel="4" x14ac:dyDescent="0.2">
      <c r="A63" s="23"/>
      <c r="B63" s="24" t="s">
        <v>77</v>
      </c>
      <c r="C63" s="25"/>
      <c r="D63" s="25"/>
      <c r="E63" s="26" t="s">
        <v>27</v>
      </c>
      <c r="F63" s="27"/>
      <c r="G63" s="31">
        <v>32.5</v>
      </c>
      <c r="H63" s="31">
        <f>SUM($G$63:$G$63)</f>
        <v>32.5</v>
      </c>
      <c r="I63" s="59">
        <f t="array" ref="I63">INDEX(Р[Цена за ед., руб],MATCH(1,IF(($B63=Р[Наименование])*($K63=Р[Примечание]),{1},($B63=Р[Наименование])*($K63=Р[Примечание])),0))</f>
        <v>0</v>
      </c>
      <c r="J63" s="68">
        <f>ROUND($H$63*$I$63,2)</f>
        <v>0</v>
      </c>
      <c r="K63" s="25"/>
      <c r="L63" s="25"/>
    </row>
    <row r="64" spans="1:12" ht="11.1" customHeight="1" outlineLevel="4" x14ac:dyDescent="0.2">
      <c r="A64" s="20"/>
      <c r="B64" s="14" t="s">
        <v>28</v>
      </c>
      <c r="C64" s="21"/>
      <c r="D64" s="21"/>
      <c r="E64" s="21"/>
      <c r="F64" s="21"/>
      <c r="G64" s="21"/>
      <c r="H64" s="21"/>
      <c r="I64" s="57"/>
      <c r="J64" s="69">
        <f>SUM($J$65)</f>
        <v>0</v>
      </c>
      <c r="K64" s="18"/>
      <c r="L64" s="22"/>
    </row>
    <row r="65" spans="1:12" ht="35.1" customHeight="1" outlineLevel="4" x14ac:dyDescent="0.2">
      <c r="A65" s="71" t="s">
        <v>29</v>
      </c>
      <c r="B65" s="24" t="s">
        <v>78</v>
      </c>
      <c r="C65" s="25"/>
      <c r="D65" s="25" t="s">
        <v>79</v>
      </c>
      <c r="E65" s="26" t="s">
        <v>33</v>
      </c>
      <c r="F65" s="27"/>
      <c r="G65" s="31">
        <v>32.5</v>
      </c>
      <c r="H65" s="31">
        <f>SUM($G$65:$G$65)</f>
        <v>32.5</v>
      </c>
      <c r="I65" s="59">
        <f t="array" ref="I65">INDEX(М[Цена за ед., руб],MATCH(1,IF(($B65=М[Наим.])*($C65=М[Артикул, марка, произв.])*($D65=М[Хар-ка])*($K65=М[Прим.]),{1},($B65=М[Наим.])*($C65=М[Артикул, марка, произв.])*($D65=М[Хар-ка])*($K65=М[Прим.])),0))</f>
        <v>0</v>
      </c>
      <c r="J65" s="68">
        <f>ROUND($H$65*$I$65,2)</f>
        <v>0</v>
      </c>
      <c r="K65" s="25"/>
      <c r="L65" s="25">
        <f t="array" ref="L65">INDEX(М[Форма закупа],MATCH(1,IF(($B65=М[Наим.])*($C65=М[Артикул, марка, произв.])*($D65=М[Хар-ка])*($K65=М[Прим.]),{1},($B65=М[Наим.])*($C65=М[Артикул, марка, произв.])*($D65=М[Хар-ка])*($K65=М[Прим.])),0))</f>
        <v>0</v>
      </c>
    </row>
    <row r="66" spans="1:12" ht="11.1" customHeight="1" outlineLevel="2" x14ac:dyDescent="0.2">
      <c r="A66" s="13" t="s">
        <v>81</v>
      </c>
      <c r="B66" s="14" t="s">
        <v>82</v>
      </c>
      <c r="C66" s="15"/>
      <c r="D66" s="15"/>
      <c r="E66" s="16"/>
      <c r="F66" s="17"/>
      <c r="G66" s="18"/>
      <c r="H66" s="18"/>
      <c r="I66" s="56"/>
      <c r="J66" s="70">
        <f>SUM($J$67)</f>
        <v>0</v>
      </c>
      <c r="K66" s="19"/>
      <c r="L66" s="19"/>
    </row>
    <row r="67" spans="1:12" ht="11.1" customHeight="1" outlineLevel="3" x14ac:dyDescent="0.2">
      <c r="A67" s="13" t="s">
        <v>83</v>
      </c>
      <c r="B67" s="14" t="s">
        <v>82</v>
      </c>
      <c r="C67" s="15"/>
      <c r="D67" s="15"/>
      <c r="E67" s="16"/>
      <c r="F67" s="17"/>
      <c r="G67" s="18"/>
      <c r="H67" s="18"/>
      <c r="I67" s="56"/>
      <c r="J67" s="70">
        <f>SUM($J$90,$J$88,$J$85,$J$83,$J$81,$J$79,$J$77,$J$75,$J$72,$J$70,$J$68)</f>
        <v>0</v>
      </c>
      <c r="K67" s="19"/>
      <c r="L67" s="19"/>
    </row>
    <row r="68" spans="1:12" ht="11.1" customHeight="1" outlineLevel="4" x14ac:dyDescent="0.2">
      <c r="A68" s="20"/>
      <c r="B68" s="14" t="s">
        <v>22</v>
      </c>
      <c r="C68" s="21"/>
      <c r="D68" s="21"/>
      <c r="E68" s="21"/>
      <c r="F68" s="21"/>
      <c r="G68" s="21"/>
      <c r="H68" s="21"/>
      <c r="I68" s="57"/>
      <c r="J68" s="69">
        <f>SUM($J$69)</f>
        <v>0</v>
      </c>
      <c r="K68" s="18"/>
      <c r="L68" s="22"/>
    </row>
    <row r="69" spans="1:12" ht="11.1" customHeight="1" outlineLevel="4" x14ac:dyDescent="0.2">
      <c r="A69" s="23"/>
      <c r="B69" s="24" t="s">
        <v>84</v>
      </c>
      <c r="C69" s="25"/>
      <c r="D69" s="25"/>
      <c r="E69" s="26" t="s">
        <v>24</v>
      </c>
      <c r="F69" s="27"/>
      <c r="G69" s="28">
        <v>100</v>
      </c>
      <c r="H69" s="28">
        <f>SUM($G$69:$G$69)</f>
        <v>100</v>
      </c>
      <c r="I69" s="59">
        <f t="array" ref="I69">INDEX(Р[Цена за ед., руб],MATCH(1,IF(($B69=Р[Наименование])*($K69=Р[Примечание]),{1},($B69=Р[Наименование])*($K69=Р[Примечание])),0))</f>
        <v>0</v>
      </c>
      <c r="J69" s="68">
        <f>ROUND($H$69*$I$69,2)</f>
        <v>0</v>
      </c>
      <c r="K69" s="25"/>
      <c r="L69" s="25"/>
    </row>
    <row r="70" spans="1:12" ht="11.1" customHeight="1" outlineLevel="4" x14ac:dyDescent="0.2">
      <c r="A70" s="20"/>
      <c r="B70" s="14" t="s">
        <v>22</v>
      </c>
      <c r="C70" s="21"/>
      <c r="D70" s="21"/>
      <c r="E70" s="21"/>
      <c r="F70" s="21"/>
      <c r="G70" s="21"/>
      <c r="H70" s="21"/>
      <c r="I70" s="57"/>
      <c r="J70" s="69">
        <f>SUM($J$71)</f>
        <v>0</v>
      </c>
      <c r="K70" s="18"/>
      <c r="L70" s="22"/>
    </row>
    <row r="71" spans="1:12" ht="11.1" customHeight="1" outlineLevel="4" x14ac:dyDescent="0.2">
      <c r="A71" s="23"/>
      <c r="B71" s="24" t="s">
        <v>26</v>
      </c>
      <c r="C71" s="25"/>
      <c r="D71" s="25"/>
      <c r="E71" s="26" t="s">
        <v>27</v>
      </c>
      <c r="F71" s="27"/>
      <c r="G71" s="28">
        <v>53</v>
      </c>
      <c r="H71" s="28">
        <f>SUM($G$71:$G$71)</f>
        <v>53</v>
      </c>
      <c r="I71" s="59">
        <f t="array" ref="I71">INDEX(Р[Цена за ед., руб],MATCH(1,IF(($B71=Р[Наименование])*($K71=Р[Примечание]),{1},($B71=Р[Наименование])*($K71=Р[Примечание])),0))</f>
        <v>0</v>
      </c>
      <c r="J71" s="68">
        <f>ROUND($H$71*$I$71,2)</f>
        <v>0</v>
      </c>
      <c r="K71" s="25"/>
      <c r="L71" s="25"/>
    </row>
    <row r="72" spans="1:12" ht="11.1" customHeight="1" outlineLevel="4" x14ac:dyDescent="0.2">
      <c r="A72" s="20"/>
      <c r="B72" s="14" t="s">
        <v>28</v>
      </c>
      <c r="C72" s="21"/>
      <c r="D72" s="21"/>
      <c r="E72" s="21"/>
      <c r="F72" s="21"/>
      <c r="G72" s="21"/>
      <c r="H72" s="21"/>
      <c r="I72" s="57"/>
      <c r="J72" s="69">
        <f>SUM($J$73:$J$74)</f>
        <v>0</v>
      </c>
      <c r="K72" s="18"/>
      <c r="L72" s="22"/>
    </row>
    <row r="73" spans="1:12" ht="11.1" customHeight="1" outlineLevel="4" x14ac:dyDescent="0.2">
      <c r="A73" s="23" t="s">
        <v>29</v>
      </c>
      <c r="B73" s="24" t="s">
        <v>35</v>
      </c>
      <c r="C73" s="25" t="s">
        <v>36</v>
      </c>
      <c r="D73" s="25" t="s">
        <v>85</v>
      </c>
      <c r="E73" s="26" t="s">
        <v>33</v>
      </c>
      <c r="F73" s="27"/>
      <c r="G73" s="28">
        <v>20</v>
      </c>
      <c r="H73" s="28">
        <f>SUM($G$73:$G$73)</f>
        <v>20</v>
      </c>
      <c r="I73" s="59">
        <f t="array" ref="I73">INDEX(М[Цена за ед., руб],MATCH(1,IF(($B73=М[Наим.])*($C73=М[Артикул, марка, произв.])*($D73=М[Хар-ка])*($K73=М[Прим.]),{1},($B73=М[Наим.])*($C73=М[Артикул, марка, произв.])*($D73=М[Хар-ка])*($K73=М[Прим.])),0))</f>
        <v>0</v>
      </c>
      <c r="J73" s="68">
        <f>ROUND($H$73*$I$73,2)</f>
        <v>0</v>
      </c>
      <c r="K73" s="25"/>
      <c r="L73" s="25">
        <f t="array" ref="L73">INDEX(М[Форма закупа],MATCH(1,IF(($B73=М[Наим.])*($C73=М[Артикул, марка, произв.])*($D73=М[Хар-ка])*($K73=М[Прим.]),{1},($B73=М[Наим.])*($C73=М[Артикул, марка, произв.])*($D73=М[Хар-ка])*($K73=М[Прим.])),0))</f>
        <v>0</v>
      </c>
    </row>
    <row r="74" spans="1:12" ht="59.1" customHeight="1" outlineLevel="4" x14ac:dyDescent="0.2">
      <c r="A74" s="23" t="s">
        <v>34</v>
      </c>
      <c r="B74" s="24" t="s">
        <v>39</v>
      </c>
      <c r="C74" s="25" t="s">
        <v>31</v>
      </c>
      <c r="D74" s="25" t="s">
        <v>40</v>
      </c>
      <c r="E74" s="26" t="s">
        <v>33</v>
      </c>
      <c r="F74" s="27"/>
      <c r="G74" s="28">
        <v>33</v>
      </c>
      <c r="H74" s="28">
        <f>SUM($G$74:$G$74)</f>
        <v>33</v>
      </c>
      <c r="I74" s="59">
        <f t="array" ref="I74">INDEX(М[Цена за ед., руб],MATCH(1,IF(($B74=М[Наим.])*($C74=М[Артикул, марка, произв.])*($D74=М[Хар-ка])*($K74=М[Прим.]),{1},($B74=М[Наим.])*($C74=М[Артикул, марка, произв.])*($D74=М[Хар-ка])*($K74=М[Прим.])),0))</f>
        <v>0</v>
      </c>
      <c r="J74" s="68">
        <f>ROUND($H$74*$I$74,2)</f>
        <v>0</v>
      </c>
      <c r="K74" s="25" t="s">
        <v>86</v>
      </c>
      <c r="L74" s="25">
        <f t="array" ref="L74">INDEX(М[Форма закупа],MATCH(1,IF(($B74=М[Наим.])*($C74=М[Артикул, марка, произв.])*($D74=М[Хар-ка])*($K74=М[Прим.]),{1},($B74=М[Наим.])*($C74=М[Артикул, марка, произв.])*($D74=М[Хар-ка])*($K74=М[Прим.])),0))</f>
        <v>0</v>
      </c>
    </row>
    <row r="75" spans="1:12" ht="11.1" customHeight="1" outlineLevel="4" x14ac:dyDescent="0.2">
      <c r="A75" s="20"/>
      <c r="B75" s="14" t="s">
        <v>22</v>
      </c>
      <c r="C75" s="21"/>
      <c r="D75" s="21"/>
      <c r="E75" s="21"/>
      <c r="F75" s="21"/>
      <c r="G75" s="21"/>
      <c r="H75" s="21"/>
      <c r="I75" s="57"/>
      <c r="J75" s="69">
        <f>SUM($J$76)</f>
        <v>0</v>
      </c>
      <c r="K75" s="18"/>
      <c r="L75" s="22"/>
    </row>
    <row r="76" spans="1:12" ht="11.1" customHeight="1" outlineLevel="4" x14ac:dyDescent="0.2">
      <c r="A76" s="23"/>
      <c r="B76" s="24" t="s">
        <v>42</v>
      </c>
      <c r="C76" s="25"/>
      <c r="D76" s="25"/>
      <c r="E76" s="26" t="s">
        <v>43</v>
      </c>
      <c r="F76" s="27"/>
      <c r="G76" s="28">
        <v>20</v>
      </c>
      <c r="H76" s="28">
        <f>SUM($G$76:$G$76)</f>
        <v>20</v>
      </c>
      <c r="I76" s="59">
        <f t="array" ref="I76">INDEX(Р[Цена за ед., руб],MATCH(1,IF(($B76=Р[Наименование])*($K76=Р[Примечание]),{1},($B76=Р[Наименование])*($K76=Р[Примечание])),0))</f>
        <v>0</v>
      </c>
      <c r="J76" s="68">
        <f>ROUND($H$76*$I$76,2)</f>
        <v>0</v>
      </c>
      <c r="K76" s="25"/>
      <c r="L76" s="25"/>
    </row>
    <row r="77" spans="1:12" ht="11.1" customHeight="1" outlineLevel="4" x14ac:dyDescent="0.2">
      <c r="A77" s="20"/>
      <c r="B77" s="14" t="s">
        <v>28</v>
      </c>
      <c r="C77" s="21"/>
      <c r="D77" s="21"/>
      <c r="E77" s="21"/>
      <c r="F77" s="21"/>
      <c r="G77" s="21"/>
      <c r="H77" s="21"/>
      <c r="I77" s="57"/>
      <c r="J77" s="69">
        <f>SUM($J$78)</f>
        <v>0</v>
      </c>
      <c r="K77" s="18"/>
      <c r="L77" s="22"/>
    </row>
    <row r="78" spans="1:12" ht="47.1" customHeight="1" outlineLevel="4" x14ac:dyDescent="0.2">
      <c r="A78" s="23" t="s">
        <v>29</v>
      </c>
      <c r="B78" s="24" t="s">
        <v>44</v>
      </c>
      <c r="C78" s="25"/>
      <c r="D78" s="25" t="s">
        <v>87</v>
      </c>
      <c r="E78" s="26" t="s">
        <v>43</v>
      </c>
      <c r="F78" s="27"/>
      <c r="G78" s="28">
        <v>20</v>
      </c>
      <c r="H78" s="28">
        <f>SUM($G$78:$G$78)</f>
        <v>20</v>
      </c>
      <c r="I78" s="59">
        <f t="array" ref="I78">INDEX(М[Цена за ед., руб],MATCH(1,IF(($B78=М[Наим.])*($C78=М[Артикул, марка, произв.])*($D78=М[Хар-ка])*($K78=М[Прим.]),{1},($B78=М[Наим.])*($C78=М[Артикул, марка, произв.])*($D78=М[Хар-ка])*($K78=М[Прим.])),0))</f>
        <v>0</v>
      </c>
      <c r="J78" s="68">
        <f>ROUND($H$78*$I$78,2)</f>
        <v>0</v>
      </c>
      <c r="K78" s="25" t="s">
        <v>86</v>
      </c>
      <c r="L78" s="25">
        <f t="array" ref="L78">INDEX(М[Форма закупа],MATCH(1,IF(($B78=М[Наим.])*($C78=М[Артикул, марка, произв.])*($D78=М[Хар-ка])*($K78=М[Прим.]),{1},($B78=М[Наим.])*($C78=М[Артикул, марка, произв.])*($D78=М[Хар-ка])*($K78=М[Прим.])),0))</f>
        <v>0</v>
      </c>
    </row>
    <row r="79" spans="1:12" ht="11.1" customHeight="1" outlineLevel="4" x14ac:dyDescent="0.2">
      <c r="A79" s="20"/>
      <c r="B79" s="14" t="s">
        <v>22</v>
      </c>
      <c r="C79" s="21"/>
      <c r="D79" s="21"/>
      <c r="E79" s="21"/>
      <c r="F79" s="21"/>
      <c r="G79" s="21"/>
      <c r="H79" s="21"/>
      <c r="I79" s="57"/>
      <c r="J79" s="69">
        <f>SUM($J$80)</f>
        <v>0</v>
      </c>
      <c r="K79" s="18"/>
      <c r="L79" s="22"/>
    </row>
    <row r="80" spans="1:12" ht="11.1" customHeight="1" outlineLevel="4" x14ac:dyDescent="0.2">
      <c r="A80" s="23"/>
      <c r="B80" s="24" t="s">
        <v>58</v>
      </c>
      <c r="C80" s="25"/>
      <c r="D80" s="25"/>
      <c r="E80" s="26" t="s">
        <v>24</v>
      </c>
      <c r="F80" s="27"/>
      <c r="G80" s="28">
        <v>100</v>
      </c>
      <c r="H80" s="28">
        <f>SUM($G$80:$G$80)</f>
        <v>100</v>
      </c>
      <c r="I80" s="59">
        <f t="array" ref="I80">INDEX(Р[Цена за ед., руб],MATCH(1,IF(($B80=Р[Наименование])*($K80=Р[Примечание]),{1},($B80=Р[Наименование])*($K80=Р[Примечание])),0))</f>
        <v>0</v>
      </c>
      <c r="J80" s="68">
        <f>ROUND($H$80*$I$80,2)</f>
        <v>0</v>
      </c>
      <c r="K80" s="25"/>
      <c r="L80" s="25"/>
    </row>
    <row r="81" spans="1:12" ht="11.1" customHeight="1" outlineLevel="4" x14ac:dyDescent="0.2">
      <c r="A81" s="20"/>
      <c r="B81" s="14" t="s">
        <v>28</v>
      </c>
      <c r="C81" s="21"/>
      <c r="D81" s="21"/>
      <c r="E81" s="21"/>
      <c r="F81" s="21"/>
      <c r="G81" s="21"/>
      <c r="H81" s="21"/>
      <c r="I81" s="57"/>
      <c r="J81" s="69">
        <f>SUM($J$82)</f>
        <v>0</v>
      </c>
      <c r="K81" s="18"/>
      <c r="L81" s="22"/>
    </row>
    <row r="82" spans="1:12" ht="11.1" customHeight="1" outlineLevel="4" x14ac:dyDescent="0.2">
      <c r="A82" s="23" t="s">
        <v>29</v>
      </c>
      <c r="B82" s="24" t="s">
        <v>59</v>
      </c>
      <c r="C82" s="25"/>
      <c r="D82" s="25" t="s">
        <v>61</v>
      </c>
      <c r="E82" s="26" t="s">
        <v>24</v>
      </c>
      <c r="F82" s="27"/>
      <c r="G82" s="28">
        <v>100</v>
      </c>
      <c r="H82" s="28">
        <f>SUM($G$82:$G$82)</f>
        <v>100</v>
      </c>
      <c r="I82" s="59">
        <f t="array" ref="I82">INDEX(М[Цена за ед., руб],MATCH(1,IF(($B82=М[Наим.])*($C82=М[Артикул, марка, произв.])*($D82=М[Хар-ка])*($K82=М[Прим.]),{1},($B82=М[Наим.])*($C82=М[Артикул, марка, произв.])*($D82=М[Хар-ка])*($K82=М[Прим.])),0))</f>
        <v>0</v>
      </c>
      <c r="J82" s="68">
        <f>ROUND($H$82*$I$82,2)</f>
        <v>0</v>
      </c>
      <c r="K82" s="25"/>
      <c r="L82" s="25">
        <f t="array" ref="L82">INDEX(М[Форма закупа],MATCH(1,IF(($B82=М[Наим.])*($C82=М[Артикул, марка, произв.])*($D82=М[Хар-ка])*($K82=М[Прим.]),{1},($B82=М[Наим.])*($C82=М[Артикул, марка, произв.])*($D82=М[Хар-ка])*($K82=М[Прим.])),0))</f>
        <v>0</v>
      </c>
    </row>
    <row r="83" spans="1:12" ht="11.1" customHeight="1" outlineLevel="4" x14ac:dyDescent="0.2">
      <c r="A83" s="20"/>
      <c r="B83" s="14" t="s">
        <v>22</v>
      </c>
      <c r="C83" s="21"/>
      <c r="D83" s="21"/>
      <c r="E83" s="21"/>
      <c r="F83" s="21"/>
      <c r="G83" s="21"/>
      <c r="H83" s="21"/>
      <c r="I83" s="57"/>
      <c r="J83" s="69">
        <f>SUM($J$84)</f>
        <v>0</v>
      </c>
      <c r="K83" s="18"/>
      <c r="L83" s="22"/>
    </row>
    <row r="84" spans="1:12" ht="11.1" customHeight="1" outlineLevel="4" x14ac:dyDescent="0.2">
      <c r="A84" s="23"/>
      <c r="B84" s="24" t="s">
        <v>62</v>
      </c>
      <c r="C84" s="25"/>
      <c r="D84" s="25"/>
      <c r="E84" s="26" t="s">
        <v>24</v>
      </c>
      <c r="F84" s="27"/>
      <c r="G84" s="28">
        <v>16</v>
      </c>
      <c r="H84" s="28">
        <f>SUM($G$84:$G$84)</f>
        <v>16</v>
      </c>
      <c r="I84" s="59">
        <f t="array" ref="I84">INDEX(Р[Цена за ед., руб],MATCH(1,IF(($B84=Р[Наименование])*($K84=Р[Примечание]),{1},($B84=Р[Наименование])*($K84=Р[Примечание])),0))</f>
        <v>0</v>
      </c>
      <c r="J84" s="68">
        <f>ROUND($H$84*$I$84,2)</f>
        <v>0</v>
      </c>
      <c r="K84" s="25"/>
      <c r="L84" s="25"/>
    </row>
    <row r="85" spans="1:12" ht="11.1" customHeight="1" outlineLevel="4" x14ac:dyDescent="0.2">
      <c r="A85" s="20"/>
      <c r="B85" s="14" t="s">
        <v>28</v>
      </c>
      <c r="C85" s="21"/>
      <c r="D85" s="21"/>
      <c r="E85" s="21"/>
      <c r="F85" s="21"/>
      <c r="G85" s="21"/>
      <c r="H85" s="21"/>
      <c r="I85" s="57"/>
      <c r="J85" s="69">
        <f>SUM($J$86:$J$87)</f>
        <v>0</v>
      </c>
      <c r="K85" s="18"/>
      <c r="L85" s="22"/>
    </row>
    <row r="86" spans="1:12" ht="35.1" customHeight="1" outlineLevel="4" x14ac:dyDescent="0.2">
      <c r="A86" s="23" t="s">
        <v>29</v>
      </c>
      <c r="B86" s="24" t="s">
        <v>63</v>
      </c>
      <c r="C86" s="25"/>
      <c r="D86" s="25" t="s">
        <v>88</v>
      </c>
      <c r="E86" s="26" t="s">
        <v>24</v>
      </c>
      <c r="F86" s="27"/>
      <c r="G86" s="28">
        <v>8</v>
      </c>
      <c r="H86" s="28">
        <f>SUM($G$86:$G$86)</f>
        <v>8</v>
      </c>
      <c r="I86" s="59">
        <f t="array" ref="I86">INDEX(М[Цена за ед., руб],MATCH(1,IF(($B86=М[Наим.])*($C86=М[Артикул, марка, произв.])*($D86=М[Хар-ка])*($K86=М[Прим.]),{1},($B86=М[Наим.])*($C86=М[Артикул, марка, произв.])*($D86=М[Хар-ка])*($K86=М[Прим.])),0))</f>
        <v>0</v>
      </c>
      <c r="J86" s="68">
        <f>ROUND($H$86*$I$86,2)</f>
        <v>0</v>
      </c>
      <c r="K86" s="25" t="s">
        <v>89</v>
      </c>
      <c r="L86" s="25">
        <f t="array" ref="L86">INDEX(М[Форма закупа],MATCH(1,IF(($B86=М[Наим.])*($C86=М[Артикул, марка, произв.])*($D86=М[Хар-ка])*($K86=М[Прим.]),{1},($B86=М[Наим.])*($C86=М[Артикул, марка, произв.])*($D86=М[Хар-ка])*($K86=М[Прим.])),0))</f>
        <v>0</v>
      </c>
    </row>
    <row r="87" spans="1:12" ht="11.1" customHeight="1" outlineLevel="4" x14ac:dyDescent="0.2">
      <c r="A87" s="23" t="s">
        <v>34</v>
      </c>
      <c r="B87" s="24" t="s">
        <v>63</v>
      </c>
      <c r="C87" s="25"/>
      <c r="D87" s="25" t="s">
        <v>90</v>
      </c>
      <c r="E87" s="26" t="s">
        <v>24</v>
      </c>
      <c r="F87" s="27"/>
      <c r="G87" s="28">
        <v>8</v>
      </c>
      <c r="H87" s="28">
        <f>SUM($G$87:$G$87)</f>
        <v>8</v>
      </c>
      <c r="I87" s="59">
        <f t="array" ref="I87">INDEX(М[Цена за ед., руб],MATCH(1,IF(($B87=М[Наим.])*($C87=М[Артикул, марка, произв.])*($D87=М[Хар-ка])*($K87=М[Прим.]),{1},($B87=М[Наим.])*($C87=М[Артикул, марка, произв.])*($D87=М[Хар-ка])*($K87=М[Прим.])),0))</f>
        <v>0</v>
      </c>
      <c r="J87" s="68">
        <f>ROUND($H$87*$I$87,2)</f>
        <v>0</v>
      </c>
      <c r="K87" s="25"/>
      <c r="L87" s="25">
        <f t="array" ref="L87">INDEX(М[Форма закупа],MATCH(1,IF(($B87=М[Наим.])*($C87=М[Артикул, марка, произв.])*($D87=М[Хар-ка])*($K87=М[Прим.]),{1},($B87=М[Наим.])*($C87=М[Артикул, марка, произв.])*($D87=М[Хар-ка])*($K87=М[Прим.])),0))</f>
        <v>0</v>
      </c>
    </row>
    <row r="88" spans="1:12" ht="11.1" customHeight="1" outlineLevel="4" x14ac:dyDescent="0.2">
      <c r="A88" s="20"/>
      <c r="B88" s="14" t="s">
        <v>22</v>
      </c>
      <c r="C88" s="21"/>
      <c r="D88" s="21"/>
      <c r="E88" s="21"/>
      <c r="F88" s="21"/>
      <c r="G88" s="21"/>
      <c r="H88" s="21"/>
      <c r="I88" s="57"/>
      <c r="J88" s="69">
        <f>SUM($J$89)</f>
        <v>0</v>
      </c>
      <c r="K88" s="18"/>
      <c r="L88" s="22"/>
    </row>
    <row r="89" spans="1:12" ht="11.1" customHeight="1" outlineLevel="4" x14ac:dyDescent="0.2">
      <c r="A89" s="23"/>
      <c r="B89" s="24" t="s">
        <v>91</v>
      </c>
      <c r="C89" s="25"/>
      <c r="D89" s="25"/>
      <c r="E89" s="26" t="s">
        <v>27</v>
      </c>
      <c r="F89" s="27"/>
      <c r="G89" s="28">
        <v>360</v>
      </c>
      <c r="H89" s="28">
        <f>SUM($G$89:$G$89)</f>
        <v>360</v>
      </c>
      <c r="I89" s="59">
        <f t="array" ref="I89">INDEX(Р[Цена за ед., руб],MATCH(1,IF(($B89=Р[Наименование])*($K89=Р[Примечание]),{1},($B89=Р[Наименование])*($K89=Р[Примечание])),0))</f>
        <v>0</v>
      </c>
      <c r="J89" s="68">
        <f>ROUND($H$89*$I$89,2)</f>
        <v>0</v>
      </c>
      <c r="K89" s="25"/>
      <c r="L89" s="25"/>
    </row>
    <row r="90" spans="1:12" ht="11.1" customHeight="1" outlineLevel="4" x14ac:dyDescent="0.2">
      <c r="A90" s="20"/>
      <c r="B90" s="14" t="s">
        <v>28</v>
      </c>
      <c r="C90" s="21"/>
      <c r="D90" s="21"/>
      <c r="E90" s="21"/>
      <c r="F90" s="21"/>
      <c r="G90" s="21"/>
      <c r="H90" s="21"/>
      <c r="I90" s="57"/>
      <c r="J90" s="69">
        <f>SUM($J$91)</f>
        <v>0</v>
      </c>
      <c r="K90" s="18"/>
      <c r="L90" s="22"/>
    </row>
    <row r="91" spans="1:12" ht="23.1" customHeight="1" outlineLevel="4" x14ac:dyDescent="0.2">
      <c r="A91" s="71" t="s">
        <v>29</v>
      </c>
      <c r="B91" s="24" t="s">
        <v>92</v>
      </c>
      <c r="C91" s="25"/>
      <c r="D91" s="25" t="s">
        <v>93</v>
      </c>
      <c r="E91" s="26" t="s">
        <v>33</v>
      </c>
      <c r="F91" s="27"/>
      <c r="G91" s="28">
        <v>360</v>
      </c>
      <c r="H91" s="28">
        <f>SUM($G$91:$G$91)</f>
        <v>360</v>
      </c>
      <c r="I91" s="59">
        <f t="array" ref="I91">INDEX(М[Цена за ед., руб],MATCH(1,IF(($B91=М[Наим.])*($C91=М[Артикул, марка, произв.])*($D91=М[Хар-ка])*($K91=М[Прим.]),{1},($B91=М[Наим.])*($C91=М[Артикул, марка, произв.])*($D91=М[Хар-ка])*($K91=М[Прим.])),0))</f>
        <v>0</v>
      </c>
      <c r="J91" s="68">
        <f>ROUND($H$91*$I$91,2)</f>
        <v>0</v>
      </c>
      <c r="K91" s="25"/>
      <c r="L91" s="25">
        <f t="array" ref="L91">INDEX(М[Форма закупа],MATCH(1,IF(($B91=М[Наим.])*($C91=М[Артикул, марка, произв.])*($D91=М[Хар-ка])*($K91=М[Прим.]),{1},($B91=М[Наим.])*($C91=М[Артикул, марка, произв.])*($D91=М[Хар-ка])*($K91=М[Прим.])),0))</f>
        <v>0</v>
      </c>
    </row>
    <row r="92" spans="1:12" ht="11.1" customHeight="1" outlineLevel="2" x14ac:dyDescent="0.2">
      <c r="A92" s="13" t="s">
        <v>94</v>
      </c>
      <c r="B92" s="14" t="s">
        <v>95</v>
      </c>
      <c r="C92" s="15"/>
      <c r="D92" s="15"/>
      <c r="E92" s="16"/>
      <c r="F92" s="17"/>
      <c r="G92" s="18"/>
      <c r="H92" s="18"/>
      <c r="I92" s="56"/>
      <c r="J92" s="70">
        <f>SUM($J$93)</f>
        <v>0</v>
      </c>
      <c r="K92" s="19"/>
      <c r="L92" s="19"/>
    </row>
    <row r="93" spans="1:12" ht="11.1" customHeight="1" outlineLevel="3" x14ac:dyDescent="0.2">
      <c r="A93" s="13" t="s">
        <v>96</v>
      </c>
      <c r="B93" s="14" t="s">
        <v>95</v>
      </c>
      <c r="C93" s="15"/>
      <c r="D93" s="15"/>
      <c r="E93" s="16"/>
      <c r="F93" s="17"/>
      <c r="G93" s="18"/>
      <c r="H93" s="18"/>
      <c r="I93" s="56"/>
      <c r="J93" s="70">
        <f>SUM($J$121,$J$119,$J$117,$J$115,$J$112,$J$110,$J$108,$J$106,$J$104,$J$102,$J$100,$J$98,$J$96,$J$94)</f>
        <v>0</v>
      </c>
      <c r="K93" s="19"/>
      <c r="L93" s="19"/>
    </row>
    <row r="94" spans="1:12" ht="11.1" customHeight="1" outlineLevel="4" x14ac:dyDescent="0.2">
      <c r="A94" s="20"/>
      <c r="B94" s="14" t="s">
        <v>22</v>
      </c>
      <c r="C94" s="21"/>
      <c r="D94" s="21"/>
      <c r="E94" s="21"/>
      <c r="F94" s="21"/>
      <c r="G94" s="21"/>
      <c r="H94" s="21"/>
      <c r="I94" s="57"/>
      <c r="J94" s="69">
        <f>SUM($J$95)</f>
        <v>0</v>
      </c>
      <c r="K94" s="18"/>
      <c r="L94" s="22"/>
    </row>
    <row r="95" spans="1:12" ht="11.1" customHeight="1" outlineLevel="4" x14ac:dyDescent="0.2">
      <c r="A95" s="23"/>
      <c r="B95" s="24" t="s">
        <v>97</v>
      </c>
      <c r="C95" s="25"/>
      <c r="D95" s="25"/>
      <c r="E95" s="26" t="s">
        <v>24</v>
      </c>
      <c r="F95" s="27"/>
      <c r="G95" s="28">
        <v>192</v>
      </c>
      <c r="H95" s="28">
        <f>SUM($G$95:$G$95)</f>
        <v>192</v>
      </c>
      <c r="I95" s="59">
        <f t="array" ref="I95">INDEX(Р[Цена за ед., руб],MATCH(1,IF(($B95=Р[Наименование])*($K95=Р[Примечание]),{1},($B95=Р[Наименование])*($K95=Р[Примечание])),0))</f>
        <v>0</v>
      </c>
      <c r="J95" s="68">
        <f>ROUND($H$95*$I$95,2)</f>
        <v>0</v>
      </c>
      <c r="K95" s="25"/>
      <c r="L95" s="25"/>
    </row>
    <row r="96" spans="1:12" ht="11.1" customHeight="1" outlineLevel="4" x14ac:dyDescent="0.2">
      <c r="A96" s="20"/>
      <c r="B96" s="14" t="s">
        <v>22</v>
      </c>
      <c r="C96" s="21"/>
      <c r="D96" s="21"/>
      <c r="E96" s="21"/>
      <c r="F96" s="21"/>
      <c r="G96" s="21"/>
      <c r="H96" s="21"/>
      <c r="I96" s="57"/>
      <c r="J96" s="69">
        <f>SUM($J$97)</f>
        <v>0</v>
      </c>
      <c r="K96" s="18"/>
      <c r="L96" s="22"/>
    </row>
    <row r="97" spans="1:12" ht="11.1" customHeight="1" outlineLevel="4" x14ac:dyDescent="0.2">
      <c r="A97" s="23"/>
      <c r="B97" s="24" t="s">
        <v>26</v>
      </c>
      <c r="C97" s="25"/>
      <c r="D97" s="25"/>
      <c r="E97" s="26" t="s">
        <v>27</v>
      </c>
      <c r="F97" s="27"/>
      <c r="G97" s="28">
        <v>616</v>
      </c>
      <c r="H97" s="28">
        <f>SUM($G$97:$G$97)</f>
        <v>616</v>
      </c>
      <c r="I97" s="59">
        <f t="array" ref="I97">INDEX(Р[Цена за ед., руб],MATCH(1,IF(($B97=Р[Наименование])*($K97=Р[Примечание]),{1},($B97=Р[Наименование])*($K97=Р[Примечание])),0))</f>
        <v>0</v>
      </c>
      <c r="J97" s="68">
        <f>ROUND($H$97*$I$97,2)</f>
        <v>0</v>
      </c>
      <c r="K97" s="25"/>
      <c r="L97" s="25"/>
    </row>
    <row r="98" spans="1:12" ht="11.1" customHeight="1" outlineLevel="4" x14ac:dyDescent="0.2">
      <c r="A98" s="20"/>
      <c r="B98" s="14" t="s">
        <v>28</v>
      </c>
      <c r="C98" s="21"/>
      <c r="D98" s="21"/>
      <c r="E98" s="21"/>
      <c r="F98" s="21"/>
      <c r="G98" s="21"/>
      <c r="H98" s="21"/>
      <c r="I98" s="57"/>
      <c r="J98" s="69">
        <f>SUM($J$99)</f>
        <v>0</v>
      </c>
      <c r="K98" s="18"/>
      <c r="L98" s="22"/>
    </row>
    <row r="99" spans="1:12" ht="35.1" customHeight="1" outlineLevel="4" x14ac:dyDescent="0.2">
      <c r="A99" s="23" t="s">
        <v>29</v>
      </c>
      <c r="B99" s="24" t="s">
        <v>39</v>
      </c>
      <c r="C99" s="25" t="s">
        <v>36</v>
      </c>
      <c r="D99" s="25" t="s">
        <v>98</v>
      </c>
      <c r="E99" s="26" t="s">
        <v>33</v>
      </c>
      <c r="F99" s="29">
        <v>1</v>
      </c>
      <c r="G99" s="28">
        <v>616</v>
      </c>
      <c r="H99" s="28">
        <f>SUM($G$99:$G$99)</f>
        <v>616</v>
      </c>
      <c r="I99" s="59">
        <f t="array" ref="I99">INDEX(М[Цена за ед., руб],MATCH(1,IF(($B99=М[Наим.])*($C99=М[Артикул, марка, произв.])*($D99=М[Хар-ка])*($K99=М[Прим.]),{1},($B99=М[Наим.])*($C99=М[Артикул, марка, произв.])*($D99=М[Хар-ка])*($K99=М[Прим.])),0))</f>
        <v>0</v>
      </c>
      <c r="J99" s="68">
        <f>ROUND($H$99*$I$99,2)</f>
        <v>0</v>
      </c>
      <c r="K99" s="25"/>
      <c r="L99" s="25">
        <f t="array" ref="L99">INDEX(М[Форма закупа],MATCH(1,IF(($B99=М[Наим.])*($C99=М[Артикул, марка, произв.])*($D99=М[Хар-ка])*($K99=М[Прим.]),{1},($B99=М[Наим.])*($C99=М[Артикул, марка, произв.])*($D99=М[Хар-ка])*($K99=М[Прим.])),0))</f>
        <v>0</v>
      </c>
    </row>
    <row r="100" spans="1:12" ht="11.1" customHeight="1" outlineLevel="4" x14ac:dyDescent="0.2">
      <c r="A100" s="20"/>
      <c r="B100" s="14" t="s">
        <v>22</v>
      </c>
      <c r="C100" s="21"/>
      <c r="D100" s="21"/>
      <c r="E100" s="21"/>
      <c r="F100" s="21"/>
      <c r="G100" s="21"/>
      <c r="H100" s="21"/>
      <c r="I100" s="57"/>
      <c r="J100" s="69">
        <f>SUM($J$101)</f>
        <v>0</v>
      </c>
      <c r="K100" s="18"/>
      <c r="L100" s="22"/>
    </row>
    <row r="101" spans="1:12" ht="11.1" customHeight="1" outlineLevel="4" x14ac:dyDescent="0.2">
      <c r="A101" s="23"/>
      <c r="B101" s="24" t="s">
        <v>51</v>
      </c>
      <c r="C101" s="25"/>
      <c r="D101" s="25"/>
      <c r="E101" s="26" t="s">
        <v>24</v>
      </c>
      <c r="F101" s="27"/>
      <c r="G101" s="28">
        <v>8</v>
      </c>
      <c r="H101" s="28">
        <f>SUM($G$101:$G$101)</f>
        <v>8</v>
      </c>
      <c r="I101" s="59">
        <f t="array" ref="I101">INDEX(Р[Цена за ед., руб],MATCH(1,IF(($B101=Р[Наименование])*($K101=Р[Примечание]),{1},($B101=Р[Наименование])*($K101=Р[Примечание])),0))</f>
        <v>0</v>
      </c>
      <c r="J101" s="68">
        <f>ROUND($H$101*$I$101,2)</f>
        <v>0</v>
      </c>
      <c r="K101" s="25"/>
      <c r="L101" s="25"/>
    </row>
    <row r="102" spans="1:12" ht="11.1" customHeight="1" outlineLevel="4" x14ac:dyDescent="0.2">
      <c r="A102" s="20"/>
      <c r="B102" s="14" t="s">
        <v>28</v>
      </c>
      <c r="C102" s="21"/>
      <c r="D102" s="21"/>
      <c r="E102" s="21"/>
      <c r="F102" s="21"/>
      <c r="G102" s="21"/>
      <c r="H102" s="21"/>
      <c r="I102" s="57"/>
      <c r="J102" s="69">
        <f>SUM($J$103)</f>
        <v>0</v>
      </c>
      <c r="K102" s="18"/>
      <c r="L102" s="22"/>
    </row>
    <row r="103" spans="1:12" ht="23.1" customHeight="1" outlineLevel="4" x14ac:dyDescent="0.2">
      <c r="A103" s="23" t="s">
        <v>29</v>
      </c>
      <c r="B103" s="24" t="s">
        <v>52</v>
      </c>
      <c r="C103" s="25" t="s">
        <v>53</v>
      </c>
      <c r="D103" s="25" t="s">
        <v>99</v>
      </c>
      <c r="E103" s="26" t="s">
        <v>24</v>
      </c>
      <c r="F103" s="27"/>
      <c r="G103" s="28">
        <v>8</v>
      </c>
      <c r="H103" s="28">
        <f>SUM($G$103:$G$103)</f>
        <v>8</v>
      </c>
      <c r="I103" s="59">
        <f t="array" ref="I103">INDEX(М[Цена за ед., руб],MATCH(1,IF(($B103=М[Наим.])*($C103=М[Артикул, марка, произв.])*($D103=М[Хар-ка])*($K103=М[Прим.]),{1},($B103=М[Наим.])*($C103=М[Артикул, марка, произв.])*($D103=М[Хар-ка])*($K103=М[Прим.])),0))</f>
        <v>0</v>
      </c>
      <c r="J103" s="68">
        <f>ROUND($H$103*$I$103,2)</f>
        <v>0</v>
      </c>
      <c r="K103" s="25"/>
      <c r="L103" s="25">
        <f t="array" ref="L103">INDEX(М[Форма закупа],MATCH(1,IF(($B103=М[Наим.])*($C103=М[Артикул, марка, произв.])*($D103=М[Хар-ка])*($K103=М[Прим.]),{1},($B103=М[Наим.])*($C103=М[Артикул, марка, произв.])*($D103=М[Хар-ка])*($K103=М[Прим.])),0))</f>
        <v>0</v>
      </c>
    </row>
    <row r="104" spans="1:12" ht="11.1" customHeight="1" outlineLevel="4" x14ac:dyDescent="0.2">
      <c r="A104" s="20"/>
      <c r="B104" s="14" t="s">
        <v>22</v>
      </c>
      <c r="C104" s="21"/>
      <c r="D104" s="21"/>
      <c r="E104" s="21"/>
      <c r="F104" s="21"/>
      <c r="G104" s="21"/>
      <c r="H104" s="21"/>
      <c r="I104" s="57"/>
      <c r="J104" s="69">
        <f>SUM($J$105)</f>
        <v>0</v>
      </c>
      <c r="K104" s="18"/>
      <c r="L104" s="22"/>
    </row>
    <row r="105" spans="1:12" ht="11.1" customHeight="1" outlineLevel="4" x14ac:dyDescent="0.2">
      <c r="A105" s="23"/>
      <c r="B105" s="24" t="s">
        <v>58</v>
      </c>
      <c r="C105" s="25"/>
      <c r="D105" s="25"/>
      <c r="E105" s="26" t="s">
        <v>24</v>
      </c>
      <c r="F105" s="27"/>
      <c r="G105" s="28">
        <v>192</v>
      </c>
      <c r="H105" s="28">
        <f>SUM($G$105:$G$105)</f>
        <v>192</v>
      </c>
      <c r="I105" s="59">
        <f t="array" ref="I105">INDEX(Р[Цена за ед., руб],MATCH(1,IF(($B105=Р[Наименование])*($K105=Р[Примечание]),{1},($B105=Р[Наименование])*($K105=Р[Примечание])),0))</f>
        <v>0</v>
      </c>
      <c r="J105" s="68">
        <f>ROUND($H$105*$I$105,2)</f>
        <v>0</v>
      </c>
      <c r="K105" s="25"/>
      <c r="L105" s="25"/>
    </row>
    <row r="106" spans="1:12" ht="11.1" customHeight="1" outlineLevel="4" x14ac:dyDescent="0.2">
      <c r="A106" s="20"/>
      <c r="B106" s="14" t="s">
        <v>28</v>
      </c>
      <c r="C106" s="21"/>
      <c r="D106" s="21"/>
      <c r="E106" s="21"/>
      <c r="F106" s="21"/>
      <c r="G106" s="21"/>
      <c r="H106" s="21"/>
      <c r="I106" s="57"/>
      <c r="J106" s="69">
        <f>SUM($J$107)</f>
        <v>0</v>
      </c>
      <c r="K106" s="18"/>
      <c r="L106" s="22"/>
    </row>
    <row r="107" spans="1:12" ht="11.1" customHeight="1" outlineLevel="4" x14ac:dyDescent="0.2">
      <c r="A107" s="23" t="s">
        <v>29</v>
      </c>
      <c r="B107" s="24" t="s">
        <v>59</v>
      </c>
      <c r="C107" s="25"/>
      <c r="D107" s="25" t="s">
        <v>100</v>
      </c>
      <c r="E107" s="26" t="s">
        <v>24</v>
      </c>
      <c r="F107" s="27"/>
      <c r="G107" s="28">
        <v>192</v>
      </c>
      <c r="H107" s="28">
        <f>SUM($G$107:$G$107)</f>
        <v>192</v>
      </c>
      <c r="I107" s="59">
        <f t="array" ref="I107">INDEX(М[Цена за ед., руб],MATCH(1,IF(($B107=М[Наим.])*($C107=М[Артикул, марка, произв.])*($D107=М[Хар-ка])*($K107=М[Прим.]),{1},($B107=М[Наим.])*($C107=М[Артикул, марка, произв.])*($D107=М[Хар-ка])*($K107=М[Прим.])),0))</f>
        <v>0</v>
      </c>
      <c r="J107" s="68">
        <f>ROUND($H$107*$I$107,2)</f>
        <v>0</v>
      </c>
      <c r="K107" s="25"/>
      <c r="L107" s="25">
        <f t="array" ref="L107">INDEX(М[Форма закупа],MATCH(1,IF(($B107=М[Наим.])*($C107=М[Артикул, марка, произв.])*($D107=М[Хар-ка])*($K107=М[Прим.]),{1},($B107=М[Наим.])*($C107=М[Артикул, марка, произв.])*($D107=М[Хар-ка])*($K107=М[Прим.])),0))</f>
        <v>0</v>
      </c>
    </row>
    <row r="108" spans="1:12" ht="11.1" customHeight="1" outlineLevel="4" x14ac:dyDescent="0.2">
      <c r="A108" s="20"/>
      <c r="B108" s="14" t="s">
        <v>22</v>
      </c>
      <c r="C108" s="21"/>
      <c r="D108" s="21"/>
      <c r="E108" s="21"/>
      <c r="F108" s="21"/>
      <c r="G108" s="21"/>
      <c r="H108" s="21"/>
      <c r="I108" s="57"/>
      <c r="J108" s="69">
        <f>SUM($J$109)</f>
        <v>0</v>
      </c>
      <c r="K108" s="18"/>
      <c r="L108" s="22"/>
    </row>
    <row r="109" spans="1:12" ht="11.1" customHeight="1" outlineLevel="4" x14ac:dyDescent="0.2">
      <c r="A109" s="23"/>
      <c r="B109" s="24" t="s">
        <v>101</v>
      </c>
      <c r="C109" s="25"/>
      <c r="D109" s="25"/>
      <c r="E109" s="26" t="s">
        <v>24</v>
      </c>
      <c r="F109" s="27"/>
      <c r="G109" s="28">
        <v>180</v>
      </c>
      <c r="H109" s="28">
        <f>SUM($G$109:$G$109)</f>
        <v>180</v>
      </c>
      <c r="I109" s="59">
        <f t="array" ref="I109">INDEX(Р[Цена за ед., руб],MATCH(1,IF(($B109=Р[Наименование])*($K109=Р[Примечание]),{1},($B109=Р[Наименование])*($K109=Р[Примечание])),0))</f>
        <v>0</v>
      </c>
      <c r="J109" s="68">
        <f>ROUND($H$109*$I$109,2)</f>
        <v>0</v>
      </c>
      <c r="K109" s="25"/>
      <c r="L109" s="25"/>
    </row>
    <row r="110" spans="1:12" ht="11.1" customHeight="1" outlineLevel="4" x14ac:dyDescent="0.2">
      <c r="A110" s="20"/>
      <c r="B110" s="14" t="s">
        <v>22</v>
      </c>
      <c r="C110" s="21"/>
      <c r="D110" s="21"/>
      <c r="E110" s="21"/>
      <c r="F110" s="21"/>
      <c r="G110" s="21"/>
      <c r="H110" s="21"/>
      <c r="I110" s="57"/>
      <c r="J110" s="69">
        <f>SUM($J$111)</f>
        <v>0</v>
      </c>
      <c r="K110" s="18"/>
      <c r="L110" s="22"/>
    </row>
    <row r="111" spans="1:12" ht="11.1" customHeight="1" outlineLevel="4" x14ac:dyDescent="0.2">
      <c r="A111" s="23"/>
      <c r="B111" s="24" t="s">
        <v>74</v>
      </c>
      <c r="C111" s="25"/>
      <c r="D111" s="25"/>
      <c r="E111" s="26" t="s">
        <v>27</v>
      </c>
      <c r="F111" s="27"/>
      <c r="G111" s="28">
        <v>636</v>
      </c>
      <c r="H111" s="28">
        <f>SUM($G$111:$G$111)</f>
        <v>636</v>
      </c>
      <c r="I111" s="59">
        <f t="array" ref="I111">INDEX(Р[Цена за ед., руб],MATCH(1,IF(($B111=Р[Наименование])*($K111=Р[Примечание]),{1},($B111=Р[Наименование])*($K111=Р[Примечание])),0))</f>
        <v>0</v>
      </c>
      <c r="J111" s="68">
        <f>ROUND($H$111*$I$111,2)</f>
        <v>0</v>
      </c>
      <c r="K111" s="66"/>
      <c r="L111" s="66"/>
    </row>
    <row r="112" spans="1:12" ht="11.1" customHeight="1" outlineLevel="4" x14ac:dyDescent="0.2">
      <c r="A112" s="20"/>
      <c r="B112" s="14" t="s">
        <v>28</v>
      </c>
      <c r="C112" s="21"/>
      <c r="D112" s="21"/>
      <c r="E112" s="21"/>
      <c r="F112" s="21"/>
      <c r="G112" s="21"/>
      <c r="H112" s="21"/>
      <c r="I112" s="57"/>
      <c r="J112" s="69">
        <f>SUM($J$113:$J$114)</f>
        <v>0</v>
      </c>
      <c r="K112" s="18"/>
      <c r="L112" s="22"/>
    </row>
    <row r="113" spans="1:12" ht="35.1" customHeight="1" outlineLevel="4" x14ac:dyDescent="0.2">
      <c r="A113" s="71" t="s">
        <v>29</v>
      </c>
      <c r="B113" s="24" t="s">
        <v>75</v>
      </c>
      <c r="C113" s="25" t="s">
        <v>53</v>
      </c>
      <c r="D113" s="25" t="s">
        <v>102</v>
      </c>
      <c r="E113" s="26" t="s">
        <v>33</v>
      </c>
      <c r="F113" s="27"/>
      <c r="G113" s="28">
        <v>20</v>
      </c>
      <c r="H113" s="28">
        <f>SUM($G$113:$G$113)</f>
        <v>20</v>
      </c>
      <c r="I113" s="59">
        <f t="array" ref="I113">INDEX(М[Цена за ед., руб],MATCH(1,IF(($B113=М[Наим.])*($C113=М[Артикул, марка, произв.])*($D113=М[Хар-ка])*($K113=М[Прим.]),{1},($B113=М[Наим.])*($C113=М[Артикул, марка, произв.])*($D113=М[Хар-ка])*($K113=М[Прим.])),0))</f>
        <v>0</v>
      </c>
      <c r="J113" s="68">
        <f>ROUND($H$113*$I$113,2)</f>
        <v>0</v>
      </c>
      <c r="K113" s="25"/>
      <c r="L113" s="25">
        <f t="array" ref="L113">INDEX(М[Форма закупа],MATCH(1,IF(($B113=М[Наим.])*($C113=М[Артикул, марка, произв.])*($D113=М[Хар-ка])*($K113=М[Прим.]),{1},($B113=М[Наим.])*($C113=М[Артикул, марка, произв.])*($D113=М[Хар-ка])*($K113=М[Прим.])),0))</f>
        <v>0</v>
      </c>
    </row>
    <row r="114" spans="1:12" ht="35.1" customHeight="1" outlineLevel="4" x14ac:dyDescent="0.2">
      <c r="A114" s="71" t="s">
        <v>34</v>
      </c>
      <c r="B114" s="24" t="s">
        <v>75</v>
      </c>
      <c r="C114" s="25" t="s">
        <v>53</v>
      </c>
      <c r="D114" s="25" t="s">
        <v>76</v>
      </c>
      <c r="E114" s="26" t="s">
        <v>33</v>
      </c>
      <c r="F114" s="27"/>
      <c r="G114" s="28">
        <v>616</v>
      </c>
      <c r="H114" s="28">
        <f>SUM($G$114:$G$114)</f>
        <v>616</v>
      </c>
      <c r="I114" s="59">
        <f t="array" ref="I114">INDEX(М[Цена за ед., руб],MATCH(1,IF(($B114=М[Наим.])*($C114=М[Артикул, марка, произв.])*($D114=М[Хар-ка])*($K114=М[Прим.]),{1},($B114=М[Наим.])*($C114=М[Артикул, марка, произв.])*($D114=М[Хар-ка])*($K114=М[Прим.])),0))</f>
        <v>0</v>
      </c>
      <c r="J114" s="68">
        <f>ROUND($H$114*$I$114,2)</f>
        <v>0</v>
      </c>
      <c r="K114" s="25"/>
      <c r="L114" s="25">
        <f t="array" ref="L114">INDEX(М[Форма закупа],MATCH(1,IF(($B114=М[Наим.])*($C114=М[Артикул, марка, произв.])*($D114=М[Хар-ка])*($K114=М[Прим.]),{1},($B114=М[Наим.])*($C114=М[Артикул, марка, произв.])*($D114=М[Хар-ка])*($K114=М[Прим.])),0))</f>
        <v>0</v>
      </c>
    </row>
    <row r="115" spans="1:12" ht="11.1" customHeight="1" outlineLevel="4" x14ac:dyDescent="0.2">
      <c r="A115" s="20"/>
      <c r="B115" s="14" t="s">
        <v>22</v>
      </c>
      <c r="C115" s="21"/>
      <c r="D115" s="21"/>
      <c r="E115" s="21"/>
      <c r="F115" s="21"/>
      <c r="G115" s="21"/>
      <c r="H115" s="21"/>
      <c r="I115" s="57"/>
      <c r="J115" s="69">
        <f>SUM($J$116)</f>
        <v>0</v>
      </c>
      <c r="K115" s="18"/>
      <c r="L115" s="22"/>
    </row>
    <row r="116" spans="1:12" ht="11.1" customHeight="1" outlineLevel="4" x14ac:dyDescent="0.2">
      <c r="A116" s="23"/>
      <c r="B116" s="24" t="s">
        <v>103</v>
      </c>
      <c r="C116" s="25"/>
      <c r="D116" s="25"/>
      <c r="E116" s="26" t="s">
        <v>27</v>
      </c>
      <c r="F116" s="27"/>
      <c r="G116" s="30">
        <v>2000</v>
      </c>
      <c r="H116" s="30">
        <f>SUM($G$116:$G$116)</f>
        <v>2000</v>
      </c>
      <c r="I116" s="59">
        <f t="array" ref="I116">INDEX(Р[Цена за ед., руб],MATCH(1,IF(($B116=Р[Наименование])*($K116=Р[Примечание]),{1},($B116=Р[Наименование])*($K116=Р[Примечание])),0))</f>
        <v>0</v>
      </c>
      <c r="J116" s="68">
        <f>ROUND($H$116*$I$116,2)</f>
        <v>0</v>
      </c>
      <c r="K116" s="25"/>
      <c r="L116" s="25"/>
    </row>
    <row r="117" spans="1:12" ht="11.1" customHeight="1" outlineLevel="4" x14ac:dyDescent="0.2">
      <c r="A117" s="20"/>
      <c r="B117" s="14" t="s">
        <v>28</v>
      </c>
      <c r="C117" s="21"/>
      <c r="D117" s="21"/>
      <c r="E117" s="21"/>
      <c r="F117" s="21"/>
      <c r="G117" s="21"/>
      <c r="H117" s="21"/>
      <c r="I117" s="57"/>
      <c r="J117" s="69">
        <f>SUM($J$118)</f>
        <v>0</v>
      </c>
      <c r="K117" s="18"/>
      <c r="L117" s="22"/>
    </row>
    <row r="118" spans="1:12" ht="23.1" customHeight="1" outlineLevel="4" x14ac:dyDescent="0.2">
      <c r="A118" s="71" t="s">
        <v>29</v>
      </c>
      <c r="B118" s="24" t="s">
        <v>104</v>
      </c>
      <c r="C118" s="25" t="s">
        <v>105</v>
      </c>
      <c r="D118" s="25" t="s">
        <v>106</v>
      </c>
      <c r="E118" s="26" t="s">
        <v>33</v>
      </c>
      <c r="F118" s="27"/>
      <c r="G118" s="30">
        <v>2000</v>
      </c>
      <c r="H118" s="30">
        <f>SUM($G$118:$G$118)</f>
        <v>2000</v>
      </c>
      <c r="I118" s="59">
        <f t="array" ref="I118">INDEX(М[Цена за ед., руб],MATCH(1,IF(($B118=М[Наим.])*($C118=М[Артикул, марка, произв.])*($D118=М[Хар-ка])*($K118=М[Прим.]),{1},($B118=М[Наим.])*($C118=М[Артикул, марка, произв.])*($D118=М[Хар-ка])*($K118=М[Прим.])),0))</f>
        <v>0</v>
      </c>
      <c r="J118" s="68">
        <f>ROUND($H$118*$I$118,2)</f>
        <v>0</v>
      </c>
      <c r="K118" s="25"/>
      <c r="L118" s="25">
        <f t="array" ref="L118">INDEX(М[Форма закупа],MATCH(1,IF(($B118=М[Наим.])*($C118=М[Артикул, марка, произв.])*($D118=М[Хар-ка])*($K118=М[Прим.]),{1},($B118=М[Наим.])*($C118=М[Артикул, марка, произв.])*($D118=М[Хар-ка])*($K118=М[Прим.])),0))</f>
        <v>0</v>
      </c>
    </row>
    <row r="119" spans="1:12" ht="11.1" customHeight="1" outlineLevel="4" x14ac:dyDescent="0.2">
      <c r="A119" s="20"/>
      <c r="B119" s="14" t="s">
        <v>22</v>
      </c>
      <c r="C119" s="21"/>
      <c r="D119" s="21"/>
      <c r="E119" s="21"/>
      <c r="F119" s="21"/>
      <c r="G119" s="21"/>
      <c r="H119" s="21"/>
      <c r="I119" s="57"/>
      <c r="J119" s="69">
        <f>SUM($J$120)</f>
        <v>0</v>
      </c>
      <c r="K119" s="18"/>
      <c r="L119" s="22"/>
    </row>
    <row r="120" spans="1:12" ht="11.1" customHeight="1" outlineLevel="4" x14ac:dyDescent="0.2">
      <c r="A120" s="23"/>
      <c r="B120" s="24" t="s">
        <v>107</v>
      </c>
      <c r="C120" s="25"/>
      <c r="D120" s="25"/>
      <c r="E120" s="26" t="s">
        <v>27</v>
      </c>
      <c r="F120" s="27"/>
      <c r="G120" s="28">
        <v>64</v>
      </c>
      <c r="H120" s="28">
        <f>SUM($G$120:$G$120)</f>
        <v>64</v>
      </c>
      <c r="I120" s="59">
        <f t="array" ref="I120">INDEX(Р[Цена за ед., руб],MATCH(1,IF(($B120=Р[Наименование])*($K120=Р[Примечание]),{1},($B120=Р[Наименование])*($K120=Р[Примечание])),0))</f>
        <v>0</v>
      </c>
      <c r="J120" s="68">
        <f>ROUND($H$120*$I$120,2)</f>
        <v>0</v>
      </c>
      <c r="K120" s="25"/>
      <c r="L120" s="25"/>
    </row>
    <row r="121" spans="1:12" ht="11.1" customHeight="1" outlineLevel="4" x14ac:dyDescent="0.2">
      <c r="A121" s="20"/>
      <c r="B121" s="14" t="s">
        <v>28</v>
      </c>
      <c r="C121" s="21"/>
      <c r="D121" s="21"/>
      <c r="E121" s="21"/>
      <c r="F121" s="21"/>
      <c r="G121" s="21"/>
      <c r="H121" s="21"/>
      <c r="I121" s="57"/>
      <c r="J121" s="69">
        <f>SUM($J$122)</f>
        <v>0</v>
      </c>
      <c r="K121" s="18"/>
      <c r="L121" s="22"/>
    </row>
    <row r="122" spans="1:12" ht="11.1" customHeight="1" outlineLevel="4" x14ac:dyDescent="0.2">
      <c r="A122" s="71" t="s">
        <v>29</v>
      </c>
      <c r="B122" s="24" t="s">
        <v>108</v>
      </c>
      <c r="C122" s="25"/>
      <c r="D122" s="25" t="s">
        <v>109</v>
      </c>
      <c r="E122" s="26" t="s">
        <v>33</v>
      </c>
      <c r="F122" s="27"/>
      <c r="G122" s="28">
        <v>64</v>
      </c>
      <c r="H122" s="28">
        <f>SUM($G$122:$G$122)</f>
        <v>64</v>
      </c>
      <c r="I122" s="59">
        <f t="array" ref="I122">INDEX(М[Цена за ед., руб],MATCH(1,IF(($B122=М[Наим.])*($C122=М[Артикул, марка, произв.])*($D122=М[Хар-ка])*($K122=М[Прим.]),{1},($B122=М[Наим.])*($C122=М[Артикул, марка, произв.])*($D122=М[Хар-ка])*($K122=М[Прим.])),0))</f>
        <v>0</v>
      </c>
      <c r="J122" s="68">
        <f>ROUND($H$122*$I$122,2)</f>
        <v>0</v>
      </c>
      <c r="K122" s="25" t="s">
        <v>46</v>
      </c>
      <c r="L122" s="25">
        <f t="array" ref="L122">INDEX(М[Форма закупа],MATCH(1,IF(($B122=М[Наим.])*($C122=М[Артикул, марка, произв.])*($D122=М[Хар-ка])*($K122=М[Прим.]),{1},($B122=М[Наим.])*($C122=М[Артикул, марка, произв.])*($D122=М[Хар-ка])*($K122=М[Прим.])),0))</f>
        <v>0</v>
      </c>
    </row>
    <row r="123" spans="1:12" ht="11.1" customHeight="1" outlineLevel="2" x14ac:dyDescent="0.2">
      <c r="A123" s="13" t="s">
        <v>110</v>
      </c>
      <c r="B123" s="14" t="s">
        <v>111</v>
      </c>
      <c r="C123" s="15"/>
      <c r="D123" s="15"/>
      <c r="E123" s="16"/>
      <c r="F123" s="17"/>
      <c r="G123" s="18"/>
      <c r="H123" s="18"/>
      <c r="I123" s="56"/>
      <c r="J123" s="70">
        <f>SUM($J$124)</f>
        <v>0</v>
      </c>
      <c r="K123" s="19"/>
      <c r="L123" s="19"/>
    </row>
    <row r="124" spans="1:12" ht="11.1" customHeight="1" outlineLevel="3" x14ac:dyDescent="0.2">
      <c r="A124" s="13" t="s">
        <v>112</v>
      </c>
      <c r="B124" s="14" t="s">
        <v>111</v>
      </c>
      <c r="C124" s="15"/>
      <c r="D124" s="15"/>
      <c r="E124" s="16"/>
      <c r="F124" s="17"/>
      <c r="G124" s="18"/>
      <c r="H124" s="18"/>
      <c r="I124" s="56"/>
      <c r="J124" s="70">
        <f>SUM($J$143,$J$141,$J$139,$J$137,$J$135,$J$133,$J$131,$J$129,$J$127,$J$125)</f>
        <v>0</v>
      </c>
      <c r="K124" s="19"/>
      <c r="L124" s="19"/>
    </row>
    <row r="125" spans="1:12" ht="11.1" customHeight="1" outlineLevel="4" x14ac:dyDescent="0.2">
      <c r="A125" s="20"/>
      <c r="B125" s="14" t="s">
        <v>22</v>
      </c>
      <c r="C125" s="21"/>
      <c r="D125" s="21"/>
      <c r="E125" s="21"/>
      <c r="F125" s="21"/>
      <c r="G125" s="21"/>
      <c r="H125" s="21"/>
      <c r="I125" s="57"/>
      <c r="J125" s="69">
        <f>SUM($J$126)</f>
        <v>0</v>
      </c>
      <c r="K125" s="18"/>
      <c r="L125" s="22"/>
    </row>
    <row r="126" spans="1:12" ht="11.1" customHeight="1" outlineLevel="4" x14ac:dyDescent="0.2">
      <c r="A126" s="23"/>
      <c r="B126" s="24" t="s">
        <v>26</v>
      </c>
      <c r="C126" s="25"/>
      <c r="D126" s="25"/>
      <c r="E126" s="26" t="s">
        <v>27</v>
      </c>
      <c r="F126" s="27"/>
      <c r="G126" s="28">
        <v>30</v>
      </c>
      <c r="H126" s="28">
        <f>SUM($G$126:$G$126)</f>
        <v>30</v>
      </c>
      <c r="I126" s="59">
        <f t="array" ref="I126">INDEX(Р[Цена за ед., руб],MATCH(1,IF(($B126=Р[Наименование])*($K126=Р[Примечание]),{1},($B126=Р[Наименование])*($K126=Р[Примечание])),0))</f>
        <v>0</v>
      </c>
      <c r="J126" s="68">
        <f>ROUND($H$126*$I$126,2)</f>
        <v>0</v>
      </c>
      <c r="K126" s="25"/>
      <c r="L126" s="25"/>
    </row>
    <row r="127" spans="1:12" ht="11.1" customHeight="1" outlineLevel="4" x14ac:dyDescent="0.2">
      <c r="A127" s="20"/>
      <c r="B127" s="14" t="s">
        <v>28</v>
      </c>
      <c r="C127" s="21"/>
      <c r="D127" s="21"/>
      <c r="E127" s="21"/>
      <c r="F127" s="21"/>
      <c r="G127" s="21"/>
      <c r="H127" s="21"/>
      <c r="I127" s="57"/>
      <c r="J127" s="69">
        <f>SUM($J$128)</f>
        <v>0</v>
      </c>
      <c r="K127" s="18"/>
      <c r="L127" s="22"/>
    </row>
    <row r="128" spans="1:12" ht="35.1" customHeight="1" outlineLevel="4" x14ac:dyDescent="0.2">
      <c r="A128" s="23" t="s">
        <v>29</v>
      </c>
      <c r="B128" s="24" t="s">
        <v>39</v>
      </c>
      <c r="C128" s="25" t="s">
        <v>36</v>
      </c>
      <c r="D128" s="25" t="s">
        <v>98</v>
      </c>
      <c r="E128" s="26" t="s">
        <v>33</v>
      </c>
      <c r="F128" s="27"/>
      <c r="G128" s="28">
        <v>30</v>
      </c>
      <c r="H128" s="28">
        <f>SUM($G$128:$G$128)</f>
        <v>30</v>
      </c>
      <c r="I128" s="59">
        <f t="array" ref="I128">INDEX(М[Цена за ед., руб],MATCH(1,IF(($B128=М[Наим.])*($C128=М[Артикул, марка, произв.])*($D128=М[Хар-ка])*($K128=М[Прим.]),{1},($B128=М[Наим.])*($C128=М[Артикул, марка, произв.])*($D128=М[Хар-ка])*($K128=М[Прим.])),0))</f>
        <v>0</v>
      </c>
      <c r="J128" s="68">
        <f>ROUND($H$128*$I$128,2)</f>
        <v>0</v>
      </c>
      <c r="K128" s="25"/>
      <c r="L128" s="25">
        <f t="array" ref="L128">INDEX(М[Форма закупа],MATCH(1,IF(($B128=М[Наим.])*($C128=М[Артикул, марка, произв.])*($D128=М[Хар-ка])*($K128=М[Прим.]),{1},($B128=М[Наим.])*($C128=М[Артикул, марка, произв.])*($D128=М[Хар-ка])*($K128=М[Прим.])),0))</f>
        <v>0</v>
      </c>
    </row>
    <row r="129" spans="1:12" ht="11.1" customHeight="1" outlineLevel="4" x14ac:dyDescent="0.2">
      <c r="A129" s="20"/>
      <c r="B129" s="14" t="s">
        <v>22</v>
      </c>
      <c r="C129" s="21"/>
      <c r="D129" s="21"/>
      <c r="E129" s="21"/>
      <c r="F129" s="21"/>
      <c r="G129" s="21"/>
      <c r="H129" s="21"/>
      <c r="I129" s="57"/>
      <c r="J129" s="69">
        <f>SUM($J$130)</f>
        <v>0</v>
      </c>
      <c r="K129" s="18"/>
      <c r="L129" s="22"/>
    </row>
    <row r="130" spans="1:12" ht="11.1" customHeight="1" outlineLevel="4" x14ac:dyDescent="0.2">
      <c r="A130" s="23"/>
      <c r="B130" s="24" t="s">
        <v>113</v>
      </c>
      <c r="C130" s="25"/>
      <c r="D130" s="25"/>
      <c r="E130" s="26" t="s">
        <v>24</v>
      </c>
      <c r="F130" s="27"/>
      <c r="G130" s="28">
        <v>7</v>
      </c>
      <c r="H130" s="28">
        <f>SUM($G$130:$G$130)</f>
        <v>7</v>
      </c>
      <c r="I130" s="59">
        <f t="array" ref="I130">INDEX(Р[Цена за ед., руб],MATCH(1,IF(($B130=Р[Наименование])*($K130=Р[Примечание]),{1},($B130=Р[Наименование])*($K130=Р[Примечание])),0))</f>
        <v>0</v>
      </c>
      <c r="J130" s="68">
        <f>ROUND($H$130*$I$130,2)</f>
        <v>0</v>
      </c>
      <c r="K130" s="25"/>
      <c r="L130" s="25"/>
    </row>
    <row r="131" spans="1:12" ht="11.1" customHeight="1" outlineLevel="4" x14ac:dyDescent="0.2">
      <c r="A131" s="20"/>
      <c r="B131" s="14" t="s">
        <v>28</v>
      </c>
      <c r="C131" s="21"/>
      <c r="D131" s="21"/>
      <c r="E131" s="21"/>
      <c r="F131" s="21"/>
      <c r="G131" s="21"/>
      <c r="H131" s="21"/>
      <c r="I131" s="57"/>
      <c r="J131" s="69">
        <f>SUM($J$132)</f>
        <v>0</v>
      </c>
      <c r="K131" s="18"/>
      <c r="L131" s="22"/>
    </row>
    <row r="132" spans="1:12" ht="11.1" customHeight="1" outlineLevel="4" x14ac:dyDescent="0.2">
      <c r="A132" s="23" t="s">
        <v>29</v>
      </c>
      <c r="B132" s="24" t="s">
        <v>114</v>
      </c>
      <c r="C132" s="25"/>
      <c r="D132" s="25" t="s">
        <v>115</v>
      </c>
      <c r="E132" s="26" t="s">
        <v>24</v>
      </c>
      <c r="F132" s="27"/>
      <c r="G132" s="28">
        <v>7</v>
      </c>
      <c r="H132" s="28">
        <f>SUM($G$132:$G$132)</f>
        <v>7</v>
      </c>
      <c r="I132" s="59">
        <f t="array" ref="I132">INDEX(М[Цена за ед., руб],MATCH(1,IF(($B132=М[Наим.])*($C132=М[Артикул, марка, произв.])*($D132=М[Хар-ка])*($K132=М[Прим.]),{1},($B132=М[Наим.])*($C132=М[Артикул, марка, произв.])*($D132=М[Хар-ка])*($K132=М[Прим.])),0))</f>
        <v>0</v>
      </c>
      <c r="J132" s="68">
        <f>ROUND($H$132*$I$132,2)</f>
        <v>0</v>
      </c>
      <c r="K132" s="25"/>
      <c r="L132" s="25">
        <f t="array" ref="L132">INDEX(М[Форма закупа],MATCH(1,IF(($B132=М[Наим.])*($C132=М[Артикул, марка, произв.])*($D132=М[Хар-ка])*($K132=М[Прим.]),{1},($B132=М[Наим.])*($C132=М[Артикул, марка, произв.])*($D132=М[Хар-ка])*($K132=М[Прим.])),0))</f>
        <v>0</v>
      </c>
    </row>
    <row r="133" spans="1:12" ht="11.1" customHeight="1" outlineLevel="4" x14ac:dyDescent="0.2">
      <c r="A133" s="20"/>
      <c r="B133" s="14" t="s">
        <v>22</v>
      </c>
      <c r="C133" s="21"/>
      <c r="D133" s="21"/>
      <c r="E133" s="21"/>
      <c r="F133" s="21"/>
      <c r="G133" s="21"/>
      <c r="H133" s="21"/>
      <c r="I133" s="57"/>
      <c r="J133" s="69">
        <f>SUM($J$134)</f>
        <v>0</v>
      </c>
      <c r="K133" s="18"/>
      <c r="L133" s="22"/>
    </row>
    <row r="134" spans="1:12" ht="11.1" customHeight="1" outlineLevel="4" x14ac:dyDescent="0.2">
      <c r="A134" s="23"/>
      <c r="B134" s="24" t="s">
        <v>116</v>
      </c>
      <c r="C134" s="25"/>
      <c r="D134" s="25"/>
      <c r="E134" s="26" t="s">
        <v>24</v>
      </c>
      <c r="F134" s="27"/>
      <c r="G134" s="28">
        <v>7</v>
      </c>
      <c r="H134" s="28">
        <f>SUM($G$134:$G$134)</f>
        <v>7</v>
      </c>
      <c r="I134" s="59">
        <f t="array" ref="I134">INDEX(Р[Цена за ед., руб],MATCH(1,IF(($B134=Р[Наименование])*($K134=Р[Примечание]),{1},($B134=Р[Наименование])*($K134=Р[Примечание])),0))</f>
        <v>0</v>
      </c>
      <c r="J134" s="68">
        <f>ROUND($H$134*$I$134,2)</f>
        <v>0</v>
      </c>
      <c r="K134" s="25"/>
      <c r="L134" s="25"/>
    </row>
    <row r="135" spans="1:12" ht="11.1" customHeight="1" outlineLevel="4" x14ac:dyDescent="0.2">
      <c r="A135" s="20"/>
      <c r="B135" s="14" t="s">
        <v>28</v>
      </c>
      <c r="C135" s="21"/>
      <c r="D135" s="21"/>
      <c r="E135" s="21"/>
      <c r="F135" s="21"/>
      <c r="G135" s="21"/>
      <c r="H135" s="21"/>
      <c r="I135" s="57"/>
      <c r="J135" s="69">
        <f>SUM($J$136)</f>
        <v>0</v>
      </c>
      <c r="K135" s="18"/>
      <c r="L135" s="22"/>
    </row>
    <row r="136" spans="1:12" ht="23.1" customHeight="1" outlineLevel="4" x14ac:dyDescent="0.2">
      <c r="A136" s="23" t="s">
        <v>29</v>
      </c>
      <c r="B136" s="24" t="s">
        <v>48</v>
      </c>
      <c r="C136" s="25" t="s">
        <v>49</v>
      </c>
      <c r="D136" s="25" t="s">
        <v>50</v>
      </c>
      <c r="E136" s="26" t="s">
        <v>24</v>
      </c>
      <c r="F136" s="27"/>
      <c r="G136" s="28">
        <v>7</v>
      </c>
      <c r="H136" s="28">
        <f>SUM($G$136:$G$136)</f>
        <v>7</v>
      </c>
      <c r="I136" s="59">
        <f t="array" ref="I136">INDEX(М[Цена за ед., руб],MATCH(1,IF(($B136=М[Наим.])*($C136=М[Артикул, марка, произв.])*($D136=М[Хар-ка])*($K136=М[Прим.]),{1},($B136=М[Наим.])*($C136=М[Артикул, марка, произв.])*($D136=М[Хар-ка])*($K136=М[Прим.])),0))</f>
        <v>0</v>
      </c>
      <c r="J136" s="68">
        <f>ROUND($H$136*$I$136,2)</f>
        <v>0</v>
      </c>
      <c r="K136" s="25"/>
      <c r="L136" s="25">
        <f t="array" ref="L136">INDEX(М[Форма закупа],MATCH(1,IF(($B136=М[Наим.])*($C136=М[Артикул, марка, произв.])*($D136=М[Хар-ка])*($K136=М[Прим.]),{1},($B136=М[Наим.])*($C136=М[Артикул, марка, произв.])*($D136=М[Хар-ка])*($K136=М[Прим.])),0))</f>
        <v>0</v>
      </c>
    </row>
    <row r="137" spans="1:12" ht="11.1" customHeight="1" outlineLevel="4" x14ac:dyDescent="0.2">
      <c r="A137" s="20"/>
      <c r="B137" s="14" t="s">
        <v>22</v>
      </c>
      <c r="C137" s="21"/>
      <c r="D137" s="21"/>
      <c r="E137" s="21"/>
      <c r="F137" s="21"/>
      <c r="G137" s="21"/>
      <c r="H137" s="21"/>
      <c r="I137" s="57"/>
      <c r="J137" s="69">
        <f>SUM($J$138)</f>
        <v>0</v>
      </c>
      <c r="K137" s="18"/>
      <c r="L137" s="22"/>
    </row>
    <row r="138" spans="1:12" ht="11.1" customHeight="1" outlineLevel="4" x14ac:dyDescent="0.2">
      <c r="A138" s="23"/>
      <c r="B138" s="24" t="s">
        <v>117</v>
      </c>
      <c r="C138" s="25"/>
      <c r="D138" s="25"/>
      <c r="E138" s="26" t="s">
        <v>24</v>
      </c>
      <c r="F138" s="27"/>
      <c r="G138" s="28">
        <v>7</v>
      </c>
      <c r="H138" s="28">
        <f>SUM($G$138:$G$138)</f>
        <v>7</v>
      </c>
      <c r="I138" s="59">
        <f t="array" ref="I138">INDEX(Р[Цена за ед., руб],MATCH(1,IF(($B138=Р[Наименование])*($K138=Р[Примечание]),{1},($B138=Р[Наименование])*($K138=Р[Примечание])),0))</f>
        <v>0</v>
      </c>
      <c r="J138" s="68">
        <f>ROUND($H$138*$I$138,2)</f>
        <v>0</v>
      </c>
      <c r="K138" s="25"/>
      <c r="L138" s="25"/>
    </row>
    <row r="139" spans="1:12" ht="11.1" customHeight="1" outlineLevel="4" x14ac:dyDescent="0.2">
      <c r="A139" s="20"/>
      <c r="B139" s="14" t="s">
        <v>28</v>
      </c>
      <c r="C139" s="21"/>
      <c r="D139" s="21"/>
      <c r="E139" s="21"/>
      <c r="F139" s="21"/>
      <c r="G139" s="21"/>
      <c r="H139" s="21"/>
      <c r="I139" s="57"/>
      <c r="J139" s="69">
        <f>SUM($J$140)</f>
        <v>0</v>
      </c>
      <c r="K139" s="18"/>
      <c r="L139" s="22"/>
    </row>
    <row r="140" spans="1:12" ht="23.1" customHeight="1" outlineLevel="4" x14ac:dyDescent="0.2">
      <c r="A140" s="23" t="s">
        <v>29</v>
      </c>
      <c r="B140" s="24" t="s">
        <v>56</v>
      </c>
      <c r="C140" s="25" t="s">
        <v>49</v>
      </c>
      <c r="D140" s="25" t="s">
        <v>57</v>
      </c>
      <c r="E140" s="26" t="s">
        <v>24</v>
      </c>
      <c r="F140" s="27"/>
      <c r="G140" s="28">
        <v>7</v>
      </c>
      <c r="H140" s="28">
        <f>SUM($G$140:$G$140)</f>
        <v>7</v>
      </c>
      <c r="I140" s="59">
        <f t="array" ref="I140">INDEX(М[Цена за ед., руб],MATCH(1,IF(($B140=М[Наим.])*($C140=М[Артикул, марка, произв.])*($D140=М[Хар-ка])*($K140=М[Прим.]),{1},($B140=М[Наим.])*($C140=М[Артикул, марка, произв.])*($D140=М[Хар-ка])*($K140=М[Прим.])),0))</f>
        <v>0</v>
      </c>
      <c r="J140" s="68">
        <f>ROUND($H$140*$I$140,2)</f>
        <v>0</v>
      </c>
      <c r="K140" s="25"/>
      <c r="L140" s="25">
        <f t="array" ref="L140">INDEX(М[Форма закупа],MATCH(1,IF(($B140=М[Наим.])*($C140=М[Артикул, марка, произв.])*($D140=М[Хар-ка])*($K140=М[Прим.]),{1},($B140=М[Наим.])*($C140=М[Артикул, марка, произв.])*($D140=М[Хар-ка])*($K140=М[Прим.])),0))</f>
        <v>0</v>
      </c>
    </row>
    <row r="141" spans="1:12" ht="11.1" customHeight="1" outlineLevel="4" x14ac:dyDescent="0.2">
      <c r="A141" s="20"/>
      <c r="B141" s="14" t="s">
        <v>22</v>
      </c>
      <c r="C141" s="21"/>
      <c r="D141" s="21"/>
      <c r="E141" s="21"/>
      <c r="F141" s="21"/>
      <c r="G141" s="21"/>
      <c r="H141" s="21"/>
      <c r="I141" s="57"/>
      <c r="J141" s="69">
        <f>SUM($J$142)</f>
        <v>0</v>
      </c>
      <c r="K141" s="18"/>
      <c r="L141" s="22"/>
    </row>
    <row r="142" spans="1:12" ht="11.1" customHeight="1" outlineLevel="4" x14ac:dyDescent="0.2">
      <c r="A142" s="23"/>
      <c r="B142" s="24" t="s">
        <v>74</v>
      </c>
      <c r="C142" s="25"/>
      <c r="D142" s="25"/>
      <c r="E142" s="26" t="s">
        <v>27</v>
      </c>
      <c r="F142" s="27"/>
      <c r="G142" s="28">
        <v>30</v>
      </c>
      <c r="H142" s="28">
        <f>SUM($G$142:$G$142)</f>
        <v>30</v>
      </c>
      <c r="I142" s="59">
        <f t="array" ref="I142">INDEX(Р[Цена за ед., руб],MATCH(1,IF(($B142=Р[Наименование])*($K142=Р[Примечание]),{1},($B142=Р[Наименование])*($K142=Р[Примечание])),0))</f>
        <v>0</v>
      </c>
      <c r="J142" s="68">
        <f>ROUND($H$142*$I$142,2)</f>
        <v>0</v>
      </c>
      <c r="K142" s="25"/>
      <c r="L142" s="25"/>
    </row>
    <row r="143" spans="1:12" ht="11.1" customHeight="1" outlineLevel="4" x14ac:dyDescent="0.2">
      <c r="A143" s="20"/>
      <c r="B143" s="14" t="s">
        <v>28</v>
      </c>
      <c r="C143" s="21"/>
      <c r="D143" s="21"/>
      <c r="E143" s="21"/>
      <c r="F143" s="21"/>
      <c r="G143" s="21"/>
      <c r="H143" s="21"/>
      <c r="I143" s="57"/>
      <c r="J143" s="69">
        <f>SUM($J$144)</f>
        <v>0</v>
      </c>
      <c r="K143" s="18"/>
      <c r="L143" s="22"/>
    </row>
    <row r="144" spans="1:12" ht="35.1" customHeight="1" outlineLevel="4" x14ac:dyDescent="0.2">
      <c r="A144" s="71" t="s">
        <v>29</v>
      </c>
      <c r="B144" s="24" t="s">
        <v>75</v>
      </c>
      <c r="C144" s="25" t="s">
        <v>53</v>
      </c>
      <c r="D144" s="25" t="s">
        <v>76</v>
      </c>
      <c r="E144" s="26" t="s">
        <v>33</v>
      </c>
      <c r="F144" s="27"/>
      <c r="G144" s="28">
        <v>30</v>
      </c>
      <c r="H144" s="28">
        <f>SUM($G$144:$G$144)</f>
        <v>30</v>
      </c>
      <c r="I144" s="59">
        <f t="array" ref="I144">INDEX(М[Цена за ед., руб],MATCH(1,IF(($B144=М[Наим.])*($C144=М[Артикул, марка, произв.])*($D144=М[Хар-ка])*($K144=М[Прим.]),{1},($B144=М[Наим.])*($C144=М[Артикул, марка, произв.])*($D144=М[Хар-ка])*($K144=М[Прим.])),0))</f>
        <v>0</v>
      </c>
      <c r="J144" s="68">
        <f>ROUND($H$144*$I$144,2)</f>
        <v>0</v>
      </c>
      <c r="K144" s="25"/>
      <c r="L144" s="25">
        <f t="array" ref="L144">INDEX(М[Форма закупа],MATCH(1,IF(($B144=М[Наим.])*($C144=М[Артикул, марка, произв.])*($D144=М[Хар-ка])*($K144=М[Прим.]),{1},($B144=М[Наим.])*($C144=М[Артикул, марка, произв.])*($D144=М[Хар-ка])*($K144=М[Прим.])),0))</f>
        <v>0</v>
      </c>
    </row>
    <row r="145" spans="1:12" ht="11.1" customHeight="1" outlineLevel="2" x14ac:dyDescent="0.2">
      <c r="A145" s="13" t="s">
        <v>118</v>
      </c>
      <c r="B145" s="14" t="s">
        <v>119</v>
      </c>
      <c r="C145" s="15"/>
      <c r="D145" s="15"/>
      <c r="E145" s="16"/>
      <c r="F145" s="17"/>
      <c r="G145" s="18"/>
      <c r="H145" s="18"/>
      <c r="I145" s="56"/>
      <c r="J145" s="70">
        <f>SUM($J$146)</f>
        <v>0</v>
      </c>
      <c r="K145" s="19"/>
      <c r="L145" s="19"/>
    </row>
    <row r="146" spans="1:12" ht="11.1" customHeight="1" outlineLevel="3" x14ac:dyDescent="0.2">
      <c r="A146" s="13" t="s">
        <v>120</v>
      </c>
      <c r="B146" s="14" t="s">
        <v>119</v>
      </c>
      <c r="C146" s="15"/>
      <c r="D146" s="15"/>
      <c r="E146" s="16"/>
      <c r="F146" s="17"/>
      <c r="G146" s="18"/>
      <c r="H146" s="18"/>
      <c r="I146" s="56"/>
      <c r="J146" s="70">
        <f>SUM($J$173,$J$171,$J$168,$J$166,$J$164,$J$162,$J$159,$J$157,$J$155,$J$153,$J$147,J151,J149)</f>
        <v>0</v>
      </c>
      <c r="K146" s="19"/>
      <c r="L146" s="19"/>
    </row>
    <row r="147" spans="1:12" ht="11.1" customHeight="1" outlineLevel="4" x14ac:dyDescent="0.2">
      <c r="A147" s="20"/>
      <c r="B147" s="14" t="s">
        <v>22</v>
      </c>
      <c r="C147" s="21"/>
      <c r="D147" s="21"/>
      <c r="E147" s="21"/>
      <c r="F147" s="21"/>
      <c r="G147" s="21"/>
      <c r="H147" s="21"/>
      <c r="I147" s="57"/>
      <c r="J147" s="69">
        <f>SUM($J$148)</f>
        <v>0</v>
      </c>
      <c r="K147" s="18"/>
      <c r="L147" s="22"/>
    </row>
    <row r="148" spans="1:12" ht="11.1" customHeight="1" outlineLevel="4" x14ac:dyDescent="0.2">
      <c r="A148" s="23"/>
      <c r="B148" s="24" t="s">
        <v>23</v>
      </c>
      <c r="C148" s="25"/>
      <c r="D148" s="25"/>
      <c r="E148" s="26" t="s">
        <v>24</v>
      </c>
      <c r="F148" s="27"/>
      <c r="G148" s="28">
        <v>1</v>
      </c>
      <c r="H148" s="28">
        <f>SUM($G$148:$G$148)</f>
        <v>1</v>
      </c>
      <c r="I148" s="59">
        <f t="array" ref="I148">INDEX(Р[Цена за ед., руб],MATCH(1,IF(($B148=Р[Наименование])*($K148=Р[Примечание]),{1},($B148=Р[Наименование])*($K148=Р[Примечание])),0))</f>
        <v>0</v>
      </c>
      <c r="J148" s="68">
        <f>ROUND($H$148*$I$148,2)</f>
        <v>0</v>
      </c>
      <c r="K148" s="25"/>
      <c r="L148" s="25"/>
    </row>
    <row r="149" spans="1:12" ht="11.1" customHeight="1" outlineLevel="4" x14ac:dyDescent="0.2">
      <c r="A149" s="20"/>
      <c r="B149" s="14" t="s">
        <v>22</v>
      </c>
      <c r="C149" s="21"/>
      <c r="D149" s="21"/>
      <c r="E149" s="21"/>
      <c r="F149" s="21"/>
      <c r="G149" s="21"/>
      <c r="H149" s="21"/>
      <c r="I149" s="57"/>
      <c r="J149" s="69">
        <f>J150</f>
        <v>0</v>
      </c>
      <c r="K149" s="18"/>
      <c r="L149" s="22"/>
    </row>
    <row r="150" spans="1:12" ht="11.1" customHeight="1" outlineLevel="4" x14ac:dyDescent="0.2">
      <c r="A150" s="23"/>
      <c r="B150" s="24" t="s">
        <v>51</v>
      </c>
      <c r="C150" s="25"/>
      <c r="D150" s="25"/>
      <c r="E150" s="26" t="s">
        <v>24</v>
      </c>
      <c r="F150" s="27"/>
      <c r="G150" s="28">
        <v>1</v>
      </c>
      <c r="H150" s="28">
        <f>SUM(G150)</f>
        <v>1</v>
      </c>
      <c r="I150" s="59">
        <f t="array" ref="I150">INDEX(Р[Цена за ед., руб],MATCH(1,IF(($B150=Р[Наименование])*($K150=Р[Примечание]),{1},($B150=Р[Наименование])*($K150=Р[Примечание])),0))</f>
        <v>0</v>
      </c>
      <c r="J150" s="68">
        <f>ROUND($H$148*$I$148,2)</f>
        <v>0</v>
      </c>
      <c r="K150" s="25"/>
      <c r="L150" s="25"/>
    </row>
    <row r="151" spans="1:12" ht="11.1" customHeight="1" outlineLevel="4" x14ac:dyDescent="0.2">
      <c r="A151" s="20"/>
      <c r="B151" s="14" t="s">
        <v>28</v>
      </c>
      <c r="C151" s="21"/>
      <c r="D151" s="21"/>
      <c r="E151" s="21"/>
      <c r="F151" s="21"/>
      <c r="G151" s="21"/>
      <c r="H151" s="21"/>
      <c r="I151" s="57"/>
      <c r="J151" s="69">
        <f>J152</f>
        <v>0</v>
      </c>
      <c r="K151" s="18"/>
      <c r="L151" s="22"/>
    </row>
    <row r="152" spans="1:12" ht="11.1" customHeight="1" outlineLevel="4" x14ac:dyDescent="0.2">
      <c r="A152" s="23" t="s">
        <v>29</v>
      </c>
      <c r="B152" s="24" t="s">
        <v>52</v>
      </c>
      <c r="C152" s="25" t="s">
        <v>53</v>
      </c>
      <c r="D152" s="25" t="s">
        <v>54</v>
      </c>
      <c r="E152" s="26" t="s">
        <v>24</v>
      </c>
      <c r="F152" s="27"/>
      <c r="G152" s="28">
        <v>1</v>
      </c>
      <c r="H152" s="28">
        <f>SUM(G152)</f>
        <v>1</v>
      </c>
      <c r="I152" s="59">
        <f t="array" ref="I152">INDEX(М[Цена за ед., руб],MATCH(1,IF(($B152=М[Наим.])*($C152=М[Артикул, марка, произв.])*($D152=М[Хар-ка])*($K152=М[Прим.]),{1},($B152=М[Наим.])*($C152=М[Артикул, марка, произв.])*($D152=М[Хар-ка])*($K152=М[Прим.])),0))</f>
        <v>0</v>
      </c>
      <c r="J152" s="68">
        <f>H152*I152</f>
        <v>0</v>
      </c>
      <c r="K152" s="25"/>
      <c r="L152" s="25"/>
    </row>
    <row r="153" spans="1:12" ht="11.1" customHeight="1" outlineLevel="4" x14ac:dyDescent="0.2">
      <c r="A153" s="20"/>
      <c r="B153" s="14" t="s">
        <v>22</v>
      </c>
      <c r="C153" s="21"/>
      <c r="D153" s="21"/>
      <c r="E153" s="21"/>
      <c r="F153" s="21"/>
      <c r="G153" s="21"/>
      <c r="H153" s="21"/>
      <c r="I153" s="57"/>
      <c r="J153" s="69">
        <f>SUM($J$154)</f>
        <v>0</v>
      </c>
      <c r="K153" s="18"/>
      <c r="L153" s="22"/>
    </row>
    <row r="154" spans="1:12" ht="11.1" customHeight="1" outlineLevel="4" x14ac:dyDescent="0.2">
      <c r="A154" s="23"/>
      <c r="B154" s="24" t="s">
        <v>58</v>
      </c>
      <c r="C154" s="25"/>
      <c r="D154" s="25"/>
      <c r="E154" s="26" t="s">
        <v>24</v>
      </c>
      <c r="F154" s="27"/>
      <c r="G154" s="28">
        <v>1</v>
      </c>
      <c r="H154" s="28">
        <f>SUM($G$154:$G$154)</f>
        <v>1</v>
      </c>
      <c r="I154" s="59">
        <f t="array" ref="I154">INDEX(Р[Цена за ед., руб],MATCH(1,IF(($B154=Р[Наименование])*($K154=Р[Примечание]),{1},($B154=Р[Наименование])*($K154=Р[Примечание])),0))</f>
        <v>0</v>
      </c>
      <c r="J154" s="68">
        <f>ROUND($H$154*$I$154,2)</f>
        <v>0</v>
      </c>
      <c r="K154" s="25"/>
      <c r="L154" s="25"/>
    </row>
    <row r="155" spans="1:12" ht="11.1" customHeight="1" outlineLevel="4" x14ac:dyDescent="0.2">
      <c r="A155" s="20"/>
      <c r="B155" s="14" t="s">
        <v>28</v>
      </c>
      <c r="C155" s="21"/>
      <c r="D155" s="21"/>
      <c r="E155" s="21"/>
      <c r="F155" s="21"/>
      <c r="G155" s="21"/>
      <c r="H155" s="21"/>
      <c r="I155" s="57"/>
      <c r="J155" s="69">
        <f>SUM($J$156)</f>
        <v>0</v>
      </c>
      <c r="K155" s="18"/>
      <c r="L155" s="22"/>
    </row>
    <row r="156" spans="1:12" ht="11.1" customHeight="1" outlineLevel="4" x14ac:dyDescent="0.2">
      <c r="A156" s="23" t="s">
        <v>29</v>
      </c>
      <c r="B156" s="24" t="s">
        <v>59</v>
      </c>
      <c r="C156" s="25"/>
      <c r="D156" s="25" t="s">
        <v>61</v>
      </c>
      <c r="E156" s="26" t="s">
        <v>24</v>
      </c>
      <c r="F156" s="29">
        <v>1</v>
      </c>
      <c r="G156" s="28">
        <v>1</v>
      </c>
      <c r="H156" s="28">
        <f>SUM($G$156:$G$156)</f>
        <v>1</v>
      </c>
      <c r="I156" s="59">
        <f t="array" ref="I156">INDEX(М[Цена за ед., руб],MATCH(1,IF(($B156=М[Наим.])*($C156=М[Артикул, марка, произв.])*($D156=М[Хар-ка])*($K156=М[Прим.]),{1},($B156=М[Наим.])*($C156=М[Артикул, марка, произв.])*($D156=М[Хар-ка])*($K156=М[Прим.])),0))</f>
        <v>0</v>
      </c>
      <c r="J156" s="68">
        <f>ROUND($H$156*$I$156,2)</f>
        <v>0</v>
      </c>
      <c r="K156" s="25"/>
      <c r="L156" s="25">
        <f t="array" ref="L156">INDEX(М[Форма закупа],MATCH(1,IF(($B156=М[Наим.])*($C156=М[Артикул, марка, произв.])*($D156=М[Хар-ка])*($K156=М[Прим.]),{1},($B156=М[Наим.])*($C156=М[Артикул, марка, произв.])*($D156=М[Хар-ка])*($K156=М[Прим.])),0))</f>
        <v>0</v>
      </c>
    </row>
    <row r="157" spans="1:12" ht="11.1" customHeight="1" outlineLevel="4" x14ac:dyDescent="0.2">
      <c r="A157" s="20"/>
      <c r="B157" s="14" t="s">
        <v>22</v>
      </c>
      <c r="C157" s="21"/>
      <c r="D157" s="21"/>
      <c r="E157" s="21"/>
      <c r="F157" s="21"/>
      <c r="G157" s="21"/>
      <c r="H157" s="21"/>
      <c r="I157" s="57"/>
      <c r="J157" s="69">
        <f>SUM($J$158)</f>
        <v>0</v>
      </c>
      <c r="K157" s="18"/>
      <c r="L157" s="22"/>
    </row>
    <row r="158" spans="1:12" ht="23.1" customHeight="1" outlineLevel="4" x14ac:dyDescent="0.2">
      <c r="A158" s="23"/>
      <c r="B158" s="24" t="s">
        <v>69</v>
      </c>
      <c r="C158" s="25"/>
      <c r="D158" s="25"/>
      <c r="E158" s="26" t="s">
        <v>27</v>
      </c>
      <c r="F158" s="27"/>
      <c r="G158" s="28">
        <v>7</v>
      </c>
      <c r="H158" s="28">
        <f>SUM($G$158:$G$158)</f>
        <v>7</v>
      </c>
      <c r="I158" s="59">
        <f t="array" ref="I158">INDEX(Р[Цена за ед., руб],MATCH(1,IF(($B158=Р[Наименование])*($K158=Р[Примечание]),{1},($B158=Р[Наименование])*($K158=Р[Примечание])),0))</f>
        <v>0</v>
      </c>
      <c r="J158" s="68">
        <f>ROUND($H$158*$I$158,2)</f>
        <v>0</v>
      </c>
      <c r="K158" s="25"/>
      <c r="L158" s="25"/>
    </row>
    <row r="159" spans="1:12" ht="11.1" customHeight="1" outlineLevel="4" x14ac:dyDescent="0.2">
      <c r="A159" s="20"/>
      <c r="B159" s="14" t="s">
        <v>28</v>
      </c>
      <c r="C159" s="21"/>
      <c r="D159" s="21"/>
      <c r="E159" s="21"/>
      <c r="F159" s="21"/>
      <c r="G159" s="21"/>
      <c r="H159" s="21"/>
      <c r="I159" s="57"/>
      <c r="J159" s="69">
        <f>SUM($J$160:$J$161)</f>
        <v>0</v>
      </c>
      <c r="K159" s="18"/>
      <c r="L159" s="22"/>
    </row>
    <row r="160" spans="1:12" ht="23.1" customHeight="1" outlineLevel="4" x14ac:dyDescent="0.2">
      <c r="A160" s="71" t="s">
        <v>29</v>
      </c>
      <c r="B160" s="24" t="s">
        <v>70</v>
      </c>
      <c r="C160" s="25" t="s">
        <v>53</v>
      </c>
      <c r="D160" s="25" t="s">
        <v>71</v>
      </c>
      <c r="E160" s="26" t="s">
        <v>33</v>
      </c>
      <c r="F160" s="29">
        <v>1</v>
      </c>
      <c r="G160" s="28">
        <v>2</v>
      </c>
      <c r="H160" s="28">
        <f>SUM($G$160:$G$160)</f>
        <v>2</v>
      </c>
      <c r="I160" s="59">
        <f t="array" ref="I160">INDEX(М[Цена за ед., руб],MATCH(1,IF(($B160=М[Наим.])*($C160=М[Артикул, марка, произв.])*($D160=М[Хар-ка])*($K160=М[Прим.]),{1},($B160=М[Наим.])*($C160=М[Артикул, марка, произв.])*($D160=М[Хар-ка])*($K160=М[Прим.])),0))</f>
        <v>0</v>
      </c>
      <c r="J160" s="68">
        <f>ROUND($H$160*$I$160,2)</f>
        <v>0</v>
      </c>
      <c r="K160" s="25"/>
      <c r="L160" s="25">
        <f t="array" ref="L160">INDEX(М[Форма закупа],MATCH(1,IF(($B160=М[Наим.])*($C160=М[Артикул, марка, произв.])*($D160=М[Хар-ка])*($K160=М[Прим.]),{1},($B160=М[Наим.])*($C160=М[Артикул, марка, произв.])*($D160=М[Хар-ка])*($K160=М[Прим.])),0))</f>
        <v>0</v>
      </c>
    </row>
    <row r="161" spans="1:12" ht="23.1" customHeight="1" outlineLevel="4" x14ac:dyDescent="0.2">
      <c r="A161" s="71" t="s">
        <v>34</v>
      </c>
      <c r="B161" s="24" t="s">
        <v>70</v>
      </c>
      <c r="C161" s="25" t="s">
        <v>53</v>
      </c>
      <c r="D161" s="25" t="s">
        <v>72</v>
      </c>
      <c r="E161" s="26" t="s">
        <v>33</v>
      </c>
      <c r="F161" s="29">
        <v>1</v>
      </c>
      <c r="G161" s="28">
        <v>5</v>
      </c>
      <c r="H161" s="28">
        <f>SUM($G$161:$G$161)</f>
        <v>5</v>
      </c>
      <c r="I161" s="59">
        <f t="array" ref="I161">INDEX(М[Цена за ед., руб],MATCH(1,IF(($B161=М[Наим.])*($C161=М[Артикул, марка, произв.])*($D161=М[Хар-ка])*($K161=М[Прим.]),{1},($B161=М[Наим.])*($C161=М[Артикул, марка, произв.])*($D161=М[Хар-ка])*($K161=М[Прим.])),0))</f>
        <v>0</v>
      </c>
      <c r="J161" s="68">
        <f>ROUND($H$161*$I$161,2)</f>
        <v>0</v>
      </c>
      <c r="K161" s="25"/>
      <c r="L161" s="25">
        <f t="array" ref="L161">INDEX(М[Форма закупа],MATCH(1,IF(($B161=М[Наим.])*($C161=М[Артикул, марка, произв.])*($D161=М[Хар-ка])*($K161=М[Прим.]),{1},($B161=М[Наим.])*($C161=М[Артикул, марка, произв.])*($D161=М[Хар-ка])*($K161=М[Прим.])),0))</f>
        <v>0</v>
      </c>
    </row>
    <row r="162" spans="1:12" ht="11.1" customHeight="1" outlineLevel="4" x14ac:dyDescent="0.2">
      <c r="A162" s="20"/>
      <c r="B162" s="14" t="s">
        <v>22</v>
      </c>
      <c r="C162" s="21"/>
      <c r="D162" s="21"/>
      <c r="E162" s="21"/>
      <c r="F162" s="21"/>
      <c r="G162" s="21"/>
      <c r="H162" s="21"/>
      <c r="I162" s="57"/>
      <c r="J162" s="69">
        <f>SUM($J$163)</f>
        <v>0</v>
      </c>
      <c r="K162" s="18"/>
      <c r="L162" s="22"/>
    </row>
    <row r="163" spans="1:12" ht="11.1" customHeight="1" outlineLevel="4" x14ac:dyDescent="0.2">
      <c r="A163" s="23"/>
      <c r="B163" s="24" t="s">
        <v>121</v>
      </c>
      <c r="C163" s="25"/>
      <c r="D163" s="25"/>
      <c r="E163" s="26" t="s">
        <v>24</v>
      </c>
      <c r="F163" s="27"/>
      <c r="G163" s="28">
        <v>1</v>
      </c>
      <c r="H163" s="28">
        <f>SUM($G$163:$G$163)</f>
        <v>1</v>
      </c>
      <c r="I163" s="59">
        <f t="array" ref="I163">INDEX(Р[Цена за ед., руб],MATCH(1,IF(($B163=Р[Наименование])*($K163=Р[Примечание]),{1},($B163=Р[Наименование])*($K163=Р[Примечание])),0))</f>
        <v>0</v>
      </c>
      <c r="J163" s="68">
        <f>ROUND($H$163*$I$163,2)</f>
        <v>0</v>
      </c>
      <c r="K163" s="25"/>
      <c r="L163" s="25"/>
    </row>
    <row r="164" spans="1:12" ht="11.1" customHeight="1" outlineLevel="4" x14ac:dyDescent="0.2">
      <c r="A164" s="20"/>
      <c r="B164" s="14" t="s">
        <v>28</v>
      </c>
      <c r="C164" s="21"/>
      <c r="D164" s="21"/>
      <c r="E164" s="21"/>
      <c r="F164" s="21"/>
      <c r="G164" s="21"/>
      <c r="H164" s="21"/>
      <c r="I164" s="57"/>
      <c r="J164" s="69">
        <f>SUM($J$165)</f>
        <v>0</v>
      </c>
      <c r="K164" s="18"/>
      <c r="L164" s="22"/>
    </row>
    <row r="165" spans="1:12" ht="23.1" customHeight="1" outlineLevel="4" x14ac:dyDescent="0.2">
      <c r="A165" s="23" t="s">
        <v>29</v>
      </c>
      <c r="B165" s="24" t="s">
        <v>122</v>
      </c>
      <c r="C165" s="25"/>
      <c r="D165" s="25" t="s">
        <v>123</v>
      </c>
      <c r="E165" s="26" t="s">
        <v>24</v>
      </c>
      <c r="F165" s="29">
        <v>1</v>
      </c>
      <c r="G165" s="28">
        <v>1</v>
      </c>
      <c r="H165" s="28">
        <f>SUM($G$165:$G$165)</f>
        <v>1</v>
      </c>
      <c r="I165" s="59">
        <f t="array" ref="I165">INDEX(М[Цена за ед., руб],MATCH(1,IF(($B165=М[Наим.])*($C165=М[Артикул, марка, произв.])*($D165=М[Хар-ка])*($K165=М[Прим.]),{1},($B165=М[Наим.])*($C165=М[Артикул, марка, произв.])*($D165=М[Хар-ка])*($K165=М[Прим.])),0))</f>
        <v>0</v>
      </c>
      <c r="J165" s="68">
        <f>ROUND($H$165*$I$165,2)</f>
        <v>0</v>
      </c>
      <c r="K165" s="25"/>
      <c r="L165" s="25">
        <f t="array" ref="L165">INDEX(М[Форма закупа],MATCH(1,IF(($B165=М[Наим.])*($C165=М[Артикул, марка, произв.])*($D165=М[Хар-ка])*($K165=М[Прим.]),{1},($B165=М[Наим.])*($C165=М[Артикул, марка, произв.])*($D165=М[Хар-ка])*($K165=М[Прим.])),0))</f>
        <v>0</v>
      </c>
    </row>
    <row r="166" spans="1:12" ht="11.1" customHeight="1" outlineLevel="4" x14ac:dyDescent="0.2">
      <c r="A166" s="20"/>
      <c r="B166" s="14" t="s">
        <v>22</v>
      </c>
      <c r="C166" s="21"/>
      <c r="D166" s="21"/>
      <c r="E166" s="21"/>
      <c r="F166" s="21"/>
      <c r="G166" s="21"/>
      <c r="H166" s="21"/>
      <c r="I166" s="57"/>
      <c r="J166" s="69">
        <f>SUM($J$167)</f>
        <v>0</v>
      </c>
      <c r="K166" s="18"/>
      <c r="L166" s="22"/>
    </row>
    <row r="167" spans="1:12" ht="11.1" customHeight="1" outlineLevel="4" x14ac:dyDescent="0.2">
      <c r="A167" s="23"/>
      <c r="B167" s="24" t="s">
        <v>124</v>
      </c>
      <c r="C167" s="25"/>
      <c r="D167" s="25"/>
      <c r="E167" s="26" t="s">
        <v>24</v>
      </c>
      <c r="F167" s="27"/>
      <c r="G167" s="28">
        <v>2</v>
      </c>
      <c r="H167" s="28">
        <f>SUM($G$167:$G$167)</f>
        <v>2</v>
      </c>
      <c r="I167" s="59">
        <f t="array" ref="I167">INDEX(Р[Цена за ед., руб],MATCH(1,IF(($B167=Р[Наименование])*($K167=Р[Примечание]),{1},($B167=Р[Наименование])*($K167=Р[Примечание])),0))</f>
        <v>0</v>
      </c>
      <c r="J167" s="68">
        <f>ROUND($H$167*$I$167,2)</f>
        <v>0</v>
      </c>
      <c r="K167" s="25"/>
      <c r="L167" s="25"/>
    </row>
    <row r="168" spans="1:12" ht="11.1" customHeight="1" outlineLevel="4" x14ac:dyDescent="0.2">
      <c r="A168" s="20"/>
      <c r="B168" s="14" t="s">
        <v>28</v>
      </c>
      <c r="C168" s="21"/>
      <c r="D168" s="21"/>
      <c r="E168" s="21"/>
      <c r="F168" s="21"/>
      <c r="G168" s="21"/>
      <c r="H168" s="21"/>
      <c r="I168" s="57"/>
      <c r="J168" s="69">
        <f>SUM($J$169:$J$170)</f>
        <v>0</v>
      </c>
      <c r="K168" s="18"/>
      <c r="L168" s="22"/>
    </row>
    <row r="169" spans="1:12" ht="35.1" customHeight="1" outlineLevel="4" x14ac:dyDescent="0.2">
      <c r="A169" s="23" t="s">
        <v>29</v>
      </c>
      <c r="B169" s="24" t="s">
        <v>125</v>
      </c>
      <c r="C169" s="25"/>
      <c r="D169" s="25" t="s">
        <v>126</v>
      </c>
      <c r="E169" s="26" t="s">
        <v>24</v>
      </c>
      <c r="F169" s="29">
        <v>1</v>
      </c>
      <c r="G169" s="28">
        <v>1</v>
      </c>
      <c r="H169" s="28">
        <f>SUM($G$169:$G$169)</f>
        <v>1</v>
      </c>
      <c r="I169" s="59">
        <f t="array" ref="I169">INDEX(М[Цена за ед., руб],MATCH(1,IF(($B169=М[Наим.])*($C169=М[Артикул, марка, произв.])*($D169=М[Хар-ка])*($K169=М[Прим.]),{1},($B169=М[Наим.])*($C169=М[Артикул, марка, произв.])*($D169=М[Хар-ка])*($K169=М[Прим.])),0))</f>
        <v>0</v>
      </c>
      <c r="J169" s="68">
        <f>ROUND($H$169*$I$169,2)</f>
        <v>0</v>
      </c>
      <c r="K169" s="25"/>
      <c r="L169" s="25">
        <f t="array" ref="L169">INDEX(М[Форма закупа],MATCH(1,IF(($B169=М[Наим.])*($C169=М[Артикул, марка, произв.])*($D169=М[Хар-ка])*($K169=М[Прим.]),{1},($B169=М[Наим.])*($C169=М[Артикул, марка, произв.])*($D169=М[Хар-ка])*($K169=М[Прим.])),0))</f>
        <v>0</v>
      </c>
    </row>
    <row r="170" spans="1:12" ht="35.1" customHeight="1" outlineLevel="4" x14ac:dyDescent="0.2">
      <c r="A170" s="23" t="s">
        <v>34</v>
      </c>
      <c r="B170" s="24" t="s">
        <v>125</v>
      </c>
      <c r="C170" s="25"/>
      <c r="D170" s="25" t="s">
        <v>127</v>
      </c>
      <c r="E170" s="26" t="s">
        <v>24</v>
      </c>
      <c r="F170" s="29">
        <v>1</v>
      </c>
      <c r="G170" s="28">
        <v>1</v>
      </c>
      <c r="H170" s="28">
        <f>SUM($G$170:$G$170)</f>
        <v>1</v>
      </c>
      <c r="I170" s="59">
        <f t="array" ref="I170">INDEX(М[Цена за ед., руб],MATCH(1,IF(($B170=М[Наим.])*($C170=М[Артикул, марка, произв.])*($D170=М[Хар-ка])*($K170=М[Прим.]),{1},($B170=М[Наим.])*($C170=М[Артикул, марка, произв.])*($D170=М[Хар-ка])*($K170=М[Прим.])),0))</f>
        <v>0</v>
      </c>
      <c r="J170" s="68">
        <f>ROUND($H$170*$I$170,2)</f>
        <v>0</v>
      </c>
      <c r="K170" s="25"/>
      <c r="L170" s="25">
        <f t="array" ref="L170">INDEX(М[Форма закупа],MATCH(1,IF(($B170=М[Наим.])*($C170=М[Артикул, марка, произв.])*($D170=М[Хар-ка])*($K170=М[Прим.]),{1},($B170=М[Наим.])*($C170=М[Артикул, марка, произв.])*($D170=М[Хар-ка])*($K170=М[Прим.])),0))</f>
        <v>0</v>
      </c>
    </row>
    <row r="171" spans="1:12" ht="11.1" customHeight="1" outlineLevel="4" x14ac:dyDescent="0.2">
      <c r="A171" s="20"/>
      <c r="B171" s="14" t="s">
        <v>22</v>
      </c>
      <c r="C171" s="21"/>
      <c r="D171" s="21"/>
      <c r="E171" s="21"/>
      <c r="F171" s="21"/>
      <c r="G171" s="21"/>
      <c r="H171" s="21"/>
      <c r="I171" s="57"/>
      <c r="J171" s="69">
        <f>SUM($J$172)</f>
        <v>0</v>
      </c>
      <c r="K171" s="18"/>
      <c r="L171" s="22"/>
    </row>
    <row r="172" spans="1:12" ht="11.1" customHeight="1" outlineLevel="4" x14ac:dyDescent="0.2">
      <c r="A172" s="23"/>
      <c r="B172" s="24" t="s">
        <v>128</v>
      </c>
      <c r="C172" s="25"/>
      <c r="D172" s="25"/>
      <c r="E172" s="26" t="s">
        <v>24</v>
      </c>
      <c r="F172" s="27"/>
      <c r="G172" s="28">
        <v>1</v>
      </c>
      <c r="H172" s="28">
        <f>SUM($G$172:$G$172)</f>
        <v>1</v>
      </c>
      <c r="I172" s="59">
        <f t="array" ref="I172">INDEX(Р[Цена за ед., руб],MATCH(1,IF(($B172=Р[Наименование])*($K172=Р[Примечание]),{1},($B172=Р[Наименование])*($K172=Р[Примечание])),0))</f>
        <v>0</v>
      </c>
      <c r="J172" s="68">
        <f>ROUND($H$172*$I$172,2)</f>
        <v>0</v>
      </c>
      <c r="K172" s="25"/>
      <c r="L172" s="25"/>
    </row>
    <row r="173" spans="1:12" ht="11.1" customHeight="1" outlineLevel="4" x14ac:dyDescent="0.2">
      <c r="A173" s="20"/>
      <c r="B173" s="14" t="s">
        <v>28</v>
      </c>
      <c r="C173" s="21"/>
      <c r="D173" s="21"/>
      <c r="E173" s="21"/>
      <c r="F173" s="21"/>
      <c r="G173" s="21"/>
      <c r="H173" s="21"/>
      <c r="I173" s="57"/>
      <c r="J173" s="69">
        <f>SUM($J$174)</f>
        <v>0</v>
      </c>
      <c r="K173" s="18"/>
      <c r="L173" s="22"/>
    </row>
    <row r="174" spans="1:12" ht="23.1" customHeight="1" outlineLevel="4" x14ac:dyDescent="0.2">
      <c r="A174" s="23" t="s">
        <v>29</v>
      </c>
      <c r="B174" s="24" t="s">
        <v>129</v>
      </c>
      <c r="C174" s="25"/>
      <c r="D174" s="25" t="s">
        <v>130</v>
      </c>
      <c r="E174" s="26" t="s">
        <v>24</v>
      </c>
      <c r="F174" s="29">
        <v>1</v>
      </c>
      <c r="G174" s="28">
        <v>1</v>
      </c>
      <c r="H174" s="28">
        <f>SUM($G$174:$G$174)</f>
        <v>1</v>
      </c>
      <c r="I174" s="59">
        <f t="array" ref="I174">INDEX(М[Цена за ед., руб],MATCH(1,IF(($B174=М[Наим.])*($C174=М[Артикул, марка, произв.])*($D174=М[Хар-ка])*($K174=М[Прим.]),{1},($B174=М[Наим.])*($C174=М[Артикул, марка, произв.])*($D174=М[Хар-ка])*($K174=М[Прим.])),0))</f>
        <v>0</v>
      </c>
      <c r="J174" s="68">
        <f>ROUND($H$174*$I$174,2)</f>
        <v>0</v>
      </c>
      <c r="K174" s="25"/>
      <c r="L174" s="25">
        <f t="array" ref="L174">INDEX(М[Форма закупа],MATCH(1,IF(($B174=М[Наим.])*($C174=М[Артикул, марка, произв.])*($D174=М[Хар-ка])*($K174=М[Прим.]),{1},($B174=М[Наим.])*($C174=М[Артикул, марка, произв.])*($D174=М[Хар-ка])*($K174=М[Прим.])),0))</f>
        <v>0</v>
      </c>
    </row>
    <row r="175" spans="1:12" ht="11.1" customHeight="1" outlineLevel="2" x14ac:dyDescent="0.2">
      <c r="A175" s="13" t="s">
        <v>136</v>
      </c>
      <c r="B175" s="14" t="s">
        <v>137</v>
      </c>
      <c r="C175" s="15"/>
      <c r="D175" s="15"/>
      <c r="E175" s="16"/>
      <c r="F175" s="17"/>
      <c r="G175" s="18"/>
      <c r="H175" s="18"/>
      <c r="I175" s="56"/>
      <c r="J175" s="70">
        <f ca="1">SUM($J$176)</f>
        <v>0</v>
      </c>
      <c r="K175" s="19"/>
      <c r="L175" s="19"/>
    </row>
    <row r="176" spans="1:12" ht="11.1" customHeight="1" outlineLevel="3" x14ac:dyDescent="0.2">
      <c r="A176" s="13" t="s">
        <v>138</v>
      </c>
      <c r="B176" s="14" t="s">
        <v>137</v>
      </c>
      <c r="C176" s="15"/>
      <c r="D176" s="15"/>
      <c r="E176" s="16"/>
      <c r="F176" s="17"/>
      <c r="G176" s="18"/>
      <c r="H176" s="18"/>
      <c r="I176" s="56"/>
      <c r="J176" s="70">
        <f ca="1">SUM($J$183,$J$181,$J$179,$J$177,J185)</f>
        <v>0</v>
      </c>
      <c r="K176" s="19"/>
      <c r="L176" s="19"/>
    </row>
    <row r="177" spans="1:12" ht="11.1" customHeight="1" outlineLevel="4" x14ac:dyDescent="0.2">
      <c r="A177" s="20"/>
      <c r="B177" s="14" t="s">
        <v>22</v>
      </c>
      <c r="C177" s="21"/>
      <c r="D177" s="21"/>
      <c r="E177" s="21"/>
      <c r="F177" s="21"/>
      <c r="G177" s="21"/>
      <c r="H177" s="21"/>
      <c r="I177" s="57"/>
      <c r="J177" s="69">
        <f>SUM($J$178)</f>
        <v>0</v>
      </c>
      <c r="K177" s="18"/>
      <c r="L177" s="22"/>
    </row>
    <row r="178" spans="1:12" ht="11.1" customHeight="1" outlineLevel="4" x14ac:dyDescent="0.2">
      <c r="A178" s="23"/>
      <c r="B178" s="74" t="s">
        <v>170</v>
      </c>
      <c r="C178" s="25"/>
      <c r="D178" s="25"/>
      <c r="E178" s="26" t="s">
        <v>135</v>
      </c>
      <c r="F178" s="27"/>
      <c r="G178" s="28">
        <v>1</v>
      </c>
      <c r="H178" s="28">
        <f>SUM($G$178:$G$178)</f>
        <v>1</v>
      </c>
      <c r="I178" s="59">
        <f t="array" ref="I178">INDEX(Р[Цена за ед., руб],MATCH(1,IF(($B178=Р[Наименование])*($K178=Р[Примечание]),{1},($B178=Р[Наименование])*($K178=Р[Примечание])),0))</f>
        <v>0</v>
      </c>
      <c r="J178" s="68">
        <f>ROUND($H$178*$I$178,2)</f>
        <v>0</v>
      </c>
      <c r="K178" s="25"/>
      <c r="L178" s="25"/>
    </row>
    <row r="179" spans="1:12" ht="11.1" customHeight="1" outlineLevel="4" x14ac:dyDescent="0.2">
      <c r="A179" s="20"/>
      <c r="B179" s="14" t="s">
        <v>28</v>
      </c>
      <c r="C179" s="21"/>
      <c r="D179" s="21"/>
      <c r="E179" s="21"/>
      <c r="F179" s="21"/>
      <c r="G179" s="21"/>
      <c r="H179" s="21"/>
      <c r="I179" s="57"/>
      <c r="J179" s="69">
        <f>SUM($J$180)</f>
        <v>0</v>
      </c>
      <c r="K179" s="18"/>
      <c r="L179" s="22"/>
    </row>
    <row r="180" spans="1:12" ht="11.1" customHeight="1" outlineLevel="4" x14ac:dyDescent="0.2">
      <c r="A180" s="23" t="s">
        <v>29</v>
      </c>
      <c r="B180" s="24" t="s">
        <v>139</v>
      </c>
      <c r="C180" s="25"/>
      <c r="D180" s="25" t="s">
        <v>140</v>
      </c>
      <c r="E180" s="26" t="s">
        <v>141</v>
      </c>
      <c r="F180" s="27"/>
      <c r="G180" s="28">
        <v>36</v>
      </c>
      <c r="H180" s="28">
        <f>SUM($G$180:$G$180)</f>
        <v>36</v>
      </c>
      <c r="I180" s="59">
        <f t="array" ref="I180">INDEX(М[Цена за ед., руб],MATCH(1,IF(($B180=М[Наим.])*($C180=М[Артикул, марка, произв.])*($D180=М[Хар-ка])*($K180=М[Прим.]),{1},($B180=М[Наим.])*($C180=М[Артикул, марка, произв.])*($D180=М[Хар-ка])*($K180=М[Прим.])),0))</f>
        <v>0</v>
      </c>
      <c r="J180" s="68">
        <f>ROUND($H$180*$I$180,2)</f>
        <v>0</v>
      </c>
      <c r="K180" s="25" t="s">
        <v>142</v>
      </c>
      <c r="L180" s="25">
        <f t="array" ref="L180">INDEX(М[Форма закупа],MATCH(1,IF(($B180=М[Наим.])*($C180=М[Артикул, марка, произв.])*($D180=М[Хар-ка])*($K180=М[Прим.]),{1},($B180=М[Наим.])*($C180=М[Артикул, марка, произв.])*($D180=М[Хар-ка])*($K180=М[Прим.])),0))</f>
        <v>0</v>
      </c>
    </row>
    <row r="181" spans="1:12" ht="11.1" customHeight="1" outlineLevel="4" x14ac:dyDescent="0.2">
      <c r="A181" s="20"/>
      <c r="B181" s="14" t="s">
        <v>22</v>
      </c>
      <c r="C181" s="21"/>
      <c r="D181" s="21"/>
      <c r="E181" s="21"/>
      <c r="F181" s="21"/>
      <c r="G181" s="21"/>
      <c r="H181" s="21"/>
      <c r="I181" s="57"/>
      <c r="J181" s="69">
        <f>SUM($J$182)</f>
        <v>0</v>
      </c>
      <c r="K181" s="18"/>
      <c r="L181" s="22"/>
    </row>
    <row r="182" spans="1:12" ht="11.1" customHeight="1" outlineLevel="4" x14ac:dyDescent="0.2">
      <c r="A182" s="23"/>
      <c r="B182" s="24" t="s">
        <v>143</v>
      </c>
      <c r="C182" s="25"/>
      <c r="D182" s="25"/>
      <c r="E182" s="26" t="s">
        <v>27</v>
      </c>
      <c r="F182" s="27"/>
      <c r="G182" s="30">
        <v>2000</v>
      </c>
      <c r="H182" s="30">
        <f>SUM($G$182:$G$182)</f>
        <v>2000</v>
      </c>
      <c r="I182" s="59">
        <f t="array" ref="I182">INDEX(Р[Цена за ед., руб],MATCH(1,IF(($B182=Р[Наименование])*($K182=Р[Примечание]),{1},($B182=Р[Наименование])*($K182=Р[Примечание])),0))</f>
        <v>0</v>
      </c>
      <c r="J182" s="68">
        <f>ROUND($H$182*$I$182,2)</f>
        <v>0</v>
      </c>
      <c r="K182" s="25"/>
      <c r="L182" s="25"/>
    </row>
    <row r="183" spans="1:12" ht="11.1" customHeight="1" outlineLevel="4" x14ac:dyDescent="0.2">
      <c r="A183" s="20"/>
      <c r="B183" s="14" t="s">
        <v>28</v>
      </c>
      <c r="C183" s="21"/>
      <c r="D183" s="21"/>
      <c r="E183" s="21"/>
      <c r="F183" s="21"/>
      <c r="G183" s="21"/>
      <c r="H183" s="21"/>
      <c r="I183" s="57"/>
      <c r="J183" s="69">
        <f>SUM($J$184)</f>
        <v>0</v>
      </c>
      <c r="K183" s="18"/>
      <c r="L183" s="22"/>
    </row>
    <row r="184" spans="1:12" ht="11.1" customHeight="1" outlineLevel="4" x14ac:dyDescent="0.2">
      <c r="A184" s="23" t="s">
        <v>29</v>
      </c>
      <c r="B184" s="24" t="s">
        <v>144</v>
      </c>
      <c r="C184" s="25"/>
      <c r="D184" s="25" t="s">
        <v>145</v>
      </c>
      <c r="E184" s="26" t="s">
        <v>33</v>
      </c>
      <c r="F184" s="27"/>
      <c r="G184" s="30">
        <v>2000</v>
      </c>
      <c r="H184" s="30">
        <f>SUM($G$184:$G$184)</f>
        <v>2000</v>
      </c>
      <c r="I184" s="59">
        <f t="array" ref="I184">INDEX(М[Цена за ед., руб],MATCH(1,IF(($B184=М[Наим.])*($C184=М[Артикул, марка, произв.])*($D184=М[Хар-ка])*($K184=М[Прим.]),{1},($B184=М[Наим.])*($C184=М[Артикул, марка, произв.])*($D184=М[Хар-ка])*($K184=М[Прим.])),0))</f>
        <v>0</v>
      </c>
      <c r="J184" s="68">
        <f>ROUND($H$184*$I$184,2)</f>
        <v>0</v>
      </c>
      <c r="K184" s="25"/>
      <c r="L184" s="25">
        <f t="array" ref="L184">INDEX(М[Форма закупа],MATCH(1,IF(($B184=М[Наим.])*($C184=М[Артикул, марка, произв.])*($D184=М[Хар-ка])*($K184=М[Прим.]),{1},($B184=М[Наим.])*($C184=М[Артикул, марка, произв.])*($D184=М[Хар-ка])*($K184=М[Прим.])),0))</f>
        <v>0</v>
      </c>
    </row>
    <row r="185" spans="1:12" ht="11.1" customHeight="1" outlineLevel="4" x14ac:dyDescent="0.2">
      <c r="A185" s="93"/>
      <c r="B185" s="94" t="s">
        <v>28</v>
      </c>
      <c r="C185" s="95"/>
      <c r="D185" s="95"/>
      <c r="E185" s="95"/>
      <c r="F185" s="95"/>
      <c r="G185" s="95"/>
      <c r="H185" s="95"/>
      <c r="I185" s="96"/>
      <c r="J185" s="97">
        <f ca="1">SUM(J186:J192)</f>
        <v>0</v>
      </c>
      <c r="K185" s="18"/>
      <c r="L185" s="22"/>
    </row>
    <row r="186" spans="1:12" ht="22.5" outlineLevel="4" x14ac:dyDescent="0.2">
      <c r="A186" s="98">
        <v>1</v>
      </c>
      <c r="B186" s="99" t="s">
        <v>162</v>
      </c>
      <c r="C186" s="76"/>
      <c r="D186" s="76"/>
      <c r="E186" s="61" t="s">
        <v>80</v>
      </c>
      <c r="F186" s="100"/>
      <c r="G186" s="101"/>
      <c r="H186" s="62">
        <f ca="1">SUMIF(М[[Наим.]:[Сумма, руб]],B186,М[Количество])</f>
        <v>0</v>
      </c>
      <c r="I186" s="63"/>
      <c r="J186" s="63">
        <f ca="1">ROUND(SUM(J61,J113:J114,J144)*H186%,3)</f>
        <v>0</v>
      </c>
      <c r="K186" s="77" t="s">
        <v>172</v>
      </c>
      <c r="L186" s="76">
        <f t="array" ref="L186">INDEX(М[Форма закупа],MATCH(1,IF(($B186=М[Наим.])*($C186=М[Артикул, марка, произв.])*($D186=М[Хар-ка])*($K186=М[Прим.]),{1},($B186=М[Наим.])*($C186=М[Артикул, марка, произв.])*($D186=М[Хар-ка])*($K186=М[Прим.])),0))</f>
        <v>0</v>
      </c>
    </row>
    <row r="187" spans="1:12" ht="22.5" outlineLevel="4" x14ac:dyDescent="0.2">
      <c r="A187" s="98">
        <v>2</v>
      </c>
      <c r="B187" s="99" t="s">
        <v>163</v>
      </c>
      <c r="C187" s="76"/>
      <c r="D187" s="76"/>
      <c r="E187" s="61" t="s">
        <v>80</v>
      </c>
      <c r="F187" s="100"/>
      <c r="G187" s="101"/>
      <c r="H187" s="62">
        <f ca="1">SUMIF(М[[Наим.]:[Сумма, руб]],B187,М[Количество])</f>
        <v>0</v>
      </c>
      <c r="I187" s="63"/>
      <c r="J187" s="63">
        <f ca="1">ROUND(SUM(J91)*H187%,3)</f>
        <v>0</v>
      </c>
      <c r="K187" s="77" t="s">
        <v>172</v>
      </c>
      <c r="L187" s="76">
        <f t="array" ref="L187">INDEX(М[Форма закупа],MATCH(1,IF(($B187=М[Наим.])*($C187=М[Артикул, марка, произв.])*($D187=М[Хар-ка])*($K187=М[Прим.]),{1},($B187=М[Наим.])*($C187=М[Артикул, марка, произв.])*($D187=М[Хар-ка])*($K187=М[Прим.])),0))</f>
        <v>0</v>
      </c>
    </row>
    <row r="188" spans="1:12" ht="22.5" outlineLevel="4" x14ac:dyDescent="0.2">
      <c r="A188" s="98">
        <v>3</v>
      </c>
      <c r="B188" s="99" t="s">
        <v>164</v>
      </c>
      <c r="C188" s="76"/>
      <c r="D188" s="76"/>
      <c r="E188" s="61" t="s">
        <v>80</v>
      </c>
      <c r="F188" s="100"/>
      <c r="G188" s="101"/>
      <c r="H188" s="62">
        <f ca="1">SUMIF(М[[Наим.]:[Сумма, руб]],B188,М[Количество])</f>
        <v>0</v>
      </c>
      <c r="I188" s="63"/>
      <c r="J188" s="63">
        <f ca="1">ROUND(SUM(J65)*H188%,3)</f>
        <v>0</v>
      </c>
      <c r="K188" s="77" t="s">
        <v>172</v>
      </c>
      <c r="L188" s="76">
        <f t="array" ref="L188">INDEX(М[Форма закупа],MATCH(1,IF(($B188=М[Наим.])*($C188=М[Артикул, марка, произв.])*($D188=М[Хар-ка])*($K188=М[Прим.]),{1},($B188=М[Наим.])*($C188=М[Артикул, марка, произв.])*($D188=М[Хар-ка])*($K188=М[Прим.])),0))</f>
        <v>0</v>
      </c>
    </row>
    <row r="189" spans="1:12" ht="22.5" outlineLevel="4" x14ac:dyDescent="0.2">
      <c r="A189" s="98">
        <v>4</v>
      </c>
      <c r="B189" s="99" t="s">
        <v>165</v>
      </c>
      <c r="C189" s="76"/>
      <c r="D189" s="76"/>
      <c r="E189" s="61" t="s">
        <v>80</v>
      </c>
      <c r="F189" s="100"/>
      <c r="G189" s="101"/>
      <c r="H189" s="62">
        <f ca="1">SUMIF(М[[Наим.]:[Сумма, руб]],B189,М[Количество])</f>
        <v>0</v>
      </c>
      <c r="I189" s="63"/>
      <c r="J189" s="63">
        <f ca="1">ROUND(SUM(J118)*H189%,3)</f>
        <v>0</v>
      </c>
      <c r="K189" s="77" t="s">
        <v>172</v>
      </c>
      <c r="L189" s="76">
        <f t="array" ref="L189">INDEX(М[Форма закупа],MATCH(1,IF(($B189=М[Наим.])*($C189=М[Артикул, марка, произв.])*($D189=М[Хар-ка])*($K189=М[Прим.]),{1},($B189=М[Наим.])*($C189=М[Артикул, марка, произв.])*($D189=М[Хар-ка])*($K189=М[Прим.])),0))</f>
        <v>0</v>
      </c>
    </row>
    <row r="190" spans="1:12" ht="22.5" outlineLevel="4" x14ac:dyDescent="0.2">
      <c r="A190" s="98">
        <v>5</v>
      </c>
      <c r="B190" s="99" t="s">
        <v>167</v>
      </c>
      <c r="C190" s="76"/>
      <c r="D190" s="76"/>
      <c r="E190" s="61" t="s">
        <v>80</v>
      </c>
      <c r="F190" s="100"/>
      <c r="G190" s="101"/>
      <c r="H190" s="62">
        <f ca="1">SUMIF(М[[Наим.]:[Сумма, руб]],B190,М[Количество])</f>
        <v>0</v>
      </c>
      <c r="I190" s="63"/>
      <c r="J190" s="63">
        <f ca="1">ROUND(SUM(J55:J57,J160:J161)*H190%,3)</f>
        <v>0</v>
      </c>
      <c r="K190" s="77" t="s">
        <v>172</v>
      </c>
      <c r="L190" s="76">
        <f t="array" ref="L190">INDEX(М[Форма закупа],MATCH(1,IF(($B190=М[Наим.])*($C190=М[Артикул, марка, произв.])*($D190=М[Хар-ка])*($K190=М[Прим.]),{1},($B190=М[Наим.])*($C190=М[Артикул, марка, произв.])*($D190=М[Хар-ка])*($K190=М[Прим.])),0))</f>
        <v>0</v>
      </c>
    </row>
    <row r="191" spans="1:12" ht="22.5" outlineLevel="4" x14ac:dyDescent="0.2">
      <c r="A191" s="98">
        <v>6</v>
      </c>
      <c r="B191" s="99" t="s">
        <v>166</v>
      </c>
      <c r="C191" s="76"/>
      <c r="D191" s="76"/>
      <c r="E191" s="61" t="s">
        <v>80</v>
      </c>
      <c r="F191" s="100"/>
      <c r="G191" s="101"/>
      <c r="H191" s="62">
        <f ca="1">SUMIF(М[[Наим.]:[Сумма, руб]],B191,М[Количество])</f>
        <v>0</v>
      </c>
      <c r="I191" s="63"/>
      <c r="J191" s="63">
        <f ca="1">ROUND(SUM(J122)*H191%,3)</f>
        <v>0</v>
      </c>
      <c r="K191" s="77" t="s">
        <v>172</v>
      </c>
      <c r="L191" s="76">
        <f t="array" ref="L191">INDEX(М[Форма закупа],MATCH(1,IF(($B191=М[Наим.])*($C191=М[Артикул, марка, произв.])*($D191=М[Хар-ка])*($K191=М[Прим.]),{1},($B191=М[Наим.])*($C191=М[Артикул, марка, произв.])*($D191=М[Хар-ка])*($K191=М[Прим.])),0))</f>
        <v>0</v>
      </c>
    </row>
    <row r="192" spans="1:12" ht="22.5" outlineLevel="4" x14ac:dyDescent="0.2">
      <c r="A192" s="102">
        <v>7</v>
      </c>
      <c r="B192" s="99" t="s">
        <v>161</v>
      </c>
      <c r="C192" s="76"/>
      <c r="D192" s="76"/>
      <c r="E192" s="61" t="s">
        <v>80</v>
      </c>
      <c r="F192" s="100"/>
      <c r="G192" s="101"/>
      <c r="H192" s="62">
        <f ca="1">SUMIF(М[[Наим.]:[Сумма, руб]],B192,М[Количество])</f>
        <v>0</v>
      </c>
      <c r="I192" s="63"/>
      <c r="J192" s="63">
        <f ca="1">ROUND(SUM(J19:J21,J25,J29,J33,J37,J41:J42,J46:J47,J51,J55:J57,J61,J65,J73:J74,J78,J82,J86:J87,J91,J99,J103,J107,J113:J114,J118,J122,J128,J132,J136,J140,J144,J156,J160:J161,J165,J169:J170,J174,J180,J184,J152)*H192%,3)</f>
        <v>0</v>
      </c>
      <c r="K192" s="77" t="s">
        <v>172</v>
      </c>
      <c r="L192" s="76">
        <f t="array" ref="L192">INDEX(М[Форма закупа],MATCH(1,IF(($B192=М[Наим.])*($C192=М[Артикул, марка, произв.])*($D192=М[Хар-ка])*($K192=М[Прим.]),{1},($B192=М[Наим.])*($C192=М[Артикул, марка, произв.])*($D192=М[Хар-ка])*($K192=М[Прим.])),0))</f>
        <v>0</v>
      </c>
    </row>
    <row r="193" spans="1:129" ht="11.1" customHeight="1" outlineLevel="2" x14ac:dyDescent="0.2">
      <c r="A193" s="13" t="s">
        <v>131</v>
      </c>
      <c r="B193" s="14" t="s">
        <v>132</v>
      </c>
      <c r="C193" s="15"/>
      <c r="D193" s="15"/>
      <c r="E193" s="16"/>
      <c r="F193" s="17"/>
      <c r="G193" s="18"/>
      <c r="H193" s="18"/>
      <c r="I193" s="56"/>
      <c r="J193" s="56">
        <f>SUM($J$194)</f>
        <v>0</v>
      </c>
      <c r="K193" s="19"/>
      <c r="L193" s="19"/>
    </row>
    <row r="194" spans="1:129" ht="11.1" customHeight="1" outlineLevel="3" x14ac:dyDescent="0.2">
      <c r="A194" s="13" t="s">
        <v>133</v>
      </c>
      <c r="B194" s="14" t="s">
        <v>132</v>
      </c>
      <c r="C194" s="15"/>
      <c r="D194" s="15"/>
      <c r="E194" s="16"/>
      <c r="F194" s="17"/>
      <c r="G194" s="18"/>
      <c r="H194" s="18"/>
      <c r="I194" s="56"/>
      <c r="J194" s="56">
        <f>SUM($J$195)</f>
        <v>0</v>
      </c>
      <c r="K194" s="19"/>
      <c r="L194" s="19"/>
    </row>
    <row r="195" spans="1:129" ht="11.1" customHeight="1" outlineLevel="4" x14ac:dyDescent="0.2">
      <c r="A195" s="20"/>
      <c r="B195" s="14" t="s">
        <v>22</v>
      </c>
      <c r="C195" s="21"/>
      <c r="D195" s="21"/>
      <c r="E195" s="21"/>
      <c r="F195" s="21"/>
      <c r="G195" s="21"/>
      <c r="H195" s="21"/>
      <c r="I195" s="57"/>
      <c r="J195" s="58">
        <f>SUM($J$196)</f>
        <v>0</v>
      </c>
      <c r="K195" s="18"/>
      <c r="L195" s="22"/>
    </row>
    <row r="196" spans="1:129" ht="23.1" customHeight="1" outlineLevel="4" x14ac:dyDescent="0.2">
      <c r="A196" s="23"/>
      <c r="B196" s="24" t="s">
        <v>134</v>
      </c>
      <c r="C196" s="25"/>
      <c r="D196" s="25"/>
      <c r="E196" s="26" t="s">
        <v>135</v>
      </c>
      <c r="F196" s="27"/>
      <c r="G196" s="28">
        <v>1</v>
      </c>
      <c r="H196" s="28">
        <f>SUM($G$196:$G$196)</f>
        <v>1</v>
      </c>
      <c r="I196" s="59">
        <f t="array" ref="I196">INDEX(Р[Цена за ед., руб],MATCH(1,IF(($B196=Р[Наименование])*($K196=Р[Примечание]),{1},($B196=Р[Наименование])*($K196=Р[Примечание])),0))</f>
        <v>0</v>
      </c>
      <c r="J196" s="59">
        <f>ROUND($H$196*$I$196,2)</f>
        <v>0</v>
      </c>
      <c r="K196" s="25"/>
      <c r="L196" s="25"/>
    </row>
    <row r="197" spans="1:129" ht="11.1" customHeight="1" x14ac:dyDescent="0.2">
      <c r="A197" s="112" t="s">
        <v>168</v>
      </c>
      <c r="B197" s="113"/>
      <c r="C197" s="113"/>
      <c r="D197" s="113"/>
      <c r="E197" s="113"/>
      <c r="F197" s="113"/>
      <c r="G197" s="113"/>
      <c r="H197" s="113"/>
      <c r="I197" s="114"/>
      <c r="J197" s="60">
        <f ca="1">$J$9</f>
        <v>0</v>
      </c>
      <c r="K197" s="32"/>
      <c r="L197" s="32"/>
    </row>
    <row r="198" spans="1:129" ht="11.1" customHeight="1" x14ac:dyDescent="0.2">
      <c r="A198" s="115" t="s">
        <v>146</v>
      </c>
      <c r="B198" s="116"/>
      <c r="C198" s="116"/>
      <c r="D198" s="116"/>
      <c r="E198" s="116"/>
      <c r="F198" s="116"/>
      <c r="G198" s="116"/>
      <c r="H198" s="116"/>
      <c r="I198" s="117"/>
      <c r="J198" s="60">
        <f>SUM($J$181,$J$177,$J$195,$J$171,$J$166,$J$162,$J$157,$J$153,$J$147,$J$141,$J$137,$J$133,$J$129,$J$125,$J$119,$J$115,$J$110,$J$108,$J$104,$J$100,$J$96,$J$94,$J$88,$J$83,$J$79,$J$75,$J$70,$J$68,$J$62,$J$58,$J$52,$J$48,$J$43,$J$38,$J$34,$J$30,$J$26,$J$22,$J$16,$J$14,$J$12)</f>
        <v>0</v>
      </c>
      <c r="K198" s="32"/>
      <c r="L198" s="32"/>
    </row>
    <row r="199" spans="1:129" ht="11.1" customHeight="1" x14ac:dyDescent="0.2">
      <c r="A199" s="115" t="s">
        <v>147</v>
      </c>
      <c r="B199" s="116"/>
      <c r="C199" s="116"/>
      <c r="D199" s="116"/>
      <c r="E199" s="116"/>
      <c r="F199" s="116"/>
      <c r="G199" s="116"/>
      <c r="H199" s="116"/>
      <c r="I199" s="117"/>
      <c r="J199" s="60">
        <f ca="1">SUM($J$183,$J$179,$J$173,$J$168,$J$164,$J$159,$J$155,$J$143,$J$139,$J$135,$J$131,$J$127,$J$121,$J$117,$J$112,$J$106,$J$102,$J$98,$J$90,$J$85,$J$81,$J$77,$J$72,$J$64,$J$60,$J$54,$J$50,$J$45,$J$40,$J$36,$J$32,$J$28,$J$24,$J$18,J185,J152)</f>
        <v>0</v>
      </c>
      <c r="K199" s="32"/>
      <c r="L199" s="32"/>
    </row>
    <row r="200" spans="1:129" ht="11.1" customHeight="1" x14ac:dyDescent="0.2">
      <c r="A200" s="115" t="s">
        <v>169</v>
      </c>
      <c r="B200" s="116"/>
      <c r="C200" s="116"/>
      <c r="D200" s="116"/>
      <c r="E200" s="116"/>
      <c r="F200" s="116"/>
      <c r="G200" s="116"/>
      <c r="H200" s="116"/>
      <c r="I200" s="117"/>
      <c r="J200" s="72"/>
      <c r="K200" s="92" t="s">
        <v>180</v>
      </c>
      <c r="L200" s="32"/>
    </row>
    <row r="201" spans="1:129" ht="11.1" customHeight="1" x14ac:dyDescent="0.2">
      <c r="A201" s="33"/>
      <c r="B201" s="104" t="s">
        <v>148</v>
      </c>
      <c r="C201" s="104"/>
      <c r="D201" s="104"/>
      <c r="E201" s="104"/>
      <c r="F201" s="104"/>
      <c r="G201" s="104"/>
      <c r="H201" s="104"/>
      <c r="I201" s="105"/>
      <c r="J201" s="105"/>
      <c r="K201" s="104"/>
      <c r="L201" s="33"/>
    </row>
    <row r="202" spans="1:129" ht="11.1" customHeight="1" x14ac:dyDescent="0.2">
      <c r="B202" s="106"/>
      <c r="C202" s="106"/>
      <c r="D202" s="106"/>
      <c r="E202" s="106"/>
      <c r="F202" s="106"/>
      <c r="G202" s="106"/>
      <c r="H202" s="106"/>
      <c r="I202" s="107"/>
      <c r="J202" s="107"/>
      <c r="K202" s="106"/>
    </row>
    <row r="204" spans="1:129" s="86" customFormat="1" ht="30.75" customHeight="1" x14ac:dyDescent="0.2">
      <c r="A204" s="83"/>
      <c r="B204" s="79" t="s">
        <v>173</v>
      </c>
      <c r="C204" s="80"/>
      <c r="D204" s="80"/>
      <c r="E204" s="80"/>
      <c r="F204" s="81"/>
      <c r="G204" s="81"/>
      <c r="H204" s="81"/>
      <c r="I204" s="81"/>
      <c r="J204" s="81"/>
      <c r="K204" s="81"/>
      <c r="L204" s="82"/>
      <c r="M204" s="81"/>
      <c r="N204" s="81"/>
      <c r="O204" s="80"/>
      <c r="P204" s="80"/>
      <c r="Q204" s="84"/>
      <c r="R204" s="85"/>
      <c r="X204" s="87"/>
      <c r="AF204" s="87"/>
      <c r="AN204" s="87"/>
      <c r="AV204" s="87"/>
      <c r="AW204" s="87"/>
      <c r="AX204" s="87"/>
      <c r="AY204" s="87"/>
      <c r="AZ204" s="87"/>
      <c r="BA204" s="87"/>
      <c r="BB204" s="87"/>
      <c r="BC204" s="87"/>
      <c r="BD204" s="87"/>
      <c r="BE204" s="87"/>
      <c r="BF204" s="87"/>
      <c r="BG204" s="87"/>
      <c r="BH204" s="87"/>
      <c r="BI204" s="87"/>
      <c r="BJ204" s="87"/>
      <c r="BK204" s="87"/>
      <c r="BL204" s="87"/>
      <c r="BM204" s="87"/>
      <c r="BN204" s="87"/>
      <c r="BO204" s="87"/>
      <c r="BP204" s="87"/>
      <c r="BQ204" s="87"/>
      <c r="BR204" s="87"/>
      <c r="BS204" s="87"/>
      <c r="BT204" s="87"/>
      <c r="BU204" s="87"/>
      <c r="BV204" s="87"/>
      <c r="BW204" s="87"/>
      <c r="BX204" s="87"/>
      <c r="BY204" s="87"/>
      <c r="BZ204" s="87"/>
      <c r="CA204" s="87"/>
      <c r="CB204" s="87"/>
      <c r="CC204" s="87"/>
      <c r="CD204" s="87"/>
      <c r="CE204" s="87"/>
      <c r="CF204" s="87"/>
      <c r="CG204" s="87"/>
      <c r="CH204" s="87"/>
      <c r="CI204" s="87"/>
      <c r="CJ204" s="87"/>
      <c r="CK204" s="87"/>
      <c r="CL204" s="87"/>
      <c r="CM204" s="87"/>
      <c r="CN204" s="87"/>
      <c r="CO204" s="87"/>
      <c r="CP204" s="87"/>
      <c r="CQ204" s="87"/>
      <c r="CR204" s="87"/>
      <c r="CS204" s="87"/>
      <c r="CT204" s="87"/>
      <c r="CU204" s="87"/>
      <c r="CV204" s="87"/>
      <c r="CW204" s="87"/>
      <c r="CX204" s="87"/>
      <c r="CY204" s="87"/>
      <c r="CZ204" s="87"/>
      <c r="DA204" s="87"/>
      <c r="DB204" s="87"/>
      <c r="DC204" s="87"/>
      <c r="DD204" s="87"/>
      <c r="DE204" s="87"/>
      <c r="DF204" s="87"/>
      <c r="DG204" s="87"/>
      <c r="DH204" s="87"/>
      <c r="DP204" s="87"/>
      <c r="DQ204" s="87"/>
      <c r="DY204" s="87"/>
    </row>
    <row r="205" spans="1:129" s="86" customFormat="1" ht="30.75" customHeight="1" x14ac:dyDescent="0.2">
      <c r="A205" s="83"/>
      <c r="B205" s="118" t="s">
        <v>181</v>
      </c>
      <c r="C205" s="118"/>
      <c r="D205" s="118"/>
      <c r="E205" s="118"/>
      <c r="F205" s="118"/>
      <c r="G205" s="118"/>
      <c r="H205" s="118"/>
      <c r="I205" s="118"/>
      <c r="J205" s="118"/>
      <c r="K205" s="118"/>
      <c r="L205" s="118"/>
      <c r="M205" s="81"/>
      <c r="N205" s="81"/>
      <c r="O205" s="80"/>
      <c r="P205" s="80"/>
      <c r="Q205" s="84"/>
      <c r="R205" s="85"/>
      <c r="X205" s="87"/>
      <c r="AF205" s="87"/>
      <c r="AN205" s="87"/>
      <c r="AV205" s="87"/>
      <c r="AW205" s="87"/>
      <c r="AX205" s="87"/>
      <c r="AY205" s="87"/>
      <c r="AZ205" s="87"/>
      <c r="BA205" s="87"/>
      <c r="BB205" s="87"/>
      <c r="BC205" s="87"/>
      <c r="BD205" s="87"/>
      <c r="BE205" s="87"/>
      <c r="BF205" s="87"/>
      <c r="BG205" s="87"/>
      <c r="BH205" s="87"/>
      <c r="BI205" s="87"/>
      <c r="BJ205" s="87"/>
      <c r="BK205" s="87"/>
      <c r="BL205" s="87"/>
      <c r="BM205" s="87"/>
      <c r="BN205" s="87"/>
      <c r="BO205" s="87"/>
      <c r="BP205" s="87"/>
      <c r="BQ205" s="87"/>
      <c r="BR205" s="87"/>
      <c r="BS205" s="87"/>
      <c r="BT205" s="87"/>
      <c r="BU205" s="87"/>
      <c r="BV205" s="87"/>
      <c r="BW205" s="87"/>
      <c r="BX205" s="87"/>
      <c r="BY205" s="87"/>
      <c r="BZ205" s="87"/>
      <c r="CA205" s="87"/>
      <c r="CB205" s="87"/>
      <c r="CC205" s="87"/>
      <c r="CD205" s="87"/>
      <c r="CE205" s="87"/>
      <c r="CF205" s="87"/>
      <c r="CG205" s="87"/>
      <c r="CH205" s="87"/>
      <c r="CI205" s="87"/>
      <c r="CJ205" s="87"/>
      <c r="CK205" s="87"/>
      <c r="CL205" s="87"/>
      <c r="CM205" s="87"/>
      <c r="CN205" s="87"/>
      <c r="CO205" s="87"/>
      <c r="CP205" s="87"/>
      <c r="CQ205" s="87"/>
      <c r="CR205" s="87"/>
      <c r="CS205" s="87"/>
      <c r="CT205" s="87"/>
      <c r="CU205" s="87"/>
      <c r="CV205" s="87"/>
      <c r="CW205" s="87"/>
      <c r="CX205" s="87"/>
      <c r="CY205" s="87"/>
      <c r="CZ205" s="87"/>
      <c r="DA205" s="87"/>
      <c r="DB205" s="87"/>
      <c r="DC205" s="87"/>
      <c r="DD205" s="87"/>
      <c r="DE205" s="87"/>
      <c r="DF205" s="87"/>
      <c r="DG205" s="87"/>
      <c r="DH205" s="87"/>
      <c r="DP205" s="87"/>
      <c r="DQ205" s="87"/>
      <c r="DY205" s="87"/>
    </row>
    <row r="206" spans="1:129" s="86" customFormat="1" ht="30.75" customHeight="1" x14ac:dyDescent="0.2">
      <c r="A206" s="83" t="s">
        <v>179</v>
      </c>
      <c r="B206" s="119" t="s">
        <v>174</v>
      </c>
      <c r="C206" s="119"/>
      <c r="D206" s="119"/>
      <c r="E206" s="119"/>
      <c r="F206" s="119"/>
      <c r="G206" s="119"/>
      <c r="H206" s="119"/>
      <c r="I206" s="119"/>
      <c r="J206" s="119"/>
      <c r="K206" s="119"/>
      <c r="L206" s="119"/>
      <c r="M206" s="119"/>
      <c r="N206" s="119"/>
      <c r="O206" s="119"/>
      <c r="P206" s="119"/>
      <c r="Q206" s="88"/>
      <c r="R206" s="88"/>
      <c r="X206" s="87"/>
      <c r="AF206" s="87"/>
      <c r="AN206" s="87"/>
      <c r="AV206" s="87"/>
      <c r="AW206" s="87"/>
      <c r="AX206" s="87"/>
      <c r="AY206" s="87"/>
      <c r="AZ206" s="87"/>
      <c r="BA206" s="87"/>
      <c r="BB206" s="87"/>
      <c r="BC206" s="87"/>
      <c r="BD206" s="87"/>
      <c r="BE206" s="87"/>
      <c r="BF206" s="87"/>
      <c r="BG206" s="87"/>
      <c r="BH206" s="87"/>
      <c r="BI206" s="87"/>
      <c r="BJ206" s="87"/>
      <c r="BK206" s="87"/>
      <c r="BL206" s="87"/>
      <c r="BM206" s="87"/>
      <c r="BN206" s="87"/>
      <c r="BO206" s="87"/>
      <c r="BP206" s="87"/>
      <c r="BQ206" s="87"/>
      <c r="BR206" s="87"/>
      <c r="BS206" s="87"/>
      <c r="BT206" s="87"/>
      <c r="BU206" s="87"/>
      <c r="BV206" s="87"/>
      <c r="BW206" s="87"/>
      <c r="BX206" s="87"/>
      <c r="BY206" s="87"/>
      <c r="BZ206" s="87"/>
      <c r="CA206" s="87"/>
      <c r="CB206" s="87"/>
      <c r="CC206" s="87"/>
      <c r="CD206" s="87"/>
      <c r="CE206" s="87"/>
      <c r="CF206" s="87"/>
      <c r="CG206" s="87"/>
      <c r="CH206" s="87"/>
      <c r="CI206" s="87"/>
      <c r="CJ206" s="87"/>
      <c r="CK206" s="87"/>
      <c r="CL206" s="87"/>
      <c r="CM206" s="87"/>
      <c r="CN206" s="87"/>
      <c r="CO206" s="87"/>
      <c r="CP206" s="87"/>
      <c r="CQ206" s="87"/>
      <c r="CR206" s="87"/>
      <c r="CS206" s="87"/>
      <c r="CT206" s="87"/>
      <c r="CU206" s="87"/>
      <c r="CV206" s="87"/>
      <c r="CW206" s="87"/>
      <c r="CX206" s="87"/>
      <c r="CY206" s="87"/>
      <c r="CZ206" s="87"/>
      <c r="DA206" s="87"/>
      <c r="DB206" s="87"/>
      <c r="DC206" s="87"/>
      <c r="DD206" s="87"/>
      <c r="DE206" s="87"/>
      <c r="DF206" s="87"/>
      <c r="DG206" s="87"/>
      <c r="DH206" s="87"/>
      <c r="DP206" s="87"/>
      <c r="DQ206" s="87"/>
      <c r="DY206" s="87"/>
    </row>
    <row r="207" spans="1:129" s="86" customFormat="1" ht="51.75" customHeight="1" x14ac:dyDescent="0.2">
      <c r="A207" s="86" t="s">
        <v>179</v>
      </c>
      <c r="B207" s="119" t="s">
        <v>175</v>
      </c>
      <c r="C207" s="119"/>
      <c r="D207" s="119"/>
      <c r="E207" s="119"/>
      <c r="F207" s="119"/>
      <c r="G207" s="119"/>
      <c r="H207" s="119"/>
      <c r="I207" s="119"/>
      <c r="J207" s="119"/>
      <c r="K207" s="119"/>
      <c r="L207" s="119"/>
      <c r="M207" s="119"/>
      <c r="N207" s="119"/>
      <c r="O207" s="119"/>
      <c r="P207" s="119"/>
      <c r="Q207" s="89"/>
      <c r="R207" s="85"/>
      <c r="X207" s="87"/>
      <c r="AF207" s="87"/>
      <c r="AN207" s="87"/>
      <c r="AV207" s="87"/>
      <c r="AW207" s="87"/>
      <c r="AX207" s="87"/>
      <c r="AY207" s="87"/>
      <c r="AZ207" s="87"/>
      <c r="BA207" s="87"/>
      <c r="BB207" s="87"/>
      <c r="BC207" s="87"/>
      <c r="BD207" s="87"/>
      <c r="BE207" s="87"/>
      <c r="BF207" s="87"/>
      <c r="BG207" s="87"/>
      <c r="BH207" s="87"/>
      <c r="BI207" s="87"/>
      <c r="BJ207" s="87"/>
      <c r="BK207" s="87"/>
      <c r="BL207" s="87"/>
      <c r="BM207" s="87"/>
      <c r="BN207" s="87"/>
      <c r="BO207" s="87"/>
      <c r="BP207" s="87"/>
      <c r="BQ207" s="87"/>
      <c r="BR207" s="87"/>
      <c r="BS207" s="87"/>
      <c r="BT207" s="87"/>
      <c r="BU207" s="87"/>
      <c r="BV207" s="87"/>
      <c r="BW207" s="87"/>
      <c r="BX207" s="87"/>
      <c r="BY207" s="87"/>
      <c r="BZ207" s="87"/>
      <c r="CA207" s="87"/>
      <c r="CB207" s="87"/>
      <c r="CC207" s="87"/>
      <c r="CD207" s="87"/>
      <c r="CE207" s="87"/>
      <c r="CF207" s="87"/>
      <c r="CG207" s="87"/>
      <c r="CH207" s="87"/>
      <c r="CI207" s="87"/>
      <c r="CJ207" s="87"/>
      <c r="CK207" s="87"/>
      <c r="CL207" s="87"/>
      <c r="CM207" s="87"/>
      <c r="CN207" s="87"/>
      <c r="CO207" s="87"/>
      <c r="CP207" s="87"/>
      <c r="CQ207" s="87"/>
      <c r="CR207" s="87"/>
      <c r="CS207" s="87"/>
      <c r="CT207" s="87"/>
      <c r="CU207" s="87"/>
      <c r="CV207" s="87"/>
      <c r="CW207" s="87"/>
      <c r="CX207" s="87"/>
      <c r="CY207" s="87"/>
      <c r="CZ207" s="87"/>
      <c r="DA207" s="87"/>
      <c r="DB207" s="87"/>
      <c r="DC207" s="87"/>
      <c r="DD207" s="87"/>
      <c r="DE207" s="87"/>
      <c r="DF207" s="87"/>
      <c r="DG207" s="87"/>
      <c r="DH207" s="87"/>
      <c r="DP207" s="87"/>
      <c r="DQ207" s="87"/>
      <c r="DY207" s="87"/>
    </row>
    <row r="208" spans="1:129" s="86" customFormat="1" ht="30.75" customHeight="1" x14ac:dyDescent="0.2">
      <c r="A208" s="83" t="s">
        <v>179</v>
      </c>
      <c r="B208" s="120" t="s">
        <v>176</v>
      </c>
      <c r="C208" s="120"/>
      <c r="D208" s="120"/>
      <c r="E208" s="120"/>
      <c r="F208" s="120"/>
      <c r="G208" s="120"/>
      <c r="H208" s="120"/>
      <c r="I208" s="120"/>
      <c r="J208" s="120"/>
      <c r="K208" s="120"/>
      <c r="L208" s="120"/>
      <c r="M208" s="120"/>
      <c r="N208" s="120"/>
      <c r="O208" s="120"/>
      <c r="P208" s="120"/>
      <c r="Q208" s="90"/>
      <c r="R208" s="90"/>
      <c r="X208" s="87"/>
      <c r="AF208" s="87"/>
      <c r="AN208" s="87"/>
      <c r="AV208" s="87"/>
      <c r="AW208" s="87"/>
      <c r="AX208" s="87"/>
      <c r="AY208" s="87"/>
      <c r="AZ208" s="87"/>
      <c r="BA208" s="87"/>
      <c r="BB208" s="87"/>
      <c r="BC208" s="87"/>
      <c r="BD208" s="87"/>
      <c r="BE208" s="87"/>
      <c r="BF208" s="87"/>
      <c r="BG208" s="87"/>
      <c r="BH208" s="87"/>
      <c r="BI208" s="87"/>
      <c r="BJ208" s="87"/>
      <c r="BK208" s="87"/>
      <c r="BL208" s="87"/>
      <c r="BM208" s="87"/>
      <c r="BN208" s="87"/>
      <c r="BO208" s="87"/>
      <c r="BP208" s="87"/>
      <c r="BQ208" s="87"/>
      <c r="BR208" s="87"/>
      <c r="BS208" s="87"/>
      <c r="BT208" s="87"/>
      <c r="BU208" s="87"/>
      <c r="BV208" s="87"/>
      <c r="BW208" s="87"/>
      <c r="BX208" s="87"/>
      <c r="BY208" s="87"/>
      <c r="BZ208" s="87"/>
      <c r="CA208" s="87"/>
      <c r="CB208" s="87"/>
      <c r="CC208" s="87"/>
      <c r="CD208" s="87"/>
      <c r="CE208" s="87"/>
      <c r="CF208" s="87"/>
      <c r="CG208" s="87"/>
      <c r="CH208" s="87"/>
      <c r="CI208" s="87"/>
      <c r="CJ208" s="87"/>
      <c r="CK208" s="87"/>
      <c r="CL208" s="87"/>
      <c r="CM208" s="87"/>
      <c r="CN208" s="87"/>
      <c r="CO208" s="87"/>
      <c r="CP208" s="87"/>
      <c r="CQ208" s="87"/>
      <c r="CR208" s="87"/>
      <c r="CS208" s="87"/>
      <c r="CT208" s="87"/>
      <c r="CU208" s="87"/>
      <c r="CV208" s="87"/>
      <c r="CW208" s="87"/>
      <c r="CX208" s="87"/>
      <c r="CY208" s="87"/>
      <c r="CZ208" s="87"/>
      <c r="DA208" s="87"/>
      <c r="DB208" s="87"/>
      <c r="DC208" s="87"/>
      <c r="DD208" s="87"/>
      <c r="DE208" s="87"/>
      <c r="DF208" s="87"/>
      <c r="DG208" s="87"/>
      <c r="DH208" s="87"/>
      <c r="DP208" s="87"/>
      <c r="DQ208" s="87"/>
      <c r="DY208" s="87"/>
    </row>
    <row r="209" spans="1:20" ht="22.5" customHeight="1" x14ac:dyDescent="0.2">
      <c r="A209" s="91" t="s">
        <v>179</v>
      </c>
      <c r="B209" s="121" t="s">
        <v>177</v>
      </c>
      <c r="C209" s="121"/>
      <c r="D209" s="121"/>
      <c r="E209" s="121"/>
      <c r="F209" s="121"/>
      <c r="G209" s="121"/>
      <c r="H209" s="121"/>
      <c r="I209" s="121"/>
      <c r="J209" s="121"/>
      <c r="K209" s="121"/>
      <c r="L209" s="121"/>
      <c r="M209" s="121"/>
      <c r="N209" s="121"/>
      <c r="O209" s="121"/>
      <c r="P209" s="121"/>
    </row>
    <row r="210" spans="1:20" ht="36" customHeight="1" x14ac:dyDescent="0.2">
      <c r="B210" s="103" t="s">
        <v>178</v>
      </c>
      <c r="C210" s="103"/>
      <c r="D210" s="103"/>
      <c r="E210" s="103"/>
      <c r="F210" s="103"/>
      <c r="G210" s="103"/>
      <c r="H210" s="103"/>
      <c r="I210" s="103"/>
      <c r="J210" s="103"/>
      <c r="K210" s="103"/>
      <c r="L210" s="103"/>
      <c r="M210" s="103"/>
      <c r="N210" s="103"/>
      <c r="O210" s="103"/>
      <c r="P210" s="103"/>
      <c r="Q210" s="103"/>
      <c r="R210" s="103"/>
      <c r="S210" s="103"/>
      <c r="T210" s="103"/>
    </row>
    <row r="211" spans="1:20" ht="42" customHeight="1" x14ac:dyDescent="0.2"/>
    <row r="212" spans="1:20" ht="42" customHeight="1" x14ac:dyDescent="0.2"/>
  </sheetData>
  <autoFilter ref="A7:L201" xr:uid="{00000000-0001-0000-0000-000000000000}"/>
  <mergeCells count="27">
    <mergeCell ref="B2:J2"/>
    <mergeCell ref="B3:J3"/>
    <mergeCell ref="B4:J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B210:T210"/>
    <mergeCell ref="B201:K201"/>
    <mergeCell ref="B202:K202"/>
    <mergeCell ref="K6:K7"/>
    <mergeCell ref="L6:L7"/>
    <mergeCell ref="A197:I197"/>
    <mergeCell ref="A198:I198"/>
    <mergeCell ref="A199:I199"/>
    <mergeCell ref="A200:I200"/>
    <mergeCell ref="B205:L205"/>
    <mergeCell ref="B206:P206"/>
    <mergeCell ref="B207:P207"/>
    <mergeCell ref="B208:P208"/>
    <mergeCell ref="B209:P209"/>
  </mergeCells>
  <conditionalFormatting sqref="DR204:DY208">
    <cfRule type="cellIs" dxfId="10" priority="1" operator="equal">
      <formula>0</formula>
    </cfRule>
    <cfRule type="cellIs" dxfId="9" priority="2" operator="lessThan">
      <formula>0</formula>
    </cfRule>
  </conditionalFormatting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34"/>
  <sheetViews>
    <sheetView workbookViewId="0">
      <pane ySplit="3" topLeftCell="A4" activePane="bottomLeft" state="frozen"/>
      <selection pane="bottomLeft" activeCell="D4" sqref="D4:D31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130" t="s">
        <v>149</v>
      </c>
      <c r="B1" s="130"/>
      <c r="C1" s="130"/>
      <c r="D1" s="130"/>
      <c r="E1" s="130"/>
      <c r="F1" s="130"/>
    </row>
    <row r="3" spans="1:6" ht="11.1" customHeight="1" x14ac:dyDescent="0.2">
      <c r="A3" s="41" t="s">
        <v>4</v>
      </c>
      <c r="B3" s="2" t="s">
        <v>7</v>
      </c>
      <c r="C3" s="2" t="s">
        <v>10</v>
      </c>
      <c r="D3" s="48" t="s">
        <v>11</v>
      </c>
      <c r="E3" s="48" t="s">
        <v>12</v>
      </c>
      <c r="F3" s="42" t="s">
        <v>13</v>
      </c>
    </row>
    <row r="4" spans="1:6" ht="11.1" customHeight="1" x14ac:dyDescent="0.2">
      <c r="A4" s="39" t="s">
        <v>23</v>
      </c>
      <c r="B4" s="34" t="s">
        <v>24</v>
      </c>
      <c r="C4" s="35">
        <v>319</v>
      </c>
      <c r="D4" s="49"/>
      <c r="E4" s="67">
        <f>ROUND(Р[[#This Row],[Количество]]*Р[[#This Row],[Цена за ед., руб]],2)</f>
        <v>0</v>
      </c>
      <c r="F4" s="40"/>
    </row>
    <row r="5" spans="1:6" ht="11.1" customHeight="1" x14ac:dyDescent="0.2">
      <c r="A5" s="39" t="s">
        <v>25</v>
      </c>
      <c r="B5" s="34" t="s">
        <v>24</v>
      </c>
      <c r="C5" s="35">
        <v>52</v>
      </c>
      <c r="D5" s="49"/>
      <c r="E5" s="67">
        <f>ROUND(Р[[#This Row],[Количество]]*Р[[#This Row],[Цена за ед., руб]],2)</f>
        <v>0</v>
      </c>
      <c r="F5" s="40"/>
    </row>
    <row r="6" spans="1:6" ht="11.1" customHeight="1" x14ac:dyDescent="0.2">
      <c r="A6" s="39" t="s">
        <v>26</v>
      </c>
      <c r="B6" s="34" t="s">
        <v>27</v>
      </c>
      <c r="C6" s="35">
        <v>829</v>
      </c>
      <c r="D6" s="49"/>
      <c r="E6" s="67">
        <f>ROUND(Р[[#This Row],[Количество]]*Р[[#This Row],[Цена за ед., руб]],2)</f>
        <v>0</v>
      </c>
      <c r="F6" s="40"/>
    </row>
    <row r="7" spans="1:6" ht="11.1" customHeight="1" x14ac:dyDescent="0.2">
      <c r="A7" s="39" t="s">
        <v>42</v>
      </c>
      <c r="B7" s="34" t="s">
        <v>43</v>
      </c>
      <c r="C7" s="35">
        <v>80</v>
      </c>
      <c r="D7" s="49"/>
      <c r="E7" s="67">
        <f>ROUND(Р[[#This Row],[Количество]]*Р[[#This Row],[Цена за ед., руб]],2)</f>
        <v>0</v>
      </c>
      <c r="F7" s="40"/>
    </row>
    <row r="8" spans="1:6" ht="11.1" customHeight="1" x14ac:dyDescent="0.2">
      <c r="A8" s="39" t="s">
        <v>47</v>
      </c>
      <c r="B8" s="34" t="s">
        <v>24</v>
      </c>
      <c r="C8" s="35">
        <v>1</v>
      </c>
      <c r="D8" s="49"/>
      <c r="E8" s="67">
        <f>ROUND(Р[[#This Row],[Количество]]*Р[[#This Row],[Цена за ед., руб]],2)</f>
        <v>0</v>
      </c>
      <c r="F8" s="40"/>
    </row>
    <row r="9" spans="1:6" ht="11.1" customHeight="1" x14ac:dyDescent="0.2">
      <c r="A9" s="39" t="s">
        <v>51</v>
      </c>
      <c r="B9" s="34" t="s">
        <v>24</v>
      </c>
      <c r="C9" s="35">
        <v>14</v>
      </c>
      <c r="D9" s="49"/>
      <c r="E9" s="67">
        <f>ROUND(Р[[#This Row],[Количество]]*Р[[#This Row],[Цена за ед., руб]],2)</f>
        <v>0</v>
      </c>
      <c r="F9" s="40"/>
    </row>
    <row r="10" spans="1:6" ht="11.1" customHeight="1" x14ac:dyDescent="0.2">
      <c r="A10" s="39" t="s">
        <v>55</v>
      </c>
      <c r="B10" s="34" t="s">
        <v>24</v>
      </c>
      <c r="C10" s="35">
        <v>1</v>
      </c>
      <c r="D10" s="49"/>
      <c r="E10" s="67">
        <f>ROUND(Р[[#This Row],[Количество]]*Р[[#This Row],[Цена за ед., руб]],2)</f>
        <v>0</v>
      </c>
      <c r="F10" s="40"/>
    </row>
    <row r="11" spans="1:6" ht="11.1" customHeight="1" x14ac:dyDescent="0.2">
      <c r="A11" s="39" t="s">
        <v>58</v>
      </c>
      <c r="B11" s="34" t="s">
        <v>24</v>
      </c>
      <c r="C11" s="35">
        <v>721</v>
      </c>
      <c r="D11" s="49"/>
      <c r="E11" s="67">
        <f>ROUND(Р[[#This Row],[Количество]]*Р[[#This Row],[Цена за ед., руб]],2)</f>
        <v>0</v>
      </c>
      <c r="F11" s="40"/>
    </row>
    <row r="12" spans="1:6" ht="11.1" customHeight="1" x14ac:dyDescent="0.2">
      <c r="A12" s="39" t="s">
        <v>62</v>
      </c>
      <c r="B12" s="34" t="s">
        <v>24</v>
      </c>
      <c r="C12" s="35">
        <v>166</v>
      </c>
      <c r="D12" s="49"/>
      <c r="E12" s="67">
        <f>ROUND(Р[[#This Row],[Количество]]*Р[[#This Row],[Цена за ед., руб]],2)</f>
        <v>0</v>
      </c>
      <c r="F12" s="40"/>
    </row>
    <row r="13" spans="1:6" ht="11.1" customHeight="1" x14ac:dyDescent="0.2">
      <c r="A13" s="39" t="s">
        <v>66</v>
      </c>
      <c r="B13" s="34" t="s">
        <v>24</v>
      </c>
      <c r="C13" s="35">
        <v>48</v>
      </c>
      <c r="D13" s="49"/>
      <c r="E13" s="67">
        <f>ROUND(Р[[#This Row],[Количество]]*Р[[#This Row],[Цена за ед., руб]],2)</f>
        <v>0</v>
      </c>
      <c r="F13" s="40"/>
    </row>
    <row r="14" spans="1:6" ht="11.1" customHeight="1" x14ac:dyDescent="0.2">
      <c r="A14" s="39" t="s">
        <v>69</v>
      </c>
      <c r="B14" s="34" t="s">
        <v>27</v>
      </c>
      <c r="C14" s="37">
        <v>1358</v>
      </c>
      <c r="D14" s="49"/>
      <c r="E14" s="67">
        <f>ROUND(Р[[#This Row],[Количество]]*Р[[#This Row],[Цена за ед., руб]],2)</f>
        <v>0</v>
      </c>
      <c r="F14" s="40"/>
    </row>
    <row r="15" spans="1:6" ht="11.1" customHeight="1" x14ac:dyDescent="0.2">
      <c r="A15" s="39" t="s">
        <v>74</v>
      </c>
      <c r="B15" s="34" t="s">
        <v>27</v>
      </c>
      <c r="C15" s="35">
        <v>674</v>
      </c>
      <c r="D15" s="49"/>
      <c r="E15" s="67">
        <f>ROUND(Р[[#This Row],[Количество]]*Р[[#This Row],[Цена за ед., руб]],2)</f>
        <v>0</v>
      </c>
      <c r="F15" s="40"/>
    </row>
    <row r="16" spans="1:6" ht="11.1" customHeight="1" x14ac:dyDescent="0.2">
      <c r="A16" s="39" t="s">
        <v>77</v>
      </c>
      <c r="B16" s="34" t="s">
        <v>27</v>
      </c>
      <c r="C16" s="38">
        <v>32.5</v>
      </c>
      <c r="D16" s="49"/>
      <c r="E16" s="67">
        <f>ROUND(Р[[#This Row],[Количество]]*Р[[#This Row],[Цена за ед., руб]],2)</f>
        <v>0</v>
      </c>
      <c r="F16" s="40"/>
    </row>
    <row r="17" spans="1:6" ht="11.1" customHeight="1" x14ac:dyDescent="0.2">
      <c r="A17" s="39" t="s">
        <v>84</v>
      </c>
      <c r="B17" s="34" t="s">
        <v>24</v>
      </c>
      <c r="C17" s="35">
        <v>100</v>
      </c>
      <c r="D17" s="49"/>
      <c r="E17" s="67">
        <f>ROUND(Р[[#This Row],[Количество]]*Р[[#This Row],[Цена за ед., руб]],2)</f>
        <v>0</v>
      </c>
      <c r="F17" s="40"/>
    </row>
    <row r="18" spans="1:6" ht="11.1" customHeight="1" x14ac:dyDescent="0.2">
      <c r="A18" s="39" t="s">
        <v>91</v>
      </c>
      <c r="B18" s="34" t="s">
        <v>27</v>
      </c>
      <c r="C18" s="35">
        <v>360</v>
      </c>
      <c r="D18" s="49"/>
      <c r="E18" s="67">
        <f>ROUND(Р[[#This Row],[Количество]]*Р[[#This Row],[Цена за ед., руб]],2)</f>
        <v>0</v>
      </c>
      <c r="F18" s="40"/>
    </row>
    <row r="19" spans="1:6" ht="11.1" customHeight="1" x14ac:dyDescent="0.2">
      <c r="A19" s="39" t="s">
        <v>97</v>
      </c>
      <c r="B19" s="34" t="s">
        <v>24</v>
      </c>
      <c r="C19" s="35">
        <v>192</v>
      </c>
      <c r="D19" s="49"/>
      <c r="E19" s="67">
        <f>ROUND(Р[[#This Row],[Количество]]*Р[[#This Row],[Цена за ед., руб]],2)</f>
        <v>0</v>
      </c>
      <c r="F19" s="40"/>
    </row>
    <row r="20" spans="1:6" ht="11.1" customHeight="1" x14ac:dyDescent="0.2">
      <c r="A20" s="39" t="s">
        <v>101</v>
      </c>
      <c r="B20" s="34" t="s">
        <v>24</v>
      </c>
      <c r="C20" s="35">
        <v>180</v>
      </c>
      <c r="D20" s="49"/>
      <c r="E20" s="67">
        <f>ROUND(Р[[#This Row],[Количество]]*Р[[#This Row],[Цена за ед., руб]],2)</f>
        <v>0</v>
      </c>
      <c r="F20" s="40"/>
    </row>
    <row r="21" spans="1:6" ht="11.1" customHeight="1" x14ac:dyDescent="0.2">
      <c r="A21" s="39" t="s">
        <v>103</v>
      </c>
      <c r="B21" s="34" t="s">
        <v>27</v>
      </c>
      <c r="C21" s="37">
        <v>2000</v>
      </c>
      <c r="D21" s="49"/>
      <c r="E21" s="67">
        <f>ROUND(Р[[#This Row],[Количество]]*Р[[#This Row],[Цена за ед., руб]],2)</f>
        <v>0</v>
      </c>
      <c r="F21" s="40"/>
    </row>
    <row r="22" spans="1:6" ht="11.1" customHeight="1" x14ac:dyDescent="0.2">
      <c r="A22" s="39" t="s">
        <v>107</v>
      </c>
      <c r="B22" s="34" t="s">
        <v>27</v>
      </c>
      <c r="C22" s="35">
        <v>64</v>
      </c>
      <c r="D22" s="49"/>
      <c r="E22" s="67">
        <f>ROUND(Р[[#This Row],[Количество]]*Р[[#This Row],[Цена за ед., руб]],2)</f>
        <v>0</v>
      </c>
      <c r="F22" s="40"/>
    </row>
    <row r="23" spans="1:6" ht="11.1" customHeight="1" x14ac:dyDescent="0.2">
      <c r="A23" s="39" t="s">
        <v>113</v>
      </c>
      <c r="B23" s="34" t="s">
        <v>24</v>
      </c>
      <c r="C23" s="35">
        <v>7</v>
      </c>
      <c r="D23" s="49"/>
      <c r="E23" s="49">
        <f>ROUND(Р[[#This Row],[Количество]]*Р[[#This Row],[Цена за ед., руб]],2)</f>
        <v>0</v>
      </c>
      <c r="F23" s="40"/>
    </row>
    <row r="24" spans="1:6" ht="11.1" customHeight="1" x14ac:dyDescent="0.2">
      <c r="A24" s="39" t="s">
        <v>116</v>
      </c>
      <c r="B24" s="34" t="s">
        <v>24</v>
      </c>
      <c r="C24" s="35">
        <v>7</v>
      </c>
      <c r="D24" s="49"/>
      <c r="E24" s="49">
        <f>ROUND(Р[[#This Row],[Количество]]*Р[[#This Row],[Цена за ед., руб]],2)</f>
        <v>0</v>
      </c>
      <c r="F24" s="40"/>
    </row>
    <row r="25" spans="1:6" ht="11.1" customHeight="1" x14ac:dyDescent="0.2">
      <c r="A25" s="39" t="s">
        <v>117</v>
      </c>
      <c r="B25" s="34" t="s">
        <v>24</v>
      </c>
      <c r="C25" s="35">
        <v>7</v>
      </c>
      <c r="D25" s="49"/>
      <c r="E25" s="49">
        <f>ROUND(Р[[#This Row],[Количество]]*Р[[#This Row],[Цена за ед., руб]],2)</f>
        <v>0</v>
      </c>
      <c r="F25" s="40"/>
    </row>
    <row r="26" spans="1:6" ht="11.1" customHeight="1" x14ac:dyDescent="0.2">
      <c r="A26" s="39" t="s">
        <v>121</v>
      </c>
      <c r="B26" s="34" t="s">
        <v>24</v>
      </c>
      <c r="C26" s="35">
        <v>1</v>
      </c>
      <c r="D26" s="49"/>
      <c r="E26" s="49">
        <f>ROUND(Р[[#This Row],[Количество]]*Р[[#This Row],[Цена за ед., руб]],2)</f>
        <v>0</v>
      </c>
      <c r="F26" s="40"/>
    </row>
    <row r="27" spans="1:6" ht="11.1" customHeight="1" x14ac:dyDescent="0.2">
      <c r="A27" s="39" t="s">
        <v>124</v>
      </c>
      <c r="B27" s="34" t="s">
        <v>24</v>
      </c>
      <c r="C27" s="35">
        <v>2</v>
      </c>
      <c r="D27" s="49"/>
      <c r="E27" s="49">
        <f>ROUND(Р[[#This Row],[Количество]]*Р[[#This Row],[Цена за ед., руб]],2)</f>
        <v>0</v>
      </c>
      <c r="F27" s="40"/>
    </row>
    <row r="28" spans="1:6" ht="11.1" customHeight="1" x14ac:dyDescent="0.2">
      <c r="A28" s="39" t="s">
        <v>128</v>
      </c>
      <c r="B28" s="34" t="s">
        <v>24</v>
      </c>
      <c r="C28" s="35">
        <v>1</v>
      </c>
      <c r="D28" s="49"/>
      <c r="E28" s="49">
        <f>ROUND(Р[[#This Row],[Количество]]*Р[[#This Row],[Цена за ед., руб]],2)</f>
        <v>0</v>
      </c>
      <c r="F28" s="40"/>
    </row>
    <row r="29" spans="1:6" ht="11.1" customHeight="1" x14ac:dyDescent="0.2">
      <c r="A29" s="39" t="s">
        <v>134</v>
      </c>
      <c r="B29" s="34" t="s">
        <v>135</v>
      </c>
      <c r="C29" s="35">
        <v>1</v>
      </c>
      <c r="D29" s="49"/>
      <c r="E29" s="49">
        <f>ROUND(Р[[#This Row],[Количество]]*Р[[#This Row],[Цена за ед., руб]],2)</f>
        <v>0</v>
      </c>
      <c r="F29" s="40"/>
    </row>
    <row r="30" spans="1:6" ht="11.1" customHeight="1" x14ac:dyDescent="0.2">
      <c r="A30" s="75" t="s">
        <v>170</v>
      </c>
      <c r="B30" s="34" t="s">
        <v>135</v>
      </c>
      <c r="C30" s="35">
        <v>1</v>
      </c>
      <c r="D30" s="49"/>
      <c r="E30" s="49">
        <f>ROUND(Р[[#This Row],[Количество]]*Р[[#This Row],[Цена за ед., руб]],2)</f>
        <v>0</v>
      </c>
      <c r="F30" s="40"/>
    </row>
    <row r="31" spans="1:6" ht="11.1" customHeight="1" x14ac:dyDescent="0.2">
      <c r="A31" s="43" t="s">
        <v>143</v>
      </c>
      <c r="B31" s="44" t="s">
        <v>27</v>
      </c>
      <c r="C31" s="45">
        <v>2000</v>
      </c>
      <c r="D31" s="49"/>
      <c r="E31" s="50">
        <f>ROUND(Р[[#This Row],[Количество]]*Р[[#This Row],[Цена за ед., руб]],2)</f>
        <v>0</v>
      </c>
      <c r="F31" s="47"/>
    </row>
    <row r="32" spans="1:6" ht="11.45" customHeight="1" x14ac:dyDescent="0.2">
      <c r="A32" s="43" t="s">
        <v>160</v>
      </c>
      <c r="B32" s="44"/>
      <c r="C32" s="46"/>
      <c r="D32" s="50"/>
      <c r="E32" s="50">
        <f>SUBTOTAL(109,Р[Сумма, руб])</f>
        <v>0</v>
      </c>
      <c r="F32" s="47"/>
    </row>
    <row r="33" spans="4:5" ht="11.45" customHeight="1" x14ac:dyDescent="0.2">
      <c r="D33" s="73"/>
      <c r="E33" s="65"/>
    </row>
    <row r="34" spans="4:5" ht="11.45" customHeight="1" x14ac:dyDescent="0.2">
      <c r="D34" s="73" t="s">
        <v>171</v>
      </c>
      <c r="E34" s="65">
        <f>ЛСР!J198-Р[[#Totals],[Сумма, руб]]</f>
        <v>0</v>
      </c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49"/>
  <sheetViews>
    <sheetView workbookViewId="0">
      <pane ySplit="3" topLeftCell="A28" activePane="bottomLeft" state="frozen"/>
      <selection pane="bottomLeft" activeCell="H40" sqref="H40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130" t="s">
        <v>150</v>
      </c>
      <c r="B1" s="130"/>
      <c r="C1" s="130"/>
      <c r="D1" s="130"/>
      <c r="E1" s="130"/>
      <c r="F1" s="130"/>
      <c r="G1" s="130"/>
      <c r="H1" s="130"/>
    </row>
    <row r="2" spans="1:9" ht="11.1" customHeight="1" x14ac:dyDescent="0.2"/>
    <row r="3" spans="1:9" ht="23.1" customHeight="1" x14ac:dyDescent="0.2">
      <c r="A3" s="41" t="s">
        <v>151</v>
      </c>
      <c r="B3" s="51" t="s">
        <v>152</v>
      </c>
      <c r="C3" s="42" t="s">
        <v>153</v>
      </c>
      <c r="D3" s="2" t="s">
        <v>7</v>
      </c>
      <c r="E3" s="2" t="s">
        <v>10</v>
      </c>
      <c r="F3" s="48" t="s">
        <v>11</v>
      </c>
      <c r="G3" s="48" t="s">
        <v>12</v>
      </c>
      <c r="H3" s="2" t="s">
        <v>154</v>
      </c>
      <c r="I3" s="42" t="s">
        <v>155</v>
      </c>
    </row>
    <row r="4" spans="1:9" ht="11.1" customHeight="1" x14ac:dyDescent="0.2">
      <c r="A4" s="39" t="s">
        <v>44</v>
      </c>
      <c r="B4" s="36"/>
      <c r="C4" s="36" t="s">
        <v>45</v>
      </c>
      <c r="D4" s="34" t="s">
        <v>43</v>
      </c>
      <c r="E4" s="35">
        <v>60</v>
      </c>
      <c r="F4" s="49"/>
      <c r="G4" s="49">
        <f>ROUND(М[[#This Row],[Количество]]*М[[#This Row],[Цена за ед., руб]],2)</f>
        <v>0</v>
      </c>
      <c r="H4" s="36" t="s">
        <v>46</v>
      </c>
      <c r="I4" s="40"/>
    </row>
    <row r="5" spans="1:9" ht="35.1" customHeight="1" x14ac:dyDescent="0.2">
      <c r="A5" s="39" t="s">
        <v>44</v>
      </c>
      <c r="B5" s="36"/>
      <c r="C5" s="36" t="s">
        <v>87</v>
      </c>
      <c r="D5" s="34" t="s">
        <v>43</v>
      </c>
      <c r="E5" s="35">
        <v>20</v>
      </c>
      <c r="F5" s="49"/>
      <c r="G5" s="49">
        <f>ROUND(М[[#This Row],[Количество]]*М[[#This Row],[Цена за ед., руб]],2)</f>
        <v>0</v>
      </c>
      <c r="H5" s="36" t="s">
        <v>86</v>
      </c>
      <c r="I5" s="40"/>
    </row>
    <row r="6" spans="1:9" ht="11.1" customHeight="1" x14ac:dyDescent="0.2">
      <c r="A6" s="39" t="s">
        <v>144</v>
      </c>
      <c r="B6" s="36"/>
      <c r="C6" s="36" t="s">
        <v>145</v>
      </c>
      <c r="D6" s="34" t="s">
        <v>33</v>
      </c>
      <c r="E6" s="37">
        <v>2000</v>
      </c>
      <c r="F6" s="49"/>
      <c r="G6" s="49">
        <f>ROUND(М[[#This Row],[Количество]]*М[[#This Row],[Цена за ед., руб]],2)</f>
        <v>0</v>
      </c>
      <c r="H6" s="36"/>
      <c r="I6" s="40"/>
    </row>
    <row r="7" spans="1:9" ht="23.1" customHeight="1" x14ac:dyDescent="0.2">
      <c r="A7" s="39" t="s">
        <v>67</v>
      </c>
      <c r="B7" s="36"/>
      <c r="C7" s="36" t="s">
        <v>68</v>
      </c>
      <c r="D7" s="34" t="s">
        <v>24</v>
      </c>
      <c r="E7" s="35">
        <v>48</v>
      </c>
      <c r="F7" s="49"/>
      <c r="G7" s="49">
        <f>ROUND(М[[#This Row],[Количество]]*М[[#This Row],[Цена за ед., руб]],2)</f>
        <v>0</v>
      </c>
      <c r="H7" s="36"/>
      <c r="I7" s="40"/>
    </row>
    <row r="8" spans="1:9" ht="11.1" customHeight="1" x14ac:dyDescent="0.2">
      <c r="A8" s="39" t="s">
        <v>30</v>
      </c>
      <c r="B8" s="36" t="s">
        <v>31</v>
      </c>
      <c r="C8" s="36" t="s">
        <v>32</v>
      </c>
      <c r="D8" s="34" t="s">
        <v>33</v>
      </c>
      <c r="E8" s="35">
        <v>13</v>
      </c>
      <c r="F8" s="49"/>
      <c r="G8" s="49">
        <f>ROUND(М[[#This Row],[Количество]]*М[[#This Row],[Цена за ед., руб]],2)</f>
        <v>0</v>
      </c>
      <c r="H8" s="36"/>
      <c r="I8" s="40"/>
    </row>
    <row r="9" spans="1:9" ht="23.1" customHeight="1" x14ac:dyDescent="0.2">
      <c r="A9" s="39" t="s">
        <v>35</v>
      </c>
      <c r="B9" s="36" t="s">
        <v>36</v>
      </c>
      <c r="C9" s="36" t="s">
        <v>37</v>
      </c>
      <c r="D9" s="34" t="s">
        <v>33</v>
      </c>
      <c r="E9" s="35">
        <v>8</v>
      </c>
      <c r="F9" s="49"/>
      <c r="G9" s="49">
        <f>ROUND(М[[#This Row],[Количество]]*М[[#This Row],[Цена за ед., руб]],2)</f>
        <v>0</v>
      </c>
      <c r="H9" s="36"/>
      <c r="I9" s="40"/>
    </row>
    <row r="10" spans="1:9" ht="11.1" customHeight="1" x14ac:dyDescent="0.2">
      <c r="A10" s="39" t="s">
        <v>35</v>
      </c>
      <c r="B10" s="36" t="s">
        <v>36</v>
      </c>
      <c r="C10" s="36" t="s">
        <v>85</v>
      </c>
      <c r="D10" s="34" t="s">
        <v>33</v>
      </c>
      <c r="E10" s="35">
        <v>20</v>
      </c>
      <c r="F10" s="49"/>
      <c r="G10" s="49">
        <f>ROUND(М[[#This Row],[Количество]]*М[[#This Row],[Цена за ед., руб]],2)</f>
        <v>0</v>
      </c>
      <c r="H10" s="36"/>
      <c r="I10" s="40"/>
    </row>
    <row r="11" spans="1:9" ht="11.1" customHeight="1" x14ac:dyDescent="0.2">
      <c r="A11" s="39" t="s">
        <v>52</v>
      </c>
      <c r="B11" s="36" t="s">
        <v>53</v>
      </c>
      <c r="C11" s="36" t="s">
        <v>99</v>
      </c>
      <c r="D11" s="34" t="s">
        <v>24</v>
      </c>
      <c r="E11" s="35">
        <v>8</v>
      </c>
      <c r="F11" s="49"/>
      <c r="G11" s="49">
        <f>ROUND(М[[#This Row],[Количество]]*М[[#This Row],[Цена за ед., руб]],2)</f>
        <v>0</v>
      </c>
      <c r="H11" s="36"/>
      <c r="I11" s="40"/>
    </row>
    <row r="12" spans="1:9" ht="11.1" customHeight="1" x14ac:dyDescent="0.2">
      <c r="A12" s="39" t="s">
        <v>52</v>
      </c>
      <c r="B12" s="36" t="s">
        <v>53</v>
      </c>
      <c r="C12" s="36" t="s">
        <v>54</v>
      </c>
      <c r="D12" s="34" t="s">
        <v>24</v>
      </c>
      <c r="E12" s="35">
        <v>7</v>
      </c>
      <c r="F12" s="49"/>
      <c r="G12" s="49">
        <f>ROUND(М[[#This Row],[Количество]]*М[[#This Row],[Цена за ед., руб]],2)</f>
        <v>0</v>
      </c>
      <c r="H12" s="36"/>
      <c r="I12" s="40"/>
    </row>
    <row r="13" spans="1:9" ht="11.1" customHeight="1" x14ac:dyDescent="0.2">
      <c r="A13" s="39" t="s">
        <v>92</v>
      </c>
      <c r="B13" s="36"/>
      <c r="C13" s="36" t="s">
        <v>93</v>
      </c>
      <c r="D13" s="34" t="s">
        <v>33</v>
      </c>
      <c r="E13" s="35">
        <v>360</v>
      </c>
      <c r="F13" s="49"/>
      <c r="G13" s="49">
        <f>ROUND(М[[#This Row],[Количество]]*М[[#This Row],[Цена за ед., руб]],2)</f>
        <v>0</v>
      </c>
      <c r="H13" s="36"/>
      <c r="I13" s="40"/>
    </row>
    <row r="14" spans="1:9" ht="23.1" customHeight="1" x14ac:dyDescent="0.2">
      <c r="A14" s="39" t="s">
        <v>75</v>
      </c>
      <c r="B14" s="36" t="s">
        <v>53</v>
      </c>
      <c r="C14" s="36" t="s">
        <v>102</v>
      </c>
      <c r="D14" s="34" t="s">
        <v>33</v>
      </c>
      <c r="E14" s="35">
        <v>20</v>
      </c>
      <c r="F14" s="49"/>
      <c r="G14" s="49">
        <f>ROUND(М[[#This Row],[Количество]]*М[[#This Row],[Цена за ед., руб]],2)</f>
        <v>0</v>
      </c>
      <c r="H14" s="36"/>
      <c r="I14" s="40"/>
    </row>
    <row r="15" spans="1:9" ht="23.1" customHeight="1" x14ac:dyDescent="0.2">
      <c r="A15" s="39" t="s">
        <v>75</v>
      </c>
      <c r="B15" s="36" t="s">
        <v>53</v>
      </c>
      <c r="C15" s="36" t="s">
        <v>76</v>
      </c>
      <c r="D15" s="34" t="s">
        <v>33</v>
      </c>
      <c r="E15" s="35">
        <v>654</v>
      </c>
      <c r="F15" s="49"/>
      <c r="G15" s="49">
        <f>ROUND(М[[#This Row],[Количество]]*М[[#This Row],[Цена за ед., руб]],2)</f>
        <v>0</v>
      </c>
      <c r="H15" s="36"/>
      <c r="I15" s="40"/>
    </row>
    <row r="16" spans="1:9" ht="11.1" customHeight="1" x14ac:dyDescent="0.2">
      <c r="A16" s="39" t="s">
        <v>108</v>
      </c>
      <c r="B16" s="36"/>
      <c r="C16" s="36" t="s">
        <v>109</v>
      </c>
      <c r="D16" s="34" t="s">
        <v>33</v>
      </c>
      <c r="E16" s="35">
        <v>64</v>
      </c>
      <c r="F16" s="49"/>
      <c r="G16" s="49">
        <f>ROUND(М[[#This Row],[Количество]]*М[[#This Row],[Цена за ед., руб]],2)</f>
        <v>0</v>
      </c>
      <c r="H16" s="36" t="s">
        <v>46</v>
      </c>
      <c r="I16" s="40"/>
    </row>
    <row r="17" spans="1:9" ht="11.1" customHeight="1" x14ac:dyDescent="0.2">
      <c r="A17" s="39" t="s">
        <v>56</v>
      </c>
      <c r="B17" s="36" t="s">
        <v>49</v>
      </c>
      <c r="C17" s="36" t="s">
        <v>57</v>
      </c>
      <c r="D17" s="34" t="s">
        <v>24</v>
      </c>
      <c r="E17" s="35">
        <v>8</v>
      </c>
      <c r="F17" s="49"/>
      <c r="G17" s="49">
        <f>ROUND(М[[#This Row],[Количество]]*М[[#This Row],[Цена за ед., руб]],2)</f>
        <v>0</v>
      </c>
      <c r="H17" s="36"/>
      <c r="I17" s="40"/>
    </row>
    <row r="18" spans="1:9" ht="11.1" customHeight="1" x14ac:dyDescent="0.2">
      <c r="A18" s="39" t="s">
        <v>70</v>
      </c>
      <c r="B18" s="36" t="s">
        <v>53</v>
      </c>
      <c r="C18" s="36" t="s">
        <v>71</v>
      </c>
      <c r="D18" s="34" t="s">
        <v>33</v>
      </c>
      <c r="E18" s="37">
        <v>1163</v>
      </c>
      <c r="F18" s="49"/>
      <c r="G18" s="49">
        <f>ROUND(М[[#This Row],[Количество]]*М[[#This Row],[Цена за ед., руб]],2)</f>
        <v>0</v>
      </c>
      <c r="H18" s="36"/>
      <c r="I18" s="40"/>
    </row>
    <row r="19" spans="1:9" ht="11.1" customHeight="1" x14ac:dyDescent="0.2">
      <c r="A19" s="39" t="s">
        <v>70</v>
      </c>
      <c r="B19" s="36" t="s">
        <v>53</v>
      </c>
      <c r="C19" s="36" t="s">
        <v>72</v>
      </c>
      <c r="D19" s="34" t="s">
        <v>33</v>
      </c>
      <c r="E19" s="35">
        <v>25</v>
      </c>
      <c r="F19" s="49"/>
      <c r="G19" s="49">
        <f>ROUND(М[[#This Row],[Количество]]*М[[#This Row],[Цена за ед., руб]],2)</f>
        <v>0</v>
      </c>
      <c r="H19" s="36"/>
      <c r="I19" s="40"/>
    </row>
    <row r="20" spans="1:9" ht="11.1" customHeight="1" x14ac:dyDescent="0.2">
      <c r="A20" s="39" t="s">
        <v>70</v>
      </c>
      <c r="B20" s="36" t="s">
        <v>53</v>
      </c>
      <c r="C20" s="36" t="s">
        <v>73</v>
      </c>
      <c r="D20" s="34" t="s">
        <v>33</v>
      </c>
      <c r="E20" s="35">
        <v>170</v>
      </c>
      <c r="F20" s="49"/>
      <c r="G20" s="49">
        <f>ROUND(М[[#This Row],[Количество]]*М[[#This Row],[Цена за ед., руб]],2)</f>
        <v>0</v>
      </c>
      <c r="H20" s="36"/>
      <c r="I20" s="40"/>
    </row>
    <row r="21" spans="1:9" ht="11.1" customHeight="1" x14ac:dyDescent="0.2">
      <c r="A21" s="39" t="s">
        <v>114</v>
      </c>
      <c r="B21" s="36"/>
      <c r="C21" s="36" t="s">
        <v>115</v>
      </c>
      <c r="D21" s="34" t="s">
        <v>24</v>
      </c>
      <c r="E21" s="35">
        <v>7</v>
      </c>
      <c r="F21" s="49"/>
      <c r="G21" s="49">
        <f>ROUND(М[[#This Row],[Количество]]*М[[#This Row],[Цена за ед., руб]],2)</f>
        <v>0</v>
      </c>
      <c r="H21" s="36"/>
      <c r="I21" s="40"/>
    </row>
    <row r="22" spans="1:9" ht="23.1" customHeight="1" x14ac:dyDescent="0.2">
      <c r="A22" s="39" t="s">
        <v>63</v>
      </c>
      <c r="B22" s="36" t="s">
        <v>53</v>
      </c>
      <c r="C22" s="36" t="s">
        <v>64</v>
      </c>
      <c r="D22" s="34" t="s">
        <v>24</v>
      </c>
      <c r="E22" s="35">
        <v>2</v>
      </c>
      <c r="F22" s="49"/>
      <c r="G22" s="49">
        <f>ROUND(М[[#This Row],[Количество]]*М[[#This Row],[Цена за ед., руб]],2)</f>
        <v>0</v>
      </c>
      <c r="H22" s="36"/>
      <c r="I22" s="40"/>
    </row>
    <row r="23" spans="1:9" ht="35.1" customHeight="1" x14ac:dyDescent="0.2">
      <c r="A23" s="39" t="s">
        <v>63</v>
      </c>
      <c r="B23" s="36"/>
      <c r="C23" s="36" t="s">
        <v>88</v>
      </c>
      <c r="D23" s="34" t="s">
        <v>24</v>
      </c>
      <c r="E23" s="35">
        <v>8</v>
      </c>
      <c r="F23" s="49"/>
      <c r="G23" s="49">
        <f>ROUND(М[[#This Row],[Количество]]*М[[#This Row],[Цена за ед., руб]],2)</f>
        <v>0</v>
      </c>
      <c r="H23" s="36" t="s">
        <v>89</v>
      </c>
      <c r="I23" s="40"/>
    </row>
    <row r="24" spans="1:9" ht="11.1" customHeight="1" x14ac:dyDescent="0.2">
      <c r="A24" s="39" t="s">
        <v>63</v>
      </c>
      <c r="B24" s="36"/>
      <c r="C24" s="36" t="s">
        <v>90</v>
      </c>
      <c r="D24" s="34" t="s">
        <v>24</v>
      </c>
      <c r="E24" s="35">
        <v>8</v>
      </c>
      <c r="F24" s="49"/>
      <c r="G24" s="49">
        <f>ROUND(М[[#This Row],[Количество]]*М[[#This Row],[Цена за ед., руб]],2)</f>
        <v>0</v>
      </c>
      <c r="H24" s="36"/>
      <c r="I24" s="40"/>
    </row>
    <row r="25" spans="1:9" ht="23.1" customHeight="1" x14ac:dyDescent="0.2">
      <c r="A25" s="39" t="s">
        <v>63</v>
      </c>
      <c r="B25" s="36" t="s">
        <v>53</v>
      </c>
      <c r="C25" s="36" t="s">
        <v>65</v>
      </c>
      <c r="D25" s="34" t="s">
        <v>24</v>
      </c>
      <c r="E25" s="35">
        <v>148</v>
      </c>
      <c r="F25" s="49"/>
      <c r="G25" s="49">
        <f>ROUND(М[[#This Row],[Количество]]*М[[#This Row],[Цена за ед., руб]],2)</f>
        <v>0</v>
      </c>
      <c r="H25" s="36"/>
      <c r="I25" s="40"/>
    </row>
    <row r="26" spans="1:9" ht="11.1" customHeight="1" x14ac:dyDescent="0.2">
      <c r="A26" s="39" t="s">
        <v>104</v>
      </c>
      <c r="B26" s="36" t="s">
        <v>105</v>
      </c>
      <c r="C26" s="36" t="s">
        <v>106</v>
      </c>
      <c r="D26" s="34" t="s">
        <v>33</v>
      </c>
      <c r="E26" s="37">
        <v>2000</v>
      </c>
      <c r="F26" s="49"/>
      <c r="G26" s="49">
        <f>ROUND(М[[#This Row],[Количество]]*М[[#This Row],[Цена за ед., руб]],2)</f>
        <v>0</v>
      </c>
      <c r="H26" s="36"/>
      <c r="I26" s="40"/>
    </row>
    <row r="27" spans="1:9" ht="11.1" customHeight="1" x14ac:dyDescent="0.2">
      <c r="A27" s="39" t="s">
        <v>129</v>
      </c>
      <c r="B27" s="36"/>
      <c r="C27" s="36" t="s">
        <v>130</v>
      </c>
      <c r="D27" s="34" t="s">
        <v>24</v>
      </c>
      <c r="E27" s="35">
        <v>1</v>
      </c>
      <c r="F27" s="49"/>
      <c r="G27" s="49">
        <f>ROUND(М[[#This Row],[Количество]]*М[[#This Row],[Цена за ед., руб]],2)</f>
        <v>0</v>
      </c>
      <c r="H27" s="36"/>
      <c r="I27" s="40"/>
    </row>
    <row r="28" spans="1:9" ht="11.1" customHeight="1" x14ac:dyDescent="0.2">
      <c r="A28" s="39" t="s">
        <v>122</v>
      </c>
      <c r="B28" s="36"/>
      <c r="C28" s="36" t="s">
        <v>123</v>
      </c>
      <c r="D28" s="34" t="s">
        <v>24</v>
      </c>
      <c r="E28" s="35">
        <v>1</v>
      </c>
      <c r="F28" s="49"/>
      <c r="G28" s="49">
        <f>ROUND(М[[#This Row],[Количество]]*М[[#This Row],[Цена за ед., руб]],2)</f>
        <v>0</v>
      </c>
      <c r="H28" s="36"/>
      <c r="I28" s="40"/>
    </row>
    <row r="29" spans="1:9" ht="11.1" customHeight="1" x14ac:dyDescent="0.2">
      <c r="A29" s="39" t="s">
        <v>139</v>
      </c>
      <c r="B29" s="36"/>
      <c r="C29" s="36" t="s">
        <v>140</v>
      </c>
      <c r="D29" s="34" t="s">
        <v>141</v>
      </c>
      <c r="E29" s="35">
        <v>36</v>
      </c>
      <c r="F29" s="49"/>
      <c r="G29" s="49">
        <f>ROUND(М[[#This Row],[Количество]]*М[[#This Row],[Цена за ед., руб]],2)</f>
        <v>0</v>
      </c>
      <c r="H29" s="36" t="s">
        <v>142</v>
      </c>
      <c r="I29" s="40"/>
    </row>
    <row r="30" spans="1:9" ht="11.1" customHeight="1" x14ac:dyDescent="0.2">
      <c r="A30" s="39" t="s">
        <v>48</v>
      </c>
      <c r="B30" s="36" t="s">
        <v>49</v>
      </c>
      <c r="C30" s="36" t="s">
        <v>50</v>
      </c>
      <c r="D30" s="34" t="s">
        <v>24</v>
      </c>
      <c r="E30" s="35">
        <v>8</v>
      </c>
      <c r="F30" s="49"/>
      <c r="G30" s="49">
        <f>ROUND(М[[#This Row],[Количество]]*М[[#This Row],[Цена за ед., руб]],2)</f>
        <v>0</v>
      </c>
      <c r="H30" s="36"/>
      <c r="I30" s="40"/>
    </row>
    <row r="31" spans="1:9" ht="23.1" customHeight="1" x14ac:dyDescent="0.2">
      <c r="A31" s="39" t="s">
        <v>78</v>
      </c>
      <c r="B31" s="36"/>
      <c r="C31" s="36" t="s">
        <v>79</v>
      </c>
      <c r="D31" s="34" t="s">
        <v>33</v>
      </c>
      <c r="E31" s="38">
        <v>32.5</v>
      </c>
      <c r="F31" s="49"/>
      <c r="G31" s="49">
        <f>ROUND(М[[#This Row],[Количество]]*М[[#This Row],[Цена за ед., руб]],2)</f>
        <v>0</v>
      </c>
      <c r="H31" s="36"/>
      <c r="I31" s="40"/>
    </row>
    <row r="32" spans="1:9" ht="11.1" customHeight="1" x14ac:dyDescent="0.2">
      <c r="A32" s="39" t="s">
        <v>59</v>
      </c>
      <c r="B32" s="36"/>
      <c r="C32" s="36" t="s">
        <v>60</v>
      </c>
      <c r="D32" s="34" t="s">
        <v>24</v>
      </c>
      <c r="E32" s="35">
        <v>97</v>
      </c>
      <c r="F32" s="49"/>
      <c r="G32" s="49">
        <f>ROUND(М[[#This Row],[Количество]]*М[[#This Row],[Цена за ед., руб]],2)</f>
        <v>0</v>
      </c>
      <c r="H32" s="36"/>
      <c r="I32" s="40"/>
    </row>
    <row r="33" spans="1:9" ht="11.1" customHeight="1" x14ac:dyDescent="0.2">
      <c r="A33" s="39" t="s">
        <v>59</v>
      </c>
      <c r="B33" s="36"/>
      <c r="C33" s="36" t="s">
        <v>100</v>
      </c>
      <c r="D33" s="34" t="s">
        <v>24</v>
      </c>
      <c r="E33" s="35">
        <v>192</v>
      </c>
      <c r="F33" s="49"/>
      <c r="G33" s="49">
        <f>ROUND(М[[#This Row],[Количество]]*М[[#This Row],[Цена за ед., руб]],2)</f>
        <v>0</v>
      </c>
      <c r="H33" s="36"/>
      <c r="I33" s="40"/>
    </row>
    <row r="34" spans="1:9" ht="11.1" customHeight="1" x14ac:dyDescent="0.2">
      <c r="A34" s="39" t="s">
        <v>59</v>
      </c>
      <c r="B34" s="36"/>
      <c r="C34" s="36" t="s">
        <v>61</v>
      </c>
      <c r="D34" s="34" t="s">
        <v>24</v>
      </c>
      <c r="E34" s="35">
        <v>432</v>
      </c>
      <c r="F34" s="49"/>
      <c r="G34" s="49">
        <f>ROUND(М[[#This Row],[Количество]]*М[[#This Row],[Цена за ед., руб]],2)</f>
        <v>0</v>
      </c>
      <c r="H34" s="36"/>
      <c r="I34" s="40"/>
    </row>
    <row r="35" spans="1:9" ht="35.1" customHeight="1" x14ac:dyDescent="0.2">
      <c r="A35" s="39" t="s">
        <v>39</v>
      </c>
      <c r="B35" s="36" t="s">
        <v>31</v>
      </c>
      <c r="C35" s="36" t="s">
        <v>40</v>
      </c>
      <c r="D35" s="34" t="s">
        <v>33</v>
      </c>
      <c r="E35" s="35">
        <v>109</v>
      </c>
      <c r="F35" s="49"/>
      <c r="G35" s="49">
        <f>ROUND(М[[#This Row],[Количество]]*М[[#This Row],[Цена за ед., руб]],2)</f>
        <v>0</v>
      </c>
      <c r="H35" s="36" t="s">
        <v>41</v>
      </c>
      <c r="I35" s="40"/>
    </row>
    <row r="36" spans="1:9" ht="35.1" customHeight="1" x14ac:dyDescent="0.2">
      <c r="A36" s="39" t="s">
        <v>39</v>
      </c>
      <c r="B36" s="36" t="s">
        <v>31</v>
      </c>
      <c r="C36" s="36" t="s">
        <v>40</v>
      </c>
      <c r="D36" s="34" t="s">
        <v>33</v>
      </c>
      <c r="E36" s="35">
        <v>33</v>
      </c>
      <c r="F36" s="49"/>
      <c r="G36" s="49">
        <f>ROUND(М[[#This Row],[Количество]]*М[[#This Row],[Цена за ед., руб]],2)</f>
        <v>0</v>
      </c>
      <c r="H36" s="36" t="s">
        <v>86</v>
      </c>
      <c r="I36" s="40"/>
    </row>
    <row r="37" spans="1:9" ht="23.1" customHeight="1" x14ac:dyDescent="0.2">
      <c r="A37" s="39" t="s">
        <v>39</v>
      </c>
      <c r="B37" s="36" t="s">
        <v>36</v>
      </c>
      <c r="C37" s="36" t="s">
        <v>98</v>
      </c>
      <c r="D37" s="34" t="s">
        <v>33</v>
      </c>
      <c r="E37" s="35">
        <v>646</v>
      </c>
      <c r="F37" s="49"/>
      <c r="G37" s="49">
        <f>ROUND(М[[#This Row],[Количество]]*М[[#This Row],[Цена за ед., руб]],2)</f>
        <v>0</v>
      </c>
      <c r="H37" s="36"/>
      <c r="I37" s="40"/>
    </row>
    <row r="38" spans="1:9" ht="23.1" customHeight="1" x14ac:dyDescent="0.2">
      <c r="A38" s="39" t="s">
        <v>125</v>
      </c>
      <c r="B38" s="36"/>
      <c r="C38" s="36" t="s">
        <v>126</v>
      </c>
      <c r="D38" s="34" t="s">
        <v>24</v>
      </c>
      <c r="E38" s="35">
        <v>1</v>
      </c>
      <c r="F38" s="49"/>
      <c r="G38" s="49">
        <f>ROUND(М[[#This Row],[Количество]]*М[[#This Row],[Цена за ед., руб]],2)</f>
        <v>0</v>
      </c>
      <c r="H38" s="36"/>
      <c r="I38" s="40"/>
    </row>
    <row r="39" spans="1:9" ht="23.1" customHeight="1" x14ac:dyDescent="0.2">
      <c r="A39" s="43" t="s">
        <v>125</v>
      </c>
      <c r="B39" s="52"/>
      <c r="C39" s="52" t="s">
        <v>127</v>
      </c>
      <c r="D39" s="44" t="s">
        <v>24</v>
      </c>
      <c r="E39" s="53">
        <v>1</v>
      </c>
      <c r="F39" s="49"/>
      <c r="G39" s="50">
        <f>ROUND(М[[#This Row],[Количество]]*М[[#This Row],[Цена за ед., руб]],2)</f>
        <v>0</v>
      </c>
      <c r="H39" s="52"/>
      <c r="I39" s="47"/>
    </row>
    <row r="40" spans="1:9" ht="23.1" customHeight="1" x14ac:dyDescent="0.2">
      <c r="A40" s="43" t="s">
        <v>162</v>
      </c>
      <c r="B40" s="52"/>
      <c r="C40" s="52"/>
      <c r="D40" s="44" t="s">
        <v>80</v>
      </c>
      <c r="E40" s="64"/>
      <c r="F40" s="50"/>
      <c r="G40" s="53">
        <f ca="1">SUMIF(ЛСР!$B$6:$K$196,М[[#This Row],[Наим.]],ЛСР!$J$6:$J$196)</f>
        <v>0</v>
      </c>
      <c r="H40" s="78" t="s">
        <v>172</v>
      </c>
      <c r="I40" s="47"/>
    </row>
    <row r="41" spans="1:9" ht="23.1" customHeight="1" x14ac:dyDescent="0.2">
      <c r="A41" s="43" t="s">
        <v>163</v>
      </c>
      <c r="B41" s="52"/>
      <c r="C41" s="52"/>
      <c r="D41" s="44" t="s">
        <v>80</v>
      </c>
      <c r="E41" s="64"/>
      <c r="F41" s="50"/>
      <c r="G41" s="53">
        <f ca="1">SUMIF(ЛСР!$B$6:$K$196,М[[#This Row],[Наим.]],ЛСР!$J$6:$J$196)</f>
        <v>0</v>
      </c>
      <c r="H41" s="78" t="s">
        <v>172</v>
      </c>
      <c r="I41" s="47"/>
    </row>
    <row r="42" spans="1:9" ht="23.1" customHeight="1" x14ac:dyDescent="0.2">
      <c r="A42" s="43" t="s">
        <v>164</v>
      </c>
      <c r="B42" s="52"/>
      <c r="C42" s="52"/>
      <c r="D42" s="44" t="s">
        <v>80</v>
      </c>
      <c r="E42" s="64"/>
      <c r="F42" s="50"/>
      <c r="G42" s="53">
        <f ca="1">SUMIF(ЛСР!$B$6:$K$196,М[[#This Row],[Наим.]],ЛСР!$J$6:$J$196)</f>
        <v>0</v>
      </c>
      <c r="H42" s="78" t="s">
        <v>172</v>
      </c>
      <c r="I42" s="47"/>
    </row>
    <row r="43" spans="1:9" ht="23.1" customHeight="1" x14ac:dyDescent="0.2">
      <c r="A43" s="43" t="s">
        <v>165</v>
      </c>
      <c r="B43" s="52"/>
      <c r="C43" s="52"/>
      <c r="D43" s="44" t="s">
        <v>80</v>
      </c>
      <c r="E43" s="64"/>
      <c r="F43" s="50"/>
      <c r="G43" s="53">
        <f ca="1">SUMIF(ЛСР!$B$6:$K$196,М[[#This Row],[Наим.]],ЛСР!$J$6:$J$196)</f>
        <v>0</v>
      </c>
      <c r="H43" s="78" t="s">
        <v>172</v>
      </c>
      <c r="I43" s="47"/>
    </row>
    <row r="44" spans="1:9" ht="23.1" customHeight="1" x14ac:dyDescent="0.2">
      <c r="A44" s="43" t="s">
        <v>167</v>
      </c>
      <c r="B44" s="52"/>
      <c r="C44" s="52"/>
      <c r="D44" s="44" t="s">
        <v>80</v>
      </c>
      <c r="E44" s="64"/>
      <c r="F44" s="50"/>
      <c r="G44" s="53">
        <f ca="1">SUMIF(ЛСР!$B$6:$K$196,М[[#This Row],[Наим.]],ЛСР!$J$6:$J$196)</f>
        <v>0</v>
      </c>
      <c r="H44" s="78" t="s">
        <v>172</v>
      </c>
      <c r="I44" s="47"/>
    </row>
    <row r="45" spans="1:9" ht="23.1" customHeight="1" x14ac:dyDescent="0.2">
      <c r="A45" s="43" t="s">
        <v>166</v>
      </c>
      <c r="B45" s="52"/>
      <c r="C45" s="52"/>
      <c r="D45" s="44" t="s">
        <v>80</v>
      </c>
      <c r="E45" s="64"/>
      <c r="F45" s="50"/>
      <c r="G45" s="53">
        <f ca="1">SUMIF(ЛСР!$B$6:$K$196,М[[#This Row],[Наим.]],ЛСР!$J$6:$J$196)</f>
        <v>0</v>
      </c>
      <c r="H45" s="78" t="s">
        <v>172</v>
      </c>
      <c r="I45" s="47"/>
    </row>
    <row r="46" spans="1:9" ht="23.1" customHeight="1" x14ac:dyDescent="0.2">
      <c r="A46" s="43" t="s">
        <v>161</v>
      </c>
      <c r="B46" s="52"/>
      <c r="C46" s="52"/>
      <c r="D46" s="44" t="s">
        <v>80</v>
      </c>
      <c r="E46" s="64"/>
      <c r="F46" s="50"/>
      <c r="G46" s="53">
        <f ca="1">SUMIF(ЛСР!$B$6:$K$196,М[[#This Row],[Наим.]],ЛСР!$J$6:$J$196)</f>
        <v>0</v>
      </c>
      <c r="H46" s="78" t="s">
        <v>172</v>
      </c>
      <c r="I46" s="47"/>
    </row>
    <row r="47" spans="1:9" ht="11.45" customHeight="1" x14ac:dyDescent="0.2">
      <c r="A47" s="43" t="s">
        <v>160</v>
      </c>
      <c r="B47" s="52"/>
      <c r="C47" s="52"/>
      <c r="D47" s="44"/>
      <c r="E47" s="46"/>
      <c r="F47" s="50"/>
      <c r="G47" s="50">
        <f ca="1">SUBTOTAL(109,М[Сумма, руб])</f>
        <v>0</v>
      </c>
      <c r="H47" s="52"/>
      <c r="I47" s="47"/>
    </row>
    <row r="48" spans="1:9" ht="11.45" customHeight="1" x14ac:dyDescent="0.2">
      <c r="G48" s="65"/>
    </row>
    <row r="49" spans="6:7" ht="11.45" customHeight="1" x14ac:dyDescent="0.2">
      <c r="F49" s="73" t="s">
        <v>171</v>
      </c>
      <c r="G49" s="65">
        <f ca="1">ЛСР!J199-М[[#Totals],[Сумма, руб]]</f>
        <v>0</v>
      </c>
    </row>
  </sheetData>
  <mergeCells count="1">
    <mergeCell ref="A1:H1"/>
  </mergeCells>
  <dataValidations count="1">
    <dataValidation type="list" errorStyle="information" allowBlank="1" showInputMessage="1" showErrorMessage="1" sqref="I3:I46" xr:uid="{649982D7-38D7-4519-A8E1-E1335FDA2BD5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2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156</v>
      </c>
      <c r="B1" s="1" t="s">
        <v>157</v>
      </c>
    </row>
    <row r="2" spans="1:2" ht="11.1" customHeight="1" x14ac:dyDescent="0.2">
      <c r="A2" s="1" t="s">
        <v>158</v>
      </c>
      <c r="B2" s="1" t="s">
        <v>159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Калимуллина Карина Павловна</cp:lastModifiedBy>
  <dcterms:modified xsi:type="dcterms:W3CDTF">2026-07-22T08:38:26Z</dcterms:modified>
</cp:coreProperties>
</file>