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9004DAA4-0A7E-4497-8AC6-CEF74A3F2F97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ЛСР!$A$7:$O$197</definedName>
  </definedNames>
  <calcPr calcId="191029"/>
</workbook>
</file>

<file path=xl/calcChain.xml><?xml version="1.0" encoding="utf-8"?>
<calcChain xmlns="http://schemas.openxmlformats.org/spreadsheetml/2006/main">
  <c r="O188" i="1" l="1" a="1"/>
  <c r="O188" i="1" s="1"/>
  <c r="O187" i="1" a="1"/>
  <c r="O187" i="1" s="1"/>
  <c r="O186" i="1" a="1"/>
  <c r="O186" i="1" s="1"/>
  <c r="O185" i="1" a="1"/>
  <c r="O185" i="1" s="1"/>
  <c r="O184" i="1" a="1"/>
  <c r="O184" i="1" s="1"/>
  <c r="O183" i="1" a="1"/>
  <c r="O183" i="1" s="1"/>
  <c r="K184" i="1"/>
  <c r="K185" i="1"/>
  <c r="K186" i="1"/>
  <c r="K187" i="1"/>
  <c r="K188" i="1"/>
  <c r="K183" i="1"/>
  <c r="K13" i="1"/>
  <c r="L13" i="1" a="1"/>
  <c r="L13" i="1" s="1"/>
  <c r="M13" i="1" s="1"/>
  <c r="M12" i="1" s="1"/>
  <c r="K15" i="1"/>
  <c r="L15" i="1" a="1"/>
  <c r="L15" i="1" s="1"/>
  <c r="M15" i="1" s="1"/>
  <c r="M14" i="1" s="1"/>
  <c r="K17" i="1"/>
  <c r="L17" i="1" a="1"/>
  <c r="L17" i="1" s="1"/>
  <c r="K19" i="1"/>
  <c r="O19" i="1" a="1"/>
  <c r="O19" i="1" s="1"/>
  <c r="L19" i="1" a="1"/>
  <c r="L19" i="1" s="1"/>
  <c r="M19" i="1" s="1"/>
  <c r="K20" i="1"/>
  <c r="O20" i="1" a="1"/>
  <c r="O20" i="1" s="1"/>
  <c r="L20" i="1" a="1"/>
  <c r="L20" i="1" s="1"/>
  <c r="M20" i="1" s="1"/>
  <c r="K22" i="1"/>
  <c r="L22" i="1" a="1"/>
  <c r="L22" i="1" s="1"/>
  <c r="K24" i="1"/>
  <c r="O24" i="1" a="1"/>
  <c r="O24" i="1" s="1"/>
  <c r="L24" i="1" a="1"/>
  <c r="L24" i="1" s="1"/>
  <c r="M24" i="1" s="1"/>
  <c r="M23" i="1" s="1"/>
  <c r="K26" i="1"/>
  <c r="L26" i="1" a="1"/>
  <c r="L26" i="1" s="1"/>
  <c r="M26" i="1" s="1"/>
  <c r="M25" i="1" s="1"/>
  <c r="K28" i="1"/>
  <c r="O28" i="1" a="1"/>
  <c r="O28" i="1" s="1"/>
  <c r="L28" i="1" a="1"/>
  <c r="L28" i="1" s="1"/>
  <c r="K30" i="1"/>
  <c r="L30" i="1" a="1"/>
  <c r="L30" i="1" s="1"/>
  <c r="K32" i="1"/>
  <c r="O32" i="1" a="1"/>
  <c r="O32" i="1" s="1"/>
  <c r="L32" i="1" a="1"/>
  <c r="L32" i="1" s="1"/>
  <c r="M32" i="1" s="1"/>
  <c r="M31" i="1" s="1"/>
  <c r="K34" i="1"/>
  <c r="L34" i="1" a="1"/>
  <c r="L34" i="1" s="1"/>
  <c r="M34" i="1" s="1"/>
  <c r="M33" i="1" s="1"/>
  <c r="K36" i="1"/>
  <c r="O36" i="1" a="1"/>
  <c r="O36" i="1" s="1"/>
  <c r="L36" i="1" a="1"/>
  <c r="L36" i="1" s="1"/>
  <c r="M36" i="1" s="1"/>
  <c r="M35" i="1" s="1"/>
  <c r="K38" i="1"/>
  <c r="L38" i="1" a="1"/>
  <c r="L38" i="1" s="1"/>
  <c r="M38" i="1" s="1"/>
  <c r="M37" i="1" s="1"/>
  <c r="K40" i="1"/>
  <c r="O40" i="1" a="1"/>
  <c r="O40" i="1" s="1"/>
  <c r="L40" i="1" a="1"/>
  <c r="L40" i="1" s="1"/>
  <c r="M40" i="1" s="1"/>
  <c r="K41" i="1"/>
  <c r="O41" i="1" a="1"/>
  <c r="O41" i="1" s="1"/>
  <c r="L41" i="1" a="1"/>
  <c r="L41" i="1" s="1"/>
  <c r="K43" i="1"/>
  <c r="L43" i="1" a="1"/>
  <c r="L43" i="1" s="1"/>
  <c r="K45" i="1"/>
  <c r="O45" i="1" a="1"/>
  <c r="O45" i="1" s="1"/>
  <c r="L45" i="1" a="1"/>
  <c r="L45" i="1" s="1"/>
  <c r="M45" i="1" s="1"/>
  <c r="K46" i="1"/>
  <c r="O46" i="1" a="1"/>
  <c r="O46" i="1" s="1"/>
  <c r="L46" i="1" a="1"/>
  <c r="L46" i="1" s="1"/>
  <c r="K48" i="1"/>
  <c r="L48" i="1" a="1"/>
  <c r="L48" i="1" s="1"/>
  <c r="M48" i="1" s="1"/>
  <c r="M47" i="1" s="1"/>
  <c r="K50" i="1"/>
  <c r="O50" i="1" a="1"/>
  <c r="O50" i="1" s="1"/>
  <c r="L50" i="1" a="1"/>
  <c r="L50" i="1" s="1"/>
  <c r="M50" i="1" s="1"/>
  <c r="M49" i="1" s="1"/>
  <c r="K52" i="1"/>
  <c r="L52" i="1" a="1"/>
  <c r="L52" i="1" s="1"/>
  <c r="M52" i="1" s="1"/>
  <c r="M51" i="1" s="1"/>
  <c r="K54" i="1"/>
  <c r="O54" i="1" a="1"/>
  <c r="O54" i="1" s="1"/>
  <c r="L54" i="1" a="1"/>
  <c r="L54" i="1" s="1"/>
  <c r="M54" i="1" s="1"/>
  <c r="K55" i="1"/>
  <c r="O55" i="1" a="1"/>
  <c r="O55" i="1" s="1"/>
  <c r="L55" i="1" a="1"/>
  <c r="L55" i="1" s="1"/>
  <c r="M55" i="1" s="1"/>
  <c r="K56" i="1"/>
  <c r="O56" i="1" a="1"/>
  <c r="O56" i="1" s="1"/>
  <c r="L56" i="1" a="1"/>
  <c r="L56" i="1" s="1"/>
  <c r="M56" i="1" s="1"/>
  <c r="K58" i="1"/>
  <c r="L58" i="1" a="1"/>
  <c r="L58" i="1" s="1"/>
  <c r="M58" i="1" s="1"/>
  <c r="M57" i="1" s="1"/>
  <c r="K60" i="1"/>
  <c r="O60" i="1" a="1"/>
  <c r="O60" i="1" s="1"/>
  <c r="L60" i="1" a="1"/>
  <c r="L60" i="1" s="1"/>
  <c r="K62" i="1"/>
  <c r="L62" i="1" a="1"/>
  <c r="L62" i="1" s="1"/>
  <c r="M62" i="1" s="1"/>
  <c r="M61" i="1" s="1"/>
  <c r="K64" i="1"/>
  <c r="O64" i="1" a="1"/>
  <c r="O64" i="1" s="1"/>
  <c r="L64" i="1" a="1"/>
  <c r="L64" i="1" s="1"/>
  <c r="M64" i="1" s="1"/>
  <c r="M63" i="1" s="1"/>
  <c r="K68" i="1"/>
  <c r="L68" i="1" a="1"/>
  <c r="L68" i="1" s="1"/>
  <c r="M68" i="1" s="1"/>
  <c r="M67" i="1" s="1"/>
  <c r="K70" i="1"/>
  <c r="L70" i="1" a="1"/>
  <c r="L70" i="1" s="1"/>
  <c r="M70" i="1" s="1"/>
  <c r="M69" i="1" s="1"/>
  <c r="K72" i="1"/>
  <c r="O72" i="1" a="1"/>
  <c r="O72" i="1" s="1"/>
  <c r="L72" i="1" a="1"/>
  <c r="L72" i="1" s="1"/>
  <c r="M72" i="1" s="1"/>
  <c r="K73" i="1"/>
  <c r="O73" i="1" a="1"/>
  <c r="O73" i="1" s="1"/>
  <c r="L73" i="1" a="1"/>
  <c r="L73" i="1" s="1"/>
  <c r="K74" i="1"/>
  <c r="O74" i="1" a="1"/>
  <c r="O74" i="1" s="1"/>
  <c r="L74" i="1" a="1"/>
  <c r="L74" i="1" s="1"/>
  <c r="K76" i="1"/>
  <c r="L76" i="1" a="1"/>
  <c r="L76" i="1" s="1"/>
  <c r="K78" i="1"/>
  <c r="O78" i="1" a="1"/>
  <c r="O78" i="1" s="1"/>
  <c r="L78" i="1" a="1"/>
  <c r="L78" i="1" s="1"/>
  <c r="K80" i="1"/>
  <c r="L80" i="1" a="1"/>
  <c r="L80" i="1" s="1"/>
  <c r="K82" i="1"/>
  <c r="O82" i="1" a="1"/>
  <c r="O82" i="1" s="1"/>
  <c r="L82" i="1" a="1"/>
  <c r="L82" i="1" s="1"/>
  <c r="M82" i="1" s="1"/>
  <c r="M81" i="1" s="1"/>
  <c r="K84" i="1"/>
  <c r="L84" i="1" a="1"/>
  <c r="L84" i="1" s="1"/>
  <c r="M84" i="1" s="1"/>
  <c r="M83" i="1" s="1"/>
  <c r="K86" i="1"/>
  <c r="O86" i="1" a="1"/>
  <c r="O86" i="1" s="1"/>
  <c r="L86" i="1" a="1"/>
  <c r="L86" i="1" s="1"/>
  <c r="M86" i="1" s="1"/>
  <c r="K87" i="1"/>
  <c r="O87" i="1" a="1"/>
  <c r="O87" i="1" s="1"/>
  <c r="L87" i="1" a="1"/>
  <c r="L87" i="1" s="1"/>
  <c r="M87" i="1" s="1"/>
  <c r="K89" i="1"/>
  <c r="L89" i="1" a="1"/>
  <c r="L89" i="1" s="1"/>
  <c r="M89" i="1" s="1"/>
  <c r="M88" i="1" s="1"/>
  <c r="K91" i="1"/>
  <c r="O91" i="1" a="1"/>
  <c r="O91" i="1" s="1"/>
  <c r="L91" i="1" a="1"/>
  <c r="L91" i="1" s="1"/>
  <c r="M91" i="1" s="1"/>
  <c r="M90" i="1" s="1"/>
  <c r="K95" i="1"/>
  <c r="L95" i="1" a="1"/>
  <c r="L95" i="1" s="1"/>
  <c r="M95" i="1" s="1"/>
  <c r="M94" i="1" s="1"/>
  <c r="K97" i="1"/>
  <c r="L97" i="1" a="1"/>
  <c r="L97" i="1" s="1"/>
  <c r="M97" i="1" s="1"/>
  <c r="M96" i="1" s="1"/>
  <c r="K99" i="1"/>
  <c r="O99" i="1" a="1"/>
  <c r="O99" i="1" s="1"/>
  <c r="L99" i="1" a="1"/>
  <c r="L99" i="1" s="1"/>
  <c r="M99" i="1" s="1"/>
  <c r="K100" i="1"/>
  <c r="O100" i="1" a="1"/>
  <c r="O100" i="1" s="1"/>
  <c r="L100" i="1" a="1"/>
  <c r="L100" i="1" s="1"/>
  <c r="M100" i="1" s="1"/>
  <c r="K102" i="1"/>
  <c r="L102" i="1" a="1"/>
  <c r="L102" i="1" s="1"/>
  <c r="M102" i="1" s="1"/>
  <c r="M101" i="1" s="1"/>
  <c r="K104" i="1"/>
  <c r="O104" i="1" a="1"/>
  <c r="O104" i="1" s="1"/>
  <c r="L104" i="1" a="1"/>
  <c r="L104" i="1" s="1"/>
  <c r="M104" i="1" s="1"/>
  <c r="M103" i="1" s="1"/>
  <c r="K106" i="1"/>
  <c r="L106" i="1" a="1"/>
  <c r="L106" i="1" s="1"/>
  <c r="M106" i="1" s="1"/>
  <c r="M105" i="1" s="1"/>
  <c r="K108" i="1"/>
  <c r="O108" i="1" a="1"/>
  <c r="O108" i="1" s="1"/>
  <c r="L108" i="1" a="1"/>
  <c r="L108" i="1" s="1"/>
  <c r="K110" i="1"/>
  <c r="L110" i="1" a="1"/>
  <c r="L110" i="1" s="1"/>
  <c r="K112" i="1"/>
  <c r="O112" i="1" a="1"/>
  <c r="O112" i="1" s="1"/>
  <c r="L112" i="1" a="1"/>
  <c r="L112" i="1" s="1"/>
  <c r="K114" i="1"/>
  <c r="L114" i="1" a="1"/>
  <c r="L114" i="1" s="1"/>
  <c r="M114" i="1" s="1"/>
  <c r="M113" i="1" s="1"/>
  <c r="K116" i="1"/>
  <c r="L116" i="1" a="1"/>
  <c r="L116" i="1" s="1"/>
  <c r="K118" i="1"/>
  <c r="O118" i="1" a="1"/>
  <c r="O118" i="1"/>
  <c r="L118" i="1" a="1"/>
  <c r="L118" i="1" s="1"/>
  <c r="K119" i="1"/>
  <c r="O119" i="1" a="1"/>
  <c r="O119" i="1" s="1"/>
  <c r="L119" i="1" a="1"/>
  <c r="L119" i="1" s="1"/>
  <c r="M119" i="1" s="1"/>
  <c r="K121" i="1"/>
  <c r="L121" i="1" a="1"/>
  <c r="L121" i="1" s="1"/>
  <c r="M121" i="1" s="1"/>
  <c r="M120" i="1" s="1"/>
  <c r="K123" i="1"/>
  <c r="O123" i="1" a="1"/>
  <c r="O123" i="1" s="1"/>
  <c r="L123" i="1" a="1"/>
  <c r="L123" i="1" s="1"/>
  <c r="M123" i="1" s="1"/>
  <c r="M122" i="1" s="1"/>
  <c r="K127" i="1"/>
  <c r="L127" i="1" a="1"/>
  <c r="L127" i="1" s="1"/>
  <c r="M127" i="1" s="1"/>
  <c r="M126" i="1" s="1"/>
  <c r="K129" i="1"/>
  <c r="O129" i="1" a="1"/>
  <c r="O129" i="1" s="1"/>
  <c r="L129" i="1" a="1"/>
  <c r="L129" i="1" s="1"/>
  <c r="M129" i="1" s="1"/>
  <c r="M128" i="1" s="1"/>
  <c r="K131" i="1"/>
  <c r="L131" i="1" a="1"/>
  <c r="L131" i="1" s="1"/>
  <c r="M131" i="1" s="1"/>
  <c r="M130" i="1" s="1"/>
  <c r="K133" i="1"/>
  <c r="O133" i="1" a="1"/>
  <c r="O133" i="1" s="1"/>
  <c r="L133" i="1" a="1"/>
  <c r="L133" i="1" s="1"/>
  <c r="M133" i="1" s="1"/>
  <c r="M132" i="1" s="1"/>
  <c r="K135" i="1"/>
  <c r="L135" i="1" a="1"/>
  <c r="L135" i="1" s="1"/>
  <c r="K137" i="1"/>
  <c r="O137" i="1" a="1"/>
  <c r="O137" i="1" s="1"/>
  <c r="L137" i="1" a="1"/>
  <c r="L137" i="1" s="1"/>
  <c r="K139" i="1"/>
  <c r="L139" i="1" a="1"/>
  <c r="L139" i="1" s="1"/>
  <c r="K141" i="1"/>
  <c r="O141" i="1" a="1"/>
  <c r="O141" i="1" s="1"/>
  <c r="L141" i="1" a="1"/>
  <c r="L141" i="1" s="1"/>
  <c r="M141" i="1" s="1"/>
  <c r="M140" i="1" s="1"/>
  <c r="K143" i="1"/>
  <c r="L143" i="1" a="1"/>
  <c r="L143" i="1" s="1"/>
  <c r="M143" i="1" s="1"/>
  <c r="M142" i="1" s="1"/>
  <c r="K145" i="1"/>
  <c r="O145" i="1" a="1"/>
  <c r="O145" i="1" s="1"/>
  <c r="L145" i="1" a="1"/>
  <c r="L145" i="1" s="1"/>
  <c r="M145" i="1" s="1"/>
  <c r="M144" i="1" s="1"/>
  <c r="K149" i="1"/>
  <c r="L149" i="1" a="1"/>
  <c r="L149" i="1" s="1"/>
  <c r="M149" i="1" s="1"/>
  <c r="M148" i="1" s="1"/>
  <c r="K151" i="1"/>
  <c r="L151" i="1" a="1"/>
  <c r="L151" i="1" s="1"/>
  <c r="K153" i="1"/>
  <c r="O153" i="1" a="1"/>
  <c r="O153" i="1" s="1"/>
  <c r="L153" i="1" a="1"/>
  <c r="L153" i="1" s="1"/>
  <c r="K155" i="1"/>
  <c r="L155" i="1" a="1"/>
  <c r="L155" i="1" s="1"/>
  <c r="M155" i="1" s="1"/>
  <c r="M154" i="1" s="1"/>
  <c r="K157" i="1"/>
  <c r="O157" i="1" a="1"/>
  <c r="O157" i="1" s="1"/>
  <c r="L157" i="1" a="1"/>
  <c r="L157" i="1" s="1"/>
  <c r="K159" i="1"/>
  <c r="L159" i="1" a="1"/>
  <c r="L159" i="1" s="1"/>
  <c r="M159" i="1" s="1"/>
  <c r="M158" i="1" s="1"/>
  <c r="K161" i="1"/>
  <c r="O161" i="1" a="1"/>
  <c r="O161" i="1" s="1"/>
  <c r="L161" i="1" a="1"/>
  <c r="L161" i="1" s="1"/>
  <c r="M161" i="1" s="1"/>
  <c r="K162" i="1"/>
  <c r="O162" i="1" a="1"/>
  <c r="O162" i="1" s="1"/>
  <c r="L162" i="1" a="1"/>
  <c r="L162" i="1" s="1"/>
  <c r="M162" i="1" s="1"/>
  <c r="K164" i="1"/>
  <c r="L164" i="1" a="1"/>
  <c r="L164" i="1" s="1"/>
  <c r="M164" i="1" s="1"/>
  <c r="M163" i="1" s="1"/>
  <c r="K166" i="1"/>
  <c r="O166" i="1" a="1"/>
  <c r="O166" i="1" s="1"/>
  <c r="L166" i="1" a="1"/>
  <c r="L166" i="1" s="1"/>
  <c r="M166" i="1" s="1"/>
  <c r="M165" i="1" s="1"/>
  <c r="K168" i="1"/>
  <c r="L168" i="1" a="1"/>
  <c r="L168" i="1" s="1"/>
  <c r="M168" i="1" s="1"/>
  <c r="M167" i="1" s="1"/>
  <c r="K170" i="1"/>
  <c r="O170" i="1" a="1"/>
  <c r="O170" i="1" s="1"/>
  <c r="L170" i="1" a="1"/>
  <c r="L170" i="1" s="1"/>
  <c r="K171" i="1"/>
  <c r="O171" i="1" a="1"/>
  <c r="O171" i="1" s="1"/>
  <c r="L171" i="1" a="1"/>
  <c r="L171" i="1" s="1"/>
  <c r="K173" i="1"/>
  <c r="L173" i="1" a="1"/>
  <c r="L173" i="1" s="1"/>
  <c r="M173" i="1" s="1"/>
  <c r="M172" i="1" s="1"/>
  <c r="K175" i="1"/>
  <c r="O175" i="1" a="1"/>
  <c r="O175" i="1" s="1"/>
  <c r="L175" i="1" a="1"/>
  <c r="L175" i="1" s="1"/>
  <c r="M175" i="1" s="1"/>
  <c r="M174" i="1" s="1"/>
  <c r="K192" i="1"/>
  <c r="L192" i="1" a="1"/>
  <c r="L192" i="1" s="1"/>
  <c r="M192" i="1" s="1"/>
  <c r="M191" i="1" s="1"/>
  <c r="M190" i="1" s="1"/>
  <c r="M189" i="1" s="1"/>
  <c r="K179" i="1"/>
  <c r="L179" i="1" a="1"/>
  <c r="L179" i="1" s="1"/>
  <c r="M179" i="1" s="1"/>
  <c r="M178" i="1" s="1"/>
  <c r="K181" i="1"/>
  <c r="O181" i="1" a="1"/>
  <c r="O181" i="1" s="1"/>
  <c r="L181" i="1" a="1"/>
  <c r="L181" i="1" s="1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0" i="2"/>
  <c r="M80" i="1" l="1"/>
  <c r="M79" i="1" s="1"/>
  <c r="M157" i="1"/>
  <c r="M156" i="1" s="1"/>
  <c r="M151" i="1"/>
  <c r="M150" i="1" s="1"/>
  <c r="M41" i="1"/>
  <c r="M39" i="1" s="1"/>
  <c r="M110" i="1"/>
  <c r="M109" i="1" s="1"/>
  <c r="M185" i="1"/>
  <c r="M184" i="1"/>
  <c r="M186" i="1"/>
  <c r="M187" i="1"/>
  <c r="M43" i="1"/>
  <c r="M42" i="1" s="1"/>
  <c r="M74" i="1"/>
  <c r="M73" i="1"/>
  <c r="M108" i="1"/>
  <c r="M107" i="1" s="1"/>
  <c r="M181" i="1"/>
  <c r="M180" i="1" s="1"/>
  <c r="M30" i="1"/>
  <c r="M29" i="1" s="1"/>
  <c r="M153" i="1"/>
  <c r="M152" i="1" s="1"/>
  <c r="M118" i="1"/>
  <c r="M117" i="1" s="1"/>
  <c r="M46" i="1"/>
  <c r="M44" i="1" s="1"/>
  <c r="M116" i="1"/>
  <c r="M115" i="1" s="1"/>
  <c r="M137" i="1"/>
  <c r="M136" i="1" s="1"/>
  <c r="M112" i="1"/>
  <c r="M111" i="1" s="1"/>
  <c r="M139" i="1"/>
  <c r="M138" i="1" s="1"/>
  <c r="M85" i="1"/>
  <c r="M22" i="1"/>
  <c r="M21" i="1" s="1"/>
  <c r="M28" i="1"/>
  <c r="M17" i="1"/>
  <c r="M16" i="1" s="1"/>
  <c r="M98" i="1"/>
  <c r="M160" i="1"/>
  <c r="M78" i="1"/>
  <c r="M77" i="1" s="1"/>
  <c r="M18" i="1"/>
  <c r="M53" i="1"/>
  <c r="M60" i="1"/>
  <c r="M76" i="1"/>
  <c r="M75" i="1" s="1"/>
  <c r="M170" i="1"/>
  <c r="M171" i="1"/>
  <c r="M135" i="1"/>
  <c r="M134" i="1" s="1"/>
  <c r="M188" i="1" l="1"/>
  <c r="M71" i="1"/>
  <c r="M66" i="1" s="1"/>
  <c r="M65" i="1" s="1"/>
  <c r="M27" i="1"/>
  <c r="M59" i="1"/>
  <c r="M183" i="1"/>
  <c r="M93" i="1"/>
  <c r="M194" i="1"/>
  <c r="E32" i="2" s="1"/>
  <c r="M125" i="1"/>
  <c r="M124" i="1" s="1"/>
  <c r="M169" i="1"/>
  <c r="M11" i="1" l="1"/>
  <c r="M10" i="1" s="1"/>
  <c r="M182" i="1"/>
  <c r="M147" i="1"/>
  <c r="M146" i="1" s="1"/>
  <c r="M92" i="1"/>
  <c r="M177" i="1" l="1"/>
  <c r="M176" i="1" s="1"/>
  <c r="M9" i="1" s="1"/>
  <c r="M195" i="1"/>
  <c r="M193" i="1" l="1"/>
  <c r="G49" i="3"/>
  <c r="G48" i="3"/>
  <c r="G47" i="3"/>
  <c r="G46" i="3"/>
  <c r="G50" i="3"/>
  <c r="G45" i="3"/>
  <c r="G51" i="3" l="1"/>
  <c r="G53" i="3" s="1"/>
</calcChain>
</file>

<file path=xl/sharedStrings.xml><?xml version="1.0" encoding="utf-8"?>
<sst xmlns="http://schemas.openxmlformats.org/spreadsheetml/2006/main" count="674" uniqueCount="188">
  <si>
    <t>Локальный сметный расчет (ЛСР) №6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</si>
  <si>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ГП-72.106» Секция 1, 2, 3, 4</t>
  </si>
  <si>
    <t>Ведомость объемов работ и расхода материалов по работе: Устройство системы канализации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</si>
  <si>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</si>
  <si>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</si>
  <si>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</si>
  <si>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</si>
  <si>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</si>
  <si>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</si>
  <si>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</si>
  <si>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</si>
  <si>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</si>
  <si>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</si>
  <si>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</si>
  <si>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</si>
  <si>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</si>
  <si>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</si>
  <si>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</si>
  <si>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</si>
  <si>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</si>
  <si>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11.03</t>
  </si>
  <si>
    <t>Устройство системы канализации</t>
  </si>
  <si>
    <t>11.03.01</t>
  </si>
  <si>
    <t>Устройство канализации К-1</t>
  </si>
  <si>
    <t>11.03.01.00</t>
  </si>
  <si>
    <t>Работы:</t>
  </si>
  <si>
    <t>Бурение отверстий до 130 мм</t>
  </si>
  <si>
    <t>шт</t>
  </si>
  <si>
    <t>Бурение отверстий до 80 мм</t>
  </si>
  <si>
    <t>Изоляция трубопровода</t>
  </si>
  <si>
    <t>м</t>
  </si>
  <si>
    <t>Материалы:</t>
  </si>
  <si>
    <t>1</t>
  </si>
  <si>
    <t>Цилиндры фольгированные</t>
  </si>
  <si>
    <t>110x30 мм</t>
  </si>
  <si>
    <t>пог. м</t>
  </si>
  <si>
    <t>в том числе гильзы для канализации</t>
  </si>
  <si>
    <t>2</t>
  </si>
  <si>
    <t>Трубная изоляция</t>
  </si>
  <si>
    <t>из вспененного полиэтилена 13мм 42х13</t>
  </si>
  <si>
    <t>Монтаж защитного кожуха</t>
  </si>
  <si>
    <t>м2</t>
  </si>
  <si>
    <t>Окожушка</t>
  </si>
  <si>
    <t>оцинк. сталь 0,5мм</t>
  </si>
  <si>
    <t>гильзы</t>
  </si>
  <si>
    <t>Монтаж клапана (фланцевые, резьбовые) до 32 мм</t>
  </si>
  <si>
    <t>Клапан обратный</t>
  </si>
  <si>
    <t>Valtec</t>
  </si>
  <si>
    <t>муфтовый Ду-32 Ру-16бар</t>
  </si>
  <si>
    <t>Монтаж клапана канализационного</t>
  </si>
  <si>
    <t>Клапан канализационный</t>
  </si>
  <si>
    <t>110 вакуумный белый</t>
  </si>
  <si>
    <t>Монтаж кранов (фланцевые, резьбовые) до 32 мм</t>
  </si>
  <si>
    <t>Кран шаровой</t>
  </si>
  <si>
    <t>полнопроходной с НГ 1 1/4</t>
  </si>
  <si>
    <t>Монтаж муфты противопожарной</t>
  </si>
  <si>
    <t>Муфта противопожарная</t>
  </si>
  <si>
    <t>ПМ-50/60</t>
  </si>
  <si>
    <t>ПМ-110/60</t>
  </si>
  <si>
    <t>Монтаж ревизии</t>
  </si>
  <si>
    <t>Ревизия канализационная</t>
  </si>
  <si>
    <t>полипропиленовая Ду-50 бесшумная</t>
  </si>
  <si>
    <t>полипропиленовая Ду-110 бесшумная</t>
  </si>
  <si>
    <t>Монтаж трапа</t>
  </si>
  <si>
    <t>Трап</t>
  </si>
  <si>
    <t>с сухим затвором верикальный Ф50</t>
  </si>
  <si>
    <t>Прокладка трубы канализационной (для внутренних работ)</t>
  </si>
  <si>
    <t>Труба канализационная (пог.м.)</t>
  </si>
  <si>
    <t>бесшумная белая D-110х3,4</t>
  </si>
  <si>
    <t>бесшумная белая D-50х3,4</t>
  </si>
  <si>
    <t>3</t>
  </si>
  <si>
    <t>серая ПП D-50х3,4</t>
  </si>
  <si>
    <t>Прокладка трубы ППН</t>
  </si>
  <si>
    <t>Труба полипропиленовая</t>
  </si>
  <si>
    <t>PPH PN20 DN40х6,7 арм.стекловолокно</t>
  </si>
  <si>
    <t>Прокладка трубы ПЭ</t>
  </si>
  <si>
    <t>Труба полиэтиленовая (пог.м.)</t>
  </si>
  <si>
    <t>ПЭ-100 SDR13,6 DN110х8,1</t>
  </si>
  <si>
    <t>%</t>
  </si>
  <si>
    <t>11.03.02</t>
  </si>
  <si>
    <t>Устройство канализации К-2</t>
  </si>
  <si>
    <t>11.03.02.00</t>
  </si>
  <si>
    <t>Бурение отверстий 130 мм</t>
  </si>
  <si>
    <t>K-FLEX</t>
  </si>
  <si>
    <t>Ф110*9мм</t>
  </si>
  <si>
    <t>Теплоизоляция трубная</t>
  </si>
  <si>
    <t>110х20мм Навивные цилидры из каменной ваты фольгированные</t>
  </si>
  <si>
    <t>НПВХ Ду-110</t>
  </si>
  <si>
    <t>Оstendorf</t>
  </si>
  <si>
    <t>Прокладка трубы НПВХ клеевая</t>
  </si>
  <si>
    <t>Труба НПВХ</t>
  </si>
  <si>
    <t>клеевая Ф110х4,2 PN10 L=3m</t>
  </si>
  <si>
    <t>11.03.03</t>
  </si>
  <si>
    <t>Устройство канализации Т-8</t>
  </si>
  <si>
    <t>11.03.03.00</t>
  </si>
  <si>
    <t>Бурение отверстий до 60мм</t>
  </si>
  <si>
    <t>22х13мм вспененный полиэтилен</t>
  </si>
  <si>
    <t>42х13мм вспененный полиэтилен</t>
  </si>
  <si>
    <t>Ф50 вакуумный серый</t>
  </si>
  <si>
    <t>ПМ-40</t>
  </si>
  <si>
    <t>Пробивка отверстий до 40 мм</t>
  </si>
  <si>
    <t>PPH PN20 DN25х5,4 арм.стекловолокно</t>
  </si>
  <si>
    <t>Прокладка трубы ПЭ сшитый (МП)</t>
  </si>
  <si>
    <t>Труба сшитый полиэтилен</t>
  </si>
  <si>
    <t>ONE PLUS</t>
  </si>
  <si>
    <t>DN-20х2,8 PN-10bar PEXа</t>
  </si>
  <si>
    <t>Тройник</t>
  </si>
  <si>
    <t>ППН 90 ̊</t>
  </si>
  <si>
    <t>Отвод</t>
  </si>
  <si>
    <t>ППН 90°</t>
  </si>
  <si>
    <t>Муфта</t>
  </si>
  <si>
    <t>ППН</t>
  </si>
  <si>
    <t>ППН/Латунь комбинированная</t>
  </si>
  <si>
    <t>Заглушка</t>
  </si>
  <si>
    <t>11.03.04</t>
  </si>
  <si>
    <t>Устройство канализации К-3</t>
  </si>
  <si>
    <t>11.03.04.00</t>
  </si>
  <si>
    <t>Монтаж дренажного насоса</t>
  </si>
  <si>
    <t>Насос дренажный</t>
  </si>
  <si>
    <t>ГНОМ 7/7</t>
  </si>
  <si>
    <t>11.03.05</t>
  </si>
  <si>
    <t>Устройство канализации в КУИ</t>
  </si>
  <si>
    <t>11.03.05.00</t>
  </si>
  <si>
    <t>Установка раковины</t>
  </si>
  <si>
    <t>Раковина</t>
  </si>
  <si>
    <t>с пьедесталом керамика</t>
  </si>
  <si>
    <t>Установка смесителя</t>
  </si>
  <si>
    <t>Смеситель</t>
  </si>
  <si>
    <t>для раковины однорычажный хром</t>
  </si>
  <si>
    <t>для ванны и душа двухвентильный хром</t>
  </si>
  <si>
    <t>Установка унитаза</t>
  </si>
  <si>
    <t>Унитаз</t>
  </si>
  <si>
    <t>компакт с косым выпуском</t>
  </si>
  <si>
    <t>11.03.06</t>
  </si>
  <si>
    <t>ПНР</t>
  </si>
  <si>
    <t>11.03.06.00</t>
  </si>
  <si>
    <t>Пусконаладочные работы системы канализации: пролив</t>
  </si>
  <si>
    <t>компл.</t>
  </si>
  <si>
    <t>11.03.99</t>
  </si>
  <si>
    <t>Прочие работы</t>
  </si>
  <si>
    <t>11.03.99.00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</si>
  <si>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</si>
  <si>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</si>
  <si>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</si>
  <si>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</si>
  <si>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</si>
  <si>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</si>
  <si>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</si>
  <si>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</si>
  <si>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</si>
  <si>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</si>
  <si>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</si>
  <si>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</si>
  <si>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</si>
  <si>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</si>
  <si>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</si>
  <si>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</si>
  <si>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ГП-72.106.01.11.03 Секция 1_Устройство системы канализации №1</t>
  </si>
  <si>
    <t>cf20acde-bfa2-11f0-8b59-a036bcbd010b</t>
  </si>
  <si>
    <t>ГП-72.106.02.11.03 Секция 2_Устройство системы канализации №1</t>
  </si>
  <si>
    <t>d8e7a362-bfad-11f0-8b59-a036bcbd010b</t>
  </si>
  <si>
    <t>ГП-72.106.03.11.03 Секция 3_Устройство системы канализации №1</t>
  </si>
  <si>
    <t>84aa3942-bfb0-11f0-8b59-a036bcbd010b</t>
  </si>
  <si>
    <t>ГП-72.106.04.11.03 Секция 4_Устройство системы канализации №1</t>
  </si>
  <si>
    <t>acfff9ee-bfb2-11f0-8b59-a036bcbd010b</t>
  </si>
  <si>
    <t>Итог</t>
  </si>
  <si>
    <t>Фасонные изделия и фитинги для ППН трубы</t>
  </si>
  <si>
    <t>Фасонные изделия и фитинги для НПВХ трубы</t>
  </si>
  <si>
    <t>Фасонные изделия и фитинги для ПЭ трубы</t>
  </si>
  <si>
    <t>Фасонные изделия и фитинги для ПЭ (сшитый) трубы</t>
  </si>
  <si>
    <t>Фасонные изделия и фитинги для канализационной трубы</t>
  </si>
  <si>
    <t>Прочие материалы</t>
  </si>
  <si>
    <t>Прочие работы (навигация)</t>
  </si>
  <si>
    <t>в тч НДС ____%</t>
  </si>
  <si>
    <t>ИТОГО по сметному расчету, в тч НДС:</t>
  </si>
  <si>
    <t>Проверка:</t>
  </si>
  <si>
    <t xml:space="preserve">Монтаж клапана (фланцевые, резьбовые) до 32 мм </t>
  </si>
  <si>
    <t xml:space="preserve">Монтаж кранов (фланцевые, резьбовые) до 32 мм </t>
  </si>
  <si>
    <t>указать %</t>
  </si>
  <si>
    <t>Примечание:</t>
  </si>
  <si>
    <t>В стоимость пусконоладочных работ входит: ПНР Насосной станции ХП, ПНР Насосной станции пожаротушения, Автоматизация (узлов учета воды, повысительной НУ) с учетом материалов, Автоматизация насосов системы пожаротушения (кабельно проводниковая продукция, лотки итд) с учетом материалов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</si>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</sst>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0.0"/>
    <numFmt numFmtId="166" formatCode="#,##0.00\ _₽"/>
  </numFmts>
  <fonts count="1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</cellStyleXfs>
  <cellXfs count="128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/>
    </xf>
    <xf numFmtId="1" fontId="6" fillId="9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0" borderId="5" xfId="0" applyFont="1" applyBorder="1" applyAlignment="1">
      <alignment horizont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right" vertical="center"/>
    </xf>
    <xf numFmtId="1" fontId="6" fillId="5" borderId="5" xfId="0" applyNumberFormat="1" applyFont="1" applyFill="1" applyBorder="1" applyAlignment="1">
      <alignment horizontal="right" vertical="center"/>
    </xf>
    <xf numFmtId="1" fontId="0" fillId="9" borderId="2" xfId="0" applyNumberForma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5" fillId="5" borderId="5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wrapText="1"/>
    </xf>
    <xf numFmtId="0" fontId="6" fillId="6" borderId="7" xfId="0" applyFont="1" applyFill="1" applyBorder="1" applyAlignment="1">
      <alignment horizontal="center"/>
    </xf>
    <xf numFmtId="49" fontId="9" fillId="10" borderId="0" xfId="0" applyNumberFormat="1" applyFont="1" applyFill="1" applyAlignment="1">
      <alignment horizontal="center" vertical="center"/>
    </xf>
    <xf numFmtId="0" fontId="10" fillId="10" borderId="0" xfId="0" applyFont="1" applyFill="1" applyAlignment="1">
      <alignment vertical="center" wrapText="1"/>
    </xf>
    <xf numFmtId="0" fontId="9" fillId="10" borderId="0" xfId="0" applyFont="1" applyFill="1" applyAlignment="1">
      <alignment horizontal="center" vertical="center" wrapText="1"/>
    </xf>
    <xf numFmtId="166" fontId="9" fillId="10" borderId="0" xfId="0" applyNumberFormat="1" applyFont="1" applyFill="1" applyAlignment="1">
      <alignment horizontal="center" vertical="center" wrapText="1"/>
    </xf>
    <xf numFmtId="166" fontId="11" fillId="10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3" fontId="9" fillId="0" borderId="0" xfId="1" applyFont="1" applyFill="1" applyBorder="1" applyAlignment="1">
      <alignment horizontal="center" vertical="center"/>
    </xf>
    <xf numFmtId="0" fontId="9" fillId="0" borderId="0" xfId="3" applyFont="1" applyAlignment="1">
      <alignment vertical="center" wrapText="1"/>
    </xf>
    <xf numFmtId="0" fontId="9" fillId="0" borderId="0" xfId="3" applyFont="1" applyAlignment="1">
      <alignment vertical="top" wrapText="1"/>
    </xf>
    <xf numFmtId="0" fontId="9" fillId="0" borderId="0" xfId="0" applyFont="1" applyAlignment="1">
      <alignment vertical="top" wrapText="1"/>
    </xf>
    <xf numFmtId="0" fontId="13" fillId="0" borderId="0" xfId="0" applyFont="1" applyAlignment="1">
      <alignment horizontal="right" vertical="center"/>
    </xf>
    <xf numFmtId="0" fontId="0" fillId="0" borderId="5" xfId="0" applyBorder="1" applyAlignment="1">
      <alignment horizontal="center"/>
    </xf>
    <xf numFmtId="0" fontId="14" fillId="8" borderId="0" xfId="0" applyFont="1" applyFill="1" applyAlignment="1">
      <alignment horizontal="left" vertical="center" wrapText="1"/>
    </xf>
    <xf numFmtId="0" fontId="12" fillId="10" borderId="0" xfId="2" applyFont="1" applyFill="1" applyAlignment="1">
      <alignment horizontal="left" vertical="center" wrapText="1"/>
    </xf>
    <xf numFmtId="0" fontId="9" fillId="0" borderId="0" xfId="3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3 2 2 3 2" xfId="3" xr:uid="{251EA866-D9B9-477A-B2C1-DB6AF0DF42E4}"/>
    <cellStyle name="Обычный 3 2 2 4 7" xfId="2" xr:uid="{798A7F25-60D7-4E36-887A-FEFAE066853F}"/>
    <cellStyle name="Финансовый" xfId="1" builtinId="3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B53717-EE60-4168-AB49-5321739E84EC}" name="Р" displayName="Р" ref="A3:F30" totalsRowCount="1" headerRowDxfId="39" headerRowBorderDxfId="38" tableBorderDxfId="37" totalsRowBorderDxfId="36">
  <autoFilter ref="A3:F29" xr:uid="{06B53717-EE60-4168-AB49-5321739E84EC}"/>
  <tableColumns count="6">
    <tableColumn id="1" xr3:uid="{040A3505-0D27-404C-9EDF-FB1F3F0AC17B}" name="Наименование" totalsRowLabel="Итог" dataDxfId="35" totalsRowDxfId="34"/>
    <tableColumn id="2" xr3:uid="{27384A7F-24EB-4F73-8473-2CE780BB9AFE}" name="Ед. изм." dataDxfId="33" totalsRowDxfId="32"/>
    <tableColumn id="3" xr3:uid="{3732E077-89CF-46C9-A46E-BD599AB26E96}" name="Количество" dataDxfId="31" totalsRowDxfId="30"/>
    <tableColumn id="4" xr3:uid="{C4D25221-312A-49F3-8D85-8ECA3E738C8B}" name="Цена за ед., руб" dataDxfId="29" totalsRowDxfId="28"/>
    <tableColumn id="5" xr3:uid="{C7F8854B-126E-47A7-8983-60DBE94D772A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5552AF52-43D9-4C6D-A2D8-363AB5BA16D7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36CFE9-F4F9-4359-A329-7EF85FAE2FD2}" name="М" displayName="М" ref="A3:I51" totalsRowCount="1" headerRowDxfId="23" headerRowBorderDxfId="22" tableBorderDxfId="21" totalsRowBorderDxfId="20">
  <autoFilter ref="A3:I50" xr:uid="{8B36CFE9-F4F9-4359-A329-7EF85FAE2FD2}"/>
  <tableColumns count="9">
    <tableColumn id="1" xr3:uid="{2FF7D187-5097-4693-ADF1-F16E6CDCF80C}" name="Наим." totalsRowLabel="Итог" dataDxfId="19" totalsRowDxfId="8"/>
    <tableColumn id="2" xr3:uid="{4F9247A0-2528-4B1E-9595-13B7A22AAA7E}" name="Артикул, марка, произв." dataDxfId="18" totalsRowDxfId="7"/>
    <tableColumn id="3" xr3:uid="{EA70FDE5-F5B2-4E32-A2A0-B8A92B6B24F9}" name="Хар-ка" dataDxfId="17" totalsRowDxfId="6"/>
    <tableColumn id="4" xr3:uid="{AC63BFE9-6E56-443F-9DA5-DD747D0B3090}" name="Ед. изм." dataDxfId="16" totalsRowDxfId="5"/>
    <tableColumn id="5" xr3:uid="{42CB2CF3-AE25-4642-9E35-6FA1ED1CC505}" name="Количество" dataDxfId="15" totalsRowDxfId="4"/>
    <tableColumn id="6" xr3:uid="{C838BE05-6CC1-4157-A8EB-20CC19A3078D}" name="Цена за ед., руб" dataDxfId="14" totalsRowDxfId="3"/>
    <tableColumn id="7" xr3:uid="{46C0494B-92AD-4751-B4F5-0C49DBAF294E}" name="Сумма, руб" totalsRowFunction="sum" dataDxfId="13" totalsRowDxfId="2">
      <calculatedColumnFormula>ROUND(М[[#This Row],[Количество]]*М[[#This Row],[Цена за ед., руб]],2)</calculatedColumnFormula>
    </tableColumn>
    <tableColumn id="8" xr3:uid="{4A21E051-278B-48F0-BC13-2C6E6E731C15}" name="Прим." dataDxfId="12" totalsRowDxfId="1"/>
    <tableColumn id="9" xr3:uid="{B09D6C3F-02DC-4642-9562-F5D6D90703E5}" name="Форма закупа" dataDxfId="1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X205"/>
  <sheetViews>
    <sheetView tabSelected="1" workbookViewId="0">
      <pane ySplit="7" topLeftCell="A176" activePane="bottomLeft" state="frozen"/>
      <selection pane="bottomLeft" activeCell="O183" sqref="O183:O18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0" width="10.5" style="1" customWidth="1"/>
    <col min="11" max="11" width="14.6640625" style="1" customWidth="1"/>
    <col min="12" max="12" width="16" style="1" customWidth="1"/>
    <col min="13" max="13" width="17" style="1" customWidth="1"/>
    <col min="14" max="14" width="35" style="1" customWidth="1"/>
    <col min="15" max="15" width="23.33203125" style="1" customWidth="1"/>
  </cols>
  <sheetData>
    <row r="1" spans="1:15" ht="11.1" customHeight="1" x14ac:dyDescent="0.2"/>
    <row r="2" spans="1:15" ht="11.1" customHeight="1" x14ac:dyDescent="0.2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1:15" ht="23.1" customHeight="1" x14ac:dyDescent="0.2">
      <c r="B3" s="103" t="s">
        <v>1</v>
      </c>
      <c r="C3" s="103"/>
      <c r="D3" s="103"/>
      <c r="E3" s="103"/>
      <c r="F3" s="103"/>
      <c r="G3" s="103"/>
      <c r="H3" s="103"/>
      <c r="I3" s="103"/>
      <c r="J3" s="103"/>
    </row>
    <row r="4" spans="1:15" ht="23.1" customHeight="1" x14ac:dyDescent="0.2">
      <c r="B4" s="103" t="s">
        <v>2</v>
      </c>
      <c r="C4" s="103"/>
      <c r="D4" s="103"/>
      <c r="E4" s="103"/>
      <c r="F4" s="103"/>
      <c r="G4" s="103"/>
      <c r="H4" s="103"/>
      <c r="I4" s="103"/>
      <c r="J4" s="103"/>
    </row>
    <row r="5" spans="1:15" ht="11.1" customHeight="1" x14ac:dyDescent="0.2"/>
    <row r="6" spans="1:15" ht="11.1" customHeight="1" x14ac:dyDescent="0.2">
      <c r="A6" s="104" t="s">
        <v>3</v>
      </c>
      <c r="B6" s="104" t="s">
        <v>4</v>
      </c>
      <c r="C6" s="106" t="s">
        <v>5</v>
      </c>
      <c r="D6" s="108" t="s">
        <v>6</v>
      </c>
      <c r="E6" s="104" t="s">
        <v>7</v>
      </c>
      <c r="F6" s="110" t="s">
        <v>8</v>
      </c>
      <c r="G6" s="112" t="s">
        <v>9</v>
      </c>
      <c r="H6" s="112" t="s">
        <v>10</v>
      </c>
      <c r="I6" s="112" t="s">
        <v>11</v>
      </c>
      <c r="J6" s="112" t="s">
        <v>12</v>
      </c>
      <c r="K6" s="104" t="s">
        <v>13</v>
      </c>
      <c r="L6" s="110" t="s">
        <v>14</v>
      </c>
      <c r="M6" s="110" t="s">
        <v>15</v>
      </c>
      <c r="N6" s="104" t="s">
        <v>16</v>
      </c>
      <c r="O6" s="110" t="s">
        <v>17</v>
      </c>
    </row>
    <row r="7" spans="1:15" ht="11.1" customHeight="1" x14ac:dyDescent="0.2">
      <c r="A7" s="105"/>
      <c r="B7" s="105"/>
      <c r="C7" s="107"/>
      <c r="D7" s="109"/>
      <c r="E7" s="105"/>
      <c r="F7" s="111"/>
      <c r="G7" s="113"/>
      <c r="H7" s="113"/>
      <c r="I7" s="113"/>
      <c r="J7" s="113"/>
      <c r="K7" s="105"/>
      <c r="L7" s="111"/>
      <c r="M7" s="111"/>
      <c r="N7" s="105"/>
      <c r="O7" s="111"/>
    </row>
    <row r="8" spans="1:15" ht="11.1" customHeight="1" x14ac:dyDescent="0.2">
      <c r="A8" s="3" t="s">
        <v>18</v>
      </c>
      <c r="B8" s="4" t="s">
        <v>19</v>
      </c>
      <c r="C8" s="5"/>
      <c r="D8" s="5"/>
      <c r="E8" s="6"/>
      <c r="F8" s="7"/>
      <c r="G8" s="7"/>
      <c r="H8" s="7"/>
      <c r="I8" s="7"/>
      <c r="J8" s="7"/>
      <c r="K8" s="7"/>
      <c r="L8" s="54"/>
      <c r="M8" s="54"/>
      <c r="N8" s="5"/>
      <c r="O8" s="5"/>
    </row>
    <row r="9" spans="1:15" ht="11.1" customHeight="1" outlineLevel="1" x14ac:dyDescent="0.2">
      <c r="A9" s="8" t="s">
        <v>20</v>
      </c>
      <c r="B9" s="9" t="s">
        <v>21</v>
      </c>
      <c r="C9" s="10"/>
      <c r="D9" s="10"/>
      <c r="E9" s="11"/>
      <c r="F9" s="12"/>
      <c r="G9" s="12"/>
      <c r="H9" s="12"/>
      <c r="I9" s="12"/>
      <c r="J9" s="12"/>
      <c r="K9" s="12"/>
      <c r="L9" s="55"/>
      <c r="M9" s="55">
        <f ca="1">SUM($M$176,$M$189,$M$146,$M$124,$M$92,$M$65,$M$10)</f>
        <v>0</v>
      </c>
      <c r="N9" s="10"/>
      <c r="O9" s="10"/>
    </row>
    <row r="10" spans="1:15" ht="11.1" customHeight="1" outlineLevel="2" x14ac:dyDescent="0.2">
      <c r="A10" s="13" t="s">
        <v>22</v>
      </c>
      <c r="B10" s="14" t="s">
        <v>23</v>
      </c>
      <c r="C10" s="15"/>
      <c r="D10" s="15"/>
      <c r="E10" s="16"/>
      <c r="F10" s="17"/>
      <c r="G10" s="18"/>
      <c r="H10" s="18"/>
      <c r="I10" s="18"/>
      <c r="J10" s="18"/>
      <c r="K10" s="18"/>
      <c r="L10" s="56"/>
      <c r="M10" s="56">
        <f>SUM($M$11)</f>
        <v>0</v>
      </c>
      <c r="N10" s="19"/>
      <c r="O10" s="19"/>
    </row>
    <row r="11" spans="1:15" ht="11.1" customHeight="1" outlineLevel="3" x14ac:dyDescent="0.2">
      <c r="A11" s="13" t="s">
        <v>24</v>
      </c>
      <c r="B11" s="14" t="s">
        <v>23</v>
      </c>
      <c r="C11" s="15"/>
      <c r="D11" s="15"/>
      <c r="E11" s="16"/>
      <c r="F11" s="17"/>
      <c r="G11" s="18"/>
      <c r="H11" s="18"/>
      <c r="I11" s="18"/>
      <c r="J11" s="18"/>
      <c r="K11" s="18"/>
      <c r="L11" s="56"/>
      <c r="M11" s="56">
        <f>SUM($M$63,$M$61,$M$59,$M$57,$M$53,$M$51,$M$49,$M$47,$M$44,$M$42,$M$39,$M$37,$M$35,$M$33,$M$31,$M$29,$M$27,$M$25,$M$23,$M$21,$M$18,$M$16,$M$14,$M$12)</f>
        <v>0</v>
      </c>
      <c r="N11" s="19"/>
      <c r="O11" s="19"/>
    </row>
    <row r="12" spans="1:15" ht="11.1" customHeight="1" outlineLevel="4" x14ac:dyDescent="0.2">
      <c r="A12" s="20"/>
      <c r="B12" s="14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57"/>
      <c r="M12" s="58">
        <f>SUM($M$13)</f>
        <v>0</v>
      </c>
      <c r="N12" s="18"/>
      <c r="O12" s="22"/>
    </row>
    <row r="13" spans="1:15" ht="11.1" customHeight="1" outlineLevel="4" x14ac:dyDescent="0.2">
      <c r="A13" s="23"/>
      <c r="B13" s="24" t="s">
        <v>26</v>
      </c>
      <c r="C13" s="25"/>
      <c r="D13" s="25"/>
      <c r="E13" s="26" t="s">
        <v>27</v>
      </c>
      <c r="F13" s="27"/>
      <c r="G13" s="28">
        <v>119</v>
      </c>
      <c r="H13" s="28">
        <v>130</v>
      </c>
      <c r="I13" s="28">
        <v>158</v>
      </c>
      <c r="J13" s="28">
        <v>180</v>
      </c>
      <c r="K13" s="28">
        <f>SUM($G$13:$J$13)</f>
        <v>587</v>
      </c>
      <c r="L13" s="59">
        <f t="array" ref="L13">INDEX(Р[Цена за ед., руб],MATCH(1,IF(($B13=Р[Наименование])*($N13=Р[Примечание]),{1},($B13=Р[Наименование])*($N13=Р[Примечание])),0))</f>
        <v>0</v>
      </c>
      <c r="M13" s="59">
        <f>ROUND($K$13*$L$13,2)</f>
        <v>0</v>
      </c>
      <c r="N13" s="25"/>
      <c r="O13" s="25"/>
    </row>
    <row r="14" spans="1:15" ht="11.1" customHeight="1" outlineLevel="4" x14ac:dyDescent="0.2">
      <c r="A14" s="20"/>
      <c r="B14" s="14" t="s">
        <v>25</v>
      </c>
      <c r="C14" s="21"/>
      <c r="D14" s="21"/>
      <c r="E14" s="21"/>
      <c r="F14" s="21"/>
      <c r="G14" s="21"/>
      <c r="H14" s="21"/>
      <c r="I14" s="21"/>
      <c r="J14" s="21"/>
      <c r="K14" s="21"/>
      <c r="L14" s="57"/>
      <c r="M14" s="58">
        <f>SUM($M$15)</f>
        <v>0</v>
      </c>
      <c r="N14" s="18"/>
      <c r="O14" s="22"/>
    </row>
    <row r="15" spans="1:15" ht="11.1" customHeight="1" outlineLevel="4" x14ac:dyDescent="0.2">
      <c r="A15" s="23"/>
      <c r="B15" s="24" t="s">
        <v>28</v>
      </c>
      <c r="C15" s="25"/>
      <c r="D15" s="25"/>
      <c r="E15" s="26" t="s">
        <v>27</v>
      </c>
      <c r="F15" s="27"/>
      <c r="G15" s="28">
        <v>30</v>
      </c>
      <c r="H15" s="28">
        <v>36</v>
      </c>
      <c r="I15" s="28">
        <v>36</v>
      </c>
      <c r="J15" s="28">
        <v>36</v>
      </c>
      <c r="K15" s="28">
        <f>SUM($G$15:$J$15)</f>
        <v>138</v>
      </c>
      <c r="L15" s="59">
        <f t="array" ref="L15">INDEX(Р[Цена за ед., руб],MATCH(1,IF(($B15=Р[Наименование])*($N15=Р[Примечание]),{1},($B15=Р[Наименование])*($N15=Р[Примечание])),0))</f>
        <v>0</v>
      </c>
      <c r="M15" s="59">
        <f>ROUND($K$15*$L$15,2)</f>
        <v>0</v>
      </c>
      <c r="N15" s="25"/>
      <c r="O15" s="25"/>
    </row>
    <row r="16" spans="1:15" ht="11.1" customHeight="1" outlineLevel="4" x14ac:dyDescent="0.2">
      <c r="A16" s="20"/>
      <c r="B16" s="14" t="s">
        <v>25</v>
      </c>
      <c r="C16" s="21"/>
      <c r="D16" s="21"/>
      <c r="E16" s="21"/>
      <c r="F16" s="21"/>
      <c r="G16" s="21"/>
      <c r="H16" s="21"/>
      <c r="I16" s="21"/>
      <c r="J16" s="21"/>
      <c r="K16" s="21"/>
      <c r="L16" s="57"/>
      <c r="M16" s="58">
        <f>SUM($M$17)</f>
        <v>0</v>
      </c>
      <c r="N16" s="18"/>
      <c r="O16" s="22"/>
    </row>
    <row r="17" spans="1:15" ht="11.1" customHeight="1" outlineLevel="4" x14ac:dyDescent="0.2">
      <c r="A17" s="23"/>
      <c r="B17" s="24" t="s">
        <v>29</v>
      </c>
      <c r="C17" s="25"/>
      <c r="D17" s="25"/>
      <c r="E17" s="26" t="s">
        <v>30</v>
      </c>
      <c r="F17" s="27"/>
      <c r="G17" s="28">
        <v>59</v>
      </c>
      <c r="H17" s="28">
        <v>62</v>
      </c>
      <c r="I17" s="28">
        <v>75</v>
      </c>
      <c r="J17" s="28">
        <v>82</v>
      </c>
      <c r="K17" s="28">
        <f>SUM($G$17:$J$17)</f>
        <v>278</v>
      </c>
      <c r="L17" s="59">
        <f t="array" ref="L17">INDEX(Р[Цена за ед., руб],MATCH(1,IF(($B17=Р[Наименование])*($N17=Р[Примечание]),{1},($B17=Р[Наименование])*($N17=Р[Примечание])),0))</f>
        <v>0</v>
      </c>
      <c r="M17" s="59">
        <f>ROUND($K$17*$L$17,2)</f>
        <v>0</v>
      </c>
      <c r="N17" s="25"/>
      <c r="O17" s="25"/>
    </row>
    <row r="18" spans="1:15" ht="11.1" customHeight="1" outlineLevel="4" x14ac:dyDescent="0.2">
      <c r="A18" s="20"/>
      <c r="B18" s="14" t="s">
        <v>31</v>
      </c>
      <c r="C18" s="21"/>
      <c r="D18" s="21"/>
      <c r="E18" s="21"/>
      <c r="F18" s="21"/>
      <c r="G18" s="21"/>
      <c r="H18" s="21"/>
      <c r="I18" s="21"/>
      <c r="J18" s="21"/>
      <c r="K18" s="21"/>
      <c r="L18" s="57"/>
      <c r="M18" s="58">
        <f>SUM($M$19:$M$20)</f>
        <v>0</v>
      </c>
      <c r="N18" s="18"/>
      <c r="O18" s="22"/>
    </row>
    <row r="19" spans="1:15" ht="11.1" customHeight="1" outlineLevel="4" x14ac:dyDescent="0.2">
      <c r="A19" s="23" t="s">
        <v>32</v>
      </c>
      <c r="B19" s="24" t="s">
        <v>33</v>
      </c>
      <c r="C19" s="25"/>
      <c r="D19" s="25" t="s">
        <v>34</v>
      </c>
      <c r="E19" s="26" t="s">
        <v>35</v>
      </c>
      <c r="F19" s="27"/>
      <c r="G19" s="28">
        <v>51</v>
      </c>
      <c r="H19" s="28">
        <v>54</v>
      </c>
      <c r="I19" s="28">
        <v>67</v>
      </c>
      <c r="J19" s="28">
        <v>74</v>
      </c>
      <c r="K19" s="28">
        <f>SUM($G$19:$J$19)</f>
        <v>246</v>
      </c>
      <c r="L19" s="59">
        <f t="array" ref="L19">INDEX(М[Цена за ед., руб],MATCH(1,IF(($B19=М[Наим.])*($C19=М[Артикул, марка, произв.])*($D19=М[Хар-ка])*($N19=М[Прим.]),{1},($B19=М[Наим.])*($C19=М[Артикул, марка, произв.])*($D19=М[Хар-ка])*($N19=М[Прим.])),0))</f>
        <v>0</v>
      </c>
      <c r="M19" s="59">
        <f>ROUND($K$19*$L$19,2)</f>
        <v>0</v>
      </c>
      <c r="N19" s="25" t="s">
        <v>36</v>
      </c>
      <c r="O19" s="25">
        <f t="array" ref="O19">INDEX(М[Форма закупа],MATCH(1,IF(($B19=М[Наим.])*($C19=М[Артикул, марка, произв.])*($D19=М[Хар-ка])*($N19=М[Прим.]),{1},($B19=М[Наим.])*($C19=М[Артикул, марка, произв.])*($D19=М[Хар-ка])*($N19=М[Прим.])),0))</f>
        <v>0</v>
      </c>
    </row>
    <row r="20" spans="1:15" ht="35.1" customHeight="1" outlineLevel="4" x14ac:dyDescent="0.2">
      <c r="A20" s="23" t="s">
        <v>37</v>
      </c>
      <c r="B20" s="24" t="s">
        <v>38</v>
      </c>
      <c r="C20" s="25"/>
      <c r="D20" s="25" t="s">
        <v>39</v>
      </c>
      <c r="E20" s="26" t="s">
        <v>35</v>
      </c>
      <c r="F20" s="27"/>
      <c r="G20" s="28">
        <v>8</v>
      </c>
      <c r="H20" s="28">
        <v>8</v>
      </c>
      <c r="I20" s="28">
        <v>8</v>
      </c>
      <c r="J20" s="28">
        <v>8</v>
      </c>
      <c r="K20" s="28">
        <f>SUM($G$20:$J$20)</f>
        <v>32</v>
      </c>
      <c r="L20" s="59">
        <f t="array" ref="L20">INDEX(М[Цена за ед., руб],MATCH(1,IF(($B20=М[Наим.])*($C20=М[Артикул,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  <c r="M20" s="59">
        <f>ROUND($K$20*$L$20,2)</f>
        <v>0</v>
      </c>
      <c r="N20" s="25"/>
      <c r="O20" s="25">
        <f t="array" ref="O20">INDEX(М[Форма закупа],MATCH(1,IF(($B20=М[Наим.])*($C20=М[Артикул,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</row>
    <row r="21" spans="1:15" ht="11.1" customHeight="1" outlineLevel="4" x14ac:dyDescent="0.2">
      <c r="A21" s="20"/>
      <c r="B21" s="14" t="s">
        <v>25</v>
      </c>
      <c r="C21" s="21"/>
      <c r="D21" s="21"/>
      <c r="E21" s="21"/>
      <c r="F21" s="21"/>
      <c r="G21" s="21"/>
      <c r="H21" s="21"/>
      <c r="I21" s="21"/>
      <c r="J21" s="21"/>
      <c r="K21" s="21"/>
      <c r="L21" s="57"/>
      <c r="M21" s="58">
        <f>SUM($M$22)</f>
        <v>0</v>
      </c>
      <c r="N21" s="18"/>
      <c r="O21" s="22"/>
    </row>
    <row r="22" spans="1:15" ht="11.1" customHeight="1" outlineLevel="4" x14ac:dyDescent="0.2">
      <c r="A22" s="23"/>
      <c r="B22" s="24" t="s">
        <v>40</v>
      </c>
      <c r="C22" s="25"/>
      <c r="D22" s="25"/>
      <c r="E22" s="26" t="s">
        <v>41</v>
      </c>
      <c r="F22" s="27"/>
      <c r="G22" s="28">
        <v>20</v>
      </c>
      <c r="H22" s="28">
        <v>24</v>
      </c>
      <c r="I22" s="28">
        <v>25</v>
      </c>
      <c r="J22" s="28">
        <v>28</v>
      </c>
      <c r="K22" s="28">
        <f>SUM($G$22:$J$22)</f>
        <v>97</v>
      </c>
      <c r="L22" s="59">
        <f t="array" ref="L22">INDEX(Р[Цена за ед., руб],MATCH(1,IF(($B22=Р[Наименование])*($N22=Р[Примечание]),{1},($B22=Р[Наименование])*($N22=Р[Примечание])),0))</f>
        <v>0</v>
      </c>
      <c r="M22" s="59">
        <f>ROUND($K$22*$L$22,2)</f>
        <v>0</v>
      </c>
      <c r="N22" s="25"/>
      <c r="O22" s="25"/>
    </row>
    <row r="23" spans="1:15" ht="11.1" customHeight="1" outlineLevel="4" x14ac:dyDescent="0.2">
      <c r="A23" s="20"/>
      <c r="B23" s="14" t="s">
        <v>31</v>
      </c>
      <c r="C23" s="21"/>
      <c r="D23" s="21"/>
      <c r="E23" s="21"/>
      <c r="F23" s="21"/>
      <c r="G23" s="21"/>
      <c r="H23" s="21"/>
      <c r="I23" s="21"/>
      <c r="J23" s="21"/>
      <c r="K23" s="21"/>
      <c r="L23" s="57"/>
      <c r="M23" s="58">
        <f>SUM($M$24)</f>
        <v>0</v>
      </c>
      <c r="N23" s="18"/>
      <c r="O23" s="22"/>
    </row>
    <row r="24" spans="1:15" ht="23.1" customHeight="1" outlineLevel="4" x14ac:dyDescent="0.2">
      <c r="A24" s="23" t="s">
        <v>32</v>
      </c>
      <c r="B24" s="24" t="s">
        <v>42</v>
      </c>
      <c r="C24" s="25"/>
      <c r="D24" s="25" t="s">
        <v>43</v>
      </c>
      <c r="E24" s="26" t="s">
        <v>41</v>
      </c>
      <c r="F24" s="27"/>
      <c r="G24" s="28">
        <v>20</v>
      </c>
      <c r="H24" s="28">
        <v>24</v>
      </c>
      <c r="I24" s="28">
        <v>25</v>
      </c>
      <c r="J24" s="28">
        <v>28</v>
      </c>
      <c r="K24" s="28">
        <f>SUM($G$24:$J$24)</f>
        <v>97</v>
      </c>
      <c r="L24" s="59">
        <f t="array" ref="L24">INDEX(М[Цена за ед., руб],MATCH(1,IF(($B24=М[Наим.])*($C24=М[Артикул, марка, произв.])*($D24=М[Хар-ка])*($N24=М[Прим.]),{1},($B24=М[Наим.])*($C24=М[Артикул, марка, произв.])*($D24=М[Хар-ка])*($N24=М[Прим.])),0))</f>
        <v>0</v>
      </c>
      <c r="M24" s="59">
        <f>ROUND($K$24*$L$24,2)</f>
        <v>0</v>
      </c>
      <c r="N24" s="25" t="s">
        <v>44</v>
      </c>
      <c r="O24" s="25">
        <f t="array" ref="O24">INDEX(М[Форма закупа],MATCH(1,IF(($B24=М[Наим.])*($C24=М[Артикул, марка, произв.])*($D24=М[Хар-ка])*($N24=М[Прим.]),{1},($B24=М[Наим.])*($C24=М[Артикул, марка, произв.])*($D24=М[Хар-ка])*($N24=М[Прим.])),0))</f>
        <v>0</v>
      </c>
    </row>
    <row r="25" spans="1:15" ht="11.1" customHeight="1" outlineLevel="4" x14ac:dyDescent="0.2">
      <c r="A25" s="20"/>
      <c r="B25" s="14" t="s">
        <v>25</v>
      </c>
      <c r="C25" s="21"/>
      <c r="D25" s="21"/>
      <c r="E25" s="21"/>
      <c r="F25" s="21"/>
      <c r="G25" s="21"/>
      <c r="H25" s="21"/>
      <c r="I25" s="21"/>
      <c r="J25" s="21"/>
      <c r="K25" s="21"/>
      <c r="L25" s="57"/>
      <c r="M25" s="58">
        <f>SUM($M$26)</f>
        <v>0</v>
      </c>
      <c r="N25" s="18"/>
      <c r="O25" s="22"/>
    </row>
    <row r="26" spans="1:15" ht="23.1" customHeight="1" outlineLevel="4" x14ac:dyDescent="0.2">
      <c r="A26" s="23"/>
      <c r="B26" s="24" t="s">
        <v>45</v>
      </c>
      <c r="C26" s="25"/>
      <c r="D26" s="25"/>
      <c r="E26" s="26" t="s">
        <v>27</v>
      </c>
      <c r="F26" s="27"/>
      <c r="G26" s="28">
        <v>1</v>
      </c>
      <c r="H26" s="28">
        <v>1</v>
      </c>
      <c r="I26" s="28">
        <v>1</v>
      </c>
      <c r="J26" s="28">
        <v>1</v>
      </c>
      <c r="K26" s="28">
        <f>SUM($G$26:$J$26)</f>
        <v>4</v>
      </c>
      <c r="L26" s="59">
        <f t="array" ref="L26">INDEX(Р[Цена за ед., руб],MATCH(1,IF(($B26=Р[Наименование])*($N26=Р[Примечание]),{1},($B26=Р[Наименование])*($N26=Р[Примечание])),0))</f>
        <v>0</v>
      </c>
      <c r="M26" s="59">
        <f>ROUND($K$26*$L$26,2)</f>
        <v>0</v>
      </c>
      <c r="N26" s="25"/>
      <c r="O26" s="25"/>
    </row>
    <row r="27" spans="1:15" ht="11.1" customHeight="1" outlineLevel="4" x14ac:dyDescent="0.2">
      <c r="A27" s="20"/>
      <c r="B27" s="14" t="s">
        <v>31</v>
      </c>
      <c r="C27" s="21"/>
      <c r="D27" s="21"/>
      <c r="E27" s="21"/>
      <c r="F27" s="21"/>
      <c r="G27" s="21"/>
      <c r="H27" s="21"/>
      <c r="I27" s="21"/>
      <c r="J27" s="21"/>
      <c r="K27" s="21"/>
      <c r="L27" s="57"/>
      <c r="M27" s="58">
        <f>SUM($M$28)</f>
        <v>0</v>
      </c>
      <c r="N27" s="18"/>
      <c r="O27" s="22"/>
    </row>
    <row r="28" spans="1:15" ht="23.1" customHeight="1" outlineLevel="4" x14ac:dyDescent="0.2">
      <c r="A28" s="23" t="s">
        <v>32</v>
      </c>
      <c r="B28" s="24" t="s">
        <v>46</v>
      </c>
      <c r="C28" s="25" t="s">
        <v>47</v>
      </c>
      <c r="D28" s="25" t="s">
        <v>48</v>
      </c>
      <c r="E28" s="26" t="s">
        <v>27</v>
      </c>
      <c r="F28" s="27"/>
      <c r="G28" s="28">
        <v>1</v>
      </c>
      <c r="H28" s="28">
        <v>1</v>
      </c>
      <c r="I28" s="28">
        <v>1</v>
      </c>
      <c r="J28" s="28">
        <v>1</v>
      </c>
      <c r="K28" s="28">
        <f>SUM($G$28:$J$28)</f>
        <v>4</v>
      </c>
      <c r="L28" s="59">
        <f t="array" ref="L28">INDEX(М[Цена за ед., руб],MATCH(1,IF(($B28=М[Наим.])*($C28=М[Артикул, марка, произв.])*($D28=М[Хар-ка])*($N28=М[Прим.]),{1},($B28=М[Наим.])*($C28=М[Артикул, марка, произв.])*($D28=М[Хар-ка])*($N28=М[Прим.])),0))</f>
        <v>0</v>
      </c>
      <c r="M28" s="59">
        <f>ROUND($K$28*$L$28,2)</f>
        <v>0</v>
      </c>
      <c r="N28" s="25"/>
      <c r="O28" s="25">
        <f t="array" ref="O28">INDEX(М[Форма закупа],MATCH(1,IF(($B28=М[Наим.])*($C28=М[Артикул, марка, произв.])*($D28=М[Хар-ка])*($N28=М[Прим.]),{1},($B28=М[Наим.])*($C28=М[Артикул, марка, произв.])*($D28=М[Хар-ка])*($N28=М[Прим.])),0))</f>
        <v>0</v>
      </c>
    </row>
    <row r="29" spans="1:15" ht="11.1" customHeight="1" outlineLevel="4" x14ac:dyDescent="0.2">
      <c r="A29" s="20"/>
      <c r="B29" s="14" t="s">
        <v>25</v>
      </c>
      <c r="C29" s="21"/>
      <c r="D29" s="21"/>
      <c r="E29" s="21"/>
      <c r="F29" s="21"/>
      <c r="G29" s="21"/>
      <c r="H29" s="21"/>
      <c r="I29" s="21"/>
      <c r="J29" s="21"/>
      <c r="K29" s="21"/>
      <c r="L29" s="57"/>
      <c r="M29" s="58">
        <f>SUM($M$30)</f>
        <v>0</v>
      </c>
      <c r="N29" s="18"/>
      <c r="O29" s="22"/>
    </row>
    <row r="30" spans="1:15" ht="11.1" customHeight="1" outlineLevel="4" x14ac:dyDescent="0.2">
      <c r="A30" s="23"/>
      <c r="B30" s="24" t="s">
        <v>49</v>
      </c>
      <c r="C30" s="25"/>
      <c r="D30" s="25"/>
      <c r="E30" s="26" t="s">
        <v>27</v>
      </c>
      <c r="F30" s="27"/>
      <c r="G30" s="28">
        <v>2</v>
      </c>
      <c r="H30" s="28">
        <v>2</v>
      </c>
      <c r="I30" s="28">
        <v>4</v>
      </c>
      <c r="J30" s="28">
        <v>4</v>
      </c>
      <c r="K30" s="28">
        <f>SUM($G$30:$J$30)</f>
        <v>12</v>
      </c>
      <c r="L30" s="59">
        <f t="array" ref="L30">INDEX(Р[Цена за ед., руб],MATCH(1,IF(($B30=Р[Наименование])*($N30=Р[Примечание]),{1},($B30=Р[Наименование])*($N30=Р[Примечание])),0))</f>
        <v>0</v>
      </c>
      <c r="M30" s="59">
        <f>ROUND($K$30*$L$30,2)</f>
        <v>0</v>
      </c>
      <c r="N30" s="25"/>
      <c r="O30" s="25"/>
    </row>
    <row r="31" spans="1:15" ht="11.1" customHeight="1" outlineLevel="4" x14ac:dyDescent="0.2">
      <c r="A31" s="20"/>
      <c r="B31" s="14" t="s">
        <v>31</v>
      </c>
      <c r="C31" s="21"/>
      <c r="D31" s="21"/>
      <c r="E31" s="21"/>
      <c r="F31" s="21"/>
      <c r="G31" s="21"/>
      <c r="H31" s="21"/>
      <c r="I31" s="21"/>
      <c r="J31" s="21"/>
      <c r="K31" s="21"/>
      <c r="L31" s="57"/>
      <c r="M31" s="58">
        <f>SUM($M$32)</f>
        <v>0</v>
      </c>
      <c r="N31" s="18"/>
      <c r="O31" s="22"/>
    </row>
    <row r="32" spans="1:15" ht="23.1" customHeight="1" outlineLevel="4" x14ac:dyDescent="0.2">
      <c r="A32" s="23" t="s">
        <v>32</v>
      </c>
      <c r="B32" s="24" t="s">
        <v>50</v>
      </c>
      <c r="C32" s="25"/>
      <c r="D32" s="25" t="s">
        <v>51</v>
      </c>
      <c r="E32" s="26" t="s">
        <v>27</v>
      </c>
      <c r="F32" s="27"/>
      <c r="G32" s="28">
        <v>2</v>
      </c>
      <c r="H32" s="28">
        <v>2</v>
      </c>
      <c r="I32" s="28">
        <v>4</v>
      </c>
      <c r="J32" s="28">
        <v>4</v>
      </c>
      <c r="K32" s="28">
        <f>SUM($G$32:$J$32)</f>
        <v>12</v>
      </c>
      <c r="L32" s="59">
        <f t="array" ref="L32">INDEX(М[Цена за ед., руб],MATCH(1,IF(($B32=М[Наим.])*($C32=М[Артикул, марка, произв.])*($D32=М[Хар-ка])*($N32=М[Прим.]),{1},($B32=М[Наим.])*($C32=М[Артикул, марка, произв.])*($D32=М[Хар-ка])*($N32=М[Прим.])),0))</f>
        <v>0</v>
      </c>
      <c r="M32" s="59">
        <f>ROUND($K$32*$L$32,2)</f>
        <v>0</v>
      </c>
      <c r="N32" s="25"/>
      <c r="O32" s="25">
        <f t="array" ref="O32">INDEX(М[Форма закупа],MATCH(1,IF(($B32=М[Наим.])*($C32=М[Артикул, марка, произв.])*($D32=М[Хар-ка])*($N32=М[Прим.]),{1},($B32=М[Наим.])*($C32=М[Артикул, марка, произв.])*($D32=М[Хар-ка])*($N32=М[Прим.])),0))</f>
        <v>0</v>
      </c>
    </row>
    <row r="33" spans="1:15" ht="11.1" customHeight="1" outlineLevel="4" x14ac:dyDescent="0.2">
      <c r="A33" s="20"/>
      <c r="B33" s="14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57"/>
      <c r="M33" s="58">
        <f>SUM($M$34)</f>
        <v>0</v>
      </c>
      <c r="N33" s="18"/>
      <c r="O33" s="22"/>
    </row>
    <row r="34" spans="1:15" ht="23.1" customHeight="1" outlineLevel="4" x14ac:dyDescent="0.2">
      <c r="A34" s="23"/>
      <c r="B34" s="24" t="s">
        <v>52</v>
      </c>
      <c r="C34" s="25"/>
      <c r="D34" s="25"/>
      <c r="E34" s="26" t="s">
        <v>27</v>
      </c>
      <c r="F34" s="27"/>
      <c r="G34" s="28">
        <v>1</v>
      </c>
      <c r="H34" s="28">
        <v>1</v>
      </c>
      <c r="I34" s="28">
        <v>1</v>
      </c>
      <c r="J34" s="28">
        <v>1</v>
      </c>
      <c r="K34" s="28">
        <f>SUM($G$34:$J$34)</f>
        <v>4</v>
      </c>
      <c r="L34" s="59">
        <f t="array" ref="L34">INDEX(Р[Цена за ед., руб],MATCH(1,IF(($B34=Р[Наименование])*($N34=Р[Примечание]),{1},($B34=Р[Наименование])*($N34=Р[Примечание])),0))</f>
        <v>0</v>
      </c>
      <c r="M34" s="59">
        <f>ROUND($K$34*$L$34,2)</f>
        <v>0</v>
      </c>
      <c r="N34" s="25"/>
      <c r="O34" s="25"/>
    </row>
    <row r="35" spans="1:15" ht="11.1" customHeight="1" outlineLevel="4" x14ac:dyDescent="0.2">
      <c r="A35" s="20"/>
      <c r="B35" s="14" t="s">
        <v>31</v>
      </c>
      <c r="C35" s="21"/>
      <c r="D35" s="21"/>
      <c r="E35" s="21"/>
      <c r="F35" s="21"/>
      <c r="G35" s="21"/>
      <c r="H35" s="21"/>
      <c r="I35" s="21"/>
      <c r="J35" s="21"/>
      <c r="K35" s="21"/>
      <c r="L35" s="57"/>
      <c r="M35" s="58">
        <f>SUM($M$36)</f>
        <v>0</v>
      </c>
      <c r="N35" s="18"/>
      <c r="O35" s="22"/>
    </row>
    <row r="36" spans="1:15" ht="23.1" customHeight="1" outlineLevel="4" x14ac:dyDescent="0.2">
      <c r="A36" s="23" t="s">
        <v>32</v>
      </c>
      <c r="B36" s="24" t="s">
        <v>53</v>
      </c>
      <c r="C36" s="25" t="s">
        <v>47</v>
      </c>
      <c r="D36" s="25" t="s">
        <v>54</v>
      </c>
      <c r="E36" s="26" t="s">
        <v>27</v>
      </c>
      <c r="F36" s="29">
        <v>1</v>
      </c>
      <c r="G36" s="28">
        <v>1</v>
      </c>
      <c r="H36" s="28">
        <v>1</v>
      </c>
      <c r="I36" s="28">
        <v>1</v>
      </c>
      <c r="J36" s="28">
        <v>1</v>
      </c>
      <c r="K36" s="28">
        <f>SUM($G$36:$J$36)</f>
        <v>4</v>
      </c>
      <c r="L36" s="59">
        <f t="array" ref="L36">INDEX(М[Цена за ед., руб],MATCH(1,IF(($B36=М[Наим.])*($C36=М[Артикул, марка, произв.])*($D36=М[Хар-ка])*($N36=М[Прим.]),{1},($B36=М[Наим.])*($C36=М[Артикул, марка, произв.])*($D36=М[Хар-ка])*($N36=М[Прим.])),0))</f>
        <v>0</v>
      </c>
      <c r="M36" s="59">
        <f>ROUND($K$36*$L$36,2)</f>
        <v>0</v>
      </c>
      <c r="N36" s="25"/>
      <c r="O36" s="25">
        <f t="array" ref="O36">INDEX(М[Форма закупа],MATCH(1,IF(($B36=М[Наим.])*($C36=М[Артикул, марка, произв.])*($D36=М[Хар-ка])*($N36=М[Прим.]),{1},($B36=М[Наим.])*($C36=М[Артикул, марка, произв.])*($D36=М[Хар-ка])*($N36=М[Прим.])),0))</f>
        <v>0</v>
      </c>
    </row>
    <row r="37" spans="1:15" ht="11.1" customHeight="1" outlineLevel="4" x14ac:dyDescent="0.2">
      <c r="A37" s="20"/>
      <c r="B37" s="14" t="s">
        <v>25</v>
      </c>
      <c r="C37" s="21"/>
      <c r="D37" s="21"/>
      <c r="E37" s="21"/>
      <c r="F37" s="21"/>
      <c r="G37" s="21"/>
      <c r="H37" s="21"/>
      <c r="I37" s="21"/>
      <c r="J37" s="21"/>
      <c r="K37" s="21"/>
      <c r="L37" s="57"/>
      <c r="M37" s="58">
        <f>SUM($M$38)</f>
        <v>0</v>
      </c>
      <c r="N37" s="18"/>
      <c r="O37" s="22"/>
    </row>
    <row r="38" spans="1:15" ht="11.1" customHeight="1" outlineLevel="4" x14ac:dyDescent="0.2">
      <c r="A38" s="23"/>
      <c r="B38" s="24" t="s">
        <v>55</v>
      </c>
      <c r="C38" s="25"/>
      <c r="D38" s="25"/>
      <c r="E38" s="26" t="s">
        <v>27</v>
      </c>
      <c r="F38" s="27"/>
      <c r="G38" s="28">
        <v>182</v>
      </c>
      <c r="H38" s="28">
        <v>204</v>
      </c>
      <c r="I38" s="28">
        <v>199</v>
      </c>
      <c r="J38" s="28">
        <v>225</v>
      </c>
      <c r="K38" s="28">
        <f>SUM($G$38:$J$38)</f>
        <v>810</v>
      </c>
      <c r="L38" s="59">
        <f t="array" ref="L38">INDEX(Р[Цена за ед., руб],MATCH(1,IF(($B38=Р[Наименование])*($N38=Р[Примечание]),{1},($B38=Р[Наименование])*($N38=Р[Примечание])),0))</f>
        <v>0</v>
      </c>
      <c r="M38" s="59">
        <f>ROUND($K$38*$L$38,2)</f>
        <v>0</v>
      </c>
      <c r="N38" s="25"/>
      <c r="O38" s="25"/>
    </row>
    <row r="39" spans="1:15" ht="11.1" customHeight="1" outlineLevel="4" x14ac:dyDescent="0.2">
      <c r="A39" s="20"/>
      <c r="B39" s="14" t="s">
        <v>31</v>
      </c>
      <c r="C39" s="21"/>
      <c r="D39" s="21"/>
      <c r="E39" s="21"/>
      <c r="F39" s="21"/>
      <c r="G39" s="21"/>
      <c r="H39" s="21"/>
      <c r="I39" s="21"/>
      <c r="J39" s="21"/>
      <c r="K39" s="21"/>
      <c r="L39" s="57"/>
      <c r="M39" s="58">
        <f>SUM($M$40:$M$41)</f>
        <v>0</v>
      </c>
      <c r="N39" s="18"/>
      <c r="O39" s="22"/>
    </row>
    <row r="40" spans="1:15" ht="11.1" customHeight="1" outlineLevel="4" x14ac:dyDescent="0.2">
      <c r="A40" s="23" t="s">
        <v>32</v>
      </c>
      <c r="B40" s="24" t="s">
        <v>56</v>
      </c>
      <c r="C40" s="25"/>
      <c r="D40" s="25" t="s">
        <v>57</v>
      </c>
      <c r="E40" s="26" t="s">
        <v>27</v>
      </c>
      <c r="F40" s="27"/>
      <c r="G40" s="28">
        <v>54</v>
      </c>
      <c r="H40" s="28">
        <v>66</v>
      </c>
      <c r="I40" s="28">
        <v>30</v>
      </c>
      <c r="J40" s="28">
        <v>34</v>
      </c>
      <c r="K40" s="28">
        <f>SUM($G$40:$J$40)</f>
        <v>184</v>
      </c>
      <c r="L40" s="59">
        <f t="array" ref="L40">INDEX(М[Цена за ед., руб],MATCH(1,IF(($B40=М[Наим.])*($C40=М[Артикул, марка, произв.])*($D40=М[Хар-ка])*($N40=М[Прим.]),{1},($B40=М[Наим.])*($C40=М[Артикул, марка, произв.])*($D40=М[Хар-ка])*($N40=М[Прим.])),0))</f>
        <v>0</v>
      </c>
      <c r="M40" s="59">
        <f>ROUND($K$40*$L$40,2)</f>
        <v>0</v>
      </c>
      <c r="N40" s="25"/>
      <c r="O40" s="25">
        <f t="array" ref="O40">INDEX(М[Форма закупа],MATCH(1,IF(($B40=М[Наим.])*($C40=М[Артикул, марка, произв.])*($D40=М[Хар-ка])*($N40=М[Прим.]),{1},($B40=М[Наим.])*($C40=М[Артикул, марка, произв.])*($D40=М[Хар-ка])*($N40=М[Прим.])),0))</f>
        <v>0</v>
      </c>
    </row>
    <row r="41" spans="1:15" ht="11.1" customHeight="1" outlineLevel="4" x14ac:dyDescent="0.2">
      <c r="A41" s="23" t="s">
        <v>37</v>
      </c>
      <c r="B41" s="24" t="s">
        <v>56</v>
      </c>
      <c r="C41" s="25"/>
      <c r="D41" s="25" t="s">
        <v>58</v>
      </c>
      <c r="E41" s="26" t="s">
        <v>27</v>
      </c>
      <c r="F41" s="27"/>
      <c r="G41" s="28">
        <v>128</v>
      </c>
      <c r="H41" s="28">
        <v>138</v>
      </c>
      <c r="I41" s="28">
        <v>169</v>
      </c>
      <c r="J41" s="28">
        <v>191</v>
      </c>
      <c r="K41" s="28">
        <f>SUM($G$41:$J$41)</f>
        <v>626</v>
      </c>
      <c r="L41" s="59">
        <f t="array" ref="L41">INDEX(М[Цена за ед., руб],MATCH(1,IF(($B41=М[Наим.])*($C41=М[Артикул, марка, произв.])*($D41=М[Хар-ка])*($N41=М[Прим.]),{1},($B41=М[Наим.])*($C41=М[Артикул, марка, произв.])*($D41=М[Хар-ка])*($N41=М[Прим.])),0))</f>
        <v>0</v>
      </c>
      <c r="M41" s="59">
        <f>ROUND($K$41*$L$41,2)</f>
        <v>0</v>
      </c>
      <c r="N41" s="25"/>
      <c r="O41" s="25">
        <f t="array" ref="O41">INDEX(М[Форма закупа],MATCH(1,IF(($B41=М[Наим.])*($C41=М[Артикул, марка, произв.])*($D41=М[Хар-ка])*($N41=М[Прим.]),{1},($B41=М[Наим.])*($C41=М[Артикул, марка, произв.])*($D41=М[Хар-ка])*($N41=М[Прим.])),0))</f>
        <v>0</v>
      </c>
    </row>
    <row r="42" spans="1:15" ht="11.1" customHeight="1" outlineLevel="4" x14ac:dyDescent="0.2">
      <c r="A42" s="20"/>
      <c r="B42" s="14" t="s">
        <v>25</v>
      </c>
      <c r="C42" s="21"/>
      <c r="D42" s="21"/>
      <c r="E42" s="21"/>
      <c r="F42" s="21"/>
      <c r="G42" s="21"/>
      <c r="H42" s="21"/>
      <c r="I42" s="21"/>
      <c r="J42" s="21"/>
      <c r="K42" s="21"/>
      <c r="L42" s="57"/>
      <c r="M42" s="58">
        <f>SUM($M$43)</f>
        <v>0</v>
      </c>
      <c r="N42" s="18"/>
      <c r="O42" s="22"/>
    </row>
    <row r="43" spans="1:15" ht="11.1" customHeight="1" outlineLevel="4" x14ac:dyDescent="0.2">
      <c r="A43" s="23"/>
      <c r="B43" s="24" t="s">
        <v>59</v>
      </c>
      <c r="C43" s="25"/>
      <c r="D43" s="25"/>
      <c r="E43" s="26" t="s">
        <v>27</v>
      </c>
      <c r="F43" s="27"/>
      <c r="G43" s="28">
        <v>63</v>
      </c>
      <c r="H43" s="28">
        <v>67</v>
      </c>
      <c r="I43" s="28">
        <v>81</v>
      </c>
      <c r="J43" s="28">
        <v>91</v>
      </c>
      <c r="K43" s="28">
        <f>SUM($G$43:$J$43)</f>
        <v>302</v>
      </c>
      <c r="L43" s="59">
        <f t="array" ref="L43">INDEX(Р[Цена за ед., руб],MATCH(1,IF(($B43=Р[Наименование])*($N43=Р[Примечание]),{1},($B43=Р[Наименование])*($N43=Р[Примечание])),0))</f>
        <v>0</v>
      </c>
      <c r="M43" s="59">
        <f>ROUND($K$43*$L$43,2)</f>
        <v>0</v>
      </c>
      <c r="N43" s="25"/>
      <c r="O43" s="25"/>
    </row>
    <row r="44" spans="1:15" ht="11.1" customHeight="1" outlineLevel="4" x14ac:dyDescent="0.2">
      <c r="A44" s="20"/>
      <c r="B44" s="14" t="s">
        <v>31</v>
      </c>
      <c r="C44" s="21"/>
      <c r="D44" s="21"/>
      <c r="E44" s="21"/>
      <c r="F44" s="21"/>
      <c r="G44" s="21"/>
      <c r="H44" s="21"/>
      <c r="I44" s="21"/>
      <c r="J44" s="21"/>
      <c r="K44" s="21"/>
      <c r="L44" s="57"/>
      <c r="M44" s="58">
        <f>SUM($M$45:$M$46)</f>
        <v>0</v>
      </c>
      <c r="N44" s="18"/>
      <c r="O44" s="22"/>
    </row>
    <row r="45" spans="1:15" ht="23.1" customHeight="1" outlineLevel="4" x14ac:dyDescent="0.2">
      <c r="A45" s="23" t="s">
        <v>32</v>
      </c>
      <c r="B45" s="24" t="s">
        <v>60</v>
      </c>
      <c r="C45" s="25"/>
      <c r="D45" s="25" t="s">
        <v>61</v>
      </c>
      <c r="E45" s="26" t="s">
        <v>27</v>
      </c>
      <c r="F45" s="27"/>
      <c r="G45" s="28">
        <v>2</v>
      </c>
      <c r="H45" s="28">
        <v>2</v>
      </c>
      <c r="I45" s="28">
        <v>2</v>
      </c>
      <c r="J45" s="28">
        <v>2</v>
      </c>
      <c r="K45" s="28">
        <f>SUM($G$45:$J$45)</f>
        <v>8</v>
      </c>
      <c r="L45" s="59">
        <f t="array" ref="L45">INDEX(М[Цена за ед., руб],MATCH(1,IF(($B45=М[Наим.])*($C45=М[Артикул, марка, произв.])*($D45=М[Хар-ка])*($N45=М[Прим.]),{1},($B45=М[Наим.])*($C45=М[Артикул, марка, произв.])*($D45=М[Хар-ка])*($N45=М[Прим.])),0))</f>
        <v>0</v>
      </c>
      <c r="M45" s="59">
        <f>ROUND($K$45*$L$45,2)</f>
        <v>0</v>
      </c>
      <c r="N45" s="25"/>
      <c r="O45" s="25">
        <f t="array" ref="O45">INDEX(М[Форма закупа],MATCH(1,IF(($B45=М[Наим.])*($C45=М[Артикул, марка, произв.])*($D45=М[Хар-ка])*($N45=М[Прим.]),{1},($B45=М[Наим.])*($C45=М[Артикул, марка, произв.])*($D45=М[Хар-ка])*($N45=М[Прим.])),0))</f>
        <v>0</v>
      </c>
    </row>
    <row r="46" spans="1:15" ht="23.1" customHeight="1" outlineLevel="4" x14ac:dyDescent="0.2">
      <c r="A46" s="23" t="s">
        <v>37</v>
      </c>
      <c r="B46" s="24" t="s">
        <v>60</v>
      </c>
      <c r="C46" s="25"/>
      <c r="D46" s="25" t="s">
        <v>62</v>
      </c>
      <c r="E46" s="26" t="s">
        <v>27</v>
      </c>
      <c r="F46" s="27"/>
      <c r="G46" s="28">
        <v>61</v>
      </c>
      <c r="H46" s="28">
        <v>65</v>
      </c>
      <c r="I46" s="28">
        <v>79</v>
      </c>
      <c r="J46" s="28">
        <v>89</v>
      </c>
      <c r="K46" s="28">
        <f>SUM($G$46:$J$46)</f>
        <v>294</v>
      </c>
      <c r="L46" s="59">
        <f t="array" ref="L46">INDEX(М[Цена за ед., руб],MATCH(1,IF(($B46=М[Наим.])*($C46=М[Артикул, марка, произв.])*($D46=М[Хар-ка])*($N46=М[Прим.]),{1},($B46=М[Наим.])*($C46=М[Артикул, марка, произв.])*($D46=М[Хар-ка])*($N46=М[Прим.])),0))</f>
        <v>0</v>
      </c>
      <c r="M46" s="59">
        <f>ROUND($K$46*$L$46,2)</f>
        <v>0</v>
      </c>
      <c r="N46" s="25"/>
      <c r="O46" s="25">
        <f t="array" ref="O46">INDEX(М[Форма закупа],MATCH(1,IF(($B46=М[Наим.])*($C46=М[Артикул, марка, произв.])*($D46=М[Хар-ка])*($N46=М[Прим.]),{1},($B46=М[Наим.])*($C46=М[Артикул, марка, произв.])*($D46=М[Хар-ка])*($N46=М[Прим.])),0))</f>
        <v>0</v>
      </c>
    </row>
    <row r="47" spans="1:15" ht="11.1" customHeight="1" outlineLevel="4" x14ac:dyDescent="0.2">
      <c r="A47" s="20"/>
      <c r="B47" s="14" t="s">
        <v>25</v>
      </c>
      <c r="C47" s="21"/>
      <c r="D47" s="21"/>
      <c r="E47" s="21"/>
      <c r="F47" s="21"/>
      <c r="G47" s="21"/>
      <c r="H47" s="21"/>
      <c r="I47" s="21"/>
      <c r="J47" s="21"/>
      <c r="K47" s="21"/>
      <c r="L47" s="57"/>
      <c r="M47" s="58">
        <f>SUM($M$48)</f>
        <v>0</v>
      </c>
      <c r="N47" s="18"/>
      <c r="O47" s="22"/>
    </row>
    <row r="48" spans="1:15" ht="11.1" customHeight="1" outlineLevel="4" x14ac:dyDescent="0.2">
      <c r="A48" s="23"/>
      <c r="B48" s="24" t="s">
        <v>63</v>
      </c>
      <c r="C48" s="25"/>
      <c r="D48" s="25"/>
      <c r="E48" s="26" t="s">
        <v>27</v>
      </c>
      <c r="F48" s="27"/>
      <c r="G48" s="28">
        <v>26</v>
      </c>
      <c r="H48" s="28">
        <v>32</v>
      </c>
      <c r="I48" s="28">
        <v>14</v>
      </c>
      <c r="J48" s="28">
        <v>16</v>
      </c>
      <c r="K48" s="28">
        <f>SUM($G$48:$J$48)</f>
        <v>88</v>
      </c>
      <c r="L48" s="59">
        <f t="array" ref="L48">INDEX(Р[Цена за ед., руб],MATCH(1,IF(($B48=Р[Наименование])*($N48=Р[Примечание]),{1},($B48=Р[Наименование])*($N48=Р[Примечание])),0))</f>
        <v>0</v>
      </c>
      <c r="M48" s="59">
        <f>ROUND($K$48*$L$48,2)</f>
        <v>0</v>
      </c>
      <c r="N48" s="25"/>
      <c r="O48" s="25"/>
    </row>
    <row r="49" spans="1:15" ht="11.1" customHeight="1" outlineLevel="4" x14ac:dyDescent="0.2">
      <c r="A49" s="20"/>
      <c r="B49" s="14" t="s">
        <v>31</v>
      </c>
      <c r="C49" s="21"/>
      <c r="D49" s="21"/>
      <c r="E49" s="21"/>
      <c r="F49" s="21"/>
      <c r="G49" s="21"/>
      <c r="H49" s="21"/>
      <c r="I49" s="21"/>
      <c r="J49" s="21"/>
      <c r="K49" s="21"/>
      <c r="L49" s="57"/>
      <c r="M49" s="58">
        <f>SUM($M$50)</f>
        <v>0</v>
      </c>
      <c r="N49" s="18"/>
      <c r="O49" s="22"/>
    </row>
    <row r="50" spans="1:15" ht="23.1" customHeight="1" outlineLevel="4" x14ac:dyDescent="0.2">
      <c r="A50" s="23" t="s">
        <v>32</v>
      </c>
      <c r="B50" s="24" t="s">
        <v>64</v>
      </c>
      <c r="C50" s="25"/>
      <c r="D50" s="25" t="s">
        <v>65</v>
      </c>
      <c r="E50" s="26" t="s">
        <v>27</v>
      </c>
      <c r="F50" s="29">
        <v>1</v>
      </c>
      <c r="G50" s="28">
        <v>26</v>
      </c>
      <c r="H50" s="28">
        <v>32</v>
      </c>
      <c r="I50" s="28">
        <v>14</v>
      </c>
      <c r="J50" s="28">
        <v>16</v>
      </c>
      <c r="K50" s="28">
        <f>SUM($G$50:$J$50)</f>
        <v>88</v>
      </c>
      <c r="L50" s="59">
        <f t="array" ref="L50">INDEX(М[Цена за ед., руб],MATCH(1,IF(($B50=М[Наим.])*($C50=М[Артикул, марка, произв.])*($D50=М[Хар-ка])*($N50=М[Прим.]),{1},($B50=М[Наим.])*($C50=М[Артикул, марка, произв.])*($D50=М[Хар-ка])*($N50=М[Прим.])),0))</f>
        <v>0</v>
      </c>
      <c r="M50" s="59">
        <f>ROUND($K$50*$L$50,2)</f>
        <v>0</v>
      </c>
      <c r="N50" s="25"/>
      <c r="O50" s="25">
        <f t="array" ref="O50">INDEX(М[Форма закупа],MATCH(1,IF(($B50=М[Наим.])*($C50=М[Артикул, марка, произв.])*($D50=М[Хар-ка])*($N50=М[Прим.]),{1},($B50=М[Наим.])*($C50=М[Артикул, марка, произв.])*($D50=М[Хар-ка])*($N50=М[Прим.])),0))</f>
        <v>0</v>
      </c>
    </row>
    <row r="51" spans="1:15" ht="11.1" customHeight="1" outlineLevel="4" x14ac:dyDescent="0.2">
      <c r="A51" s="20"/>
      <c r="B51" s="14" t="s">
        <v>25</v>
      </c>
      <c r="C51" s="21"/>
      <c r="D51" s="21"/>
      <c r="E51" s="21"/>
      <c r="F51" s="21"/>
      <c r="G51" s="21"/>
      <c r="H51" s="21"/>
      <c r="I51" s="21"/>
      <c r="J51" s="21"/>
      <c r="K51" s="21"/>
      <c r="L51" s="57"/>
      <c r="M51" s="58">
        <f>SUM($M$52)</f>
        <v>0</v>
      </c>
      <c r="N51" s="18"/>
      <c r="O51" s="22"/>
    </row>
    <row r="52" spans="1:15" ht="23.1" customHeight="1" outlineLevel="4" x14ac:dyDescent="0.2">
      <c r="A52" s="23"/>
      <c r="B52" s="24" t="s">
        <v>66</v>
      </c>
      <c r="C52" s="25"/>
      <c r="D52" s="25"/>
      <c r="E52" s="26" t="s">
        <v>30</v>
      </c>
      <c r="F52" s="27"/>
      <c r="G52" s="28">
        <v>610</v>
      </c>
      <c r="H52" s="28">
        <v>674</v>
      </c>
      <c r="I52" s="28">
        <v>674</v>
      </c>
      <c r="J52" s="28">
        <v>746</v>
      </c>
      <c r="K52" s="30">
        <f>SUM($G$52:$J$52)</f>
        <v>2704</v>
      </c>
      <c r="L52" s="59">
        <f t="array" ref="L52">INDEX(Р[Цена за ед., руб],MATCH(1,IF(($B52=Р[Наименование])*($N52=Р[Примечание]),{1},($B52=Р[Наименование])*($N52=Р[Примечание])),0))</f>
        <v>0</v>
      </c>
      <c r="M52" s="59">
        <f>ROUND($K$52*$L$52,2)</f>
        <v>0</v>
      </c>
      <c r="N52" s="25"/>
      <c r="O52" s="25"/>
    </row>
    <row r="53" spans="1:15" ht="11.1" customHeight="1" outlineLevel="4" x14ac:dyDescent="0.2">
      <c r="A53" s="20"/>
      <c r="B53" s="14" t="s">
        <v>31</v>
      </c>
      <c r="C53" s="21"/>
      <c r="D53" s="21"/>
      <c r="E53" s="21"/>
      <c r="F53" s="21"/>
      <c r="G53" s="21"/>
      <c r="H53" s="21"/>
      <c r="I53" s="21"/>
      <c r="J53" s="21"/>
      <c r="K53" s="21"/>
      <c r="L53" s="57"/>
      <c r="M53" s="58">
        <f>SUM($M$54:$M$56)</f>
        <v>0</v>
      </c>
      <c r="N53" s="18"/>
      <c r="O53" s="22"/>
    </row>
    <row r="54" spans="1:15" ht="23.1" customHeight="1" outlineLevel="4" x14ac:dyDescent="0.2">
      <c r="A54" s="96" t="s">
        <v>32</v>
      </c>
      <c r="B54" s="24" t="s">
        <v>67</v>
      </c>
      <c r="C54" s="25"/>
      <c r="D54" s="25" t="s">
        <v>68</v>
      </c>
      <c r="E54" s="26" t="s">
        <v>35</v>
      </c>
      <c r="F54" s="29">
        <v>1</v>
      </c>
      <c r="G54" s="28">
        <v>477</v>
      </c>
      <c r="H54" s="28">
        <v>528</v>
      </c>
      <c r="I54" s="28">
        <v>592</v>
      </c>
      <c r="J54" s="28">
        <v>658</v>
      </c>
      <c r="K54" s="30">
        <f>SUM($G$54:$J$54)</f>
        <v>2255</v>
      </c>
      <c r="L54" s="59">
        <f t="array" ref="L54">INDEX(М[Цена за ед., руб],MATCH(1,IF(($B54=М[Наим.])*($C54=М[Артикул, марка, произв.])*($D54=М[Хар-ка])*($N54=М[Прим.]),{1},($B54=М[Наим.])*($C54=М[Артикул, марка, произв.])*($D54=М[Хар-ка])*($N54=М[Прим.])),0))</f>
        <v>0</v>
      </c>
      <c r="M54" s="59">
        <f>ROUND($K$54*$L$54,2)</f>
        <v>0</v>
      </c>
      <c r="N54" s="25"/>
      <c r="O54" s="25">
        <f t="array" ref="O54">INDEX(М[Форма закупа],MATCH(1,IF(($B54=М[Наим.])*($C54=М[Артикул, марка, произв.])*($D54=М[Хар-ка])*($N54=М[Прим.]),{1},($B54=М[Наим.])*($C54=М[Артикул, марка, произв.])*($D54=М[Хар-ка])*($N54=М[Прим.])),0))</f>
        <v>0</v>
      </c>
    </row>
    <row r="55" spans="1:15" ht="23.1" customHeight="1" outlineLevel="4" x14ac:dyDescent="0.2">
      <c r="A55" s="96" t="s">
        <v>37</v>
      </c>
      <c r="B55" s="24" t="s">
        <v>67</v>
      </c>
      <c r="C55" s="25"/>
      <c r="D55" s="25" t="s">
        <v>69</v>
      </c>
      <c r="E55" s="26" t="s">
        <v>35</v>
      </c>
      <c r="F55" s="29">
        <v>1</v>
      </c>
      <c r="G55" s="28">
        <v>10</v>
      </c>
      <c r="H55" s="28">
        <v>10</v>
      </c>
      <c r="I55" s="28">
        <v>10</v>
      </c>
      <c r="J55" s="28">
        <v>10</v>
      </c>
      <c r="K55" s="28">
        <f>SUM($G$55:$J$55)</f>
        <v>40</v>
      </c>
      <c r="L55" s="59">
        <f t="array" ref="L55">INDEX(М[Цена за ед., руб],MATCH(1,IF(($B55=М[Наим.])*($C55=М[Артикул, марка, произв.])*($D55=М[Хар-ка])*($N55=М[Прим.]),{1},($B55=М[Наим.])*($C55=М[Артикул, марка, произв.])*($D55=М[Хар-ка])*($N55=М[Прим.])),0))</f>
        <v>0</v>
      </c>
      <c r="M55" s="59">
        <f>ROUND($K$55*$L$55,2)</f>
        <v>0</v>
      </c>
      <c r="N55" s="25"/>
      <c r="O55" s="25">
        <f t="array" ref="O55">INDEX(М[Форма закупа],MATCH(1,IF(($B55=М[Наим.])*($C55=М[Артикул, марка, произв.])*($D55=М[Хар-ка])*($N55=М[Прим.]),{1},($B55=М[Наим.])*($C55=М[Артикул, марка, произв.])*($D55=М[Хар-ка])*($N55=М[Прим.])),0))</f>
        <v>0</v>
      </c>
    </row>
    <row r="56" spans="1:15" ht="11.1" customHeight="1" outlineLevel="4" x14ac:dyDescent="0.2">
      <c r="A56" s="96" t="s">
        <v>70</v>
      </c>
      <c r="B56" s="24" t="s">
        <v>67</v>
      </c>
      <c r="C56" s="25"/>
      <c r="D56" s="25" t="s">
        <v>71</v>
      </c>
      <c r="E56" s="26" t="s">
        <v>35</v>
      </c>
      <c r="F56" s="27"/>
      <c r="G56" s="28">
        <v>123</v>
      </c>
      <c r="H56" s="28">
        <v>136</v>
      </c>
      <c r="I56" s="28">
        <v>72</v>
      </c>
      <c r="J56" s="28">
        <v>78</v>
      </c>
      <c r="K56" s="28">
        <f>SUM($G$56:$J$56)</f>
        <v>409</v>
      </c>
      <c r="L56" s="59">
        <f t="array" ref="L56">INDEX(М[Цена за ед., руб],MATCH(1,IF(($B56=М[Наим.])*($C56=М[Артикул, марка, произв.])*($D56=М[Хар-ка])*($N56=М[Прим.]),{1},($B56=М[Наим.])*($C56=М[Артикул, марка, произв.])*($D56=М[Хар-ка])*($N56=М[Прим.])),0))</f>
        <v>0</v>
      </c>
      <c r="M56" s="59">
        <f>ROUND($K$56*$L$56,2)</f>
        <v>0</v>
      </c>
      <c r="N56" s="25"/>
      <c r="O56" s="25">
        <f t="array" ref="O56">INDEX(М[Форма закупа],MATCH(1,IF(($B56=М[Наим.])*($C56=М[Артикул, марка, произв.])*($D56=М[Хар-ка])*($N56=М[Прим.]),{1},($B56=М[Наим.])*($C56=М[Артикул, марка, произв.])*($D56=М[Хар-ка])*($N56=М[Прим.])),0))</f>
        <v>0</v>
      </c>
    </row>
    <row r="57" spans="1:15" ht="11.1" customHeight="1" outlineLevel="4" x14ac:dyDescent="0.2">
      <c r="A57" s="20"/>
      <c r="B57" s="14" t="s">
        <v>25</v>
      </c>
      <c r="C57" s="21"/>
      <c r="D57" s="21"/>
      <c r="E57" s="21"/>
      <c r="F57" s="21"/>
      <c r="G57" s="21"/>
      <c r="H57" s="21"/>
      <c r="I57" s="21"/>
      <c r="J57" s="21"/>
      <c r="K57" s="21"/>
      <c r="L57" s="57"/>
      <c r="M57" s="58">
        <f>SUM($M$58)</f>
        <v>0</v>
      </c>
      <c r="N57" s="18"/>
      <c r="O57" s="22"/>
    </row>
    <row r="58" spans="1:15" ht="11.1" customHeight="1" outlineLevel="4" x14ac:dyDescent="0.2">
      <c r="A58" s="23"/>
      <c r="B58" s="24" t="s">
        <v>72</v>
      </c>
      <c r="C58" s="25"/>
      <c r="D58" s="25"/>
      <c r="E58" s="26" t="s">
        <v>30</v>
      </c>
      <c r="F58" s="27"/>
      <c r="G58" s="28">
        <v>8</v>
      </c>
      <c r="H58" s="28">
        <v>8</v>
      </c>
      <c r="I58" s="28">
        <v>8</v>
      </c>
      <c r="J58" s="28">
        <v>8</v>
      </c>
      <c r="K58" s="28">
        <f>SUM($G$58:$J$58)</f>
        <v>32</v>
      </c>
      <c r="L58" s="59">
        <f t="array" ref="L58">INDEX(Р[Цена за ед., руб],MATCH(1,IF(($B58=Р[Наименование])*($N58=Р[Примечание]),{1},($B58=Р[Наименование])*($N58=Р[Примечание])),0))</f>
        <v>0</v>
      </c>
      <c r="M58" s="59">
        <f>ROUND($K$58*$L$58,2)</f>
        <v>0</v>
      </c>
      <c r="N58" s="25"/>
      <c r="O58" s="25"/>
    </row>
    <row r="59" spans="1:15" ht="11.1" customHeight="1" outlineLevel="4" x14ac:dyDescent="0.2">
      <c r="A59" s="20"/>
      <c r="B59" s="14" t="s">
        <v>31</v>
      </c>
      <c r="C59" s="21"/>
      <c r="D59" s="21"/>
      <c r="E59" s="21"/>
      <c r="F59" s="21"/>
      <c r="G59" s="21"/>
      <c r="H59" s="21"/>
      <c r="I59" s="21"/>
      <c r="J59" s="21"/>
      <c r="K59" s="21"/>
      <c r="L59" s="57"/>
      <c r="M59" s="58">
        <f>SUM($M$60)</f>
        <v>0</v>
      </c>
      <c r="N59" s="18"/>
      <c r="O59" s="22"/>
    </row>
    <row r="60" spans="1:15" ht="35.1" customHeight="1" outlineLevel="4" x14ac:dyDescent="0.2">
      <c r="A60" s="96" t="s">
        <v>32</v>
      </c>
      <c r="B60" s="24" t="s">
        <v>73</v>
      </c>
      <c r="C60" s="25"/>
      <c r="D60" s="25" t="s">
        <v>74</v>
      </c>
      <c r="E60" s="26" t="s">
        <v>35</v>
      </c>
      <c r="F60" s="27"/>
      <c r="G60" s="28">
        <v>8</v>
      </c>
      <c r="H60" s="28">
        <v>8</v>
      </c>
      <c r="I60" s="28">
        <v>8</v>
      </c>
      <c r="J60" s="28">
        <v>8</v>
      </c>
      <c r="K60" s="28">
        <f>SUM($G$60:$J$60)</f>
        <v>32</v>
      </c>
      <c r="L60" s="59">
        <f t="array" ref="L60">INDEX(М[Цена за ед., руб],MATCH(1,IF(($B60=М[Наим.])*($C60=М[Артикул, марка, произв.])*($D60=М[Хар-ка])*($N60=М[Прим.]),{1},($B60=М[Наим.])*($C60=М[Артикул, марка, произв.])*($D60=М[Хар-ка])*($N60=М[Прим.])),0))</f>
        <v>0</v>
      </c>
      <c r="M60" s="59">
        <f>ROUND($K$60*$L$60,2)</f>
        <v>0</v>
      </c>
      <c r="N60" s="25"/>
      <c r="O60" s="25">
        <f t="array" ref="O60">INDEX(М[Форма закупа],MATCH(1,IF(($B60=М[Наим.])*($C60=М[Артикул, марка, произв.])*($D60=М[Хар-ка])*($N60=М[Прим.]),{1},($B60=М[Наим.])*($C60=М[Артикул, марка, произв.])*($D60=М[Хар-ка])*($N60=М[Прим.])),0))</f>
        <v>0</v>
      </c>
    </row>
    <row r="61" spans="1:15" ht="11.1" customHeight="1" outlineLevel="4" x14ac:dyDescent="0.2">
      <c r="A61" s="20"/>
      <c r="B61" s="14" t="s">
        <v>25</v>
      </c>
      <c r="C61" s="21"/>
      <c r="D61" s="21"/>
      <c r="E61" s="21"/>
      <c r="F61" s="21"/>
      <c r="G61" s="21"/>
      <c r="H61" s="21"/>
      <c r="I61" s="21"/>
      <c r="J61" s="21"/>
      <c r="K61" s="21"/>
      <c r="L61" s="57"/>
      <c r="M61" s="58">
        <f>SUM($M$62)</f>
        <v>0</v>
      </c>
      <c r="N61" s="18"/>
      <c r="O61" s="22"/>
    </row>
    <row r="62" spans="1:15" ht="11.1" customHeight="1" outlineLevel="4" x14ac:dyDescent="0.2">
      <c r="A62" s="23"/>
      <c r="B62" s="24" t="s">
        <v>75</v>
      </c>
      <c r="C62" s="25"/>
      <c r="D62" s="25"/>
      <c r="E62" s="26" t="s">
        <v>30</v>
      </c>
      <c r="F62" s="27"/>
      <c r="G62" s="31">
        <v>22.5</v>
      </c>
      <c r="H62" s="28">
        <v>20</v>
      </c>
      <c r="I62" s="31">
        <v>27.5</v>
      </c>
      <c r="J62" s="31">
        <v>27.5</v>
      </c>
      <c r="K62" s="31">
        <f>SUM($G$62:$J$62)</f>
        <v>97.5</v>
      </c>
      <c r="L62" s="59">
        <f t="array" ref="L62">INDEX(Р[Цена за ед., руб],MATCH(1,IF(($B62=Р[Наименование])*($N62=Р[Примечание]),{1},($B62=Р[Наименование])*($N62=Р[Примечание])),0))</f>
        <v>0</v>
      </c>
      <c r="M62" s="59">
        <f>ROUND($K$62*$L$62,2)</f>
        <v>0</v>
      </c>
      <c r="N62" s="25"/>
      <c r="O62" s="25"/>
    </row>
    <row r="63" spans="1:15" ht="11.1" customHeight="1" outlineLevel="4" x14ac:dyDescent="0.2">
      <c r="A63" s="20"/>
      <c r="B63" s="14" t="s">
        <v>31</v>
      </c>
      <c r="C63" s="21"/>
      <c r="D63" s="21"/>
      <c r="E63" s="21"/>
      <c r="F63" s="21"/>
      <c r="G63" s="21"/>
      <c r="H63" s="21"/>
      <c r="I63" s="21"/>
      <c r="J63" s="21"/>
      <c r="K63" s="21"/>
      <c r="L63" s="57"/>
      <c r="M63" s="58">
        <f>SUM($M$64)</f>
        <v>0</v>
      </c>
      <c r="N63" s="18"/>
      <c r="O63" s="22"/>
    </row>
    <row r="64" spans="1:15" ht="23.1" customHeight="1" outlineLevel="4" x14ac:dyDescent="0.2">
      <c r="A64" s="96" t="s">
        <v>32</v>
      </c>
      <c r="B64" s="24" t="s">
        <v>76</v>
      </c>
      <c r="C64" s="25"/>
      <c r="D64" s="25" t="s">
        <v>77</v>
      </c>
      <c r="E64" s="26" t="s">
        <v>35</v>
      </c>
      <c r="F64" s="27"/>
      <c r="G64" s="31">
        <v>22.5</v>
      </c>
      <c r="H64" s="28">
        <v>20</v>
      </c>
      <c r="I64" s="31">
        <v>27.5</v>
      </c>
      <c r="J64" s="31">
        <v>27.5</v>
      </c>
      <c r="K64" s="31">
        <f>SUM($G$64:$J$64)</f>
        <v>97.5</v>
      </c>
      <c r="L64" s="59">
        <f t="array" ref="L64">INDEX(М[Цена за ед., руб],MATCH(1,IF(($B64=М[Наим.])*($C64=М[Артикул, марка, произв.])*($D64=М[Хар-ка])*($N64=М[Прим.]),{1},($B64=М[Наим.])*($C64=М[Артикул, марка, произв.])*($D64=М[Хар-ка])*($N64=М[Прим.])),0))</f>
        <v>0</v>
      </c>
      <c r="M64" s="59">
        <f>ROUND($K$64*$L$64,2)</f>
        <v>0</v>
      </c>
      <c r="N64" s="25"/>
      <c r="O64" s="25">
        <f t="array" ref="O64">INDEX(М[Форма закупа],MATCH(1,IF(($B64=М[Наим.])*($C64=М[Артикул, марка, произв.])*($D64=М[Хар-ка])*($N64=М[Прим.]),{1},($B64=М[Наим.])*($C64=М[Артикул, марка, произв.])*($D64=М[Хар-ка])*($N64=М[Прим.])),0))</f>
        <v>0</v>
      </c>
    </row>
    <row r="65" spans="1:15" ht="11.1" customHeight="1" outlineLevel="2" x14ac:dyDescent="0.2">
      <c r="A65" s="13" t="s">
        <v>79</v>
      </c>
      <c r="B65" s="14" t="s">
        <v>80</v>
      </c>
      <c r="C65" s="15"/>
      <c r="D65" s="15"/>
      <c r="E65" s="16"/>
      <c r="F65" s="17"/>
      <c r="G65" s="18"/>
      <c r="H65" s="18"/>
      <c r="I65" s="18"/>
      <c r="J65" s="18"/>
      <c r="K65" s="18"/>
      <c r="L65" s="56"/>
      <c r="M65" s="56">
        <f>SUM($M$66)</f>
        <v>0</v>
      </c>
      <c r="N65" s="19"/>
      <c r="O65" s="19"/>
    </row>
    <row r="66" spans="1:15" ht="11.1" customHeight="1" outlineLevel="3" x14ac:dyDescent="0.2">
      <c r="A66" s="13" t="s">
        <v>81</v>
      </c>
      <c r="B66" s="14" t="s">
        <v>80</v>
      </c>
      <c r="C66" s="15"/>
      <c r="D66" s="15"/>
      <c r="E66" s="16"/>
      <c r="F66" s="17"/>
      <c r="G66" s="18"/>
      <c r="H66" s="18"/>
      <c r="I66" s="18"/>
      <c r="J66" s="18"/>
      <c r="K66" s="18"/>
      <c r="L66" s="56"/>
      <c r="M66" s="56">
        <f>SUM($M$90,$M$88,$M$85,$M$83,$M$81,$M$79,$M$77,$M$75,$M$71,$M$69,$M$67)</f>
        <v>0</v>
      </c>
      <c r="N66" s="19"/>
      <c r="O66" s="19"/>
    </row>
    <row r="67" spans="1:15" ht="11.1" customHeight="1" outlineLevel="4" x14ac:dyDescent="0.2">
      <c r="A67" s="20"/>
      <c r="B67" s="14" t="s">
        <v>25</v>
      </c>
      <c r="C67" s="21"/>
      <c r="D67" s="21"/>
      <c r="E67" s="21"/>
      <c r="F67" s="21"/>
      <c r="G67" s="21"/>
      <c r="H67" s="21"/>
      <c r="I67" s="21"/>
      <c r="J67" s="21"/>
      <c r="K67" s="21"/>
      <c r="L67" s="57"/>
      <c r="M67" s="58">
        <f>SUM($M$68)</f>
        <v>0</v>
      </c>
      <c r="N67" s="18"/>
      <c r="O67" s="22"/>
    </row>
    <row r="68" spans="1:15" ht="11.1" customHeight="1" outlineLevel="4" x14ac:dyDescent="0.2">
      <c r="A68" s="23"/>
      <c r="B68" s="24" t="s">
        <v>82</v>
      </c>
      <c r="C68" s="25"/>
      <c r="D68" s="25"/>
      <c r="E68" s="26" t="s">
        <v>27</v>
      </c>
      <c r="F68" s="27"/>
      <c r="G68" s="28">
        <v>25</v>
      </c>
      <c r="H68" s="28">
        <v>30</v>
      </c>
      <c r="I68" s="28">
        <v>30</v>
      </c>
      <c r="J68" s="28">
        <v>30</v>
      </c>
      <c r="K68" s="28">
        <f>SUM($G$68:$J$68)</f>
        <v>115</v>
      </c>
      <c r="L68" s="59">
        <f t="array" ref="L68">INDEX(Р[Цена за ед., руб],MATCH(1,IF(($B68=Р[Наименование])*($N68=Р[Примечание]),{1},($B68=Р[Наименование])*($N68=Р[Примечание])),0))</f>
        <v>0</v>
      </c>
      <c r="M68" s="59">
        <f>ROUND($K$68*$L$68,2)</f>
        <v>0</v>
      </c>
      <c r="N68" s="25"/>
      <c r="O68" s="25"/>
    </row>
    <row r="69" spans="1:15" ht="11.1" customHeight="1" outlineLevel="4" x14ac:dyDescent="0.2">
      <c r="A69" s="20"/>
      <c r="B69" s="14" t="s">
        <v>25</v>
      </c>
      <c r="C69" s="21"/>
      <c r="D69" s="21"/>
      <c r="E69" s="21"/>
      <c r="F69" s="21"/>
      <c r="G69" s="21"/>
      <c r="H69" s="21"/>
      <c r="I69" s="21"/>
      <c r="J69" s="21"/>
      <c r="K69" s="21"/>
      <c r="L69" s="57"/>
      <c r="M69" s="58">
        <f>SUM($M$70)</f>
        <v>0</v>
      </c>
      <c r="N69" s="18"/>
      <c r="O69" s="22"/>
    </row>
    <row r="70" spans="1:15" ht="11.1" customHeight="1" outlineLevel="4" x14ac:dyDescent="0.2">
      <c r="A70" s="23"/>
      <c r="B70" s="24" t="s">
        <v>29</v>
      </c>
      <c r="C70" s="25"/>
      <c r="D70" s="25"/>
      <c r="E70" s="26" t="s">
        <v>30</v>
      </c>
      <c r="F70" s="27"/>
      <c r="G70" s="28">
        <v>19</v>
      </c>
      <c r="H70" s="28">
        <v>21</v>
      </c>
      <c r="I70" s="28">
        <v>21</v>
      </c>
      <c r="J70" s="28">
        <v>21</v>
      </c>
      <c r="K70" s="28">
        <f>SUM($G$70:$J$70)</f>
        <v>82</v>
      </c>
      <c r="L70" s="59">
        <f t="array" ref="L70">INDEX(Р[Цена за ед., руб],MATCH(1,IF(($B70=Р[Наименование])*($N70=Р[Примечание]),{1},($B70=Р[Наименование])*($N70=Р[Примечание])),0))</f>
        <v>0</v>
      </c>
      <c r="M70" s="59">
        <f>ROUND($K$70*$L$70,2)</f>
        <v>0</v>
      </c>
      <c r="N70" s="25"/>
      <c r="O70" s="25"/>
    </row>
    <row r="71" spans="1:15" ht="11.1" customHeight="1" outlineLevel="4" x14ac:dyDescent="0.2">
      <c r="A71" s="20"/>
      <c r="B71" s="14" t="s">
        <v>31</v>
      </c>
      <c r="C71" s="21"/>
      <c r="D71" s="21"/>
      <c r="E71" s="21"/>
      <c r="F71" s="21"/>
      <c r="G71" s="21"/>
      <c r="H71" s="21"/>
      <c r="I71" s="21"/>
      <c r="J71" s="21"/>
      <c r="K71" s="21"/>
      <c r="L71" s="57"/>
      <c r="M71" s="58">
        <f>SUM($M$72:$M$74)</f>
        <v>0</v>
      </c>
      <c r="N71" s="18"/>
      <c r="O71" s="22"/>
    </row>
    <row r="72" spans="1:15" ht="11.1" customHeight="1" outlineLevel="4" x14ac:dyDescent="0.2">
      <c r="A72" s="23" t="s">
        <v>32</v>
      </c>
      <c r="B72" s="24" t="s">
        <v>38</v>
      </c>
      <c r="C72" s="25" t="s">
        <v>83</v>
      </c>
      <c r="D72" s="25" t="s">
        <v>84</v>
      </c>
      <c r="E72" s="26" t="s">
        <v>35</v>
      </c>
      <c r="F72" s="27"/>
      <c r="G72" s="28">
        <v>10</v>
      </c>
      <c r="H72" s="28">
        <v>10</v>
      </c>
      <c r="I72" s="28">
        <v>10</v>
      </c>
      <c r="J72" s="28">
        <v>10</v>
      </c>
      <c r="K72" s="28">
        <f>SUM($G$72:$J$72)</f>
        <v>40</v>
      </c>
      <c r="L72" s="59">
        <f t="array" ref="L72">INDEX(М[Цена за ед., руб],MATCH(1,IF(($B72=М[Наим.])*($C72=М[Артикул, марка, произв.])*($D72=М[Хар-ка])*($N72=М[Прим.]),{1},($B72=М[Наим.])*($C72=М[Артикул, марка, произв.])*($D72=М[Хар-ка])*($N72=М[Прим.])),0))</f>
        <v>0</v>
      </c>
      <c r="M72" s="59">
        <f>ROUND($K$72*$L$72,2)</f>
        <v>0</v>
      </c>
      <c r="N72" s="25"/>
      <c r="O72" s="25">
        <f t="array" ref="O72">INDEX(М[Форма закупа],MATCH(1,IF(($B72=М[Наим.])*($C72=М[Артикул, марка, произв.])*($D72=М[Хар-ка])*($N72=М[Прим.]),{1},($B72=М[Наим.])*($C72=М[Артикул, марка, произв.])*($D72=М[Хар-ка])*($N72=М[Прим.])),0))</f>
        <v>0</v>
      </c>
    </row>
    <row r="73" spans="1:15" ht="59.1" customHeight="1" outlineLevel="4" x14ac:dyDescent="0.2">
      <c r="A73" s="23" t="s">
        <v>37</v>
      </c>
      <c r="B73" s="24" t="s">
        <v>85</v>
      </c>
      <c r="C73" s="25"/>
      <c r="D73" s="25" t="s">
        <v>86</v>
      </c>
      <c r="E73" s="26" t="s">
        <v>35</v>
      </c>
      <c r="F73" s="27"/>
      <c r="G73" s="28">
        <v>9</v>
      </c>
      <c r="H73" s="27"/>
      <c r="I73" s="27"/>
      <c r="J73" s="27"/>
      <c r="K73" s="28">
        <f>SUM($G$73:$J$73)</f>
        <v>9</v>
      </c>
      <c r="L73" s="59">
        <f t="array" ref="L73">INDEX(М[Цена за ед., руб],MATCH(1,IF(($B73=М[Наим.])*($C73=М[Артикул, марка, произв.])*($D73=М[Хар-ка])*($N73=М[Прим.]),{1},($B73=М[Наим.])*($C73=М[Артикул, марка, произв.])*($D73=М[Хар-ка])*($N73=М[Прим.])),0))</f>
        <v>0</v>
      </c>
      <c r="M73" s="59">
        <f>ROUND($K$73*$L$73,2)</f>
        <v>0</v>
      </c>
      <c r="N73" s="25"/>
      <c r="O73" s="25">
        <f t="array" ref="O73">INDEX(М[Форма закупа],MATCH(1,IF(($B73=М[Наим.])*($C73=М[Артикул, марка, произв.])*($D73=М[Хар-ка])*($N73=М[Прим.]),{1},($B73=М[Наим.])*($C73=М[Артикул, марка, произв.])*($D73=М[Хар-ка])*($N73=М[Прим.])),0))</f>
        <v>0</v>
      </c>
    </row>
    <row r="74" spans="1:15" ht="59.1" customHeight="1" outlineLevel="4" x14ac:dyDescent="0.2">
      <c r="A74" s="23" t="s">
        <v>70</v>
      </c>
      <c r="B74" s="24" t="s">
        <v>85</v>
      </c>
      <c r="C74" s="25"/>
      <c r="D74" s="25" t="s">
        <v>86</v>
      </c>
      <c r="E74" s="26" t="s">
        <v>35</v>
      </c>
      <c r="F74" s="27"/>
      <c r="G74" s="27"/>
      <c r="H74" s="28">
        <v>11</v>
      </c>
      <c r="I74" s="28">
        <v>11</v>
      </c>
      <c r="J74" s="28">
        <v>11</v>
      </c>
      <c r="K74" s="28">
        <f>SUM($G$74:$J$74)</f>
        <v>33</v>
      </c>
      <c r="L74" s="59">
        <f t="array" ref="L74">INDEX(М[Цена за ед., руб],MATCH(1,IF(($B74=М[Наим.])*($C74=М[Артикул, марка, произв.])*($D74=М[Хар-ка])*($N74=М[Прим.]),{1},($B74=М[Наим.])*($C74=М[Артикул, марка, произв.])*($D74=М[Хар-ка])*($N74=М[Прим.])),0))</f>
        <v>0</v>
      </c>
      <c r="M74" s="59">
        <f>ROUND($K$74*$L$74,2)</f>
        <v>0</v>
      </c>
      <c r="N74" s="25" t="s">
        <v>44</v>
      </c>
      <c r="O74" s="25">
        <f t="array" ref="O74">INDEX(М[Форма закупа],MATCH(1,IF(($B74=М[Наим.])*($C74=М[Артикул, марка, произв.])*($D74=М[Хар-ка])*($N74=М[Прим.]),{1},($B74=М[Наим.])*($C74=М[Артикул, марка, произв.])*($D74=М[Хар-ка])*($N74=М[Прим.])),0))</f>
        <v>0</v>
      </c>
    </row>
    <row r="75" spans="1:15" ht="11.1" customHeight="1" outlineLevel="4" x14ac:dyDescent="0.2">
      <c r="A75" s="20"/>
      <c r="B75" s="14" t="s">
        <v>25</v>
      </c>
      <c r="C75" s="21"/>
      <c r="D75" s="21"/>
      <c r="E75" s="21"/>
      <c r="F75" s="21"/>
      <c r="G75" s="21"/>
      <c r="H75" s="21"/>
      <c r="I75" s="21"/>
      <c r="J75" s="21"/>
      <c r="K75" s="21"/>
      <c r="L75" s="57"/>
      <c r="M75" s="58">
        <f>SUM($M$76)</f>
        <v>0</v>
      </c>
      <c r="N75" s="18"/>
      <c r="O75" s="22"/>
    </row>
    <row r="76" spans="1:15" ht="11.1" customHeight="1" outlineLevel="4" x14ac:dyDescent="0.2">
      <c r="A76" s="23"/>
      <c r="B76" s="24" t="s">
        <v>40</v>
      </c>
      <c r="C76" s="25"/>
      <c r="D76" s="25"/>
      <c r="E76" s="26" t="s">
        <v>41</v>
      </c>
      <c r="F76" s="27"/>
      <c r="G76" s="28">
        <v>2</v>
      </c>
      <c r="H76" s="28">
        <v>2</v>
      </c>
      <c r="I76" s="28">
        <v>2</v>
      </c>
      <c r="J76" s="28">
        <v>2</v>
      </c>
      <c r="K76" s="28">
        <f>SUM($G$76:$J$76)</f>
        <v>8</v>
      </c>
      <c r="L76" s="59">
        <f t="array" ref="L76">INDEX(Р[Цена за ед., руб],MATCH(1,IF(($B76=Р[Наименование])*($N76=Р[Примечание]),{1},($B76=Р[Наименование])*($N76=Р[Примечание])),0))</f>
        <v>0</v>
      </c>
      <c r="M76" s="59">
        <f>ROUND($K$76*$L$76,2)</f>
        <v>0</v>
      </c>
      <c r="N76" s="25"/>
      <c r="O76" s="25"/>
    </row>
    <row r="77" spans="1:15" ht="11.1" customHeight="1" outlineLevel="4" x14ac:dyDescent="0.2">
      <c r="A77" s="20"/>
      <c r="B77" s="14" t="s">
        <v>31</v>
      </c>
      <c r="C77" s="21"/>
      <c r="D77" s="21"/>
      <c r="E77" s="21"/>
      <c r="F77" s="21"/>
      <c r="G77" s="21"/>
      <c r="H77" s="21"/>
      <c r="I77" s="21"/>
      <c r="J77" s="21"/>
      <c r="K77" s="21"/>
      <c r="L77" s="57"/>
      <c r="M77" s="58">
        <f>SUM($M$78)</f>
        <v>0</v>
      </c>
      <c r="N77" s="18"/>
      <c r="O77" s="22"/>
    </row>
    <row r="78" spans="1:15" ht="23.1" customHeight="1" outlineLevel="4" x14ac:dyDescent="0.2">
      <c r="A78" s="23" t="s">
        <v>32</v>
      </c>
      <c r="B78" s="24" t="s">
        <v>42</v>
      </c>
      <c r="C78" s="25"/>
      <c r="D78" s="25" t="s">
        <v>43</v>
      </c>
      <c r="E78" s="26" t="s">
        <v>41</v>
      </c>
      <c r="F78" s="27"/>
      <c r="G78" s="28">
        <v>2</v>
      </c>
      <c r="H78" s="28">
        <v>2</v>
      </c>
      <c r="I78" s="28">
        <v>2</v>
      </c>
      <c r="J78" s="28">
        <v>2</v>
      </c>
      <c r="K78" s="28">
        <f>SUM($G$78:$J$78)</f>
        <v>8</v>
      </c>
      <c r="L78" s="59">
        <f t="array" ref="L78">INDEX(М[Цена за ед., руб],MATCH(1,IF(($B78=М[Наим.])*($C78=М[Артикул, марка, произв.])*($D78=М[Хар-ка])*($N78=М[Прим.]),{1},($B78=М[Наим.])*($C78=М[Артикул, марка, произв.])*($D78=М[Хар-ка])*($N78=М[Прим.])),0))</f>
        <v>0</v>
      </c>
      <c r="M78" s="59">
        <f>ROUND($K$78*$L$78,2)</f>
        <v>0</v>
      </c>
      <c r="N78" s="25" t="s">
        <v>44</v>
      </c>
      <c r="O78" s="25">
        <f t="array" ref="O78">INDEX(М[Форма закупа],MATCH(1,IF(($B78=М[Наим.])*($C78=М[Артикул, марка, произв.])*($D78=М[Хар-ка])*($N78=М[Прим.]),{1},($B78=М[Наим.])*($C78=М[Артикул, марка, произв.])*($D78=М[Хар-ка])*($N78=М[Прим.])),0))</f>
        <v>0</v>
      </c>
    </row>
    <row r="79" spans="1:15" ht="11.1" customHeight="1" outlineLevel="4" x14ac:dyDescent="0.2">
      <c r="A79" s="20"/>
      <c r="B79" s="14" t="s">
        <v>25</v>
      </c>
      <c r="C79" s="21"/>
      <c r="D79" s="21"/>
      <c r="E79" s="21"/>
      <c r="F79" s="21"/>
      <c r="G79" s="21"/>
      <c r="H79" s="21"/>
      <c r="I79" s="21"/>
      <c r="J79" s="21"/>
      <c r="K79" s="21"/>
      <c r="L79" s="57"/>
      <c r="M79" s="58">
        <f>SUM($M$80)</f>
        <v>0</v>
      </c>
      <c r="N79" s="18"/>
      <c r="O79" s="22"/>
    </row>
    <row r="80" spans="1:15" ht="11.1" customHeight="1" outlineLevel="4" x14ac:dyDescent="0.2">
      <c r="A80" s="23"/>
      <c r="B80" s="24" t="s">
        <v>55</v>
      </c>
      <c r="C80" s="25"/>
      <c r="D80" s="25"/>
      <c r="E80" s="26" t="s">
        <v>27</v>
      </c>
      <c r="F80" s="27"/>
      <c r="G80" s="28">
        <v>11</v>
      </c>
      <c r="H80" s="28">
        <v>18</v>
      </c>
      <c r="I80" s="28">
        <v>16</v>
      </c>
      <c r="J80" s="28">
        <v>18</v>
      </c>
      <c r="K80" s="28">
        <f>SUM($G$80:$J$80)</f>
        <v>63</v>
      </c>
      <c r="L80" s="59">
        <f t="array" ref="L80">INDEX(Р[Цена за ед., руб],MATCH(1,IF(($B80=Р[Наименование])*($N80=Р[Примечание]),{1},($B80=Р[Наименование])*($N80=Р[Примечание])),0))</f>
        <v>0</v>
      </c>
      <c r="M80" s="59">
        <f>ROUND($K$80*$L$80,2)</f>
        <v>0</v>
      </c>
      <c r="N80" s="25"/>
      <c r="O80" s="25"/>
    </row>
    <row r="81" spans="1:15" ht="11.1" customHeight="1" outlineLevel="4" x14ac:dyDescent="0.2">
      <c r="A81" s="20"/>
      <c r="B81" s="14" t="s">
        <v>31</v>
      </c>
      <c r="C81" s="21"/>
      <c r="D81" s="21"/>
      <c r="E81" s="21"/>
      <c r="F81" s="21"/>
      <c r="G81" s="21"/>
      <c r="H81" s="21"/>
      <c r="I81" s="21"/>
      <c r="J81" s="21"/>
      <c r="K81" s="21"/>
      <c r="L81" s="57"/>
      <c r="M81" s="58">
        <f>SUM($M$82)</f>
        <v>0</v>
      </c>
      <c r="N81" s="18"/>
      <c r="O81" s="22"/>
    </row>
    <row r="82" spans="1:15" ht="11.1" customHeight="1" outlineLevel="4" x14ac:dyDescent="0.2">
      <c r="A82" s="23" t="s">
        <v>32</v>
      </c>
      <c r="B82" s="24" t="s">
        <v>56</v>
      </c>
      <c r="C82" s="25"/>
      <c r="D82" s="25" t="s">
        <v>58</v>
      </c>
      <c r="E82" s="26" t="s">
        <v>27</v>
      </c>
      <c r="F82" s="27"/>
      <c r="G82" s="28">
        <v>11</v>
      </c>
      <c r="H82" s="28">
        <v>18</v>
      </c>
      <c r="I82" s="28">
        <v>16</v>
      </c>
      <c r="J82" s="28">
        <v>18</v>
      </c>
      <c r="K82" s="28">
        <f>SUM($G$82:$J$82)</f>
        <v>63</v>
      </c>
      <c r="L82" s="59">
        <f t="array" ref="L82">INDEX(М[Цена за ед., руб],MATCH(1,IF(($B82=М[Наим.])*($C82=М[Артикул, марка, произв.])*($D82=М[Хар-ка])*($N82=М[Прим.]),{1},($B82=М[Наим.])*($C82=М[Артикул, марка, произв.])*($D82=М[Хар-ка])*($N82=М[Прим.])),0))</f>
        <v>0</v>
      </c>
      <c r="M82" s="59">
        <f>ROUND($K$82*$L$82,2)</f>
        <v>0</v>
      </c>
      <c r="N82" s="25"/>
      <c r="O82" s="25">
        <f t="array" ref="O82">INDEX(М[Форма закупа],MATCH(1,IF(($B82=М[Наим.])*($C82=М[Артикул, марка, произв.])*($D82=М[Хар-ка])*($N82=М[Прим.]),{1},($B82=М[Наим.])*($C82=М[Артикул, марка, произв.])*($D82=М[Хар-ка])*($N82=М[Прим.])),0))</f>
        <v>0</v>
      </c>
    </row>
    <row r="83" spans="1:15" ht="11.1" customHeight="1" outlineLevel="4" x14ac:dyDescent="0.2">
      <c r="A83" s="20"/>
      <c r="B83" s="14" t="s">
        <v>25</v>
      </c>
      <c r="C83" s="21"/>
      <c r="D83" s="21"/>
      <c r="E83" s="21"/>
      <c r="F83" s="21"/>
      <c r="G83" s="21"/>
      <c r="H83" s="21"/>
      <c r="I83" s="21"/>
      <c r="J83" s="21"/>
      <c r="K83" s="21"/>
      <c r="L83" s="57"/>
      <c r="M83" s="58">
        <f>SUM($M$84)</f>
        <v>0</v>
      </c>
      <c r="N83" s="18"/>
      <c r="O83" s="22"/>
    </row>
    <row r="84" spans="1:15" ht="11.1" customHeight="1" outlineLevel="4" x14ac:dyDescent="0.2">
      <c r="A84" s="23"/>
      <c r="B84" s="24" t="s">
        <v>59</v>
      </c>
      <c r="C84" s="25"/>
      <c r="D84" s="25"/>
      <c r="E84" s="26" t="s">
        <v>27</v>
      </c>
      <c r="F84" s="27"/>
      <c r="G84" s="28">
        <v>8</v>
      </c>
      <c r="H84" s="28">
        <v>10</v>
      </c>
      <c r="I84" s="28">
        <v>8</v>
      </c>
      <c r="J84" s="28">
        <v>10</v>
      </c>
      <c r="K84" s="28">
        <f>SUM($G$84:$J$84)</f>
        <v>36</v>
      </c>
      <c r="L84" s="59">
        <f t="array" ref="L84">INDEX(Р[Цена за ед., руб],MATCH(1,IF(($B84=Р[Наименование])*($N84=Р[Примечание]),{1},($B84=Р[Наименование])*($N84=Р[Примечание])),0))</f>
        <v>0</v>
      </c>
      <c r="M84" s="59">
        <f>ROUND($K$84*$L$84,2)</f>
        <v>0</v>
      </c>
      <c r="N84" s="25"/>
      <c r="O84" s="25"/>
    </row>
    <row r="85" spans="1:15" ht="11.1" customHeight="1" outlineLevel="4" x14ac:dyDescent="0.2">
      <c r="A85" s="20"/>
      <c r="B85" s="14" t="s">
        <v>31</v>
      </c>
      <c r="C85" s="21"/>
      <c r="D85" s="21"/>
      <c r="E85" s="21"/>
      <c r="F85" s="21"/>
      <c r="G85" s="21"/>
      <c r="H85" s="21"/>
      <c r="I85" s="21"/>
      <c r="J85" s="21"/>
      <c r="K85" s="21"/>
      <c r="L85" s="57"/>
      <c r="M85" s="58">
        <f>SUM($M$86:$M$87)</f>
        <v>0</v>
      </c>
      <c r="N85" s="18"/>
      <c r="O85" s="22"/>
    </row>
    <row r="86" spans="1:15" ht="11.1" customHeight="1" outlineLevel="4" x14ac:dyDescent="0.2">
      <c r="A86" s="23" t="s">
        <v>32</v>
      </c>
      <c r="B86" s="24" t="s">
        <v>60</v>
      </c>
      <c r="C86" s="25"/>
      <c r="D86" s="25" t="s">
        <v>87</v>
      </c>
      <c r="E86" s="26" t="s">
        <v>27</v>
      </c>
      <c r="F86" s="27"/>
      <c r="G86" s="28">
        <v>4</v>
      </c>
      <c r="H86" s="28">
        <v>4</v>
      </c>
      <c r="I86" s="28">
        <v>4</v>
      </c>
      <c r="J86" s="28">
        <v>4</v>
      </c>
      <c r="K86" s="28">
        <f>SUM($G$86:$J$86)</f>
        <v>16</v>
      </c>
      <c r="L86" s="59">
        <f t="array" ref="L86">INDEX(М[Цена за ед., руб],MATCH(1,IF(($B86=М[Наим.])*($C86=М[Артикул, марка, произв.])*($D86=М[Хар-ка])*($N86=М[Прим.]),{1},($B86=М[Наим.])*($C86=М[Артикул, марка, произв.])*($D86=М[Хар-ка])*($N86=М[Прим.])),0))</f>
        <v>0</v>
      </c>
      <c r="M86" s="59">
        <f>ROUND($K$86*$L$86,2)</f>
        <v>0</v>
      </c>
      <c r="N86" s="25"/>
      <c r="O86" s="25">
        <f t="array" ref="O86">INDEX(М[Форма закупа],MATCH(1,IF(($B86=М[Наим.])*($C86=М[Артикул, марка, произв.])*($D86=М[Хар-ка])*($N86=М[Прим.]),{1},($B86=М[Наим.])*($C86=М[Артикул, марка, произв.])*($D86=М[Хар-ка])*($N86=М[Прим.])),0))</f>
        <v>0</v>
      </c>
    </row>
    <row r="87" spans="1:15" ht="23.1" customHeight="1" outlineLevel="4" x14ac:dyDescent="0.2">
      <c r="A87" s="23" t="s">
        <v>37</v>
      </c>
      <c r="B87" s="24" t="s">
        <v>60</v>
      </c>
      <c r="C87" s="25" t="s">
        <v>88</v>
      </c>
      <c r="D87" s="25" t="s">
        <v>62</v>
      </c>
      <c r="E87" s="26" t="s">
        <v>27</v>
      </c>
      <c r="F87" s="27"/>
      <c r="G87" s="28">
        <v>4</v>
      </c>
      <c r="H87" s="28">
        <v>6</v>
      </c>
      <c r="I87" s="28">
        <v>4</v>
      </c>
      <c r="J87" s="28">
        <v>6</v>
      </c>
      <c r="K87" s="28">
        <f>SUM($G$87:$J$87)</f>
        <v>20</v>
      </c>
      <c r="L87" s="59">
        <f t="array" ref="L87">INDEX(М[Цена за ед., руб],MATCH(1,IF(($B87=М[Наим.])*($C87=М[Артикул, марка, произв.])*($D87=М[Хар-ка])*($N87=М[Прим.]),{1},($B87=М[Наим.])*($C87=М[Артикул, марка, произв.])*($D87=М[Хар-ка])*($N87=М[Прим.])),0))</f>
        <v>0</v>
      </c>
      <c r="M87" s="59">
        <f>ROUND($K$87*$L$87,2)</f>
        <v>0</v>
      </c>
      <c r="N87" s="25"/>
      <c r="O87" s="25">
        <f t="array" ref="O87">INDEX(М[Форма закупа],MATCH(1,IF(($B87=М[Наим.])*($C87=М[Артикул, марка, произв.])*($D87=М[Хар-ка])*($N87=М[Прим.]),{1},($B87=М[Наим.])*($C87=М[Артикул, марка, произв.])*($D87=М[Хар-ка])*($N87=М[Прим.])),0))</f>
        <v>0</v>
      </c>
    </row>
    <row r="88" spans="1:15" ht="11.1" customHeight="1" outlineLevel="4" x14ac:dyDescent="0.2">
      <c r="A88" s="20"/>
      <c r="B88" s="14" t="s">
        <v>25</v>
      </c>
      <c r="C88" s="21"/>
      <c r="D88" s="21"/>
      <c r="E88" s="21"/>
      <c r="F88" s="21"/>
      <c r="G88" s="21"/>
      <c r="H88" s="21"/>
      <c r="I88" s="21"/>
      <c r="J88" s="21"/>
      <c r="K88" s="21"/>
      <c r="L88" s="57"/>
      <c r="M88" s="58">
        <f>SUM($M$89)</f>
        <v>0</v>
      </c>
      <c r="N88" s="18"/>
      <c r="O88" s="22"/>
    </row>
    <row r="89" spans="1:15" ht="11.1" customHeight="1" outlineLevel="4" x14ac:dyDescent="0.2">
      <c r="A89" s="23"/>
      <c r="B89" s="24" t="s">
        <v>89</v>
      </c>
      <c r="C89" s="25"/>
      <c r="D89" s="25"/>
      <c r="E89" s="26" t="s">
        <v>30</v>
      </c>
      <c r="F89" s="27"/>
      <c r="G89" s="28">
        <v>112</v>
      </c>
      <c r="H89" s="28">
        <v>130</v>
      </c>
      <c r="I89" s="28">
        <v>130</v>
      </c>
      <c r="J89" s="28">
        <v>140</v>
      </c>
      <c r="K89" s="28">
        <f>SUM($G$89:$J$89)</f>
        <v>512</v>
      </c>
      <c r="L89" s="59">
        <f t="array" ref="L89">INDEX(Р[Цена за ед., руб],MATCH(1,IF(($B89=Р[Наименование])*($N89=Р[Примечание]),{1},($B89=Р[Наименование])*($N89=Р[Примечание])),0))</f>
        <v>0</v>
      </c>
      <c r="M89" s="59">
        <f>ROUND($K$89*$L$89,2)</f>
        <v>0</v>
      </c>
      <c r="N89" s="25"/>
      <c r="O89" s="25"/>
    </row>
    <row r="90" spans="1:15" ht="11.1" customHeight="1" outlineLevel="4" x14ac:dyDescent="0.2">
      <c r="A90" s="20"/>
      <c r="B90" s="14" t="s">
        <v>31</v>
      </c>
      <c r="C90" s="21"/>
      <c r="D90" s="21"/>
      <c r="E90" s="21"/>
      <c r="F90" s="21"/>
      <c r="G90" s="21"/>
      <c r="H90" s="21"/>
      <c r="I90" s="21"/>
      <c r="J90" s="21"/>
      <c r="K90" s="21"/>
      <c r="L90" s="57"/>
      <c r="M90" s="58">
        <f>SUM($M$91)</f>
        <v>0</v>
      </c>
      <c r="N90" s="18"/>
      <c r="O90" s="22"/>
    </row>
    <row r="91" spans="1:15" ht="23.1" customHeight="1" outlineLevel="4" x14ac:dyDescent="0.2">
      <c r="A91" s="96" t="s">
        <v>32</v>
      </c>
      <c r="B91" s="24" t="s">
        <v>90</v>
      </c>
      <c r="C91" s="25"/>
      <c r="D91" s="25" t="s">
        <v>91</v>
      </c>
      <c r="E91" s="26" t="s">
        <v>35</v>
      </c>
      <c r="F91" s="27"/>
      <c r="G91" s="28">
        <v>112</v>
      </c>
      <c r="H91" s="28">
        <v>130</v>
      </c>
      <c r="I91" s="28">
        <v>130</v>
      </c>
      <c r="J91" s="28">
        <v>140</v>
      </c>
      <c r="K91" s="28">
        <f>SUM($G$91:$J$91)</f>
        <v>512</v>
      </c>
      <c r="L91" s="59">
        <f t="array" ref="L91">INDEX(М[Цена за ед., руб],MATCH(1,IF(($B91=М[Наим.])*($C91=М[Артикул, марка, произв.])*($D91=М[Хар-ка])*($N91=М[Прим.]),{1},($B91=М[Наим.])*($C91=М[Артикул, марка, произв.])*($D91=М[Хар-ка])*($N91=М[Прим.])),0))</f>
        <v>0</v>
      </c>
      <c r="M91" s="59">
        <f>ROUND($K$91*$L$91,2)</f>
        <v>0</v>
      </c>
      <c r="N91" s="25"/>
      <c r="O91" s="25">
        <f t="array" ref="O91">INDEX(М[Форма закупа],MATCH(1,IF(($B91=М[Наим.])*($C91=М[Артикул, марка, произв.])*($D91=М[Хар-ка])*($N91=М[Прим.]),{1},($B91=М[Наим.])*($C91=М[Артикул, марка, произв.])*($D91=М[Хар-ка])*($N91=М[Прим.])),0))</f>
        <v>0</v>
      </c>
    </row>
    <row r="92" spans="1:15" ht="11.1" customHeight="1" outlineLevel="2" x14ac:dyDescent="0.2">
      <c r="A92" s="13" t="s">
        <v>92</v>
      </c>
      <c r="B92" s="14" t="s">
        <v>93</v>
      </c>
      <c r="C92" s="15"/>
      <c r="D92" s="15"/>
      <c r="E92" s="16"/>
      <c r="F92" s="17"/>
      <c r="G92" s="18"/>
      <c r="H92" s="18"/>
      <c r="I92" s="18"/>
      <c r="J92" s="18"/>
      <c r="K92" s="18"/>
      <c r="L92" s="56"/>
      <c r="M92" s="56">
        <f>SUM($M$93)</f>
        <v>0</v>
      </c>
      <c r="N92" s="19"/>
      <c r="O92" s="19"/>
    </row>
    <row r="93" spans="1:15" ht="11.1" customHeight="1" outlineLevel="3" x14ac:dyDescent="0.2">
      <c r="A93" s="13" t="s">
        <v>94</v>
      </c>
      <c r="B93" s="14" t="s">
        <v>93</v>
      </c>
      <c r="C93" s="15"/>
      <c r="D93" s="15"/>
      <c r="E93" s="16"/>
      <c r="F93" s="17"/>
      <c r="G93" s="18"/>
      <c r="H93" s="18"/>
      <c r="I93" s="18"/>
      <c r="J93" s="18"/>
      <c r="K93" s="18"/>
      <c r="L93" s="56"/>
      <c r="M93" s="56">
        <f>SUM($M$122,$M$120,$M$117,$M$115,$M$113,$M$111,$M$109,$M$107,$M$105,$M$103,$M$101,$M$98,$M$96,$M$94)</f>
        <v>0</v>
      </c>
      <c r="N93" s="19"/>
      <c r="O93" s="19"/>
    </row>
    <row r="94" spans="1:15" ht="11.1" customHeight="1" outlineLevel="4" x14ac:dyDescent="0.2">
      <c r="A94" s="20"/>
      <c r="B94" s="14" t="s">
        <v>25</v>
      </c>
      <c r="C94" s="21"/>
      <c r="D94" s="21"/>
      <c r="E94" s="21"/>
      <c r="F94" s="21"/>
      <c r="G94" s="21"/>
      <c r="H94" s="21"/>
      <c r="I94" s="21"/>
      <c r="J94" s="21"/>
      <c r="K94" s="21"/>
      <c r="L94" s="57"/>
      <c r="M94" s="58">
        <f>SUM($M$95)</f>
        <v>0</v>
      </c>
      <c r="N94" s="18"/>
      <c r="O94" s="22"/>
    </row>
    <row r="95" spans="1:15" ht="11.1" customHeight="1" outlineLevel="4" x14ac:dyDescent="0.2">
      <c r="A95" s="23"/>
      <c r="B95" s="24" t="s">
        <v>95</v>
      </c>
      <c r="C95" s="25"/>
      <c r="D95" s="25"/>
      <c r="E95" s="26" t="s">
        <v>27</v>
      </c>
      <c r="F95" s="27"/>
      <c r="G95" s="28">
        <v>65</v>
      </c>
      <c r="H95" s="28">
        <v>80</v>
      </c>
      <c r="I95" s="28">
        <v>84</v>
      </c>
      <c r="J95" s="28">
        <v>96</v>
      </c>
      <c r="K95" s="28">
        <f>SUM($G$95:$J$95)</f>
        <v>325</v>
      </c>
      <c r="L95" s="59">
        <f t="array" ref="L95">INDEX(Р[Цена за ед., руб],MATCH(1,IF(($B95=Р[Наименование])*($N95=Р[Примечание]),{1},($B95=Р[Наименование])*($N95=Р[Примечание])),0))</f>
        <v>0</v>
      </c>
      <c r="M95" s="59">
        <f>ROUND($K$95*$L$95,2)</f>
        <v>0</v>
      </c>
      <c r="N95" s="25"/>
      <c r="O95" s="25"/>
    </row>
    <row r="96" spans="1:15" ht="11.1" customHeight="1" outlineLevel="4" x14ac:dyDescent="0.2">
      <c r="A96" s="20"/>
      <c r="B96" s="14" t="s">
        <v>25</v>
      </c>
      <c r="C96" s="21"/>
      <c r="D96" s="21"/>
      <c r="E96" s="21"/>
      <c r="F96" s="21"/>
      <c r="G96" s="21"/>
      <c r="H96" s="21"/>
      <c r="I96" s="21"/>
      <c r="J96" s="21"/>
      <c r="K96" s="21"/>
      <c r="L96" s="57"/>
      <c r="M96" s="58">
        <f>SUM($M$97)</f>
        <v>0</v>
      </c>
      <c r="N96" s="18"/>
      <c r="O96" s="22"/>
    </row>
    <row r="97" spans="1:15" ht="11.1" customHeight="1" outlineLevel="4" x14ac:dyDescent="0.2">
      <c r="A97" s="23"/>
      <c r="B97" s="24" t="s">
        <v>29</v>
      </c>
      <c r="C97" s="25"/>
      <c r="D97" s="25"/>
      <c r="E97" s="26" t="s">
        <v>30</v>
      </c>
      <c r="F97" s="27"/>
      <c r="G97" s="30">
        <v>1113</v>
      </c>
      <c r="H97" s="30">
        <v>1363</v>
      </c>
      <c r="I97" s="30">
        <v>1380</v>
      </c>
      <c r="J97" s="30">
        <v>1584</v>
      </c>
      <c r="K97" s="30">
        <f>SUM($G$97:$J$97)</f>
        <v>5440</v>
      </c>
      <c r="L97" s="59">
        <f t="array" ref="L97">INDEX(Р[Цена за ед., руб],MATCH(1,IF(($B97=Р[Наименование])*($N97=Р[Примечание]),{1},($B97=Р[Наименование])*($N97=Р[Примечание])),0))</f>
        <v>0</v>
      </c>
      <c r="M97" s="59">
        <f>ROUND($K$97*$L$97,2)</f>
        <v>0</v>
      </c>
      <c r="N97" s="25"/>
      <c r="O97" s="25"/>
    </row>
    <row r="98" spans="1:15" ht="11.1" customHeight="1" outlineLevel="4" x14ac:dyDescent="0.2">
      <c r="A98" s="20"/>
      <c r="B98" s="14" t="s">
        <v>31</v>
      </c>
      <c r="C98" s="21"/>
      <c r="D98" s="21"/>
      <c r="E98" s="21"/>
      <c r="F98" s="21"/>
      <c r="G98" s="21"/>
      <c r="H98" s="21"/>
      <c r="I98" s="21"/>
      <c r="J98" s="21"/>
      <c r="K98" s="21"/>
      <c r="L98" s="57"/>
      <c r="M98" s="58">
        <f>SUM($M$99:$M$100)</f>
        <v>0</v>
      </c>
      <c r="N98" s="18"/>
      <c r="O98" s="22"/>
    </row>
    <row r="99" spans="1:15" ht="35.1" customHeight="1" outlineLevel="4" x14ac:dyDescent="0.2">
      <c r="A99" s="23" t="s">
        <v>32</v>
      </c>
      <c r="B99" s="24" t="s">
        <v>85</v>
      </c>
      <c r="C99" s="25"/>
      <c r="D99" s="25" t="s">
        <v>96</v>
      </c>
      <c r="E99" s="26" t="s">
        <v>35</v>
      </c>
      <c r="F99" s="27"/>
      <c r="G99" s="28">
        <v>868</v>
      </c>
      <c r="H99" s="30">
        <v>1078</v>
      </c>
      <c r="I99" s="30">
        <v>1092</v>
      </c>
      <c r="J99" s="30">
        <v>1260</v>
      </c>
      <c r="K99" s="30">
        <f>SUM($G$99:$J$99)</f>
        <v>4298</v>
      </c>
      <c r="L99" s="59">
        <f t="array" ref="L99">INDEX(М[Цена за ед., руб],MATCH(1,IF(($B99=М[Наим.])*($C99=М[Артикул, марка, произв.])*($D99=М[Хар-ка])*($N99=М[Прим.]),{1},($B99=М[Наим.])*($C99=М[Артикул, марка, произв.])*($D99=М[Хар-ка])*($N99=М[Прим.])),0))</f>
        <v>0</v>
      </c>
      <c r="M99" s="59">
        <f>ROUND($K$99*$L$99,2)</f>
        <v>0</v>
      </c>
      <c r="N99" s="25"/>
      <c r="O99" s="25">
        <f t="array" ref="O99">INDEX(М[Форма закупа],MATCH(1,IF(($B99=М[Наим.])*($C99=М[Артикул, марка, произв.])*($D99=М[Хар-ка])*($N99=М[Прим.]),{1},($B99=М[Наим.])*($C99=М[Артикул, марка, произв.])*($D99=М[Хар-ка])*($N99=М[Прим.])),0))</f>
        <v>0</v>
      </c>
    </row>
    <row r="100" spans="1:15" ht="35.1" customHeight="1" outlineLevel="4" x14ac:dyDescent="0.2">
      <c r="A100" s="23" t="s">
        <v>37</v>
      </c>
      <c r="B100" s="24" t="s">
        <v>85</v>
      </c>
      <c r="C100" s="25"/>
      <c r="D100" s="25" t="s">
        <v>97</v>
      </c>
      <c r="E100" s="26" t="s">
        <v>35</v>
      </c>
      <c r="F100" s="29">
        <v>1</v>
      </c>
      <c r="G100" s="28">
        <v>245</v>
      </c>
      <c r="H100" s="28">
        <v>285</v>
      </c>
      <c r="I100" s="28">
        <v>288</v>
      </c>
      <c r="J100" s="28">
        <v>324</v>
      </c>
      <c r="K100" s="30">
        <f>SUM($G$100:$J$100)</f>
        <v>1142</v>
      </c>
      <c r="L100" s="59">
        <f t="array" ref="L100">INDEX(М[Цена за ед., руб],MATCH(1,IF(($B100=М[Наим.])*($C100=М[Артикул, марка, произв.])*($D100=М[Хар-ка])*($N100=М[Прим.]),{1},($B100=М[Наим.])*($C100=М[Артикул, марка, произв.])*($D100=М[Хар-ка])*($N100=М[Прим.])),0))</f>
        <v>0</v>
      </c>
      <c r="M100" s="59">
        <f>ROUND($K$100*$L$100,2)</f>
        <v>0</v>
      </c>
      <c r="N100" s="25"/>
      <c r="O100" s="25">
        <f t="array" ref="O100">INDEX(М[Форма закупа],MATCH(1,IF(($B100=М[Наим.])*($C100=М[Артикул, марка, произв.])*($D100=М[Хар-ка])*($N100=М[Прим.]),{1},($B100=М[Наим.])*($C100=М[Артикул, марка, произв.])*($D100=М[Хар-ка])*($N100=М[Прим.])),0))</f>
        <v>0</v>
      </c>
    </row>
    <row r="101" spans="1:15" ht="11.1" customHeight="1" outlineLevel="4" x14ac:dyDescent="0.2">
      <c r="A101" s="20"/>
      <c r="B101" s="14" t="s">
        <v>25</v>
      </c>
      <c r="C101" s="21"/>
      <c r="D101" s="21"/>
      <c r="E101" s="21"/>
      <c r="F101" s="21"/>
      <c r="G101" s="21"/>
      <c r="H101" s="21"/>
      <c r="I101" s="21"/>
      <c r="J101" s="21"/>
      <c r="K101" s="21"/>
      <c r="L101" s="57"/>
      <c r="M101" s="58">
        <f>SUM($M$102)</f>
        <v>0</v>
      </c>
      <c r="N101" s="18"/>
      <c r="O101" s="22"/>
    </row>
    <row r="102" spans="1:15" ht="11.1" customHeight="1" outlineLevel="4" x14ac:dyDescent="0.2">
      <c r="A102" s="23"/>
      <c r="B102" s="24" t="s">
        <v>40</v>
      </c>
      <c r="C102" s="25"/>
      <c r="D102" s="25"/>
      <c r="E102" s="26" t="s">
        <v>41</v>
      </c>
      <c r="F102" s="27"/>
      <c r="G102" s="28">
        <v>10</v>
      </c>
      <c r="H102" s="28">
        <v>10</v>
      </c>
      <c r="I102" s="28">
        <v>15</v>
      </c>
      <c r="J102" s="28">
        <v>12</v>
      </c>
      <c r="K102" s="28">
        <f>SUM($G$102:$J$102)</f>
        <v>47</v>
      </c>
      <c r="L102" s="59">
        <f t="array" ref="L102">INDEX(Р[Цена за ед., руб],MATCH(1,IF(($B102=Р[Наименование])*($N102=Р[Примечание]),{1},($B102=Р[Наименование])*($N102=Р[Примечание])),0))</f>
        <v>0</v>
      </c>
      <c r="M102" s="59">
        <f>ROUND($K$102*$L$102,2)</f>
        <v>0</v>
      </c>
      <c r="N102" s="25"/>
      <c r="O102" s="25"/>
    </row>
    <row r="103" spans="1:15" ht="11.1" customHeight="1" outlineLevel="4" x14ac:dyDescent="0.2">
      <c r="A103" s="20"/>
      <c r="B103" s="14" t="s">
        <v>31</v>
      </c>
      <c r="C103" s="21"/>
      <c r="D103" s="21"/>
      <c r="E103" s="21"/>
      <c r="F103" s="21"/>
      <c r="G103" s="21"/>
      <c r="H103" s="21"/>
      <c r="I103" s="21"/>
      <c r="J103" s="21"/>
      <c r="K103" s="21"/>
      <c r="L103" s="57"/>
      <c r="M103" s="58">
        <f>SUM($M$104)</f>
        <v>0</v>
      </c>
      <c r="N103" s="18"/>
      <c r="O103" s="22"/>
    </row>
    <row r="104" spans="1:15" ht="23.1" customHeight="1" outlineLevel="4" x14ac:dyDescent="0.2">
      <c r="A104" s="23" t="s">
        <v>32</v>
      </c>
      <c r="B104" s="24" t="s">
        <v>42</v>
      </c>
      <c r="C104" s="25"/>
      <c r="D104" s="25" t="s">
        <v>43</v>
      </c>
      <c r="E104" s="26" t="s">
        <v>41</v>
      </c>
      <c r="F104" s="27"/>
      <c r="G104" s="28">
        <v>10</v>
      </c>
      <c r="H104" s="28">
        <v>10</v>
      </c>
      <c r="I104" s="28">
        <v>15</v>
      </c>
      <c r="J104" s="28">
        <v>12</v>
      </c>
      <c r="K104" s="28">
        <f>SUM($G$104:$J$104)</f>
        <v>47</v>
      </c>
      <c r="L104" s="59">
        <f t="array" ref="L104">INDEX(М[Цена за ед., руб],MATCH(1,IF(($B104=М[Наим.])*($C104=М[Артикул, марка, произв.])*($D104=М[Хар-ка])*($N104=М[Прим.]),{1},($B104=М[Наим.])*($C104=М[Артикул, марка, произв.])*($D104=М[Хар-ка])*($N104=М[Прим.])),0))</f>
        <v>0</v>
      </c>
      <c r="M104" s="59">
        <f>ROUND($K$104*$L$104,2)</f>
        <v>0</v>
      </c>
      <c r="N104" s="25"/>
      <c r="O104" s="25">
        <f t="array" ref="O104">INDEX(М[Форма закупа],MATCH(1,IF(($B104=М[Наим.])*($C104=М[Артикул, марка, произв.])*($D104=М[Хар-ка])*($N104=М[Прим.]),{1},($B104=М[Наим.])*($C104=М[Артикул, марка, произв.])*($D104=М[Хар-ка])*($N104=М[Прим.])),0))</f>
        <v>0</v>
      </c>
    </row>
    <row r="105" spans="1:15" ht="11.1" customHeight="1" outlineLevel="4" x14ac:dyDescent="0.2">
      <c r="A105" s="20"/>
      <c r="B105" s="14" t="s">
        <v>25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57"/>
      <c r="M105" s="58">
        <f>SUM($M$106)</f>
        <v>0</v>
      </c>
      <c r="N105" s="18"/>
      <c r="O105" s="22"/>
    </row>
    <row r="106" spans="1:15" ht="11.1" customHeight="1" outlineLevel="4" x14ac:dyDescent="0.2">
      <c r="A106" s="23"/>
      <c r="B106" s="24" t="s">
        <v>49</v>
      </c>
      <c r="C106" s="25"/>
      <c r="D106" s="25"/>
      <c r="E106" s="26" t="s">
        <v>27</v>
      </c>
      <c r="F106" s="27"/>
      <c r="G106" s="28">
        <v>5</v>
      </c>
      <c r="H106" s="28">
        <v>5</v>
      </c>
      <c r="I106" s="28">
        <v>6</v>
      </c>
      <c r="J106" s="28">
        <v>6</v>
      </c>
      <c r="K106" s="28">
        <f>SUM($G$106:$J$106)</f>
        <v>22</v>
      </c>
      <c r="L106" s="59">
        <f t="array" ref="L106">INDEX(Р[Цена за ед., руб],MATCH(1,IF(($B106=Р[Наименование])*($N106=Р[Примечание]),{1},($B106=Р[Наименование])*($N106=Р[Примечание])),0))</f>
        <v>0</v>
      </c>
      <c r="M106" s="59">
        <f>ROUND($K$106*$L$106,2)</f>
        <v>0</v>
      </c>
      <c r="N106" s="25"/>
      <c r="O106" s="25"/>
    </row>
    <row r="107" spans="1:15" ht="11.1" customHeight="1" outlineLevel="4" x14ac:dyDescent="0.2">
      <c r="A107" s="20"/>
      <c r="B107" s="14" t="s">
        <v>31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57"/>
      <c r="M107" s="58">
        <f>SUM($M$108)</f>
        <v>0</v>
      </c>
      <c r="N107" s="18"/>
      <c r="O107" s="22"/>
    </row>
    <row r="108" spans="1:15" ht="23.1" customHeight="1" outlineLevel="4" x14ac:dyDescent="0.2">
      <c r="A108" s="23" t="s">
        <v>32</v>
      </c>
      <c r="B108" s="24" t="s">
        <v>50</v>
      </c>
      <c r="C108" s="25"/>
      <c r="D108" s="25" t="s">
        <v>98</v>
      </c>
      <c r="E108" s="26" t="s">
        <v>27</v>
      </c>
      <c r="F108" s="27"/>
      <c r="G108" s="28">
        <v>5</v>
      </c>
      <c r="H108" s="28">
        <v>5</v>
      </c>
      <c r="I108" s="28">
        <v>6</v>
      </c>
      <c r="J108" s="28">
        <v>6</v>
      </c>
      <c r="K108" s="28">
        <f>SUM($G$108:$J$108)</f>
        <v>22</v>
      </c>
      <c r="L108" s="59">
        <f t="array" ref="L108">INDEX(М[Цена за ед., руб],MATCH(1,IF(($B108=М[Наим.])*($C108=М[Артикул, марка, произв.])*($D108=М[Хар-ка])*($N108=М[Прим.]),{1},($B108=М[Наим.])*($C108=М[Артикул, марка, произв.])*($D108=М[Хар-ка])*($N108=М[Прим.])),0))</f>
        <v>0</v>
      </c>
      <c r="M108" s="59">
        <f>ROUND($K$108*$L$108,2)</f>
        <v>0</v>
      </c>
      <c r="N108" s="25"/>
      <c r="O108" s="25">
        <f t="array" ref="O108">INDEX(М[Форма закупа],MATCH(1,IF(($B108=М[Наим.])*($C108=М[Артикул, марка, произв.])*($D108=М[Хар-ка])*($N108=М[Прим.]),{1},($B108=М[Наим.])*($C108=М[Артикул, марка, произв.])*($D108=М[Хар-ка])*($N108=М[Прим.])),0))</f>
        <v>0</v>
      </c>
    </row>
    <row r="109" spans="1:15" ht="11.1" customHeight="1" outlineLevel="4" x14ac:dyDescent="0.2">
      <c r="A109" s="20"/>
      <c r="B109" s="14" t="s">
        <v>25</v>
      </c>
      <c r="C109" s="21"/>
      <c r="D109" s="21"/>
      <c r="E109" s="21"/>
      <c r="F109" s="21"/>
      <c r="G109" s="21"/>
      <c r="H109" s="21"/>
      <c r="I109" s="21"/>
      <c r="J109" s="21"/>
      <c r="K109" s="21"/>
      <c r="L109" s="57"/>
      <c r="M109" s="58">
        <f>SUM($M$110)</f>
        <v>0</v>
      </c>
      <c r="N109" s="18"/>
      <c r="O109" s="22"/>
    </row>
    <row r="110" spans="1:15" ht="11.1" customHeight="1" outlineLevel="4" x14ac:dyDescent="0.2">
      <c r="A110" s="23"/>
      <c r="B110" s="24" t="s">
        <v>55</v>
      </c>
      <c r="C110" s="25"/>
      <c r="D110" s="25"/>
      <c r="E110" s="26" t="s">
        <v>27</v>
      </c>
      <c r="F110" s="27"/>
      <c r="G110" s="28">
        <v>65</v>
      </c>
      <c r="H110" s="28">
        <v>80</v>
      </c>
      <c r="I110" s="28">
        <v>84</v>
      </c>
      <c r="J110" s="28">
        <v>96</v>
      </c>
      <c r="K110" s="28">
        <f>SUM($G$110:$J$110)</f>
        <v>325</v>
      </c>
      <c r="L110" s="59">
        <f t="array" ref="L110">INDEX(Р[Цена за ед., руб],MATCH(1,IF(($B110=Р[Наименование])*($N110=Р[Примечание]),{1},($B110=Р[Наименование])*($N110=Р[Примечание])),0))</f>
        <v>0</v>
      </c>
      <c r="M110" s="59">
        <f>ROUND($K$110*$L$110,2)</f>
        <v>0</v>
      </c>
      <c r="N110" s="25"/>
      <c r="O110" s="25"/>
    </row>
    <row r="111" spans="1:15" ht="11.1" customHeight="1" outlineLevel="4" x14ac:dyDescent="0.2">
      <c r="A111" s="20"/>
      <c r="B111" s="14" t="s">
        <v>31</v>
      </c>
      <c r="C111" s="21"/>
      <c r="D111" s="21"/>
      <c r="E111" s="21"/>
      <c r="F111" s="21"/>
      <c r="G111" s="21"/>
      <c r="H111" s="21"/>
      <c r="I111" s="21"/>
      <c r="J111" s="21"/>
      <c r="K111" s="21"/>
      <c r="L111" s="57"/>
      <c r="M111" s="58">
        <f>SUM($M$112)</f>
        <v>0</v>
      </c>
      <c r="N111" s="18"/>
      <c r="O111" s="22"/>
    </row>
    <row r="112" spans="1:15" ht="11.1" customHeight="1" outlineLevel="4" x14ac:dyDescent="0.2">
      <c r="A112" s="23" t="s">
        <v>32</v>
      </c>
      <c r="B112" s="24" t="s">
        <v>56</v>
      </c>
      <c r="C112" s="25"/>
      <c r="D112" s="25" t="s">
        <v>99</v>
      </c>
      <c r="E112" s="26" t="s">
        <v>27</v>
      </c>
      <c r="F112" s="27"/>
      <c r="G112" s="28">
        <v>65</v>
      </c>
      <c r="H112" s="28">
        <v>80</v>
      </c>
      <c r="I112" s="28">
        <v>84</v>
      </c>
      <c r="J112" s="28">
        <v>96</v>
      </c>
      <c r="K112" s="28">
        <f>SUM($G$112:$J$112)</f>
        <v>325</v>
      </c>
      <c r="L112" s="59">
        <f t="array" ref="L112">INDEX(М[Цена за ед., руб],MATCH(1,IF(($B112=М[Наим.])*($C112=М[Артикул, марка, произв.])*($D112=М[Хар-ка])*($N112=М[Прим.]),{1},($B112=М[Наим.])*($C112=М[Артикул, марка, произв.])*($D112=М[Хар-ка])*($N112=М[Прим.])),0))</f>
        <v>0</v>
      </c>
      <c r="M112" s="59">
        <f>ROUND($K$112*$L$112,2)</f>
        <v>0</v>
      </c>
      <c r="N112" s="25"/>
      <c r="O112" s="25">
        <f t="array" ref="O112">INDEX(М[Форма закупа],MATCH(1,IF(($B112=М[Наим.])*($C112=М[Артикул, марка, произв.])*($D112=М[Хар-ка])*($N112=М[Прим.]),{1},($B112=М[Наим.])*($C112=М[Артикул, марка, произв.])*($D112=М[Хар-ка])*($N112=М[Прим.])),0))</f>
        <v>0</v>
      </c>
    </row>
    <row r="113" spans="1:15" ht="11.1" customHeight="1" outlineLevel="4" x14ac:dyDescent="0.2">
      <c r="A113" s="20"/>
      <c r="B113" s="14" t="s">
        <v>25</v>
      </c>
      <c r="C113" s="21"/>
      <c r="D113" s="21"/>
      <c r="E113" s="21"/>
      <c r="F113" s="21"/>
      <c r="G113" s="21"/>
      <c r="H113" s="21"/>
      <c r="I113" s="21"/>
      <c r="J113" s="21"/>
      <c r="K113" s="21"/>
      <c r="L113" s="57"/>
      <c r="M113" s="58">
        <f>SUM($M$114)</f>
        <v>0</v>
      </c>
      <c r="N113" s="18"/>
      <c r="O113" s="22"/>
    </row>
    <row r="114" spans="1:15" ht="11.1" customHeight="1" outlineLevel="4" x14ac:dyDescent="0.2">
      <c r="A114" s="23"/>
      <c r="B114" s="24" t="s">
        <v>100</v>
      </c>
      <c r="C114" s="25"/>
      <c r="D114" s="25"/>
      <c r="E114" s="26" t="s">
        <v>27</v>
      </c>
      <c r="F114" s="27"/>
      <c r="G114" s="28">
        <v>180</v>
      </c>
      <c r="H114" s="28">
        <v>200</v>
      </c>
      <c r="I114" s="28">
        <v>140</v>
      </c>
      <c r="J114" s="28">
        <v>220</v>
      </c>
      <c r="K114" s="28">
        <f>SUM($G$114:$J$114)</f>
        <v>740</v>
      </c>
      <c r="L114" s="59">
        <f t="array" ref="L114">INDEX(Р[Цена за ед., руб],MATCH(1,IF(($B114=Р[Наименование])*($N114=Р[Примечание]),{1},($B114=Р[Наименование])*($N114=Р[Примечание])),0))</f>
        <v>0</v>
      </c>
      <c r="M114" s="59">
        <f>ROUND($K$114*$L$114,2)</f>
        <v>0</v>
      </c>
      <c r="N114" s="25"/>
      <c r="O114" s="25"/>
    </row>
    <row r="115" spans="1:15" ht="11.1" customHeight="1" outlineLevel="4" x14ac:dyDescent="0.2">
      <c r="A115" s="20"/>
      <c r="B115" s="14" t="s">
        <v>25</v>
      </c>
      <c r="C115" s="21"/>
      <c r="D115" s="21"/>
      <c r="E115" s="21"/>
      <c r="F115" s="21"/>
      <c r="G115" s="21"/>
      <c r="H115" s="21"/>
      <c r="I115" s="21"/>
      <c r="J115" s="21"/>
      <c r="K115" s="21"/>
      <c r="L115" s="57"/>
      <c r="M115" s="58">
        <f>SUM($M$116)</f>
        <v>0</v>
      </c>
      <c r="N115" s="18"/>
      <c r="O115" s="22"/>
    </row>
    <row r="116" spans="1:15" ht="11.1" customHeight="1" outlineLevel="4" x14ac:dyDescent="0.2">
      <c r="A116" s="23"/>
      <c r="B116" s="24" t="s">
        <v>72</v>
      </c>
      <c r="C116" s="25"/>
      <c r="D116" s="25"/>
      <c r="E116" s="26" t="s">
        <v>30</v>
      </c>
      <c r="F116" s="27"/>
      <c r="G116" s="28">
        <v>255</v>
      </c>
      <c r="H116" s="28">
        <v>295</v>
      </c>
      <c r="I116" s="28">
        <v>298</v>
      </c>
      <c r="J116" s="28">
        <v>334</v>
      </c>
      <c r="K116" s="30">
        <f>SUM($G$116:$J$116)</f>
        <v>1182</v>
      </c>
      <c r="L116" s="59">
        <f t="array" ref="L116">INDEX(Р[Цена за ед., руб],MATCH(1,IF(($B116=Р[Наименование])*($N116=Р[Примечание]),{1},($B116=Р[Наименование])*($N116=Р[Примечание])),0))</f>
        <v>0</v>
      </c>
      <c r="M116" s="59">
        <f>ROUND($K$116*$L$116,2)</f>
        <v>0</v>
      </c>
      <c r="N116" s="25"/>
      <c r="O116" s="25"/>
    </row>
    <row r="117" spans="1:15" ht="11.1" customHeight="1" outlineLevel="4" x14ac:dyDescent="0.2">
      <c r="A117" s="20"/>
      <c r="B117" s="14" t="s">
        <v>31</v>
      </c>
      <c r="C117" s="21"/>
      <c r="D117" s="21"/>
      <c r="E117" s="21"/>
      <c r="F117" s="21"/>
      <c r="G117" s="21"/>
      <c r="H117" s="21"/>
      <c r="I117" s="21"/>
      <c r="J117" s="21"/>
      <c r="K117" s="21"/>
      <c r="L117" s="57"/>
      <c r="M117" s="58">
        <f>SUM($M$118:$M$119)</f>
        <v>0</v>
      </c>
      <c r="N117" s="18"/>
      <c r="O117" s="22"/>
    </row>
    <row r="118" spans="1:15" ht="35.1" customHeight="1" outlineLevel="4" x14ac:dyDescent="0.2">
      <c r="A118" s="96" t="s">
        <v>32</v>
      </c>
      <c r="B118" s="24" t="s">
        <v>73</v>
      </c>
      <c r="C118" s="25"/>
      <c r="D118" s="25" t="s">
        <v>101</v>
      </c>
      <c r="E118" s="26" t="s">
        <v>35</v>
      </c>
      <c r="F118" s="27"/>
      <c r="G118" s="28">
        <v>10</v>
      </c>
      <c r="H118" s="28">
        <v>10</v>
      </c>
      <c r="I118" s="28">
        <v>10</v>
      </c>
      <c r="J118" s="28">
        <v>10</v>
      </c>
      <c r="K118" s="28">
        <f>SUM($G$118:$J$118)</f>
        <v>40</v>
      </c>
      <c r="L118" s="59">
        <f t="array" ref="L118">INDEX(М[Цена за ед., руб],MATCH(1,IF(($B118=М[Наим.])*($C118=М[Артикул, марка, произв.])*($D118=М[Хар-ка])*($N118=М[Прим.]),{1},($B118=М[Наим.])*($C118=М[Артикул, марка, произв.])*($D118=М[Хар-ка])*($N118=М[Прим.])),0))</f>
        <v>0</v>
      </c>
      <c r="M118" s="59">
        <f>ROUND($K$118*$L$118,2)</f>
        <v>0</v>
      </c>
      <c r="N118" s="25"/>
      <c r="O118" s="25">
        <f t="array" ref="O118">INDEX(М[Форма закупа],MATCH(1,IF(($B118=М[Наим.])*($C118=М[Артикул, марка, произв.])*($D118=М[Хар-ка])*($N118=М[Прим.]),{1},($B118=М[Наим.])*($C118=М[Артикул, марка, произв.])*($D118=М[Хар-ка])*($N118=М[Прим.])),0))</f>
        <v>0</v>
      </c>
    </row>
    <row r="119" spans="1:15" ht="35.1" customHeight="1" outlineLevel="4" x14ac:dyDescent="0.2">
      <c r="A119" s="96" t="s">
        <v>37</v>
      </c>
      <c r="B119" s="24" t="s">
        <v>73</v>
      </c>
      <c r="C119" s="25"/>
      <c r="D119" s="25" t="s">
        <v>74</v>
      </c>
      <c r="E119" s="26" t="s">
        <v>35</v>
      </c>
      <c r="F119" s="27"/>
      <c r="G119" s="28">
        <v>245</v>
      </c>
      <c r="H119" s="28">
        <v>285</v>
      </c>
      <c r="I119" s="28">
        <v>288</v>
      </c>
      <c r="J119" s="28">
        <v>324</v>
      </c>
      <c r="K119" s="30">
        <f>SUM($G$119:$J$119)</f>
        <v>1142</v>
      </c>
      <c r="L119" s="59">
        <f t="array" ref="L119">INDEX(М[Цена за ед., руб],MATCH(1,IF(($B119=М[Наим.])*($C119=М[Артикул, марка, произв.])*($D119=М[Хар-ка])*($N119=М[Прим.]),{1},($B119=М[Наим.])*($C119=М[Артикул, марка, произв.])*($D119=М[Хар-ка])*($N119=М[Прим.])),0))</f>
        <v>0</v>
      </c>
      <c r="M119" s="59">
        <f>ROUND($K$119*$L$119,2)</f>
        <v>0</v>
      </c>
      <c r="N119" s="25"/>
      <c r="O119" s="25">
        <f t="array" ref="O119">INDEX(М[Форма закупа],MATCH(1,IF(($B119=М[Наим.])*($C119=М[Артикул, марка, произв.])*($D119=М[Хар-ка])*($N119=М[Прим.]),{1},($B119=М[Наим.])*($C119=М[Артикул, марка, произв.])*($D119=М[Хар-ка])*($N119=М[Прим.])),0))</f>
        <v>0</v>
      </c>
    </row>
    <row r="120" spans="1:15" ht="11.1" customHeight="1" outlineLevel="4" x14ac:dyDescent="0.2">
      <c r="A120" s="20"/>
      <c r="B120" s="14" t="s">
        <v>25</v>
      </c>
      <c r="C120" s="21"/>
      <c r="D120" s="21"/>
      <c r="E120" s="21"/>
      <c r="F120" s="21"/>
      <c r="G120" s="21"/>
      <c r="H120" s="21"/>
      <c r="I120" s="21"/>
      <c r="J120" s="21"/>
      <c r="K120" s="21"/>
      <c r="L120" s="57"/>
      <c r="M120" s="58">
        <f>SUM($M$121)</f>
        <v>0</v>
      </c>
      <c r="N120" s="18"/>
      <c r="O120" s="22"/>
    </row>
    <row r="121" spans="1:15" ht="11.1" customHeight="1" outlineLevel="4" x14ac:dyDescent="0.2">
      <c r="A121" s="23"/>
      <c r="B121" s="24" t="s">
        <v>102</v>
      </c>
      <c r="C121" s="25"/>
      <c r="D121" s="25"/>
      <c r="E121" s="26" t="s">
        <v>30</v>
      </c>
      <c r="F121" s="27"/>
      <c r="G121" s="28">
        <v>868</v>
      </c>
      <c r="H121" s="30">
        <v>1078</v>
      </c>
      <c r="I121" s="30">
        <v>1092</v>
      </c>
      <c r="J121" s="30">
        <v>1260</v>
      </c>
      <c r="K121" s="30">
        <f>SUM($G$121:$J$121)</f>
        <v>4298</v>
      </c>
      <c r="L121" s="59">
        <f t="array" ref="L121">INDEX(Р[Цена за ед., руб],MATCH(1,IF(($B121=Р[Наименование])*($N121=Р[Примечание]),{1},($B121=Р[Наименование])*($N121=Р[Примечание])),0))</f>
        <v>0</v>
      </c>
      <c r="M121" s="59">
        <f>ROUND($K$121*$L$121,2)</f>
        <v>0</v>
      </c>
      <c r="N121" s="25"/>
      <c r="O121" s="25"/>
    </row>
    <row r="122" spans="1:15" ht="11.1" customHeight="1" outlineLevel="4" x14ac:dyDescent="0.2">
      <c r="A122" s="20"/>
      <c r="B122" s="14" t="s">
        <v>31</v>
      </c>
      <c r="C122" s="21"/>
      <c r="D122" s="21"/>
      <c r="E122" s="21"/>
      <c r="F122" s="21"/>
      <c r="G122" s="21"/>
      <c r="H122" s="21"/>
      <c r="I122" s="21"/>
      <c r="J122" s="21"/>
      <c r="K122" s="21"/>
      <c r="L122" s="57"/>
      <c r="M122" s="58">
        <f>SUM($M$123)</f>
        <v>0</v>
      </c>
      <c r="N122" s="18"/>
      <c r="O122" s="22"/>
    </row>
    <row r="123" spans="1:15" ht="23.1" customHeight="1" outlineLevel="4" x14ac:dyDescent="0.2">
      <c r="A123" s="96" t="s">
        <v>32</v>
      </c>
      <c r="B123" s="24" t="s">
        <v>103</v>
      </c>
      <c r="C123" s="25" t="s">
        <v>104</v>
      </c>
      <c r="D123" s="25" t="s">
        <v>105</v>
      </c>
      <c r="E123" s="26" t="s">
        <v>35</v>
      </c>
      <c r="F123" s="27"/>
      <c r="G123" s="28">
        <v>868</v>
      </c>
      <c r="H123" s="30">
        <v>1078</v>
      </c>
      <c r="I123" s="30">
        <v>1092</v>
      </c>
      <c r="J123" s="30">
        <v>1260</v>
      </c>
      <c r="K123" s="30">
        <f>SUM($G$123:$J$123)</f>
        <v>4298</v>
      </c>
      <c r="L123" s="59">
        <f t="array" ref="L123">INDEX(М[Цена за ед., руб],MATCH(1,IF(($B123=М[Наим.])*($C123=М[Артикул, марка, произв.])*($D123=М[Хар-ка])*($N123=М[Прим.]),{1},($B123=М[Наим.])*($C123=М[Артикул, марка, произв.])*($D123=М[Хар-ка])*($N123=М[Прим.])),0))</f>
        <v>0</v>
      </c>
      <c r="M123" s="59">
        <f>ROUND($K$123*$L$123,2)</f>
        <v>0</v>
      </c>
      <c r="N123" s="25"/>
      <c r="O123" s="25">
        <f t="array" ref="O123">INDEX(М[Форма закупа],MATCH(1,IF(($B123=М[Наим.])*($C123=М[Артикул, марка, произв.])*($D123=М[Хар-ка])*($N123=М[Прим.]),{1},($B123=М[Наим.])*($C123=М[Артикул, марка, произв.])*($D123=М[Хар-ка])*($N123=М[Прим.])),0))</f>
        <v>0</v>
      </c>
    </row>
    <row r="124" spans="1:15" ht="11.1" customHeight="1" outlineLevel="2" x14ac:dyDescent="0.2">
      <c r="A124" s="13" t="s">
        <v>114</v>
      </c>
      <c r="B124" s="14" t="s">
        <v>115</v>
      </c>
      <c r="C124" s="15"/>
      <c r="D124" s="15"/>
      <c r="E124" s="16"/>
      <c r="F124" s="17"/>
      <c r="G124" s="18"/>
      <c r="H124" s="18"/>
      <c r="I124" s="18"/>
      <c r="J124" s="18"/>
      <c r="K124" s="18"/>
      <c r="L124" s="56"/>
      <c r="M124" s="56">
        <f>SUM($M$125)</f>
        <v>0</v>
      </c>
      <c r="N124" s="19"/>
      <c r="O124" s="19"/>
    </row>
    <row r="125" spans="1:15" ht="11.1" customHeight="1" outlineLevel="3" x14ac:dyDescent="0.2">
      <c r="A125" s="13" t="s">
        <v>116</v>
      </c>
      <c r="B125" s="14" t="s">
        <v>115</v>
      </c>
      <c r="C125" s="15"/>
      <c r="D125" s="15"/>
      <c r="E125" s="16"/>
      <c r="F125" s="17"/>
      <c r="G125" s="18"/>
      <c r="H125" s="18"/>
      <c r="I125" s="18"/>
      <c r="J125" s="18"/>
      <c r="K125" s="18"/>
      <c r="L125" s="56"/>
      <c r="M125" s="56">
        <f>SUM($M$144,$M$142,$M$140,$M$138,$M$136,$M$134,$M$132,$M$130,$M$128,$M$126)</f>
        <v>0</v>
      </c>
      <c r="N125" s="19"/>
      <c r="O125" s="19"/>
    </row>
    <row r="126" spans="1:15" ht="11.1" customHeight="1" outlineLevel="4" x14ac:dyDescent="0.2">
      <c r="A126" s="20"/>
      <c r="B126" s="14" t="s">
        <v>25</v>
      </c>
      <c r="C126" s="21"/>
      <c r="D126" s="21"/>
      <c r="E126" s="21"/>
      <c r="F126" s="21"/>
      <c r="G126" s="21"/>
      <c r="H126" s="21"/>
      <c r="I126" s="21"/>
      <c r="J126" s="21"/>
      <c r="K126" s="21"/>
      <c r="L126" s="57"/>
      <c r="M126" s="58">
        <f>SUM($M$127)</f>
        <v>0</v>
      </c>
      <c r="N126" s="18"/>
      <c r="O126" s="22"/>
    </row>
    <row r="127" spans="1:15" ht="11.1" customHeight="1" outlineLevel="4" x14ac:dyDescent="0.2">
      <c r="A127" s="23"/>
      <c r="B127" s="24" t="s">
        <v>29</v>
      </c>
      <c r="C127" s="25"/>
      <c r="D127" s="25"/>
      <c r="E127" s="26" t="s">
        <v>30</v>
      </c>
      <c r="F127" s="27"/>
      <c r="G127" s="28">
        <v>80</v>
      </c>
      <c r="H127" s="28">
        <v>50</v>
      </c>
      <c r="I127" s="28">
        <v>30</v>
      </c>
      <c r="J127" s="28">
        <v>30</v>
      </c>
      <c r="K127" s="28">
        <f>SUM($G$127:$J$127)</f>
        <v>190</v>
      </c>
      <c r="L127" s="59">
        <f t="array" ref="L127">INDEX(Р[Цена за ед., руб],MATCH(1,IF(($B127=Р[Наименование])*($N127=Р[Примечание]),{1},($B127=Р[Наименование])*($N127=Р[Примечание])),0))</f>
        <v>0</v>
      </c>
      <c r="M127" s="59">
        <f>ROUND($K$127*$L$127,2)</f>
        <v>0</v>
      </c>
      <c r="N127" s="25"/>
      <c r="O127" s="25"/>
    </row>
    <row r="128" spans="1:15" ht="11.1" customHeight="1" outlineLevel="4" x14ac:dyDescent="0.2">
      <c r="A128" s="20"/>
      <c r="B128" s="14" t="s">
        <v>31</v>
      </c>
      <c r="C128" s="21"/>
      <c r="D128" s="21"/>
      <c r="E128" s="21"/>
      <c r="F128" s="21"/>
      <c r="G128" s="21"/>
      <c r="H128" s="21"/>
      <c r="I128" s="21"/>
      <c r="J128" s="21"/>
      <c r="K128" s="21"/>
      <c r="L128" s="57"/>
      <c r="M128" s="58">
        <f>SUM($M$129)</f>
        <v>0</v>
      </c>
      <c r="N128" s="18"/>
      <c r="O128" s="22"/>
    </row>
    <row r="129" spans="1:15" ht="35.1" customHeight="1" outlineLevel="4" x14ac:dyDescent="0.2">
      <c r="A129" s="23" t="s">
        <v>32</v>
      </c>
      <c r="B129" s="24" t="s">
        <v>85</v>
      </c>
      <c r="C129" s="25" t="s">
        <v>83</v>
      </c>
      <c r="D129" s="25" t="s">
        <v>97</v>
      </c>
      <c r="E129" s="26" t="s">
        <v>35</v>
      </c>
      <c r="F129" s="27"/>
      <c r="G129" s="28">
        <v>80</v>
      </c>
      <c r="H129" s="28">
        <v>50</v>
      </c>
      <c r="I129" s="28">
        <v>30</v>
      </c>
      <c r="J129" s="28">
        <v>30</v>
      </c>
      <c r="K129" s="28">
        <f>SUM($G$129:$J$129)</f>
        <v>190</v>
      </c>
      <c r="L129" s="59">
        <f t="array" ref="L129">INDEX(М[Цена за ед., руб],MATCH(1,IF(($B129=М[Наим.])*($C129=М[Артикул, марка, произв.])*($D129=М[Хар-ка])*($N129=М[Прим.]),{1},($B129=М[Наим.])*($C129=М[Артикул, марка, произв.])*($D129=М[Хар-ка])*($N129=М[Прим.])),0))</f>
        <v>0</v>
      </c>
      <c r="M129" s="59">
        <f>ROUND($K$129*$L$129,2)</f>
        <v>0</v>
      </c>
      <c r="N129" s="25"/>
      <c r="O129" s="25">
        <f t="array" ref="O129">INDEX(М[Форма закупа],MATCH(1,IF(($B129=М[Наим.])*($C129=М[Артикул, марка, произв.])*($D129=М[Хар-ка])*($N129=М[Прим.]),{1},($B129=М[Наим.])*($C129=М[Артикул, марка, произв.])*($D129=М[Хар-ка])*($N129=М[Прим.])),0))</f>
        <v>0</v>
      </c>
    </row>
    <row r="130" spans="1:15" ht="11.1" customHeight="1" outlineLevel="4" x14ac:dyDescent="0.2">
      <c r="A130" s="20"/>
      <c r="B130" s="14" t="s">
        <v>25</v>
      </c>
      <c r="C130" s="21"/>
      <c r="D130" s="21"/>
      <c r="E130" s="21"/>
      <c r="F130" s="21"/>
      <c r="G130" s="21"/>
      <c r="H130" s="21"/>
      <c r="I130" s="21"/>
      <c r="J130" s="21"/>
      <c r="K130" s="21"/>
      <c r="L130" s="57"/>
      <c r="M130" s="58">
        <f>SUM($M$131)</f>
        <v>0</v>
      </c>
      <c r="N130" s="18"/>
      <c r="O130" s="22"/>
    </row>
    <row r="131" spans="1:15" ht="11.1" customHeight="1" outlineLevel="4" x14ac:dyDescent="0.2">
      <c r="A131" s="23"/>
      <c r="B131" s="24" t="s">
        <v>117</v>
      </c>
      <c r="C131" s="25"/>
      <c r="D131" s="25"/>
      <c r="E131" s="26" t="s">
        <v>27</v>
      </c>
      <c r="F131" s="27"/>
      <c r="G131" s="28">
        <v>9</v>
      </c>
      <c r="H131" s="28">
        <v>5</v>
      </c>
      <c r="I131" s="28">
        <v>2</v>
      </c>
      <c r="J131" s="28">
        <v>3</v>
      </c>
      <c r="K131" s="28">
        <f>SUM($G$131:$J$131)</f>
        <v>19</v>
      </c>
      <c r="L131" s="59">
        <f t="array" ref="L131">INDEX(Р[Цена за ед., руб],MATCH(1,IF(($B131=Р[Наименование])*($N131=Р[Примечание]),{1},($B131=Р[Наименование])*($N131=Р[Примечание])),0))</f>
        <v>0</v>
      </c>
      <c r="M131" s="59">
        <f>ROUND($K$131*$L$131,2)</f>
        <v>0</v>
      </c>
      <c r="N131" s="25"/>
      <c r="O131" s="25"/>
    </row>
    <row r="132" spans="1:15" ht="11.1" customHeight="1" outlineLevel="4" x14ac:dyDescent="0.2">
      <c r="A132" s="20"/>
      <c r="B132" s="14" t="s">
        <v>31</v>
      </c>
      <c r="C132" s="21"/>
      <c r="D132" s="21"/>
      <c r="E132" s="21"/>
      <c r="F132" s="21"/>
      <c r="G132" s="21"/>
      <c r="H132" s="21"/>
      <c r="I132" s="21"/>
      <c r="J132" s="21"/>
      <c r="K132" s="21"/>
      <c r="L132" s="57"/>
      <c r="M132" s="58">
        <f>SUM($M$133)</f>
        <v>0</v>
      </c>
      <c r="N132" s="18"/>
      <c r="O132" s="22"/>
    </row>
    <row r="133" spans="1:15" ht="11.1" customHeight="1" outlineLevel="4" x14ac:dyDescent="0.2">
      <c r="A133" s="23" t="s">
        <v>32</v>
      </c>
      <c r="B133" s="24" t="s">
        <v>118</v>
      </c>
      <c r="C133" s="25"/>
      <c r="D133" s="25" t="s">
        <v>119</v>
      </c>
      <c r="E133" s="26" t="s">
        <v>27</v>
      </c>
      <c r="F133" s="27"/>
      <c r="G133" s="28">
        <v>9</v>
      </c>
      <c r="H133" s="28">
        <v>5</v>
      </c>
      <c r="I133" s="28">
        <v>2</v>
      </c>
      <c r="J133" s="28">
        <v>3</v>
      </c>
      <c r="K133" s="28">
        <f>SUM($G$133:$J$133)</f>
        <v>19</v>
      </c>
      <c r="L133" s="59">
        <f t="array" ref="L133">INDEX(М[Цена за ед., руб],MATCH(1,IF(($B133=М[Наим.])*($C133=М[Артикул, марка, произв.])*($D133=М[Хар-ка])*($N133=М[Прим.]),{1},($B133=М[Наим.])*($C133=М[Артикул, марка, произв.])*($D133=М[Хар-ка])*($N133=М[Прим.])),0))</f>
        <v>0</v>
      </c>
      <c r="M133" s="59">
        <f>ROUND($K$133*$L$133,2)</f>
        <v>0</v>
      </c>
      <c r="N133" s="25"/>
      <c r="O133" s="25">
        <f t="array" ref="O133">INDEX(М[Форма закупа],MATCH(1,IF(($B133=М[Наим.])*($C133=М[Артикул, марка, произв.])*($D133=М[Хар-ка])*($N133=М[Прим.]),{1},($B133=М[Наим.])*($C133=М[Артикул, марка, произв.])*($D133=М[Хар-ка])*($N133=М[Прим.])),0))</f>
        <v>0</v>
      </c>
    </row>
    <row r="134" spans="1:15" ht="11.1" customHeight="1" outlineLevel="4" x14ac:dyDescent="0.2">
      <c r="A134" s="20"/>
      <c r="B134" s="14" t="s">
        <v>25</v>
      </c>
      <c r="C134" s="21"/>
      <c r="D134" s="21"/>
      <c r="E134" s="21"/>
      <c r="F134" s="21"/>
      <c r="G134" s="21"/>
      <c r="H134" s="21"/>
      <c r="I134" s="21"/>
      <c r="J134" s="21"/>
      <c r="K134" s="21"/>
      <c r="L134" s="57"/>
      <c r="M134" s="58">
        <f>SUM($M$135)</f>
        <v>0</v>
      </c>
      <c r="N134" s="18"/>
      <c r="O134" s="22"/>
    </row>
    <row r="135" spans="1:15" ht="22.5" outlineLevel="4" x14ac:dyDescent="0.2">
      <c r="A135" s="23"/>
      <c r="B135" s="64" t="s">
        <v>176</v>
      </c>
      <c r="C135" s="25"/>
      <c r="D135" s="25"/>
      <c r="E135" s="26" t="s">
        <v>27</v>
      </c>
      <c r="F135" s="27"/>
      <c r="G135" s="28">
        <v>9</v>
      </c>
      <c r="H135" s="28">
        <v>5</v>
      </c>
      <c r="I135" s="28">
        <v>2</v>
      </c>
      <c r="J135" s="28">
        <v>3</v>
      </c>
      <c r="K135" s="28">
        <f>SUM($G$135:$J$135)</f>
        <v>19</v>
      </c>
      <c r="L135" s="59">
        <f t="array" ref="L135">INDEX(Р[Цена за ед., руб],MATCH(1,IF(($B135=Р[Наименование])*($N135=Р[Примечание]),{1},($B135=Р[Наименование])*($N135=Р[Примечание])),0))</f>
        <v>0</v>
      </c>
      <c r="M135" s="59">
        <f>ROUND($K$135*$L$135,2)</f>
        <v>0</v>
      </c>
      <c r="N135" s="25"/>
      <c r="O135" s="25"/>
    </row>
    <row r="136" spans="1:15" ht="11.1" customHeight="1" outlineLevel="4" x14ac:dyDescent="0.2">
      <c r="A136" s="20"/>
      <c r="B136" s="14" t="s">
        <v>31</v>
      </c>
      <c r="C136" s="21"/>
      <c r="D136" s="21"/>
      <c r="E136" s="21"/>
      <c r="F136" s="21"/>
      <c r="G136" s="21"/>
      <c r="H136" s="21"/>
      <c r="I136" s="21"/>
      <c r="J136" s="21"/>
      <c r="K136" s="21"/>
      <c r="L136" s="57"/>
      <c r="M136" s="58">
        <f>SUM($M$137)</f>
        <v>0</v>
      </c>
      <c r="N136" s="18"/>
      <c r="O136" s="22"/>
    </row>
    <row r="137" spans="1:15" ht="23.1" customHeight="1" outlineLevel="4" x14ac:dyDescent="0.2">
      <c r="A137" s="23" t="s">
        <v>32</v>
      </c>
      <c r="B137" s="24" t="s">
        <v>46</v>
      </c>
      <c r="C137" s="25" t="s">
        <v>47</v>
      </c>
      <c r="D137" s="25" t="s">
        <v>48</v>
      </c>
      <c r="E137" s="26" t="s">
        <v>27</v>
      </c>
      <c r="F137" s="27"/>
      <c r="G137" s="28">
        <v>9</v>
      </c>
      <c r="H137" s="28">
        <v>5</v>
      </c>
      <c r="I137" s="28">
        <v>2</v>
      </c>
      <c r="J137" s="28">
        <v>3</v>
      </c>
      <c r="K137" s="28">
        <f>SUM($G$137:$J$137)</f>
        <v>19</v>
      </c>
      <c r="L137" s="59">
        <f t="array" ref="L137">INDEX(М[Цена за ед., руб],MATCH(1,IF(($B137=М[Наим.])*($C137=М[Артикул, марка, произв.])*($D137=М[Хар-ка])*($N137=М[Прим.]),{1},($B137=М[Наим.])*($C137=М[Артикул, марка, произв.])*($D137=М[Хар-ка])*($N137=М[Прим.])),0))</f>
        <v>0</v>
      </c>
      <c r="M137" s="59">
        <f>ROUND($K$137*$L$137,2)</f>
        <v>0</v>
      </c>
      <c r="N137" s="25"/>
      <c r="O137" s="25">
        <f t="array" ref="O137">INDEX(М[Форма закупа],MATCH(1,IF(($B137=М[Наим.])*($C137=М[Артикул, марка, произв.])*($D137=М[Хар-ка])*($N137=М[Прим.]),{1},($B137=М[Наим.])*($C137=М[Артикул, марка, произв.])*($D137=М[Хар-ка])*($N137=М[Прим.])),0))</f>
        <v>0</v>
      </c>
    </row>
    <row r="138" spans="1:15" ht="11.1" customHeight="1" outlineLevel="4" x14ac:dyDescent="0.2">
      <c r="A138" s="20"/>
      <c r="B138" s="14" t="s">
        <v>25</v>
      </c>
      <c r="C138" s="21"/>
      <c r="D138" s="21"/>
      <c r="E138" s="21"/>
      <c r="F138" s="21"/>
      <c r="G138" s="21"/>
      <c r="H138" s="21"/>
      <c r="I138" s="21"/>
      <c r="J138" s="21"/>
      <c r="K138" s="21"/>
      <c r="L138" s="57"/>
      <c r="M138" s="58">
        <f>SUM($M$139)</f>
        <v>0</v>
      </c>
      <c r="N138" s="18"/>
      <c r="O138" s="22"/>
    </row>
    <row r="139" spans="1:15" ht="22.5" outlineLevel="4" x14ac:dyDescent="0.2">
      <c r="A139" s="23"/>
      <c r="B139" s="64" t="s">
        <v>177</v>
      </c>
      <c r="C139" s="25"/>
      <c r="D139" s="25"/>
      <c r="E139" s="26" t="s">
        <v>27</v>
      </c>
      <c r="F139" s="27"/>
      <c r="G139" s="28">
        <v>9</v>
      </c>
      <c r="H139" s="28">
        <v>5</v>
      </c>
      <c r="I139" s="28">
        <v>2</v>
      </c>
      <c r="J139" s="28">
        <v>3</v>
      </c>
      <c r="K139" s="28">
        <f>SUM($G$139:$J$139)</f>
        <v>19</v>
      </c>
      <c r="L139" s="59">
        <f t="array" ref="L139">INDEX(Р[Цена за ед., руб],MATCH(1,IF(($B139=Р[Наименование])*($N139=Р[Примечание]),{1},($B139=Р[Наименование])*($N139=Р[Примечание])),0))</f>
        <v>0</v>
      </c>
      <c r="M139" s="59">
        <f>ROUND($K$139*$L$139,2)</f>
        <v>0</v>
      </c>
      <c r="N139" s="25"/>
      <c r="O139" s="25"/>
    </row>
    <row r="140" spans="1:15" ht="11.1" customHeight="1" outlineLevel="4" x14ac:dyDescent="0.2">
      <c r="A140" s="20"/>
      <c r="B140" s="14" t="s">
        <v>31</v>
      </c>
      <c r="C140" s="21"/>
      <c r="D140" s="21"/>
      <c r="E140" s="21"/>
      <c r="F140" s="21"/>
      <c r="G140" s="21"/>
      <c r="H140" s="21"/>
      <c r="I140" s="21"/>
      <c r="J140" s="21"/>
      <c r="K140" s="21"/>
      <c r="L140" s="57"/>
      <c r="M140" s="58">
        <f>SUM($M$141)</f>
        <v>0</v>
      </c>
      <c r="N140" s="18"/>
      <c r="O140" s="22"/>
    </row>
    <row r="141" spans="1:15" ht="23.1" customHeight="1" outlineLevel="4" x14ac:dyDescent="0.2">
      <c r="A141" s="23" t="s">
        <v>32</v>
      </c>
      <c r="B141" s="24" t="s">
        <v>53</v>
      </c>
      <c r="C141" s="25" t="s">
        <v>47</v>
      </c>
      <c r="D141" s="25" t="s">
        <v>54</v>
      </c>
      <c r="E141" s="26" t="s">
        <v>27</v>
      </c>
      <c r="F141" s="27"/>
      <c r="G141" s="28">
        <v>9</v>
      </c>
      <c r="H141" s="28">
        <v>5</v>
      </c>
      <c r="I141" s="28">
        <v>2</v>
      </c>
      <c r="J141" s="28">
        <v>3</v>
      </c>
      <c r="K141" s="28">
        <f>SUM($G$141:$J$141)</f>
        <v>19</v>
      </c>
      <c r="L141" s="59">
        <f t="array" ref="L141">INDEX(М[Цена за ед., руб],MATCH(1,IF(($B141=М[Наим.])*($C141=М[Артикул, марка, произв.])*($D141=М[Хар-ка])*($N141=М[Прим.]),{1},($B141=М[Наим.])*($C141=М[Артикул, марка, произв.])*($D141=М[Хар-ка])*($N141=М[Прим.])),0))</f>
        <v>0</v>
      </c>
      <c r="M141" s="59">
        <f>ROUND($K$141*$L$141,2)</f>
        <v>0</v>
      </c>
      <c r="N141" s="25"/>
      <c r="O141" s="25">
        <f t="array" ref="O141">INDEX(М[Форма закупа],MATCH(1,IF(($B141=М[Наим.])*($C141=М[Артикул, марка, произв.])*($D141=М[Хар-ка])*($N141=М[Прим.]),{1},($B141=М[Наим.])*($C141=М[Артикул, марка, произв.])*($D141=М[Хар-ка])*($N141=М[Прим.])),0))</f>
        <v>0</v>
      </c>
    </row>
    <row r="142" spans="1:15" ht="11.1" customHeight="1" outlineLevel="4" x14ac:dyDescent="0.2">
      <c r="A142" s="20"/>
      <c r="B142" s="14" t="s">
        <v>25</v>
      </c>
      <c r="C142" s="21"/>
      <c r="D142" s="21"/>
      <c r="E142" s="21"/>
      <c r="F142" s="21"/>
      <c r="G142" s="21"/>
      <c r="H142" s="21"/>
      <c r="I142" s="21"/>
      <c r="J142" s="21"/>
      <c r="K142" s="21"/>
      <c r="L142" s="57"/>
      <c r="M142" s="58">
        <f>SUM($M$143)</f>
        <v>0</v>
      </c>
      <c r="N142" s="18"/>
      <c r="O142" s="22"/>
    </row>
    <row r="143" spans="1:15" ht="11.1" customHeight="1" outlineLevel="4" x14ac:dyDescent="0.2">
      <c r="A143" s="23"/>
      <c r="B143" s="24" t="s">
        <v>72</v>
      </c>
      <c r="C143" s="25"/>
      <c r="D143" s="25"/>
      <c r="E143" s="26" t="s">
        <v>30</v>
      </c>
      <c r="F143" s="27"/>
      <c r="G143" s="28">
        <v>80</v>
      </c>
      <c r="H143" s="28">
        <v>50</v>
      </c>
      <c r="I143" s="28">
        <v>30</v>
      </c>
      <c r="J143" s="28">
        <v>30</v>
      </c>
      <c r="K143" s="28">
        <f>SUM($G$143:$J$143)</f>
        <v>190</v>
      </c>
      <c r="L143" s="59">
        <f t="array" ref="L143">INDEX(Р[Цена за ед., руб],MATCH(1,IF(($B143=Р[Наименование])*($N143=Р[Примечание]),{1},($B143=Р[Наименование])*($N143=Р[Примечание])),0))</f>
        <v>0</v>
      </c>
      <c r="M143" s="59">
        <f>ROUND($K$143*$L$143,2)</f>
        <v>0</v>
      </c>
      <c r="N143" s="25"/>
      <c r="O143" s="25"/>
    </row>
    <row r="144" spans="1:15" ht="11.1" customHeight="1" outlineLevel="4" x14ac:dyDescent="0.2">
      <c r="A144" s="20"/>
      <c r="B144" s="14" t="s">
        <v>31</v>
      </c>
      <c r="C144" s="21"/>
      <c r="D144" s="21"/>
      <c r="E144" s="21"/>
      <c r="F144" s="21"/>
      <c r="G144" s="21"/>
      <c r="H144" s="21"/>
      <c r="I144" s="21"/>
      <c r="J144" s="21"/>
      <c r="K144" s="21"/>
      <c r="L144" s="57"/>
      <c r="M144" s="58">
        <f>SUM($M$145)</f>
        <v>0</v>
      </c>
      <c r="N144" s="18"/>
      <c r="O144" s="22"/>
    </row>
    <row r="145" spans="1:15" ht="35.1" customHeight="1" outlineLevel="4" x14ac:dyDescent="0.2">
      <c r="A145" s="96" t="s">
        <v>32</v>
      </c>
      <c r="B145" s="24" t="s">
        <v>73</v>
      </c>
      <c r="C145" s="25"/>
      <c r="D145" s="25" t="s">
        <v>74</v>
      </c>
      <c r="E145" s="26" t="s">
        <v>35</v>
      </c>
      <c r="F145" s="27"/>
      <c r="G145" s="28">
        <v>80</v>
      </c>
      <c r="H145" s="28">
        <v>50</v>
      </c>
      <c r="I145" s="28">
        <v>30</v>
      </c>
      <c r="J145" s="28">
        <v>30</v>
      </c>
      <c r="K145" s="28">
        <f>SUM($G$145:$J$145)</f>
        <v>190</v>
      </c>
      <c r="L145" s="59">
        <f t="array" ref="L145">INDEX(М[Цена за ед., руб],MATCH(1,IF(($B145=М[Наим.])*($C145=М[Артикул, марка, произв.])*($D145=М[Хар-ка])*($N145=М[Прим.]),{1},($B145=М[Наим.])*($C145=М[Артикул, марка, произв.])*($D145=М[Хар-ка])*($N145=М[Прим.])),0))</f>
        <v>0</v>
      </c>
      <c r="M145" s="59">
        <f>ROUND($K$145*$L$145,2)</f>
        <v>0</v>
      </c>
      <c r="N145" s="25"/>
      <c r="O145" s="25">
        <f t="array" ref="O145">INDEX(М[Форма закупа],MATCH(1,IF(($B145=М[Наим.])*($C145=М[Артикул, марка, произв.])*($D145=М[Хар-ка])*($N145=М[Прим.]),{1},($B145=М[Наим.])*($C145=М[Артикул, марка, произв.])*($D145=М[Хар-ка])*($N145=М[Прим.])),0))</f>
        <v>0</v>
      </c>
    </row>
    <row r="146" spans="1:15" ht="11.1" customHeight="1" outlineLevel="2" x14ac:dyDescent="0.2">
      <c r="A146" s="13" t="s">
        <v>120</v>
      </c>
      <c r="B146" s="14" t="s">
        <v>121</v>
      </c>
      <c r="C146" s="15"/>
      <c r="D146" s="15"/>
      <c r="E146" s="16"/>
      <c r="F146" s="17"/>
      <c r="G146" s="18"/>
      <c r="H146" s="18"/>
      <c r="I146" s="18"/>
      <c r="J146" s="18"/>
      <c r="K146" s="18"/>
      <c r="L146" s="56"/>
      <c r="M146" s="56">
        <f>SUM($M$147)</f>
        <v>0</v>
      </c>
      <c r="N146" s="19"/>
      <c r="O146" s="19"/>
    </row>
    <row r="147" spans="1:15" ht="11.1" customHeight="1" outlineLevel="3" x14ac:dyDescent="0.2">
      <c r="A147" s="13" t="s">
        <v>122</v>
      </c>
      <c r="B147" s="14" t="s">
        <v>121</v>
      </c>
      <c r="C147" s="15"/>
      <c r="D147" s="15"/>
      <c r="E147" s="16"/>
      <c r="F147" s="17"/>
      <c r="G147" s="18"/>
      <c r="H147" s="18"/>
      <c r="I147" s="18"/>
      <c r="J147" s="18"/>
      <c r="K147" s="18"/>
      <c r="L147" s="56"/>
      <c r="M147" s="56">
        <f>SUM($M$174,$M$172,$M$169,$M$167,$M$165,$M$163,$M$160,$M$158,$M$156,$M$154,$M$152,$M$150,$M$148)</f>
        <v>0</v>
      </c>
      <c r="N147" s="19"/>
      <c r="O147" s="19"/>
    </row>
    <row r="148" spans="1:15" ht="11.1" customHeight="1" outlineLevel="4" x14ac:dyDescent="0.2">
      <c r="A148" s="20"/>
      <c r="B148" s="14" t="s">
        <v>25</v>
      </c>
      <c r="C148" s="21"/>
      <c r="D148" s="21"/>
      <c r="E148" s="21"/>
      <c r="F148" s="21"/>
      <c r="G148" s="21"/>
      <c r="H148" s="21"/>
      <c r="I148" s="21"/>
      <c r="J148" s="21"/>
      <c r="K148" s="21"/>
      <c r="L148" s="57"/>
      <c r="M148" s="58">
        <f>SUM($M$149)</f>
        <v>0</v>
      </c>
      <c r="N148" s="18"/>
      <c r="O148" s="22"/>
    </row>
    <row r="149" spans="1:15" ht="11.1" customHeight="1" outlineLevel="4" x14ac:dyDescent="0.2">
      <c r="A149" s="23"/>
      <c r="B149" s="24" t="s">
        <v>26</v>
      </c>
      <c r="C149" s="25"/>
      <c r="D149" s="25"/>
      <c r="E149" s="26" t="s">
        <v>27</v>
      </c>
      <c r="F149" s="27"/>
      <c r="G149" s="28">
        <v>1</v>
      </c>
      <c r="H149" s="28">
        <v>1</v>
      </c>
      <c r="I149" s="28">
        <v>1</v>
      </c>
      <c r="J149" s="28">
        <v>1</v>
      </c>
      <c r="K149" s="28">
        <f>SUM($G$149:$J$149)</f>
        <v>4</v>
      </c>
      <c r="L149" s="59">
        <f t="array" ref="L149">INDEX(Р[Цена за ед., руб],MATCH(1,IF(($B149=Р[Наименование])*($N149=Р[Примечание]),{1},($B149=Р[Наименование])*($N149=Р[Примечание])),0))</f>
        <v>0</v>
      </c>
      <c r="M149" s="59">
        <f>ROUND($K$149*$L$149,2)</f>
        <v>0</v>
      </c>
      <c r="N149" s="25"/>
      <c r="O149" s="25"/>
    </row>
    <row r="150" spans="1:15" ht="11.1" customHeight="1" outlineLevel="4" x14ac:dyDescent="0.2">
      <c r="A150" s="20"/>
      <c r="B150" s="14" t="s">
        <v>25</v>
      </c>
      <c r="C150" s="21"/>
      <c r="D150" s="21"/>
      <c r="E150" s="21"/>
      <c r="F150" s="21"/>
      <c r="G150" s="21"/>
      <c r="H150" s="21"/>
      <c r="I150" s="21"/>
      <c r="J150" s="21"/>
      <c r="K150" s="21"/>
      <c r="L150" s="57"/>
      <c r="M150" s="58">
        <f>SUM($M$151)</f>
        <v>0</v>
      </c>
      <c r="N150" s="18"/>
      <c r="O150" s="22"/>
    </row>
    <row r="151" spans="1:15" ht="11.1" customHeight="1" outlineLevel="4" x14ac:dyDescent="0.2">
      <c r="A151" s="23"/>
      <c r="B151" s="24" t="s">
        <v>49</v>
      </c>
      <c r="C151" s="25"/>
      <c r="D151" s="25"/>
      <c r="E151" s="26" t="s">
        <v>27</v>
      </c>
      <c r="F151" s="27"/>
      <c r="G151" s="28">
        <v>1</v>
      </c>
      <c r="H151" s="28">
        <v>1</v>
      </c>
      <c r="I151" s="28">
        <v>1</v>
      </c>
      <c r="J151" s="28">
        <v>1</v>
      </c>
      <c r="K151" s="28">
        <f>SUM($G$151:$J$151)</f>
        <v>4</v>
      </c>
      <c r="L151" s="59">
        <f t="array" ref="L151">INDEX(Р[Цена за ед., руб],MATCH(1,IF(($B151=Р[Наименование])*($N151=Р[Примечание]),{1},($B151=Р[Наименование])*($N151=Р[Примечание])),0))</f>
        <v>0</v>
      </c>
      <c r="M151" s="59">
        <f>ROUND($K$151*$L$151,2)</f>
        <v>0</v>
      </c>
      <c r="N151" s="25"/>
      <c r="O151" s="25"/>
    </row>
    <row r="152" spans="1:15" ht="11.1" customHeight="1" outlineLevel="4" x14ac:dyDescent="0.2">
      <c r="A152" s="20"/>
      <c r="B152" s="14" t="s">
        <v>31</v>
      </c>
      <c r="C152" s="21"/>
      <c r="D152" s="21"/>
      <c r="E152" s="21"/>
      <c r="F152" s="21"/>
      <c r="G152" s="21"/>
      <c r="H152" s="21"/>
      <c r="I152" s="21"/>
      <c r="J152" s="21"/>
      <c r="K152" s="21"/>
      <c r="L152" s="57"/>
      <c r="M152" s="58">
        <f>SUM($M$153)</f>
        <v>0</v>
      </c>
      <c r="N152" s="18"/>
      <c r="O152" s="22"/>
    </row>
    <row r="153" spans="1:15" ht="23.1" customHeight="1" outlineLevel="4" x14ac:dyDescent="0.2">
      <c r="A153" s="23" t="s">
        <v>32</v>
      </c>
      <c r="B153" s="24" t="s">
        <v>50</v>
      </c>
      <c r="C153" s="25"/>
      <c r="D153" s="25" t="s">
        <v>51</v>
      </c>
      <c r="E153" s="26" t="s">
        <v>27</v>
      </c>
      <c r="F153" s="27"/>
      <c r="G153" s="28">
        <v>1</v>
      </c>
      <c r="H153" s="28">
        <v>1</v>
      </c>
      <c r="I153" s="28">
        <v>1</v>
      </c>
      <c r="J153" s="28">
        <v>1</v>
      </c>
      <c r="K153" s="28">
        <f>SUM($G$153:$J$153)</f>
        <v>4</v>
      </c>
      <c r="L153" s="59">
        <f t="array" ref="L153">INDEX(М[Цена за ед., руб],MATCH(1,IF(($B153=М[Наим.])*($C153=М[Артикул, марка, произв.])*($D153=М[Хар-ка])*($N153=М[Прим.]),{1},($B153=М[Наим.])*($C153=М[Артикул, марка, произв.])*($D153=М[Хар-ка])*($N153=М[Прим.])),0))</f>
        <v>0</v>
      </c>
      <c r="M153" s="59">
        <f>ROUND($K$153*$L$153,2)</f>
        <v>0</v>
      </c>
      <c r="N153" s="25"/>
      <c r="O153" s="25">
        <f t="array" ref="O153">INDEX(М[Форма закупа],MATCH(1,IF(($B153=М[Наим.])*($C153=М[Артикул, марка, произв.])*($D153=М[Хар-ка])*($N153=М[Прим.]),{1},($B153=М[Наим.])*($C153=М[Артикул, марка, произв.])*($D153=М[Хар-ка])*($N153=М[Прим.])),0))</f>
        <v>0</v>
      </c>
    </row>
    <row r="154" spans="1:15" ht="11.1" customHeight="1" outlineLevel="4" x14ac:dyDescent="0.2">
      <c r="A154" s="20"/>
      <c r="B154" s="14" t="s">
        <v>25</v>
      </c>
      <c r="C154" s="21"/>
      <c r="D154" s="21"/>
      <c r="E154" s="21"/>
      <c r="F154" s="21"/>
      <c r="G154" s="21"/>
      <c r="H154" s="21"/>
      <c r="I154" s="21"/>
      <c r="J154" s="21"/>
      <c r="K154" s="21"/>
      <c r="L154" s="57"/>
      <c r="M154" s="58">
        <f>SUM($M$155)</f>
        <v>0</v>
      </c>
      <c r="N154" s="18"/>
      <c r="O154" s="22"/>
    </row>
    <row r="155" spans="1:15" ht="11.1" customHeight="1" outlineLevel="4" x14ac:dyDescent="0.2">
      <c r="A155" s="23"/>
      <c r="B155" s="24" t="s">
        <v>55</v>
      </c>
      <c r="C155" s="25"/>
      <c r="D155" s="25"/>
      <c r="E155" s="26" t="s">
        <v>27</v>
      </c>
      <c r="F155" s="27"/>
      <c r="G155" s="28">
        <v>1</v>
      </c>
      <c r="H155" s="28">
        <v>1</v>
      </c>
      <c r="I155" s="28">
        <v>1</v>
      </c>
      <c r="J155" s="28">
        <v>1</v>
      </c>
      <c r="K155" s="28">
        <f>SUM($G$155:$J$155)</f>
        <v>4</v>
      </c>
      <c r="L155" s="59">
        <f t="array" ref="L155">INDEX(Р[Цена за ед., руб],MATCH(1,IF(($B155=Р[Наименование])*($N155=Р[Примечание]),{1},($B155=Р[Наименование])*($N155=Р[Примечание])),0))</f>
        <v>0</v>
      </c>
      <c r="M155" s="59">
        <f>ROUND($K$155*$L$155,2)</f>
        <v>0</v>
      </c>
      <c r="N155" s="25"/>
      <c r="O155" s="25"/>
    </row>
    <row r="156" spans="1:15" ht="11.1" customHeight="1" outlineLevel="4" x14ac:dyDescent="0.2">
      <c r="A156" s="20"/>
      <c r="B156" s="14" t="s">
        <v>31</v>
      </c>
      <c r="C156" s="21"/>
      <c r="D156" s="21"/>
      <c r="E156" s="21"/>
      <c r="F156" s="21"/>
      <c r="G156" s="21"/>
      <c r="H156" s="21"/>
      <c r="I156" s="21"/>
      <c r="J156" s="21"/>
      <c r="K156" s="21"/>
      <c r="L156" s="57"/>
      <c r="M156" s="58">
        <f>SUM($M$157)</f>
        <v>0</v>
      </c>
      <c r="N156" s="18"/>
      <c r="O156" s="22"/>
    </row>
    <row r="157" spans="1:15" ht="11.1" customHeight="1" outlineLevel="4" x14ac:dyDescent="0.2">
      <c r="A157" s="23" t="s">
        <v>32</v>
      </c>
      <c r="B157" s="24" t="s">
        <v>56</v>
      </c>
      <c r="C157" s="25"/>
      <c r="D157" s="25" t="s">
        <v>58</v>
      </c>
      <c r="E157" s="26" t="s">
        <v>27</v>
      </c>
      <c r="F157" s="29">
        <v>1</v>
      </c>
      <c r="G157" s="28">
        <v>1</v>
      </c>
      <c r="H157" s="28">
        <v>1</v>
      </c>
      <c r="I157" s="28">
        <v>1</v>
      </c>
      <c r="J157" s="28">
        <v>1</v>
      </c>
      <c r="K157" s="28">
        <f>SUM($G$157:$J$157)</f>
        <v>4</v>
      </c>
      <c r="L157" s="59">
        <f t="array" ref="L157">INDEX(М[Цена за ед., руб],MATCH(1,IF(($B157=М[Наим.])*($C157=М[Артикул, марка, произв.])*($D157=М[Хар-ка])*($N157=М[Прим.]),{1},($B157=М[Наим.])*($C157=М[Артикул, марка, произв.])*($D157=М[Хар-ка])*($N157=М[Прим.])),0))</f>
        <v>0</v>
      </c>
      <c r="M157" s="59">
        <f>ROUND($K$157*$L$157,2)</f>
        <v>0</v>
      </c>
      <c r="N157" s="25"/>
      <c r="O157" s="25">
        <f t="array" ref="O157">INDEX(М[Форма закупа],MATCH(1,IF(($B157=М[Наим.])*($C157=М[Артикул, марка, произв.])*($D157=М[Хар-ка])*($N157=М[Прим.]),{1},($B157=М[Наим.])*($C157=М[Артикул, марка, произв.])*($D157=М[Хар-ка])*($N157=М[Прим.])),0))</f>
        <v>0</v>
      </c>
    </row>
    <row r="158" spans="1:15" ht="11.1" customHeight="1" outlineLevel="4" x14ac:dyDescent="0.2">
      <c r="A158" s="20"/>
      <c r="B158" s="14" t="s">
        <v>25</v>
      </c>
      <c r="C158" s="21"/>
      <c r="D158" s="21"/>
      <c r="E158" s="21"/>
      <c r="F158" s="21"/>
      <c r="G158" s="21"/>
      <c r="H158" s="21"/>
      <c r="I158" s="21"/>
      <c r="J158" s="21"/>
      <c r="K158" s="21"/>
      <c r="L158" s="57"/>
      <c r="M158" s="58">
        <f>SUM($M$159)</f>
        <v>0</v>
      </c>
      <c r="N158" s="18"/>
      <c r="O158" s="22"/>
    </row>
    <row r="159" spans="1:15" ht="23.1" customHeight="1" outlineLevel="4" x14ac:dyDescent="0.2">
      <c r="A159" s="23"/>
      <c r="B159" s="24" t="s">
        <v>66</v>
      </c>
      <c r="C159" s="25"/>
      <c r="D159" s="25"/>
      <c r="E159" s="26" t="s">
        <v>30</v>
      </c>
      <c r="F159" s="27"/>
      <c r="G159" s="28">
        <v>7</v>
      </c>
      <c r="H159" s="28">
        <v>7</v>
      </c>
      <c r="I159" s="28">
        <v>7</v>
      </c>
      <c r="J159" s="28">
        <v>7</v>
      </c>
      <c r="K159" s="28">
        <f>SUM($G$159:$J$159)</f>
        <v>28</v>
      </c>
      <c r="L159" s="59">
        <f t="array" ref="L159">INDEX(Р[Цена за ед., руб],MATCH(1,IF(($B159=Р[Наименование])*($N159=Р[Примечание]),{1},($B159=Р[Наименование])*($N159=Р[Примечание])),0))</f>
        <v>0</v>
      </c>
      <c r="M159" s="59">
        <f>ROUND($K$159*$L$159,2)</f>
        <v>0</v>
      </c>
      <c r="N159" s="25"/>
      <c r="O159" s="25"/>
    </row>
    <row r="160" spans="1:15" ht="11.1" customHeight="1" outlineLevel="4" x14ac:dyDescent="0.2">
      <c r="A160" s="20"/>
      <c r="B160" s="14" t="s">
        <v>31</v>
      </c>
      <c r="C160" s="21"/>
      <c r="D160" s="21"/>
      <c r="E160" s="21"/>
      <c r="F160" s="21"/>
      <c r="G160" s="21"/>
      <c r="H160" s="21"/>
      <c r="I160" s="21"/>
      <c r="J160" s="21"/>
      <c r="K160" s="21"/>
      <c r="L160" s="57"/>
      <c r="M160" s="58">
        <f>SUM($M$161:$M$162)</f>
        <v>0</v>
      </c>
      <c r="N160" s="18"/>
      <c r="O160" s="22"/>
    </row>
    <row r="161" spans="1:15" ht="23.1" customHeight="1" outlineLevel="4" x14ac:dyDescent="0.2">
      <c r="A161" s="23" t="s">
        <v>32</v>
      </c>
      <c r="B161" s="24" t="s">
        <v>67</v>
      </c>
      <c r="C161" s="25"/>
      <c r="D161" s="25" t="s">
        <v>68</v>
      </c>
      <c r="E161" s="26" t="s">
        <v>35</v>
      </c>
      <c r="F161" s="29">
        <v>1</v>
      </c>
      <c r="G161" s="28">
        <v>2</v>
      </c>
      <c r="H161" s="28">
        <v>2</v>
      </c>
      <c r="I161" s="28">
        <v>2</v>
      </c>
      <c r="J161" s="28">
        <v>2</v>
      </c>
      <c r="K161" s="28">
        <f>SUM($G$161:$J$161)</f>
        <v>8</v>
      </c>
      <c r="L161" s="59">
        <f t="array" ref="L161">INDEX(М[Цена за ед., руб],MATCH(1,IF(($B161=М[Наим.])*($C161=М[Артикул, марка, произв.])*($D161=М[Хар-ка])*($N161=М[Прим.]),{1},($B161=М[Наим.])*($C161=М[Артикул, марка, произв.])*($D161=М[Хар-ка])*($N161=М[Прим.])),0))</f>
        <v>0</v>
      </c>
      <c r="M161" s="59">
        <f>ROUND($K$161*$L$161,2)</f>
        <v>0</v>
      </c>
      <c r="N161" s="25"/>
      <c r="O161" s="25">
        <f t="array" ref="O161">INDEX(М[Форма закупа],MATCH(1,IF(($B161=М[Наим.])*($C161=М[Артикул, марка, произв.])*($D161=М[Хар-ка])*($N161=М[Прим.]),{1},($B161=М[Наим.])*($C161=М[Артикул, марка, произв.])*($D161=М[Хар-ка])*($N161=М[Прим.])),0))</f>
        <v>0</v>
      </c>
    </row>
    <row r="162" spans="1:15" ht="23.1" customHeight="1" outlineLevel="4" x14ac:dyDescent="0.2">
      <c r="A162" s="23" t="s">
        <v>37</v>
      </c>
      <c r="B162" s="24" t="s">
        <v>67</v>
      </c>
      <c r="C162" s="25"/>
      <c r="D162" s="25" t="s">
        <v>69</v>
      </c>
      <c r="E162" s="26" t="s">
        <v>35</v>
      </c>
      <c r="F162" s="29">
        <v>1</v>
      </c>
      <c r="G162" s="28">
        <v>5</v>
      </c>
      <c r="H162" s="28">
        <v>5</v>
      </c>
      <c r="I162" s="28">
        <v>5</v>
      </c>
      <c r="J162" s="28">
        <v>5</v>
      </c>
      <c r="K162" s="28">
        <f>SUM($G$162:$J$162)</f>
        <v>20</v>
      </c>
      <c r="L162" s="59">
        <f t="array" ref="L162">INDEX(М[Цена за ед., руб],MATCH(1,IF(($B162=М[Наим.])*($C162=М[Артикул, марка, произв.])*($D162=М[Хар-ка])*($N162=М[Прим.]),{1},($B162=М[Наим.])*($C162=М[Артикул, марка, произв.])*($D162=М[Хар-ка])*($N162=М[Прим.])),0))</f>
        <v>0</v>
      </c>
      <c r="M162" s="59">
        <f>ROUND($K$162*$L$162,2)</f>
        <v>0</v>
      </c>
      <c r="N162" s="25"/>
      <c r="O162" s="25">
        <f t="array" ref="O162">INDEX(М[Форма закупа],MATCH(1,IF(($B162=М[Наим.])*($C162=М[Артикул, марка, произв.])*($D162=М[Хар-ка])*($N162=М[Прим.]),{1},($B162=М[Наим.])*($C162=М[Артикул, марка, произв.])*($D162=М[Хар-ка])*($N162=М[Прим.])),0))</f>
        <v>0</v>
      </c>
    </row>
    <row r="163" spans="1:15" ht="11.1" customHeight="1" outlineLevel="4" x14ac:dyDescent="0.2">
      <c r="A163" s="20"/>
      <c r="B163" s="14" t="s">
        <v>25</v>
      </c>
      <c r="C163" s="21"/>
      <c r="D163" s="21"/>
      <c r="E163" s="21"/>
      <c r="F163" s="21"/>
      <c r="G163" s="21"/>
      <c r="H163" s="21"/>
      <c r="I163" s="21"/>
      <c r="J163" s="21"/>
      <c r="K163" s="21"/>
      <c r="L163" s="57"/>
      <c r="M163" s="58">
        <f>SUM($M$164)</f>
        <v>0</v>
      </c>
      <c r="N163" s="18"/>
      <c r="O163" s="22"/>
    </row>
    <row r="164" spans="1:15" ht="11.1" customHeight="1" outlineLevel="4" x14ac:dyDescent="0.2">
      <c r="A164" s="23"/>
      <c r="B164" s="24" t="s">
        <v>123</v>
      </c>
      <c r="C164" s="25"/>
      <c r="D164" s="25"/>
      <c r="E164" s="26" t="s">
        <v>27</v>
      </c>
      <c r="F164" s="27"/>
      <c r="G164" s="28">
        <v>1</v>
      </c>
      <c r="H164" s="28">
        <v>1</v>
      </c>
      <c r="I164" s="28">
        <v>1</v>
      </c>
      <c r="J164" s="28">
        <v>1</v>
      </c>
      <c r="K164" s="28">
        <f>SUM($G$164:$J$164)</f>
        <v>4</v>
      </c>
      <c r="L164" s="59">
        <f t="array" ref="L164">INDEX(Р[Цена за ед., руб],MATCH(1,IF(($B164=Р[Наименование])*($N164=Р[Примечание]),{1},($B164=Р[Наименование])*($N164=Р[Примечание])),0))</f>
        <v>0</v>
      </c>
      <c r="M164" s="59">
        <f>ROUND($K$164*$L$164,2)</f>
        <v>0</v>
      </c>
      <c r="N164" s="25"/>
      <c r="O164" s="25"/>
    </row>
    <row r="165" spans="1:15" ht="11.1" customHeight="1" outlineLevel="4" x14ac:dyDescent="0.2">
      <c r="A165" s="20"/>
      <c r="B165" s="14" t="s">
        <v>31</v>
      </c>
      <c r="C165" s="21"/>
      <c r="D165" s="21"/>
      <c r="E165" s="21"/>
      <c r="F165" s="21"/>
      <c r="G165" s="21"/>
      <c r="H165" s="21"/>
      <c r="I165" s="21"/>
      <c r="J165" s="21"/>
      <c r="K165" s="21"/>
      <c r="L165" s="57"/>
      <c r="M165" s="58">
        <f>SUM($M$166)</f>
        <v>0</v>
      </c>
      <c r="N165" s="18"/>
      <c r="O165" s="22"/>
    </row>
    <row r="166" spans="1:15" ht="23.1" customHeight="1" outlineLevel="4" x14ac:dyDescent="0.2">
      <c r="A166" s="23" t="s">
        <v>32</v>
      </c>
      <c r="B166" s="24" t="s">
        <v>124</v>
      </c>
      <c r="C166" s="25"/>
      <c r="D166" s="25" t="s">
        <v>125</v>
      </c>
      <c r="E166" s="26" t="s">
        <v>27</v>
      </c>
      <c r="F166" s="29">
        <v>1</v>
      </c>
      <c r="G166" s="28">
        <v>1</v>
      </c>
      <c r="H166" s="28">
        <v>1</v>
      </c>
      <c r="I166" s="28">
        <v>1</v>
      </c>
      <c r="J166" s="28">
        <v>1</v>
      </c>
      <c r="K166" s="28">
        <f>SUM($G$166:$J$166)</f>
        <v>4</v>
      </c>
      <c r="L166" s="59">
        <f t="array" ref="L166">INDEX(М[Цена за ед., руб],MATCH(1,IF(($B166=М[Наим.])*($C166=М[Артикул, марка, произв.])*($D166=М[Хар-ка])*($N166=М[Прим.]),{1},($B166=М[Наим.])*($C166=М[Артикул, марка, произв.])*($D166=М[Хар-ка])*($N166=М[Прим.])),0))</f>
        <v>0</v>
      </c>
      <c r="M166" s="59">
        <f>ROUND($K$166*$L$166,2)</f>
        <v>0</v>
      </c>
      <c r="N166" s="25"/>
      <c r="O166" s="25">
        <f t="array" ref="O166">INDEX(М[Форма закупа],MATCH(1,IF(($B166=М[Наим.])*($C166=М[Артикул, марка, произв.])*($D166=М[Хар-ка])*($N166=М[Прим.]),{1},($B166=М[Наим.])*($C166=М[Артикул, марка, произв.])*($D166=М[Хар-ка])*($N166=М[Прим.])),0))</f>
        <v>0</v>
      </c>
    </row>
    <row r="167" spans="1:15" ht="11.1" customHeight="1" outlineLevel="4" x14ac:dyDescent="0.2">
      <c r="A167" s="20"/>
      <c r="B167" s="14" t="s">
        <v>25</v>
      </c>
      <c r="C167" s="21"/>
      <c r="D167" s="21"/>
      <c r="E167" s="21"/>
      <c r="F167" s="21"/>
      <c r="G167" s="21"/>
      <c r="H167" s="21"/>
      <c r="I167" s="21"/>
      <c r="J167" s="21"/>
      <c r="K167" s="21"/>
      <c r="L167" s="57"/>
      <c r="M167" s="58">
        <f>SUM($M$168)</f>
        <v>0</v>
      </c>
      <c r="N167" s="18"/>
      <c r="O167" s="22"/>
    </row>
    <row r="168" spans="1:15" ht="11.1" customHeight="1" outlineLevel="4" x14ac:dyDescent="0.2">
      <c r="A168" s="23"/>
      <c r="B168" s="24" t="s">
        <v>126</v>
      </c>
      <c r="C168" s="25"/>
      <c r="D168" s="25"/>
      <c r="E168" s="26" t="s">
        <v>27</v>
      </c>
      <c r="F168" s="27"/>
      <c r="G168" s="28">
        <v>2</v>
      </c>
      <c r="H168" s="28">
        <v>2</v>
      </c>
      <c r="I168" s="28">
        <v>2</v>
      </c>
      <c r="J168" s="28">
        <v>2</v>
      </c>
      <c r="K168" s="28">
        <f>SUM($G$168:$J$168)</f>
        <v>8</v>
      </c>
      <c r="L168" s="59">
        <f t="array" ref="L168">INDEX(Р[Цена за ед., руб],MATCH(1,IF(($B168=Р[Наименование])*($N168=Р[Примечание]),{1},($B168=Р[Наименование])*($N168=Р[Примечание])),0))</f>
        <v>0</v>
      </c>
      <c r="M168" s="59">
        <f>ROUND($K$168*$L$168,2)</f>
        <v>0</v>
      </c>
      <c r="N168" s="25"/>
      <c r="O168" s="25"/>
    </row>
    <row r="169" spans="1:15" ht="11.1" customHeight="1" outlineLevel="4" x14ac:dyDescent="0.2">
      <c r="A169" s="20"/>
      <c r="B169" s="14" t="s">
        <v>31</v>
      </c>
      <c r="C169" s="21"/>
      <c r="D169" s="21"/>
      <c r="E169" s="21"/>
      <c r="F169" s="21"/>
      <c r="G169" s="21"/>
      <c r="H169" s="21"/>
      <c r="I169" s="21"/>
      <c r="J169" s="21"/>
      <c r="K169" s="21"/>
      <c r="L169" s="57"/>
      <c r="M169" s="58">
        <f>SUM($M$170:$M$171)</f>
        <v>0</v>
      </c>
      <c r="N169" s="18"/>
      <c r="O169" s="22"/>
    </row>
    <row r="170" spans="1:15" ht="35.1" customHeight="1" outlineLevel="4" x14ac:dyDescent="0.2">
      <c r="A170" s="23" t="s">
        <v>32</v>
      </c>
      <c r="B170" s="24" t="s">
        <v>127</v>
      </c>
      <c r="C170" s="25"/>
      <c r="D170" s="25" t="s">
        <v>128</v>
      </c>
      <c r="E170" s="26" t="s">
        <v>27</v>
      </c>
      <c r="F170" s="29">
        <v>1</v>
      </c>
      <c r="G170" s="28">
        <v>1</v>
      </c>
      <c r="H170" s="28">
        <v>1</v>
      </c>
      <c r="I170" s="28">
        <v>1</v>
      </c>
      <c r="J170" s="28">
        <v>1</v>
      </c>
      <c r="K170" s="28">
        <f>SUM($G$170:$J$170)</f>
        <v>4</v>
      </c>
      <c r="L170" s="59">
        <f t="array" ref="L170">INDEX(М[Цена за ед., руб],MATCH(1,IF(($B170=М[Наим.])*($C170=М[Артикул, марка, произв.])*($D170=М[Хар-ка])*($N170=М[Прим.]),{1},($B170=М[Наим.])*($C170=М[Артикул, марка, произв.])*($D170=М[Хар-ка])*($N170=М[Прим.])),0))</f>
        <v>0</v>
      </c>
      <c r="M170" s="59">
        <f>ROUND($K$170*$L$170,2)</f>
        <v>0</v>
      </c>
      <c r="N170" s="25"/>
      <c r="O170" s="25">
        <f t="array" ref="O170">INDEX(М[Форма закупа],MATCH(1,IF(($B170=М[Наим.])*($C170=М[Артикул, марка, произв.])*($D170=М[Хар-ка])*($N170=М[Прим.]),{1},($B170=М[Наим.])*($C170=М[Артикул, марка, произв.])*($D170=М[Хар-ка])*($N170=М[Прим.])),0))</f>
        <v>0</v>
      </c>
    </row>
    <row r="171" spans="1:15" ht="35.1" customHeight="1" outlineLevel="4" x14ac:dyDescent="0.2">
      <c r="A171" s="23" t="s">
        <v>37</v>
      </c>
      <c r="B171" s="24" t="s">
        <v>127</v>
      </c>
      <c r="C171" s="25"/>
      <c r="D171" s="25" t="s">
        <v>129</v>
      </c>
      <c r="E171" s="26" t="s">
        <v>27</v>
      </c>
      <c r="F171" s="29">
        <v>1</v>
      </c>
      <c r="G171" s="28">
        <v>1</v>
      </c>
      <c r="H171" s="28">
        <v>1</v>
      </c>
      <c r="I171" s="28">
        <v>1</v>
      </c>
      <c r="J171" s="28">
        <v>1</v>
      </c>
      <c r="K171" s="28">
        <f>SUM($G$171:$J$171)</f>
        <v>4</v>
      </c>
      <c r="L171" s="59">
        <f t="array" ref="L171">INDEX(М[Цена за ед., руб],MATCH(1,IF(($B171=М[Наим.])*($C171=М[Артикул, марка, произв.])*($D171=М[Хар-ка])*($N171=М[Прим.]),{1},($B171=М[Наим.])*($C171=М[Артикул, марка, произв.])*($D171=М[Хар-ка])*($N171=М[Прим.])),0))</f>
        <v>0</v>
      </c>
      <c r="M171" s="59">
        <f>ROUND($K$171*$L$171,2)</f>
        <v>0</v>
      </c>
      <c r="N171" s="25"/>
      <c r="O171" s="25">
        <f t="array" ref="O171">INDEX(М[Форма закупа],MATCH(1,IF(($B171=М[Наим.])*($C171=М[Артикул, марка, произв.])*($D171=М[Хар-ка])*($N171=М[Прим.]),{1},($B171=М[Наим.])*($C171=М[Артикул, марка, произв.])*($D171=М[Хар-ка])*($N171=М[Прим.])),0))</f>
        <v>0</v>
      </c>
    </row>
    <row r="172" spans="1:15" ht="11.1" customHeight="1" outlineLevel="4" x14ac:dyDescent="0.2">
      <c r="A172" s="20"/>
      <c r="B172" s="14" t="s">
        <v>25</v>
      </c>
      <c r="C172" s="21"/>
      <c r="D172" s="21"/>
      <c r="E172" s="21"/>
      <c r="F172" s="21"/>
      <c r="G172" s="21"/>
      <c r="H172" s="21"/>
      <c r="I172" s="21"/>
      <c r="J172" s="21"/>
      <c r="K172" s="21"/>
      <c r="L172" s="57"/>
      <c r="M172" s="58">
        <f>SUM($M$173)</f>
        <v>0</v>
      </c>
      <c r="N172" s="18"/>
      <c r="O172" s="22"/>
    </row>
    <row r="173" spans="1:15" ht="11.1" customHeight="1" outlineLevel="4" x14ac:dyDescent="0.2">
      <c r="A173" s="23"/>
      <c r="B173" s="24" t="s">
        <v>130</v>
      </c>
      <c r="C173" s="25"/>
      <c r="D173" s="25"/>
      <c r="E173" s="26" t="s">
        <v>27</v>
      </c>
      <c r="F173" s="27"/>
      <c r="G173" s="28">
        <v>1</v>
      </c>
      <c r="H173" s="28">
        <v>1</v>
      </c>
      <c r="I173" s="28">
        <v>1</v>
      </c>
      <c r="J173" s="28">
        <v>1</v>
      </c>
      <c r="K173" s="28">
        <f>SUM($G$173:$J$173)</f>
        <v>4</v>
      </c>
      <c r="L173" s="59">
        <f t="array" ref="L173">INDEX(Р[Цена за ед., руб],MATCH(1,IF(($B173=Р[Наименование])*($N173=Р[Примечание]),{1},($B173=Р[Наименование])*($N173=Р[Примечание])),0))</f>
        <v>0</v>
      </c>
      <c r="M173" s="59">
        <f>ROUND($K$173*$L$173,2)</f>
        <v>0</v>
      </c>
      <c r="N173" s="25"/>
      <c r="O173" s="25"/>
    </row>
    <row r="174" spans="1:15" ht="11.1" customHeight="1" outlineLevel="4" x14ac:dyDescent="0.2">
      <c r="A174" s="20"/>
      <c r="B174" s="14" t="s">
        <v>31</v>
      </c>
      <c r="C174" s="21"/>
      <c r="D174" s="21"/>
      <c r="E174" s="21"/>
      <c r="F174" s="21"/>
      <c r="G174" s="21"/>
      <c r="H174" s="21"/>
      <c r="I174" s="21"/>
      <c r="J174" s="21"/>
      <c r="K174" s="21"/>
      <c r="L174" s="57"/>
      <c r="M174" s="58">
        <f>SUM($M$175)</f>
        <v>0</v>
      </c>
      <c r="N174" s="18"/>
      <c r="O174" s="22"/>
    </row>
    <row r="175" spans="1:15" ht="23.1" customHeight="1" outlineLevel="4" x14ac:dyDescent="0.2">
      <c r="A175" s="23" t="s">
        <v>32</v>
      </c>
      <c r="B175" s="24" t="s">
        <v>131</v>
      </c>
      <c r="C175" s="25"/>
      <c r="D175" s="25" t="s">
        <v>132</v>
      </c>
      <c r="E175" s="26" t="s">
        <v>27</v>
      </c>
      <c r="F175" s="29">
        <v>1</v>
      </c>
      <c r="G175" s="28">
        <v>1</v>
      </c>
      <c r="H175" s="28">
        <v>1</v>
      </c>
      <c r="I175" s="28">
        <v>1</v>
      </c>
      <c r="J175" s="28">
        <v>1</v>
      </c>
      <c r="K175" s="28">
        <f>SUM($G$175:$J$175)</f>
        <v>4</v>
      </c>
      <c r="L175" s="59">
        <f t="array" ref="L175">INDEX(М[Цена за ед., руб],MATCH(1,IF(($B175=М[Наим.])*($C175=М[Артикул, марка, произв.])*($D175=М[Хар-ка])*($N175=М[Прим.]),{1},($B175=М[Наим.])*($C175=М[Артикул, марка, произв.])*($D175=М[Хар-ка])*($N175=М[Прим.])),0))</f>
        <v>0</v>
      </c>
      <c r="M175" s="59">
        <f>ROUND($K$175*$L$175,2)</f>
        <v>0</v>
      </c>
      <c r="N175" s="25"/>
      <c r="O175" s="25">
        <f t="array" ref="O175">INDEX(М[Форма закупа],MATCH(1,IF(($B175=М[Наим.])*($C175=М[Артикул, марка, произв.])*($D175=М[Хар-ка])*($N175=М[Прим.]),{1},($B175=М[Наим.])*($C175=М[Артикул, марка, произв.])*($D175=М[Хар-ка])*($N175=М[Прим.])),0))</f>
        <v>0</v>
      </c>
    </row>
    <row r="176" spans="1:15" ht="11.1" customHeight="1" outlineLevel="2" x14ac:dyDescent="0.2">
      <c r="A176" s="13" t="s">
        <v>138</v>
      </c>
      <c r="B176" s="14" t="s">
        <v>139</v>
      </c>
      <c r="C176" s="15"/>
      <c r="D176" s="15"/>
      <c r="E176" s="16"/>
      <c r="F176" s="17"/>
      <c r="G176" s="18"/>
      <c r="H176" s="18"/>
      <c r="I176" s="18"/>
      <c r="J176" s="18"/>
      <c r="K176" s="18"/>
      <c r="L176" s="56"/>
      <c r="M176" s="56">
        <f ca="1">SUM($M$177)</f>
        <v>0</v>
      </c>
      <c r="N176" s="19"/>
      <c r="O176" s="19"/>
    </row>
    <row r="177" spans="1:15" ht="11.1" customHeight="1" outlineLevel="3" x14ac:dyDescent="0.2">
      <c r="A177" s="13" t="s">
        <v>140</v>
      </c>
      <c r="B177" s="14" t="s">
        <v>139</v>
      </c>
      <c r="C177" s="15"/>
      <c r="D177" s="15"/>
      <c r="E177" s="16"/>
      <c r="F177" s="17"/>
      <c r="G177" s="18"/>
      <c r="H177" s="18"/>
      <c r="I177" s="18"/>
      <c r="J177" s="18"/>
      <c r="K177" s="18"/>
      <c r="L177" s="56"/>
      <c r="M177" s="56">
        <f ca="1">SUM($M$180,$M$178,M182)</f>
        <v>0</v>
      </c>
      <c r="N177" s="19"/>
      <c r="O177" s="19"/>
    </row>
    <row r="178" spans="1:15" ht="11.1" customHeight="1" outlineLevel="4" x14ac:dyDescent="0.2">
      <c r="A178" s="20"/>
      <c r="B178" s="14" t="s">
        <v>25</v>
      </c>
      <c r="C178" s="21"/>
      <c r="D178" s="21"/>
      <c r="E178" s="21"/>
      <c r="F178" s="21"/>
      <c r="G178" s="21"/>
      <c r="H178" s="21"/>
      <c r="I178" s="21"/>
      <c r="J178" s="21"/>
      <c r="K178" s="21"/>
      <c r="L178" s="57"/>
      <c r="M178" s="58">
        <f>SUM($M$179)</f>
        <v>0</v>
      </c>
      <c r="N178" s="18"/>
      <c r="O178" s="22"/>
    </row>
    <row r="179" spans="1:15" ht="11.1" customHeight="1" outlineLevel="4" x14ac:dyDescent="0.2">
      <c r="A179" s="23"/>
      <c r="B179" s="64" t="s">
        <v>172</v>
      </c>
      <c r="C179" s="25"/>
      <c r="D179" s="25"/>
      <c r="E179" s="26" t="s">
        <v>137</v>
      </c>
      <c r="F179" s="27"/>
      <c r="G179" s="28">
        <v>1</v>
      </c>
      <c r="H179" s="28">
        <v>1</v>
      </c>
      <c r="I179" s="28">
        <v>1</v>
      </c>
      <c r="J179" s="28">
        <v>1</v>
      </c>
      <c r="K179" s="28">
        <f>SUM($G$179:$J$179)</f>
        <v>4</v>
      </c>
      <c r="L179" s="59">
        <f t="array" ref="L179">INDEX(Р[Цена за ед., руб],MATCH(1,IF(($B179=Р[Наименование])*($N179=Р[Примечание]),{1},($B179=Р[Наименование])*($N179=Р[Примечание])),0))</f>
        <v>0</v>
      </c>
      <c r="M179" s="59">
        <f>ROUND($K$179*$L$179,2)</f>
        <v>0</v>
      </c>
      <c r="N179" s="25"/>
      <c r="O179" s="25"/>
    </row>
    <row r="180" spans="1:15" ht="11.1" customHeight="1" outlineLevel="4" x14ac:dyDescent="0.2">
      <c r="A180" s="20"/>
      <c r="B180" s="14" t="s">
        <v>31</v>
      </c>
      <c r="C180" s="21"/>
      <c r="D180" s="21"/>
      <c r="E180" s="21"/>
      <c r="F180" s="21"/>
      <c r="G180" s="21"/>
      <c r="H180" s="21"/>
      <c r="I180" s="21"/>
      <c r="J180" s="21"/>
      <c r="K180" s="21"/>
      <c r="L180" s="57"/>
      <c r="M180" s="58">
        <f>SUM($M$181)</f>
        <v>0</v>
      </c>
      <c r="N180" s="18"/>
      <c r="O180" s="22"/>
    </row>
    <row r="181" spans="1:15" ht="11.1" customHeight="1" outlineLevel="4" x14ac:dyDescent="0.2">
      <c r="A181" s="23" t="s">
        <v>32</v>
      </c>
      <c r="B181" s="24" t="s">
        <v>141</v>
      </c>
      <c r="C181" s="25"/>
      <c r="D181" s="25" t="s">
        <v>142</v>
      </c>
      <c r="E181" s="26" t="s">
        <v>143</v>
      </c>
      <c r="F181" s="27"/>
      <c r="G181" s="28">
        <v>20</v>
      </c>
      <c r="H181" s="28">
        <v>20</v>
      </c>
      <c r="I181" s="28">
        <v>20</v>
      </c>
      <c r="J181" s="28">
        <v>30</v>
      </c>
      <c r="K181" s="28">
        <f>SUM($G$181:$J$181)</f>
        <v>90</v>
      </c>
      <c r="L181" s="59">
        <f t="array" ref="L181">INDEX(М[Цена за ед., руб],MATCH(1,IF(($B181=М[Наим.])*($C181=М[Артикул, марка, произв.])*($D181=М[Хар-ка])*($N181=М[Прим.]),{1},($B181=М[Наим.])*($C181=М[Артикул, марка, произв.])*($D181=М[Хар-ка])*($N181=М[Прим.])),0))</f>
        <v>0</v>
      </c>
      <c r="M181" s="59">
        <f>ROUND($K$181*$L$181,2)</f>
        <v>0</v>
      </c>
      <c r="N181" s="25" t="s">
        <v>144</v>
      </c>
      <c r="O181" s="25">
        <f t="array" ref="O181">INDEX(М[Форма закупа],MATCH(1,IF(($B181=М[Наим.])*($C181=М[Артикул, марка, произв.])*($D181=М[Хар-ка])*($N181=М[Прим.]),{1},($B181=М[Наим.])*($C181=М[Артикул, марка, произв.])*($D181=М[Хар-ка])*($N181=М[Прим.])),0))</f>
        <v>0</v>
      </c>
    </row>
    <row r="182" spans="1:15" ht="11.1" customHeight="1" outlineLevel="4" x14ac:dyDescent="0.2">
      <c r="A182" s="66"/>
      <c r="B182" s="67" t="s">
        <v>31</v>
      </c>
      <c r="C182" s="68"/>
      <c r="D182" s="68"/>
      <c r="E182" s="68"/>
      <c r="F182" s="68"/>
      <c r="G182" s="68"/>
      <c r="H182" s="68"/>
      <c r="I182" s="68"/>
      <c r="J182" s="68"/>
      <c r="K182" s="68"/>
      <c r="L182" s="69"/>
      <c r="M182" s="70">
        <f ca="1">SUM(M183:M188)</f>
        <v>0</v>
      </c>
      <c r="N182" s="18"/>
      <c r="O182" s="22"/>
    </row>
    <row r="183" spans="1:15" ht="22.5" outlineLevel="4" x14ac:dyDescent="0.2">
      <c r="A183" s="71">
        <v>1</v>
      </c>
      <c r="B183" s="72" t="s">
        <v>166</v>
      </c>
      <c r="C183" s="73"/>
      <c r="D183" s="73"/>
      <c r="E183" s="61" t="s">
        <v>78</v>
      </c>
      <c r="F183" s="74"/>
      <c r="G183" s="75"/>
      <c r="H183" s="75"/>
      <c r="I183" s="75"/>
      <c r="J183" s="75"/>
      <c r="K183" s="62">
        <f ca="1">SUMIF(М[[Наим.]:[Сумма, руб]],B183,М[Количество])</f>
        <v>0</v>
      </c>
      <c r="L183" s="63"/>
      <c r="M183" s="63">
        <f ca="1">ROUND(SUM(M60,M118:M119,M145)*K183%,3)</f>
        <v>0</v>
      </c>
      <c r="N183" s="80" t="s">
        <v>187</v>
      </c>
      <c r="O183" s="73">
        <f t="array" ref="O183">INDEX(М[Форма закупа],MATCH(1,IF(($B183=М[Наим.])*($C183=М[Артикул, марка, произв.])*($D183=М[Хар-ка])*($N183=М[Прим.]),{1},($B183=М[Наим.])*($C183=М[Артикул, марка, произв.])*($D183=М[Хар-ка])*($N183=М[Прим.])),0))</f>
        <v>0</v>
      </c>
    </row>
    <row r="184" spans="1:15" ht="22.5" outlineLevel="4" x14ac:dyDescent="0.2">
      <c r="A184" s="71">
        <v>2</v>
      </c>
      <c r="B184" s="72" t="s">
        <v>167</v>
      </c>
      <c r="C184" s="73"/>
      <c r="D184" s="73"/>
      <c r="E184" s="61" t="s">
        <v>78</v>
      </c>
      <c r="F184" s="74"/>
      <c r="G184" s="75"/>
      <c r="H184" s="75"/>
      <c r="I184" s="75"/>
      <c r="J184" s="75"/>
      <c r="K184" s="62">
        <f ca="1">SUMIF(М[[Наим.]:[Сумма, руб]],B184,М[Количество])</f>
        <v>0</v>
      </c>
      <c r="L184" s="63"/>
      <c r="M184" s="63">
        <f ca="1">ROUND(SUM(M91)*K184%,3)</f>
        <v>0</v>
      </c>
      <c r="N184" s="80" t="s">
        <v>187</v>
      </c>
      <c r="O184" s="73">
        <f t="array" ref="O184">INDEX(М[Форма закупа],MATCH(1,IF(($B184=М[Наим.])*($C184=М[Артикул, марка, произв.])*($D184=М[Хар-ка])*($N184=М[Прим.]),{1},($B184=М[Наим.])*($C184=М[Артикул, марка, произв.])*($D184=М[Хар-ка])*($N184=М[Прим.])),0))</f>
        <v>0</v>
      </c>
    </row>
    <row r="185" spans="1:15" ht="22.5" outlineLevel="4" x14ac:dyDescent="0.2">
      <c r="A185" s="71">
        <v>3</v>
      </c>
      <c r="B185" s="72" t="s">
        <v>168</v>
      </c>
      <c r="C185" s="73"/>
      <c r="D185" s="73"/>
      <c r="E185" s="61" t="s">
        <v>78</v>
      </c>
      <c r="F185" s="74"/>
      <c r="G185" s="75"/>
      <c r="H185" s="75"/>
      <c r="I185" s="75"/>
      <c r="J185" s="75"/>
      <c r="K185" s="62">
        <f ca="1">SUMIF(М[[Наим.]:[Сумма, руб]],B185,М[Количество])</f>
        <v>0</v>
      </c>
      <c r="L185" s="63"/>
      <c r="M185" s="63">
        <f ca="1">ROUND(SUM(M64)*K185%,3)</f>
        <v>0</v>
      </c>
      <c r="N185" s="80" t="s">
        <v>187</v>
      </c>
      <c r="O185" s="73">
        <f t="array" ref="O185">INDEX(М[Форма закупа],MATCH(1,IF(($B185=М[Наим.])*($C185=М[Артикул, марка, произв.])*($D185=М[Хар-ка])*($N185=М[Прим.]),{1},($B185=М[Наим.])*($C185=М[Артикул, марка, произв.])*($D185=М[Хар-ка])*($N185=М[Прим.])),0))</f>
        <v>0</v>
      </c>
    </row>
    <row r="186" spans="1:15" ht="22.5" outlineLevel="4" x14ac:dyDescent="0.2">
      <c r="A186" s="71">
        <v>4</v>
      </c>
      <c r="B186" s="72" t="s">
        <v>169</v>
      </c>
      <c r="C186" s="73"/>
      <c r="D186" s="73"/>
      <c r="E186" s="61" t="s">
        <v>78</v>
      </c>
      <c r="F186" s="74"/>
      <c r="G186" s="75"/>
      <c r="H186" s="75"/>
      <c r="I186" s="75"/>
      <c r="J186" s="75"/>
      <c r="K186" s="62">
        <f ca="1">SUMIF(М[[Наим.]:[Сумма, руб]],B186,М[Количество])</f>
        <v>0</v>
      </c>
      <c r="L186" s="63"/>
      <c r="M186" s="63">
        <f ca="1">ROUND(SUM(M123)*K186%,3)</f>
        <v>0</v>
      </c>
      <c r="N186" s="80" t="s">
        <v>187</v>
      </c>
      <c r="O186" s="73">
        <f t="array" ref="O186">INDEX(М[Форма закупа],MATCH(1,IF(($B186=М[Наим.])*($C186=М[Артикул, марка, произв.])*($D186=М[Хар-ка])*($N186=М[Прим.]),{1},($B186=М[Наим.])*($C186=М[Артикул, марка, произв.])*($D186=М[Хар-ка])*($N186=М[Прим.])),0))</f>
        <v>0</v>
      </c>
    </row>
    <row r="187" spans="1:15" ht="22.5" outlineLevel="4" x14ac:dyDescent="0.2">
      <c r="A187" s="71">
        <v>5</v>
      </c>
      <c r="B187" s="72" t="s">
        <v>170</v>
      </c>
      <c r="C187" s="73"/>
      <c r="D187" s="73"/>
      <c r="E187" s="61" t="s">
        <v>78</v>
      </c>
      <c r="F187" s="74"/>
      <c r="G187" s="75"/>
      <c r="H187" s="75"/>
      <c r="I187" s="75"/>
      <c r="J187" s="75"/>
      <c r="K187" s="62">
        <f ca="1">SUMIF(М[[Наим.]:[Сумма, руб]],B187,М[Количество])</f>
        <v>0</v>
      </c>
      <c r="L187" s="63"/>
      <c r="M187" s="63">
        <f ca="1">ROUND(SUM(M54:M56)*K187%,3)</f>
        <v>0</v>
      </c>
      <c r="N187" s="80" t="s">
        <v>187</v>
      </c>
      <c r="O187" s="73">
        <f t="array" ref="O187">INDEX(М[Форма закупа],MATCH(1,IF(($B187=М[Наим.])*($C187=М[Артикул, марка, произв.])*($D187=М[Хар-ка])*($N187=М[Прим.]),{1},($B187=М[Наим.])*($C187=М[Артикул, марка, произв.])*($D187=М[Хар-ка])*($N187=М[Прим.])),0))</f>
        <v>0</v>
      </c>
    </row>
    <row r="188" spans="1:15" ht="22.5" outlineLevel="4" x14ac:dyDescent="0.2">
      <c r="A188" s="71">
        <v>6</v>
      </c>
      <c r="B188" s="72" t="s">
        <v>171</v>
      </c>
      <c r="C188" s="73"/>
      <c r="D188" s="73"/>
      <c r="E188" s="61" t="s">
        <v>78</v>
      </c>
      <c r="F188" s="74"/>
      <c r="G188" s="75"/>
      <c r="H188" s="75"/>
      <c r="I188" s="75"/>
      <c r="J188" s="75"/>
      <c r="K188" s="62">
        <f ca="1">SUMIF(М[[Наим.]:[Сумма, руб]],B188,М[Количество])</f>
        <v>0</v>
      </c>
      <c r="L188" s="63"/>
      <c r="M188" s="63">
        <f ca="1">ROUND(SUM(M19:M20,M24,M28,M32,M36,M40:M41,M45:M46,M50,M54:M56,M60,M64,M72:M74,M78,M82,M86:M87,M91,M99:M100,M104,M108,M112,M118:M119,M123,M129,M133,M137,M141,M145,M153,M157,M161:M162,M166,M170:M171,M175,M181)*K188%,3)</f>
        <v>0</v>
      </c>
      <c r="N188" s="80" t="s">
        <v>187</v>
      </c>
      <c r="O188" s="73">
        <f t="array" ref="O188">INDEX(М[Форма закупа],MATCH(1,IF(($B188=М[Наим.])*($C188=М[Артикул, марка, произв.])*($D188=М[Хар-ка])*($N188=М[Прим.]),{1},($B188=М[Наим.])*($C188=М[Артикул, марка, произв.])*($D188=М[Хар-ка])*($N188=М[Прим.])),0))</f>
        <v>0</v>
      </c>
    </row>
    <row r="189" spans="1:15" ht="11.1" customHeight="1" outlineLevel="2" x14ac:dyDescent="0.2">
      <c r="A189" s="13" t="s">
        <v>133</v>
      </c>
      <c r="B189" s="14" t="s">
        <v>134</v>
      </c>
      <c r="C189" s="15"/>
      <c r="D189" s="15"/>
      <c r="E189" s="16"/>
      <c r="F189" s="17"/>
      <c r="G189" s="18"/>
      <c r="H189" s="18"/>
      <c r="I189" s="18"/>
      <c r="J189" s="18"/>
      <c r="K189" s="18"/>
      <c r="L189" s="56"/>
      <c r="M189" s="56">
        <f>SUM($M$190)</f>
        <v>0</v>
      </c>
      <c r="N189" s="19"/>
      <c r="O189" s="19"/>
    </row>
    <row r="190" spans="1:15" ht="11.1" customHeight="1" outlineLevel="3" x14ac:dyDescent="0.2">
      <c r="A190" s="13" t="s">
        <v>135</v>
      </c>
      <c r="B190" s="14" t="s">
        <v>134</v>
      </c>
      <c r="C190" s="15"/>
      <c r="D190" s="15"/>
      <c r="E190" s="16"/>
      <c r="F190" s="17"/>
      <c r="G190" s="18"/>
      <c r="H190" s="18"/>
      <c r="I190" s="18"/>
      <c r="J190" s="18"/>
      <c r="K190" s="18"/>
      <c r="L190" s="56"/>
      <c r="M190" s="56">
        <f>SUM($M$191)</f>
        <v>0</v>
      </c>
      <c r="N190" s="19"/>
      <c r="O190" s="19"/>
    </row>
    <row r="191" spans="1:15" ht="11.1" customHeight="1" outlineLevel="4" x14ac:dyDescent="0.2">
      <c r="A191" s="20"/>
      <c r="B191" s="14" t="s">
        <v>25</v>
      </c>
      <c r="C191" s="21"/>
      <c r="D191" s="21"/>
      <c r="E191" s="21"/>
      <c r="F191" s="21"/>
      <c r="G191" s="21"/>
      <c r="H191" s="21"/>
      <c r="I191" s="21"/>
      <c r="J191" s="21"/>
      <c r="K191" s="21"/>
      <c r="L191" s="57"/>
      <c r="M191" s="58">
        <f>SUM($M$192)</f>
        <v>0</v>
      </c>
      <c r="N191" s="18"/>
      <c r="O191" s="22"/>
    </row>
    <row r="192" spans="1:15" ht="23.1" customHeight="1" outlineLevel="4" x14ac:dyDescent="0.2">
      <c r="A192" s="23"/>
      <c r="B192" s="24" t="s">
        <v>136</v>
      </c>
      <c r="C192" s="25"/>
      <c r="D192" s="25"/>
      <c r="E192" s="26" t="s">
        <v>137</v>
      </c>
      <c r="F192" s="27"/>
      <c r="G192" s="28">
        <v>1</v>
      </c>
      <c r="H192" s="28">
        <v>1</v>
      </c>
      <c r="I192" s="28">
        <v>1</v>
      </c>
      <c r="J192" s="28">
        <v>1</v>
      </c>
      <c r="K192" s="28">
        <f>SUM($G$192:$J$192)</f>
        <v>4</v>
      </c>
      <c r="L192" s="59">
        <f t="array" ref="L192">INDEX(Р[Цена за ед., руб],MATCH(1,IF(($B192=Р[Наименование])*($N192=Р[Примечание]),{1},($B192=Р[Наименование])*($N192=Р[Примечание])),0))</f>
        <v>0</v>
      </c>
      <c r="M192" s="59">
        <f>ROUND($K$192*$L$192,2)</f>
        <v>0</v>
      </c>
      <c r="N192" s="25"/>
      <c r="O192" s="25"/>
    </row>
    <row r="193" spans="1:128" ht="11.1" customHeight="1" x14ac:dyDescent="0.2">
      <c r="A193" s="118" t="s">
        <v>174</v>
      </c>
      <c r="B193" s="119"/>
      <c r="C193" s="119"/>
      <c r="D193" s="119"/>
      <c r="E193" s="119"/>
      <c r="F193" s="119"/>
      <c r="G193" s="119"/>
      <c r="H193" s="119"/>
      <c r="I193" s="119"/>
      <c r="J193" s="119"/>
      <c r="K193" s="119"/>
      <c r="L193" s="120"/>
      <c r="M193" s="60">
        <f ca="1">$M$9</f>
        <v>0</v>
      </c>
      <c r="N193" s="32"/>
      <c r="O193" s="32"/>
    </row>
    <row r="194" spans="1:128" ht="11.1" customHeight="1" x14ac:dyDescent="0.2">
      <c r="A194" s="121" t="s">
        <v>145</v>
      </c>
      <c r="B194" s="122"/>
      <c r="C194" s="122"/>
      <c r="D194" s="122"/>
      <c r="E194" s="122"/>
      <c r="F194" s="122"/>
      <c r="G194" s="122"/>
      <c r="H194" s="122"/>
      <c r="I194" s="122"/>
      <c r="J194" s="122"/>
      <c r="K194" s="122"/>
      <c r="L194" s="123"/>
      <c r="M194" s="60">
        <f>SUM($M$178,$M$191,$M$172,$M$167,$M$163,$M$158,$M$154,$M$150,$M$148,$M$142,$M$138,$M$134,$M$130,$M$126,$M$120,$M$115,$M$113,$M$109,$M$105,$M$101,$M$96,$M$94,$M$88,$M$83,$M$79,$M$75,$M$69,$M$67,$M$61,$M$57,$M$51,$M$47,$M$42,$M$37,$M$33,$M$29,$M$25,$M$21,$M$16,$M$14,$M$12)</f>
        <v>0</v>
      </c>
      <c r="N194" s="32"/>
      <c r="O194" s="32"/>
    </row>
    <row r="195" spans="1:128" ht="11.1" customHeight="1" x14ac:dyDescent="0.2">
      <c r="A195" s="121" t="s">
        <v>146</v>
      </c>
      <c r="B195" s="122"/>
      <c r="C195" s="122"/>
      <c r="D195" s="122"/>
      <c r="E195" s="122"/>
      <c r="F195" s="122"/>
      <c r="G195" s="122"/>
      <c r="H195" s="122"/>
      <c r="I195" s="122"/>
      <c r="J195" s="122"/>
      <c r="K195" s="122"/>
      <c r="L195" s="123"/>
      <c r="M195" s="60">
        <f ca="1">SUM($M$180,$M$174,$M$169,$M$165,$M$160,$M$156,$M$152,$M$144,$M$140,$M$136,$M$132,$M$128,$M$122,$M$117,$M$111,$M$107,$M$103,$M$98,$M$90,$M$85,$M$81,$M$77,$M$71,$M$63,$M$59,$M$53,$M$49,$M$44,$M$39,$M$35,$M$31,$M$27,$M$23,$M$18,M182)</f>
        <v>0</v>
      </c>
      <c r="N195" s="32"/>
      <c r="O195" s="32"/>
    </row>
    <row r="196" spans="1:128" ht="11.1" customHeight="1" x14ac:dyDescent="0.2">
      <c r="A196" s="124" t="s">
        <v>173</v>
      </c>
      <c r="B196" s="125"/>
      <c r="C196" s="125"/>
      <c r="D196" s="125"/>
      <c r="E196" s="125"/>
      <c r="F196" s="125"/>
      <c r="G196" s="125"/>
      <c r="H196" s="125"/>
      <c r="I196" s="125"/>
      <c r="J196" s="125"/>
      <c r="K196" s="125"/>
      <c r="L196" s="126"/>
      <c r="M196" s="77"/>
      <c r="N196" s="82" t="s">
        <v>178</v>
      </c>
      <c r="O196" s="32"/>
    </row>
    <row r="197" spans="1:128" ht="11.1" customHeight="1" x14ac:dyDescent="0.2">
      <c r="A197" s="33"/>
      <c r="B197" s="114" t="s">
        <v>147</v>
      </c>
      <c r="C197" s="114"/>
      <c r="D197" s="114"/>
      <c r="E197" s="114"/>
      <c r="F197" s="114"/>
      <c r="G197" s="114"/>
      <c r="H197" s="114"/>
      <c r="I197" s="114"/>
      <c r="J197" s="114"/>
      <c r="K197" s="114"/>
      <c r="L197" s="115"/>
      <c r="M197" s="115"/>
      <c r="N197" s="114"/>
      <c r="O197" s="33"/>
    </row>
    <row r="198" spans="1:128" ht="11.1" customHeight="1" x14ac:dyDescent="0.2"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7"/>
      <c r="M198" s="117"/>
      <c r="N198" s="116"/>
    </row>
    <row r="199" spans="1:128" s="90" customFormat="1" ht="30.75" customHeight="1" x14ac:dyDescent="0.2">
      <c r="A199" s="83"/>
      <c r="B199" s="84" t="s">
        <v>179</v>
      </c>
      <c r="C199" s="85"/>
      <c r="D199" s="85"/>
      <c r="E199" s="86"/>
      <c r="F199" s="86"/>
      <c r="G199" s="86"/>
      <c r="H199" s="86"/>
      <c r="I199" s="86"/>
      <c r="J199" s="86"/>
      <c r="K199" s="87"/>
      <c r="L199" s="86"/>
      <c r="M199" s="86"/>
      <c r="N199" s="85"/>
      <c r="O199" s="85"/>
      <c r="P199" s="88"/>
      <c r="Q199" s="89"/>
      <c r="W199" s="91"/>
      <c r="AE199" s="91"/>
      <c r="AM199" s="91"/>
      <c r="AU199" s="91"/>
      <c r="AV199" s="91"/>
      <c r="AW199" s="91"/>
      <c r="AX199" s="91"/>
      <c r="AY199" s="91"/>
      <c r="AZ199" s="91"/>
      <c r="BA199" s="91"/>
      <c r="BB199" s="91"/>
      <c r="BC199" s="91"/>
      <c r="BD199" s="91"/>
      <c r="BE199" s="91"/>
      <c r="BF199" s="91"/>
      <c r="BG199" s="91"/>
      <c r="BH199" s="91"/>
      <c r="BI199" s="91"/>
      <c r="BJ199" s="91"/>
      <c r="BK199" s="91"/>
      <c r="BL199" s="91"/>
      <c r="BM199" s="91"/>
      <c r="BN199" s="91"/>
      <c r="BO199" s="91"/>
      <c r="BP199" s="91"/>
      <c r="BQ199" s="91"/>
      <c r="BR199" s="91"/>
      <c r="BS199" s="91"/>
      <c r="BT199" s="91"/>
      <c r="BU199" s="91"/>
      <c r="BV199" s="91"/>
      <c r="BW199" s="91"/>
      <c r="BX199" s="91"/>
      <c r="BY199" s="91"/>
      <c r="BZ199" s="91"/>
      <c r="CA199" s="91"/>
      <c r="CB199" s="91"/>
      <c r="CC199" s="91"/>
      <c r="CD199" s="91"/>
      <c r="CE199" s="91"/>
      <c r="CF199" s="91"/>
      <c r="CG199" s="91"/>
      <c r="CH199" s="91"/>
      <c r="CI199" s="91"/>
      <c r="CJ199" s="91"/>
      <c r="CK199" s="91"/>
      <c r="CL199" s="91"/>
      <c r="CM199" s="91"/>
      <c r="CN199" s="91"/>
      <c r="CO199" s="91"/>
      <c r="CP199" s="91"/>
      <c r="CQ199" s="91"/>
      <c r="CR199" s="91"/>
      <c r="CS199" s="91"/>
      <c r="CT199" s="91"/>
      <c r="CU199" s="91"/>
      <c r="CV199" s="91"/>
      <c r="CW199" s="91"/>
      <c r="CX199" s="91"/>
      <c r="CY199" s="91"/>
      <c r="CZ199" s="91"/>
      <c r="DA199" s="91"/>
      <c r="DB199" s="91"/>
      <c r="DC199" s="91"/>
      <c r="DD199" s="91"/>
      <c r="DE199" s="91"/>
      <c r="DF199" s="91"/>
      <c r="DG199" s="91"/>
      <c r="DO199" s="91"/>
      <c r="DP199" s="91"/>
      <c r="DX199" s="91"/>
    </row>
    <row r="200" spans="1:128" s="90" customFormat="1" ht="30.75" customHeight="1" x14ac:dyDescent="0.2">
      <c r="A200" s="83"/>
      <c r="B200" s="98" t="s">
        <v>180</v>
      </c>
      <c r="C200" s="98"/>
      <c r="D200" s="98"/>
      <c r="E200" s="98"/>
      <c r="F200" s="98"/>
      <c r="G200" s="98"/>
      <c r="H200" s="98"/>
      <c r="I200" s="98"/>
      <c r="J200" s="98"/>
      <c r="K200" s="98"/>
      <c r="L200" s="86"/>
      <c r="M200" s="86"/>
      <c r="N200" s="85"/>
      <c r="O200" s="85"/>
      <c r="P200" s="88"/>
      <c r="Q200" s="89"/>
      <c r="W200" s="91"/>
      <c r="AE200" s="91"/>
      <c r="AM200" s="91"/>
      <c r="AU200" s="91"/>
      <c r="AV200" s="91"/>
      <c r="AW200" s="91"/>
      <c r="AX200" s="91"/>
      <c r="AY200" s="91"/>
      <c r="AZ200" s="91"/>
      <c r="BA200" s="91"/>
      <c r="BB200" s="91"/>
      <c r="BC200" s="91"/>
      <c r="BD200" s="91"/>
      <c r="BE200" s="91"/>
      <c r="BF200" s="91"/>
      <c r="BG200" s="91"/>
      <c r="BH200" s="91"/>
      <c r="BI200" s="91"/>
      <c r="BJ200" s="91"/>
      <c r="BK200" s="91"/>
      <c r="BL200" s="91"/>
      <c r="BM200" s="91"/>
      <c r="BN200" s="91"/>
      <c r="BO200" s="91"/>
      <c r="BP200" s="91"/>
      <c r="BQ200" s="91"/>
      <c r="BR200" s="91"/>
      <c r="BS200" s="91"/>
      <c r="BT200" s="91"/>
      <c r="BU200" s="91"/>
      <c r="BV200" s="91"/>
      <c r="BW200" s="91"/>
      <c r="BX200" s="91"/>
      <c r="BY200" s="91"/>
      <c r="BZ200" s="91"/>
      <c r="CA200" s="91"/>
      <c r="CB200" s="91"/>
      <c r="CC200" s="91"/>
      <c r="CD200" s="91"/>
      <c r="CE200" s="91"/>
      <c r="CF200" s="91"/>
      <c r="CG200" s="91"/>
      <c r="CH200" s="91"/>
      <c r="CI200" s="91"/>
      <c r="CJ200" s="91"/>
      <c r="CK200" s="91"/>
      <c r="CL200" s="91"/>
      <c r="CM200" s="91"/>
      <c r="CN200" s="91"/>
      <c r="CO200" s="91"/>
      <c r="CP200" s="91"/>
      <c r="CQ200" s="91"/>
      <c r="CR200" s="91"/>
      <c r="CS200" s="91"/>
      <c r="CT200" s="91"/>
      <c r="CU200" s="91"/>
      <c r="CV200" s="91"/>
      <c r="CW200" s="91"/>
      <c r="CX200" s="91"/>
      <c r="CY200" s="91"/>
      <c r="CZ200" s="91"/>
      <c r="DA200" s="91"/>
      <c r="DB200" s="91"/>
      <c r="DC200" s="91"/>
      <c r="DD200" s="91"/>
      <c r="DE200" s="91"/>
      <c r="DF200" s="91"/>
      <c r="DG200" s="91"/>
      <c r="DO200" s="91"/>
      <c r="DP200" s="91"/>
      <c r="DX200" s="91"/>
    </row>
    <row r="201" spans="1:128" s="90" customFormat="1" ht="30.75" customHeight="1" x14ac:dyDescent="0.2">
      <c r="A201" s="83" t="s">
        <v>181</v>
      </c>
      <c r="B201" s="99" t="s">
        <v>182</v>
      </c>
      <c r="C201" s="99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2"/>
      <c r="Q201" s="92"/>
      <c r="W201" s="91"/>
      <c r="AE201" s="91"/>
      <c r="AM201" s="91"/>
      <c r="AU201" s="91"/>
      <c r="AV201" s="91"/>
      <c r="AW201" s="91"/>
      <c r="AX201" s="91"/>
      <c r="AY201" s="91"/>
      <c r="AZ201" s="91"/>
      <c r="BA201" s="91"/>
      <c r="BB201" s="91"/>
      <c r="BC201" s="91"/>
      <c r="BD201" s="91"/>
      <c r="BE201" s="91"/>
      <c r="BF201" s="91"/>
      <c r="BG201" s="91"/>
      <c r="BH201" s="91"/>
      <c r="BI201" s="91"/>
      <c r="BJ201" s="91"/>
      <c r="BK201" s="91"/>
      <c r="BL201" s="91"/>
      <c r="BM201" s="91"/>
      <c r="BN201" s="91"/>
      <c r="BO201" s="91"/>
      <c r="BP201" s="91"/>
      <c r="BQ201" s="91"/>
      <c r="BR201" s="91"/>
      <c r="BS201" s="91"/>
      <c r="BT201" s="91"/>
      <c r="BU201" s="91"/>
      <c r="BV201" s="91"/>
      <c r="BW201" s="91"/>
      <c r="BX201" s="91"/>
      <c r="BY201" s="91"/>
      <c r="BZ201" s="91"/>
      <c r="CA201" s="91"/>
      <c r="CB201" s="91"/>
      <c r="CC201" s="91"/>
      <c r="CD201" s="91"/>
      <c r="CE201" s="91"/>
      <c r="CF201" s="91"/>
      <c r="CG201" s="91"/>
      <c r="CH201" s="91"/>
      <c r="CI201" s="91"/>
      <c r="CJ201" s="91"/>
      <c r="CK201" s="91"/>
      <c r="CL201" s="91"/>
      <c r="CM201" s="91"/>
      <c r="CN201" s="91"/>
      <c r="CO201" s="91"/>
      <c r="CP201" s="91"/>
      <c r="CQ201" s="91"/>
      <c r="CR201" s="91"/>
      <c r="CS201" s="91"/>
      <c r="CT201" s="91"/>
      <c r="CU201" s="91"/>
      <c r="CV201" s="91"/>
      <c r="CW201" s="91"/>
      <c r="CX201" s="91"/>
      <c r="CY201" s="91"/>
      <c r="CZ201" s="91"/>
      <c r="DA201" s="91"/>
      <c r="DB201" s="91"/>
      <c r="DC201" s="91"/>
      <c r="DD201" s="91"/>
      <c r="DE201" s="91"/>
      <c r="DF201" s="91"/>
      <c r="DG201" s="91"/>
      <c r="DO201" s="91"/>
      <c r="DP201" s="91"/>
      <c r="DX201" s="91"/>
    </row>
    <row r="202" spans="1:128" s="90" customFormat="1" ht="51.75" customHeight="1" x14ac:dyDescent="0.2">
      <c r="A202" s="90" t="s">
        <v>181</v>
      </c>
      <c r="B202" s="99" t="s">
        <v>183</v>
      </c>
      <c r="C202" s="99"/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3"/>
      <c r="Q202" s="89"/>
      <c r="W202" s="91"/>
      <c r="AE202" s="91"/>
      <c r="AM202" s="91"/>
      <c r="AU202" s="91"/>
      <c r="AV202" s="91"/>
      <c r="AW202" s="91"/>
      <c r="AX202" s="91"/>
      <c r="AY202" s="91"/>
      <c r="AZ202" s="91"/>
      <c r="BA202" s="91"/>
      <c r="BB202" s="91"/>
      <c r="BC202" s="91"/>
      <c r="BD202" s="91"/>
      <c r="BE202" s="91"/>
      <c r="BF202" s="91"/>
      <c r="BG202" s="91"/>
      <c r="BH202" s="91"/>
      <c r="BI202" s="91"/>
      <c r="BJ202" s="91"/>
      <c r="BK202" s="91"/>
      <c r="BL202" s="91"/>
      <c r="BM202" s="91"/>
      <c r="BN202" s="91"/>
      <c r="BO202" s="91"/>
      <c r="BP202" s="91"/>
      <c r="BQ202" s="91"/>
      <c r="BR202" s="91"/>
      <c r="BS202" s="91"/>
      <c r="BT202" s="91"/>
      <c r="BU202" s="91"/>
      <c r="BV202" s="91"/>
      <c r="BW202" s="91"/>
      <c r="BX202" s="91"/>
      <c r="BY202" s="91"/>
      <c r="BZ202" s="91"/>
      <c r="CA202" s="91"/>
      <c r="CB202" s="91"/>
      <c r="CC202" s="91"/>
      <c r="CD202" s="91"/>
      <c r="CE202" s="91"/>
      <c r="CF202" s="91"/>
      <c r="CG202" s="91"/>
      <c r="CH202" s="91"/>
      <c r="CI202" s="91"/>
      <c r="CJ202" s="91"/>
      <c r="CK202" s="91"/>
      <c r="CL202" s="91"/>
      <c r="CM202" s="91"/>
      <c r="CN202" s="91"/>
      <c r="CO202" s="91"/>
      <c r="CP202" s="91"/>
      <c r="CQ202" s="91"/>
      <c r="CR202" s="91"/>
      <c r="CS202" s="91"/>
      <c r="CT202" s="91"/>
      <c r="CU202" s="91"/>
      <c r="CV202" s="91"/>
      <c r="CW202" s="91"/>
      <c r="CX202" s="91"/>
      <c r="CY202" s="91"/>
      <c r="CZ202" s="91"/>
      <c r="DA202" s="91"/>
      <c r="DB202" s="91"/>
      <c r="DC202" s="91"/>
      <c r="DD202" s="91"/>
      <c r="DE202" s="91"/>
      <c r="DF202" s="91"/>
      <c r="DG202" s="91"/>
      <c r="DO202" s="91"/>
      <c r="DP202" s="91"/>
      <c r="DX202" s="91"/>
    </row>
    <row r="203" spans="1:128" s="90" customFormat="1" ht="30.75" customHeight="1" x14ac:dyDescent="0.2">
      <c r="A203" s="83" t="s">
        <v>181</v>
      </c>
      <c r="B203" s="100" t="s">
        <v>184</v>
      </c>
      <c r="C203" s="100"/>
      <c r="D203" s="100"/>
      <c r="E203" s="100"/>
      <c r="F203" s="100"/>
      <c r="G203" s="100"/>
      <c r="H203" s="100"/>
      <c r="I203" s="100"/>
      <c r="J203" s="100"/>
      <c r="K203" s="100"/>
      <c r="L203" s="100"/>
      <c r="M203" s="100"/>
      <c r="N203" s="100"/>
      <c r="O203" s="100"/>
      <c r="P203" s="94"/>
      <c r="Q203" s="94"/>
      <c r="W203" s="91"/>
      <c r="AE203" s="91"/>
      <c r="AM203" s="91"/>
      <c r="AU203" s="91"/>
      <c r="AV203" s="91"/>
      <c r="AW203" s="91"/>
      <c r="AX203" s="91"/>
      <c r="AY203" s="91"/>
      <c r="AZ203" s="91"/>
      <c r="BA203" s="91"/>
      <c r="BB203" s="91"/>
      <c r="BC203" s="91"/>
      <c r="BD203" s="91"/>
      <c r="BE203" s="91"/>
      <c r="BF203" s="91"/>
      <c r="BG203" s="91"/>
      <c r="BH203" s="91"/>
      <c r="BI203" s="91"/>
      <c r="BJ203" s="91"/>
      <c r="BK203" s="91"/>
      <c r="BL203" s="91"/>
      <c r="BM203" s="91"/>
      <c r="BN203" s="91"/>
      <c r="BO203" s="91"/>
      <c r="BP203" s="91"/>
      <c r="BQ203" s="91"/>
      <c r="BR203" s="91"/>
      <c r="BS203" s="91"/>
      <c r="BT203" s="91"/>
      <c r="BU203" s="91"/>
      <c r="BV203" s="91"/>
      <c r="BW203" s="91"/>
      <c r="BX203" s="91"/>
      <c r="BY203" s="91"/>
      <c r="BZ203" s="91"/>
      <c r="CA203" s="91"/>
      <c r="CB203" s="91"/>
      <c r="CC203" s="91"/>
      <c r="CD203" s="91"/>
      <c r="CE203" s="91"/>
      <c r="CF203" s="91"/>
      <c r="CG203" s="91"/>
      <c r="CH203" s="91"/>
      <c r="CI203" s="91"/>
      <c r="CJ203" s="91"/>
      <c r="CK203" s="91"/>
      <c r="CL203" s="91"/>
      <c r="CM203" s="91"/>
      <c r="CN203" s="91"/>
      <c r="CO203" s="91"/>
      <c r="CP203" s="91"/>
      <c r="CQ203" s="91"/>
      <c r="CR203" s="91"/>
      <c r="CS203" s="91"/>
      <c r="CT203" s="91"/>
      <c r="CU203" s="91"/>
      <c r="CV203" s="91"/>
      <c r="CW203" s="91"/>
      <c r="CX203" s="91"/>
      <c r="CY203" s="91"/>
      <c r="CZ203" s="91"/>
      <c r="DA203" s="91"/>
      <c r="DB203" s="91"/>
      <c r="DC203" s="91"/>
      <c r="DD203" s="91"/>
      <c r="DE203" s="91"/>
      <c r="DF203" s="91"/>
      <c r="DG203" s="91"/>
      <c r="DO203" s="91"/>
      <c r="DP203" s="91"/>
      <c r="DX203" s="91"/>
    </row>
    <row r="204" spans="1:128" ht="22.5" customHeight="1" x14ac:dyDescent="0.2">
      <c r="A204" s="95" t="s">
        <v>181</v>
      </c>
      <c r="B204" s="101" t="s">
        <v>185</v>
      </c>
      <c r="C204" s="101"/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</row>
    <row r="205" spans="1:128" ht="36" customHeight="1" x14ac:dyDescent="0.2">
      <c r="B205" s="97" t="s">
        <v>186</v>
      </c>
      <c r="C205" s="97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</row>
  </sheetData>
  <autoFilter ref="A7:O197" xr:uid="{00000000-0001-0000-0000-000000000000}"/>
  <mergeCells count="30">
    <mergeCell ref="B197:N197"/>
    <mergeCell ref="B198:N198"/>
    <mergeCell ref="A193:L193"/>
    <mergeCell ref="A194:L194"/>
    <mergeCell ref="A195:L195"/>
    <mergeCell ref="A196:L196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205:S205"/>
    <mergeCell ref="B200:K200"/>
    <mergeCell ref="B201:O201"/>
    <mergeCell ref="B202:O202"/>
    <mergeCell ref="B203:O203"/>
    <mergeCell ref="B204:O204"/>
  </mergeCells>
  <conditionalFormatting sqref="DQ199:DX203">
    <cfRule type="cellIs" dxfId="10" priority="1" operator="equal">
      <formula>0</formula>
    </cfRule>
    <cfRule type="cellIs" dxfId="9" priority="2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2"/>
  <sheetViews>
    <sheetView workbookViewId="0">
      <pane ySplit="3" topLeftCell="A4" activePane="bottomLeft" state="frozen"/>
      <selection pane="bottomLeft" activeCell="D4" sqref="D4:D29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7" t="s">
        <v>148</v>
      </c>
      <c r="B1" s="127"/>
      <c r="C1" s="127"/>
      <c r="D1" s="127"/>
      <c r="E1" s="127"/>
      <c r="F1" s="127"/>
    </row>
    <row r="3" spans="1:6" ht="11.1" customHeight="1" x14ac:dyDescent="0.2">
      <c r="A3" s="42" t="s">
        <v>4</v>
      </c>
      <c r="B3" s="2" t="s">
        <v>7</v>
      </c>
      <c r="C3" s="2" t="s">
        <v>13</v>
      </c>
      <c r="D3" s="49" t="s">
        <v>14</v>
      </c>
      <c r="E3" s="49" t="s">
        <v>15</v>
      </c>
      <c r="F3" s="43" t="s">
        <v>16</v>
      </c>
    </row>
    <row r="4" spans="1:6" ht="11.1" customHeight="1" x14ac:dyDescent="0.2">
      <c r="A4" s="40" t="s">
        <v>26</v>
      </c>
      <c r="B4" s="34" t="s">
        <v>27</v>
      </c>
      <c r="C4" s="35">
        <v>591</v>
      </c>
      <c r="D4" s="50"/>
      <c r="E4" s="50">
        <f>ROUND(Р[[#This Row],[Количество]]*Р[[#This Row],[Цена за ед., руб]],2)</f>
        <v>0</v>
      </c>
      <c r="F4" s="41"/>
    </row>
    <row r="5" spans="1:6" ht="11.1" customHeight="1" x14ac:dyDescent="0.2">
      <c r="A5" s="40" t="s">
        <v>28</v>
      </c>
      <c r="B5" s="34" t="s">
        <v>27</v>
      </c>
      <c r="C5" s="35">
        <v>138</v>
      </c>
      <c r="D5" s="50"/>
      <c r="E5" s="50">
        <f>ROUND(Р[[#This Row],[Количество]]*Р[[#This Row],[Цена за ед., руб]],2)</f>
        <v>0</v>
      </c>
      <c r="F5" s="41"/>
    </row>
    <row r="6" spans="1:6" ht="11.1" customHeight="1" x14ac:dyDescent="0.2">
      <c r="A6" s="40" t="s">
        <v>29</v>
      </c>
      <c r="B6" s="34" t="s">
        <v>30</v>
      </c>
      <c r="C6" s="38">
        <v>5990</v>
      </c>
      <c r="D6" s="50"/>
      <c r="E6" s="50">
        <f>ROUND(Р[[#This Row],[Количество]]*Р[[#This Row],[Цена за ед., руб]],2)</f>
        <v>0</v>
      </c>
      <c r="F6" s="41"/>
    </row>
    <row r="7" spans="1:6" ht="11.1" customHeight="1" x14ac:dyDescent="0.2">
      <c r="A7" s="40" t="s">
        <v>40</v>
      </c>
      <c r="B7" s="34" t="s">
        <v>41</v>
      </c>
      <c r="C7" s="35">
        <v>152</v>
      </c>
      <c r="D7" s="50"/>
      <c r="E7" s="50">
        <f>ROUND(Р[[#This Row],[Количество]]*Р[[#This Row],[Цена за ед., руб]],2)</f>
        <v>0</v>
      </c>
      <c r="F7" s="41"/>
    </row>
    <row r="8" spans="1:6" ht="11.1" customHeight="1" x14ac:dyDescent="0.2">
      <c r="A8" s="40" t="s">
        <v>45</v>
      </c>
      <c r="B8" s="34" t="s">
        <v>27</v>
      </c>
      <c r="C8" s="35">
        <v>4</v>
      </c>
      <c r="D8" s="50"/>
      <c r="E8" s="50">
        <f>ROUND(Р[[#This Row],[Количество]]*Р[[#This Row],[Цена за ед., руб]],2)</f>
        <v>0</v>
      </c>
      <c r="F8" s="41"/>
    </row>
    <row r="9" spans="1:6" ht="11.1" customHeight="1" x14ac:dyDescent="0.2">
      <c r="A9" s="40" t="s">
        <v>49</v>
      </c>
      <c r="B9" s="34" t="s">
        <v>27</v>
      </c>
      <c r="C9" s="35">
        <v>38</v>
      </c>
      <c r="D9" s="50"/>
      <c r="E9" s="50">
        <f>ROUND(Р[[#This Row],[Количество]]*Р[[#This Row],[Цена за ед., руб]],2)</f>
        <v>0</v>
      </c>
      <c r="F9" s="41"/>
    </row>
    <row r="10" spans="1:6" ht="11.1" customHeight="1" x14ac:dyDescent="0.2">
      <c r="A10" s="40" t="s">
        <v>52</v>
      </c>
      <c r="B10" s="34" t="s">
        <v>27</v>
      </c>
      <c r="C10" s="35">
        <v>4</v>
      </c>
      <c r="D10" s="50"/>
      <c r="E10" s="50">
        <f>ROUND(Р[[#This Row],[Количество]]*Р[[#This Row],[Цена за ед., руб]],2)</f>
        <v>0</v>
      </c>
      <c r="F10" s="41"/>
    </row>
    <row r="11" spans="1:6" ht="11.1" customHeight="1" x14ac:dyDescent="0.2">
      <c r="A11" s="40" t="s">
        <v>55</v>
      </c>
      <c r="B11" s="34" t="s">
        <v>27</v>
      </c>
      <c r="C11" s="38">
        <v>1202</v>
      </c>
      <c r="D11" s="50"/>
      <c r="E11" s="50">
        <f>ROUND(Р[[#This Row],[Количество]]*Р[[#This Row],[Цена за ед., руб]],2)</f>
        <v>0</v>
      </c>
      <c r="F11" s="41"/>
    </row>
    <row r="12" spans="1:6" ht="11.1" customHeight="1" x14ac:dyDescent="0.2">
      <c r="A12" s="40" t="s">
        <v>59</v>
      </c>
      <c r="B12" s="34" t="s">
        <v>27</v>
      </c>
      <c r="C12" s="35">
        <v>338</v>
      </c>
      <c r="D12" s="50"/>
      <c r="E12" s="50">
        <f>ROUND(Р[[#This Row],[Количество]]*Р[[#This Row],[Цена за ед., руб]],2)</f>
        <v>0</v>
      </c>
      <c r="F12" s="41"/>
    </row>
    <row r="13" spans="1:6" ht="11.1" customHeight="1" x14ac:dyDescent="0.2">
      <c r="A13" s="40" t="s">
        <v>63</v>
      </c>
      <c r="B13" s="34" t="s">
        <v>27</v>
      </c>
      <c r="C13" s="35">
        <v>88</v>
      </c>
      <c r="D13" s="50"/>
      <c r="E13" s="50">
        <f>ROUND(Р[[#This Row],[Количество]]*Р[[#This Row],[Цена за ед., руб]],2)</f>
        <v>0</v>
      </c>
      <c r="F13" s="41"/>
    </row>
    <row r="14" spans="1:6" ht="11.1" customHeight="1" x14ac:dyDescent="0.2">
      <c r="A14" s="40" t="s">
        <v>66</v>
      </c>
      <c r="B14" s="34" t="s">
        <v>30</v>
      </c>
      <c r="C14" s="38">
        <v>2732</v>
      </c>
      <c r="D14" s="50"/>
      <c r="E14" s="50">
        <f>ROUND(Р[[#This Row],[Количество]]*Р[[#This Row],[Цена за ед., руб]],2)</f>
        <v>0</v>
      </c>
      <c r="F14" s="41"/>
    </row>
    <row r="15" spans="1:6" ht="11.1" customHeight="1" x14ac:dyDescent="0.2">
      <c r="A15" s="40" t="s">
        <v>72</v>
      </c>
      <c r="B15" s="34" t="s">
        <v>30</v>
      </c>
      <c r="C15" s="35">
        <v>1404</v>
      </c>
      <c r="D15" s="50"/>
      <c r="E15" s="50">
        <f>ROUND(Р[[#This Row],[Количество]]*Р[[#This Row],[Цена за ед., руб]],2)</f>
        <v>0</v>
      </c>
      <c r="F15" s="41"/>
    </row>
    <row r="16" spans="1:6" ht="11.1" customHeight="1" x14ac:dyDescent="0.2">
      <c r="A16" s="40" t="s">
        <v>75</v>
      </c>
      <c r="B16" s="34" t="s">
        <v>30</v>
      </c>
      <c r="C16" s="39">
        <v>97.5</v>
      </c>
      <c r="D16" s="50"/>
      <c r="E16" s="50">
        <f>ROUND(Р[[#This Row],[Количество]]*Р[[#This Row],[Цена за ед., руб]],2)</f>
        <v>0</v>
      </c>
      <c r="F16" s="41"/>
    </row>
    <row r="17" spans="1:6" ht="11.1" customHeight="1" x14ac:dyDescent="0.2">
      <c r="A17" s="40" t="s">
        <v>82</v>
      </c>
      <c r="B17" s="34" t="s">
        <v>27</v>
      </c>
      <c r="C17" s="35">
        <v>115</v>
      </c>
      <c r="D17" s="50"/>
      <c r="E17" s="50">
        <f>ROUND(Р[[#This Row],[Количество]]*Р[[#This Row],[Цена за ед., руб]],2)</f>
        <v>0</v>
      </c>
      <c r="F17" s="41"/>
    </row>
    <row r="18" spans="1:6" ht="11.1" customHeight="1" x14ac:dyDescent="0.2">
      <c r="A18" s="40" t="s">
        <v>89</v>
      </c>
      <c r="B18" s="34" t="s">
        <v>30</v>
      </c>
      <c r="C18" s="35">
        <v>512</v>
      </c>
      <c r="D18" s="50"/>
      <c r="E18" s="50">
        <f>ROUND(Р[[#This Row],[Количество]]*Р[[#This Row],[Цена за ед., руб]],2)</f>
        <v>0</v>
      </c>
      <c r="F18" s="41"/>
    </row>
    <row r="19" spans="1:6" ht="11.1" customHeight="1" x14ac:dyDescent="0.2">
      <c r="A19" s="40" t="s">
        <v>95</v>
      </c>
      <c r="B19" s="34" t="s">
        <v>27</v>
      </c>
      <c r="C19" s="35">
        <v>325</v>
      </c>
      <c r="D19" s="50"/>
      <c r="E19" s="50">
        <f>ROUND(Р[[#This Row],[Количество]]*Р[[#This Row],[Цена за ед., руб]],2)</f>
        <v>0</v>
      </c>
      <c r="F19" s="41"/>
    </row>
    <row r="20" spans="1:6" ht="11.1" customHeight="1" x14ac:dyDescent="0.2">
      <c r="A20" s="40" t="s">
        <v>100</v>
      </c>
      <c r="B20" s="34" t="s">
        <v>27</v>
      </c>
      <c r="C20" s="35">
        <v>740</v>
      </c>
      <c r="D20" s="50"/>
      <c r="E20" s="50">
        <f>ROUND(Р[[#This Row],[Количество]]*Р[[#This Row],[Цена за ед., руб]],2)</f>
        <v>0</v>
      </c>
      <c r="F20" s="41"/>
    </row>
    <row r="21" spans="1:6" ht="11.1" customHeight="1" x14ac:dyDescent="0.2">
      <c r="A21" s="40" t="s">
        <v>102</v>
      </c>
      <c r="B21" s="34" t="s">
        <v>30</v>
      </c>
      <c r="C21" s="38">
        <v>4298</v>
      </c>
      <c r="D21" s="50"/>
      <c r="E21" s="50">
        <f>ROUND(Р[[#This Row],[Количество]]*Р[[#This Row],[Цена за ед., руб]],2)</f>
        <v>0</v>
      </c>
      <c r="F21" s="41"/>
    </row>
    <row r="22" spans="1:6" ht="11.1" customHeight="1" x14ac:dyDescent="0.2">
      <c r="A22" s="40" t="s">
        <v>117</v>
      </c>
      <c r="B22" s="34" t="s">
        <v>27</v>
      </c>
      <c r="C22" s="35">
        <v>19</v>
      </c>
      <c r="D22" s="50"/>
      <c r="E22" s="50">
        <f>ROUND(Р[[#This Row],[Количество]]*Р[[#This Row],[Цена за ед., руб]],2)</f>
        <v>0</v>
      </c>
      <c r="F22" s="41"/>
    </row>
    <row r="23" spans="1:6" ht="11.1" customHeight="1" x14ac:dyDescent="0.2">
      <c r="A23" s="81" t="s">
        <v>176</v>
      </c>
      <c r="B23" s="34" t="s">
        <v>27</v>
      </c>
      <c r="C23" s="35">
        <v>19</v>
      </c>
      <c r="D23" s="50"/>
      <c r="E23" s="50">
        <f>ROUND(Р[[#This Row],[Количество]]*Р[[#This Row],[Цена за ед., руб]],2)</f>
        <v>0</v>
      </c>
      <c r="F23" s="41"/>
    </row>
    <row r="24" spans="1:6" ht="11.1" customHeight="1" x14ac:dyDescent="0.2">
      <c r="A24" s="81" t="s">
        <v>177</v>
      </c>
      <c r="B24" s="34" t="s">
        <v>27</v>
      </c>
      <c r="C24" s="35">
        <v>19</v>
      </c>
      <c r="D24" s="50"/>
      <c r="E24" s="50">
        <f>ROUND(Р[[#This Row],[Количество]]*Р[[#This Row],[Цена за ед., руб]],2)</f>
        <v>0</v>
      </c>
      <c r="F24" s="41"/>
    </row>
    <row r="25" spans="1:6" ht="11.1" customHeight="1" x14ac:dyDescent="0.2">
      <c r="A25" s="40" t="s">
        <v>123</v>
      </c>
      <c r="B25" s="34" t="s">
        <v>27</v>
      </c>
      <c r="C25" s="35">
        <v>4</v>
      </c>
      <c r="D25" s="50"/>
      <c r="E25" s="50">
        <f>ROUND(Р[[#This Row],[Количество]]*Р[[#This Row],[Цена за ед., руб]],2)</f>
        <v>0</v>
      </c>
      <c r="F25" s="41"/>
    </row>
    <row r="26" spans="1:6" ht="11.1" customHeight="1" x14ac:dyDescent="0.2">
      <c r="A26" s="40" t="s">
        <v>126</v>
      </c>
      <c r="B26" s="34" t="s">
        <v>27</v>
      </c>
      <c r="C26" s="35">
        <v>8</v>
      </c>
      <c r="D26" s="50"/>
      <c r="E26" s="50">
        <f>ROUND(Р[[#This Row],[Количество]]*Р[[#This Row],[Цена за ед., руб]],2)</f>
        <v>0</v>
      </c>
      <c r="F26" s="41"/>
    </row>
    <row r="27" spans="1:6" ht="11.1" customHeight="1" x14ac:dyDescent="0.2">
      <c r="A27" s="40" t="s">
        <v>130</v>
      </c>
      <c r="B27" s="34" t="s">
        <v>27</v>
      </c>
      <c r="C27" s="35">
        <v>4</v>
      </c>
      <c r="D27" s="50"/>
      <c r="E27" s="50">
        <f>ROUND(Р[[#This Row],[Количество]]*Р[[#This Row],[Цена за ед., руб]],2)</f>
        <v>0</v>
      </c>
      <c r="F27" s="41"/>
    </row>
    <row r="28" spans="1:6" ht="11.1" customHeight="1" x14ac:dyDescent="0.2">
      <c r="A28" s="40" t="s">
        <v>136</v>
      </c>
      <c r="B28" s="34" t="s">
        <v>137</v>
      </c>
      <c r="C28" s="35">
        <v>4</v>
      </c>
      <c r="D28" s="50"/>
      <c r="E28" s="50">
        <f>ROUND(Р[[#This Row],[Количество]]*Р[[#This Row],[Цена за ед., руб]],2)</f>
        <v>0</v>
      </c>
      <c r="F28" s="41"/>
    </row>
    <row r="29" spans="1:6" ht="11.1" customHeight="1" x14ac:dyDescent="0.2">
      <c r="A29" s="65" t="s">
        <v>172</v>
      </c>
      <c r="B29" s="45" t="s">
        <v>137</v>
      </c>
      <c r="C29" s="46">
        <v>4</v>
      </c>
      <c r="D29" s="50"/>
      <c r="E29" s="51">
        <f>ROUND(Р[[#This Row],[Количество]]*Р[[#This Row],[Цена за ед., руб]],2)</f>
        <v>0</v>
      </c>
      <c r="F29" s="48"/>
    </row>
    <row r="30" spans="1:6" ht="11.45" customHeight="1" x14ac:dyDescent="0.2">
      <c r="A30" s="44" t="s">
        <v>165</v>
      </c>
      <c r="B30" s="45"/>
      <c r="C30" s="47"/>
      <c r="D30" s="51"/>
      <c r="E30" s="51">
        <f>SUBTOTAL(109,Р[Сумма, руб])</f>
        <v>0</v>
      </c>
      <c r="F30" s="48"/>
    </row>
    <row r="32" spans="1:6" ht="11.45" customHeight="1" x14ac:dyDescent="0.2">
      <c r="D32" s="78" t="s">
        <v>175</v>
      </c>
      <c r="E32" s="79">
        <f>ЛСР!M194-Р[[#Totals],[Сумма,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53"/>
  <sheetViews>
    <sheetView workbookViewId="0">
      <pane ySplit="3" topLeftCell="A4" activePane="bottomLeft" state="frozen"/>
      <selection pane="bottomLeft" activeCell="I50" sqref="I4:I50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7" t="s">
        <v>149</v>
      </c>
      <c r="B1" s="127"/>
      <c r="C1" s="127"/>
      <c r="D1" s="127"/>
      <c r="E1" s="127"/>
      <c r="F1" s="127"/>
      <c r="G1" s="127"/>
      <c r="H1" s="127"/>
    </row>
    <row r="2" spans="1:9" ht="11.1" customHeight="1" x14ac:dyDescent="0.2"/>
    <row r="3" spans="1:9" ht="23.1" customHeight="1" x14ac:dyDescent="0.2">
      <c r="A3" s="42" t="s">
        <v>150</v>
      </c>
      <c r="B3" s="52" t="s">
        <v>151</v>
      </c>
      <c r="C3" s="43" t="s">
        <v>152</v>
      </c>
      <c r="D3" s="2" t="s">
        <v>7</v>
      </c>
      <c r="E3" s="2" t="s">
        <v>13</v>
      </c>
      <c r="F3" s="49" t="s">
        <v>14</v>
      </c>
      <c r="G3" s="49" t="s">
        <v>15</v>
      </c>
      <c r="H3" s="2" t="s">
        <v>153</v>
      </c>
      <c r="I3" s="43" t="s">
        <v>154</v>
      </c>
    </row>
    <row r="4" spans="1:9" ht="11.1" customHeight="1" x14ac:dyDescent="0.2">
      <c r="A4" s="40" t="s">
        <v>42</v>
      </c>
      <c r="B4" s="37"/>
      <c r="C4" s="37" t="s">
        <v>43</v>
      </c>
      <c r="D4" s="34" t="s">
        <v>41</v>
      </c>
      <c r="E4" s="35">
        <v>105</v>
      </c>
      <c r="F4" s="50"/>
      <c r="G4" s="50">
        <f>ROUND(М[[#This Row],[Количество]]*М[[#This Row],[Цена за ед., руб]],2)</f>
        <v>0</v>
      </c>
      <c r="H4" s="37" t="s">
        <v>44</v>
      </c>
      <c r="I4" s="41"/>
    </row>
    <row r="5" spans="1:9" ht="11.1" customHeight="1" x14ac:dyDescent="0.2">
      <c r="A5" s="40" t="s">
        <v>42</v>
      </c>
      <c r="B5" s="37"/>
      <c r="C5" s="37" t="s">
        <v>43</v>
      </c>
      <c r="D5" s="34" t="s">
        <v>41</v>
      </c>
      <c r="E5" s="35">
        <v>47</v>
      </c>
      <c r="F5" s="50"/>
      <c r="G5" s="50">
        <f>ROUND(М[[#This Row],[Количество]]*М[[#This Row],[Цена за ед., руб]],2)</f>
        <v>0</v>
      </c>
      <c r="H5" s="37"/>
      <c r="I5" s="41"/>
    </row>
    <row r="6" spans="1:9" ht="23.1" customHeight="1" x14ac:dyDescent="0.2">
      <c r="A6" s="40" t="s">
        <v>64</v>
      </c>
      <c r="B6" s="37"/>
      <c r="C6" s="37" t="s">
        <v>65</v>
      </c>
      <c r="D6" s="34" t="s">
        <v>27</v>
      </c>
      <c r="E6" s="35">
        <v>88</v>
      </c>
      <c r="F6" s="50"/>
      <c r="G6" s="50">
        <f>ROUND(М[[#This Row],[Количество]]*М[[#This Row],[Цена за ед., руб]],2)</f>
        <v>0</v>
      </c>
      <c r="H6" s="37"/>
      <c r="I6" s="41"/>
    </row>
    <row r="7" spans="1:9" ht="11.1" customHeight="1" x14ac:dyDescent="0.2">
      <c r="A7" s="40" t="s">
        <v>33</v>
      </c>
      <c r="B7" s="37"/>
      <c r="C7" s="37" t="s">
        <v>34</v>
      </c>
      <c r="D7" s="34" t="s">
        <v>35</v>
      </c>
      <c r="E7" s="35">
        <v>246</v>
      </c>
      <c r="F7" s="50"/>
      <c r="G7" s="50">
        <f>ROUND(М[[#This Row],[Количество]]*М[[#This Row],[Цена за ед., руб]],2)</f>
        <v>0</v>
      </c>
      <c r="H7" s="37" t="s">
        <v>36</v>
      </c>
      <c r="I7" s="41"/>
    </row>
    <row r="8" spans="1:9" ht="23.1" customHeight="1" x14ac:dyDescent="0.2">
      <c r="A8" s="40" t="s">
        <v>38</v>
      </c>
      <c r="B8" s="37"/>
      <c r="C8" s="37" t="s">
        <v>39</v>
      </c>
      <c r="D8" s="34" t="s">
        <v>35</v>
      </c>
      <c r="E8" s="35">
        <v>32</v>
      </c>
      <c r="F8" s="50"/>
      <c r="G8" s="50">
        <f>ROUND(М[[#This Row],[Количество]]*М[[#This Row],[Цена за ед., руб]],2)</f>
        <v>0</v>
      </c>
      <c r="H8" s="37"/>
      <c r="I8" s="41"/>
    </row>
    <row r="9" spans="1:9" ht="11.1" customHeight="1" x14ac:dyDescent="0.2">
      <c r="A9" s="40" t="s">
        <v>38</v>
      </c>
      <c r="B9" s="37" t="s">
        <v>83</v>
      </c>
      <c r="C9" s="37" t="s">
        <v>84</v>
      </c>
      <c r="D9" s="34" t="s">
        <v>35</v>
      </c>
      <c r="E9" s="35">
        <v>40</v>
      </c>
      <c r="F9" s="50"/>
      <c r="G9" s="50">
        <f>ROUND(М[[#This Row],[Количество]]*М[[#This Row],[Цена за ед., руб]],2)</f>
        <v>0</v>
      </c>
      <c r="H9" s="37"/>
      <c r="I9" s="41"/>
    </row>
    <row r="10" spans="1:9" ht="11.1" customHeight="1" x14ac:dyDescent="0.2">
      <c r="A10" s="40" t="s">
        <v>50</v>
      </c>
      <c r="B10" s="37"/>
      <c r="C10" s="37" t="s">
        <v>98</v>
      </c>
      <c r="D10" s="34" t="s">
        <v>27</v>
      </c>
      <c r="E10" s="35">
        <v>22</v>
      </c>
      <c r="F10" s="50"/>
      <c r="G10" s="50">
        <f>ROUND(М[[#This Row],[Количество]]*М[[#This Row],[Цена за ед., руб]],2)</f>
        <v>0</v>
      </c>
      <c r="H10" s="37"/>
      <c r="I10" s="41"/>
    </row>
    <row r="11" spans="1:9" ht="11.1" customHeight="1" x14ac:dyDescent="0.2">
      <c r="A11" s="40" t="s">
        <v>50</v>
      </c>
      <c r="B11" s="37"/>
      <c r="C11" s="37" t="s">
        <v>51</v>
      </c>
      <c r="D11" s="34" t="s">
        <v>27</v>
      </c>
      <c r="E11" s="35">
        <v>16</v>
      </c>
      <c r="F11" s="50"/>
      <c r="G11" s="50">
        <f>ROUND(М[[#This Row],[Количество]]*М[[#This Row],[Цена за ед., руб]],2)</f>
        <v>0</v>
      </c>
      <c r="H11" s="37"/>
      <c r="I11" s="41"/>
    </row>
    <row r="12" spans="1:9" ht="11.1" customHeight="1" x14ac:dyDescent="0.2">
      <c r="A12" s="40" t="s">
        <v>90</v>
      </c>
      <c r="B12" s="37"/>
      <c r="C12" s="37" t="s">
        <v>91</v>
      </c>
      <c r="D12" s="34" t="s">
        <v>35</v>
      </c>
      <c r="E12" s="35">
        <v>512</v>
      </c>
      <c r="F12" s="50"/>
      <c r="G12" s="50">
        <f>ROUND(М[[#This Row],[Количество]]*М[[#This Row],[Цена за ед., руб]],2)</f>
        <v>0</v>
      </c>
      <c r="H12" s="37"/>
      <c r="I12" s="41"/>
    </row>
    <row r="13" spans="1:9" ht="23.1" customHeight="1" x14ac:dyDescent="0.2">
      <c r="A13" s="40" t="s">
        <v>73</v>
      </c>
      <c r="B13" s="37"/>
      <c r="C13" s="37" t="s">
        <v>101</v>
      </c>
      <c r="D13" s="34" t="s">
        <v>35</v>
      </c>
      <c r="E13" s="35">
        <v>40</v>
      </c>
      <c r="F13" s="50"/>
      <c r="G13" s="50">
        <f>ROUND(М[[#This Row],[Количество]]*М[[#This Row],[Цена за ед., руб]],2)</f>
        <v>0</v>
      </c>
      <c r="H13" s="37"/>
      <c r="I13" s="41"/>
    </row>
    <row r="14" spans="1:9" ht="23.1" customHeight="1" x14ac:dyDescent="0.2">
      <c r="A14" s="40" t="s">
        <v>73</v>
      </c>
      <c r="B14" s="37"/>
      <c r="C14" s="37" t="s">
        <v>74</v>
      </c>
      <c r="D14" s="34" t="s">
        <v>35</v>
      </c>
      <c r="E14" s="38">
        <v>1364</v>
      </c>
      <c r="F14" s="50"/>
      <c r="G14" s="50">
        <f>ROUND(М[[#This Row],[Количество]]*М[[#This Row],[Цена за ед., руб]],2)</f>
        <v>0</v>
      </c>
      <c r="H14" s="37"/>
      <c r="I14" s="41"/>
    </row>
    <row r="15" spans="1:9" ht="11.1" customHeight="1" x14ac:dyDescent="0.2">
      <c r="A15" s="40" t="s">
        <v>53</v>
      </c>
      <c r="B15" s="37" t="s">
        <v>47</v>
      </c>
      <c r="C15" s="37" t="s">
        <v>54</v>
      </c>
      <c r="D15" s="34" t="s">
        <v>27</v>
      </c>
      <c r="E15" s="35">
        <v>23</v>
      </c>
      <c r="F15" s="50"/>
      <c r="G15" s="50">
        <f>ROUND(М[[#This Row],[Количество]]*М[[#This Row],[Цена за ед., руб]],2)</f>
        <v>0</v>
      </c>
      <c r="H15" s="37"/>
      <c r="I15" s="41"/>
    </row>
    <row r="16" spans="1:9" ht="11.1" customHeight="1" x14ac:dyDescent="0.2">
      <c r="A16" s="40" t="s">
        <v>67</v>
      </c>
      <c r="B16" s="37"/>
      <c r="C16" s="37" t="s">
        <v>68</v>
      </c>
      <c r="D16" s="34" t="s">
        <v>35</v>
      </c>
      <c r="E16" s="38">
        <v>2263</v>
      </c>
      <c r="F16" s="50"/>
      <c r="G16" s="50">
        <f>ROUND(М[[#This Row],[Количество]]*М[[#This Row],[Цена за ед., руб]],2)</f>
        <v>0</v>
      </c>
      <c r="H16" s="37"/>
      <c r="I16" s="41"/>
    </row>
    <row r="17" spans="1:9" ht="11.1" customHeight="1" x14ac:dyDescent="0.2">
      <c r="A17" s="40" t="s">
        <v>67</v>
      </c>
      <c r="B17" s="37"/>
      <c r="C17" s="37" t="s">
        <v>69</v>
      </c>
      <c r="D17" s="34" t="s">
        <v>35</v>
      </c>
      <c r="E17" s="35">
        <v>60</v>
      </c>
      <c r="F17" s="50"/>
      <c r="G17" s="50">
        <f>ROUND(М[[#This Row],[Количество]]*М[[#This Row],[Цена за ед., руб]],2)</f>
        <v>0</v>
      </c>
      <c r="H17" s="37"/>
      <c r="I17" s="41"/>
    </row>
    <row r="18" spans="1:9" ht="11.1" customHeight="1" x14ac:dyDescent="0.2">
      <c r="A18" s="40" t="s">
        <v>67</v>
      </c>
      <c r="B18" s="37"/>
      <c r="C18" s="37" t="s">
        <v>71</v>
      </c>
      <c r="D18" s="34" t="s">
        <v>35</v>
      </c>
      <c r="E18" s="35">
        <v>409</v>
      </c>
      <c r="F18" s="50"/>
      <c r="G18" s="50">
        <f>ROUND(М[[#This Row],[Количество]]*М[[#This Row],[Цена за ед., руб]],2)</f>
        <v>0</v>
      </c>
      <c r="H18" s="37"/>
      <c r="I18" s="41"/>
    </row>
    <row r="19" spans="1:9" ht="11.1" customHeight="1" x14ac:dyDescent="0.2">
      <c r="A19" s="40" t="s">
        <v>118</v>
      </c>
      <c r="B19" s="37"/>
      <c r="C19" s="37" t="s">
        <v>119</v>
      </c>
      <c r="D19" s="34" t="s">
        <v>27</v>
      </c>
      <c r="E19" s="35">
        <v>19</v>
      </c>
      <c r="F19" s="50"/>
      <c r="G19" s="50">
        <f>ROUND(М[[#This Row],[Количество]]*М[[#This Row],[Цена за ед., руб]],2)</f>
        <v>0</v>
      </c>
      <c r="H19" s="37"/>
      <c r="I19" s="41"/>
    </row>
    <row r="20" spans="1:9" ht="23.1" customHeight="1" x14ac:dyDescent="0.2">
      <c r="A20" s="40" t="s">
        <v>60</v>
      </c>
      <c r="B20" s="37"/>
      <c r="C20" s="37" t="s">
        <v>61</v>
      </c>
      <c r="D20" s="34" t="s">
        <v>27</v>
      </c>
      <c r="E20" s="35">
        <v>8</v>
      </c>
      <c r="F20" s="50"/>
      <c r="G20" s="50">
        <f>ROUND(М[[#This Row],[Количество]]*М[[#This Row],[Цена за ед., руб]],2)</f>
        <v>0</v>
      </c>
      <c r="H20" s="37"/>
      <c r="I20" s="41"/>
    </row>
    <row r="21" spans="1:9" ht="11.1" customHeight="1" x14ac:dyDescent="0.2">
      <c r="A21" s="40" t="s">
        <v>60</v>
      </c>
      <c r="B21" s="37"/>
      <c r="C21" s="37" t="s">
        <v>87</v>
      </c>
      <c r="D21" s="34" t="s">
        <v>27</v>
      </c>
      <c r="E21" s="35">
        <v>16</v>
      </c>
      <c r="F21" s="50"/>
      <c r="G21" s="50">
        <f>ROUND(М[[#This Row],[Количество]]*М[[#This Row],[Цена за ед., руб]],2)</f>
        <v>0</v>
      </c>
      <c r="H21" s="37"/>
      <c r="I21" s="41"/>
    </row>
    <row r="22" spans="1:9" ht="23.1" customHeight="1" x14ac:dyDescent="0.2">
      <c r="A22" s="40" t="s">
        <v>60</v>
      </c>
      <c r="B22" s="37"/>
      <c r="C22" s="37" t="s">
        <v>62</v>
      </c>
      <c r="D22" s="34" t="s">
        <v>27</v>
      </c>
      <c r="E22" s="35">
        <v>294</v>
      </c>
      <c r="F22" s="50"/>
      <c r="G22" s="50">
        <f>ROUND(М[[#This Row],[Количество]]*М[[#This Row],[Цена за ед., руб]],2)</f>
        <v>0</v>
      </c>
      <c r="H22" s="37"/>
      <c r="I22" s="41"/>
    </row>
    <row r="23" spans="1:9" ht="23.1" customHeight="1" x14ac:dyDescent="0.2">
      <c r="A23" s="40" t="s">
        <v>60</v>
      </c>
      <c r="B23" s="37" t="s">
        <v>88</v>
      </c>
      <c r="C23" s="37" t="s">
        <v>62</v>
      </c>
      <c r="D23" s="34" t="s">
        <v>27</v>
      </c>
      <c r="E23" s="35">
        <v>20</v>
      </c>
      <c r="F23" s="50"/>
      <c r="G23" s="50">
        <f>ROUND(М[[#This Row],[Количество]]*М[[#This Row],[Цена за ед., руб]],2)</f>
        <v>0</v>
      </c>
      <c r="H23" s="37"/>
      <c r="I23" s="41"/>
    </row>
    <row r="24" spans="1:9" ht="11.1" customHeight="1" x14ac:dyDescent="0.2">
      <c r="A24" s="40" t="s">
        <v>103</v>
      </c>
      <c r="B24" s="37" t="s">
        <v>104</v>
      </c>
      <c r="C24" s="37" t="s">
        <v>105</v>
      </c>
      <c r="D24" s="34" t="s">
        <v>35</v>
      </c>
      <c r="E24" s="38">
        <v>4298</v>
      </c>
      <c r="F24" s="50"/>
      <c r="G24" s="50">
        <f>ROUND(М[[#This Row],[Количество]]*М[[#This Row],[Цена за ед., руб]],2)</f>
        <v>0</v>
      </c>
      <c r="H24" s="37"/>
      <c r="I24" s="41"/>
    </row>
    <row r="25" spans="1:9" ht="11.1" customHeight="1" x14ac:dyDescent="0.2">
      <c r="A25" s="40" t="s">
        <v>131</v>
      </c>
      <c r="B25" s="37"/>
      <c r="C25" s="37" t="s">
        <v>132</v>
      </c>
      <c r="D25" s="34" t="s">
        <v>27</v>
      </c>
      <c r="E25" s="35">
        <v>4</v>
      </c>
      <c r="F25" s="50"/>
      <c r="G25" s="50">
        <f>ROUND(М[[#This Row],[Количество]]*М[[#This Row],[Цена за ед., руб]],2)</f>
        <v>0</v>
      </c>
      <c r="H25" s="37"/>
      <c r="I25" s="41"/>
    </row>
    <row r="26" spans="1:9" ht="11.1" customHeight="1" x14ac:dyDescent="0.2">
      <c r="A26" s="40" t="s">
        <v>124</v>
      </c>
      <c r="B26" s="37"/>
      <c r="C26" s="37" t="s">
        <v>125</v>
      </c>
      <c r="D26" s="34" t="s">
        <v>27</v>
      </c>
      <c r="E26" s="35">
        <v>4</v>
      </c>
      <c r="F26" s="50"/>
      <c r="G26" s="50">
        <f>ROUND(М[[#This Row],[Количество]]*М[[#This Row],[Цена за ед., руб]],2)</f>
        <v>0</v>
      </c>
      <c r="H26" s="37"/>
      <c r="I26" s="41"/>
    </row>
    <row r="27" spans="1:9" ht="11.1" customHeight="1" x14ac:dyDescent="0.2">
      <c r="A27" s="40" t="s">
        <v>141</v>
      </c>
      <c r="B27" s="37"/>
      <c r="C27" s="37" t="s">
        <v>142</v>
      </c>
      <c r="D27" s="34" t="s">
        <v>143</v>
      </c>
      <c r="E27" s="35">
        <v>90</v>
      </c>
      <c r="F27" s="50"/>
      <c r="G27" s="50">
        <f>ROUND(М[[#This Row],[Количество]]*М[[#This Row],[Цена за ед., руб]],2)</f>
        <v>0</v>
      </c>
      <c r="H27" s="37" t="s">
        <v>144</v>
      </c>
      <c r="I27" s="41"/>
    </row>
    <row r="28" spans="1:9" ht="11.1" customHeight="1" x14ac:dyDescent="0.2">
      <c r="A28" s="40" t="s">
        <v>46</v>
      </c>
      <c r="B28" s="37" t="s">
        <v>47</v>
      </c>
      <c r="C28" s="37" t="s">
        <v>48</v>
      </c>
      <c r="D28" s="34" t="s">
        <v>27</v>
      </c>
      <c r="E28" s="35">
        <v>23</v>
      </c>
      <c r="F28" s="50"/>
      <c r="G28" s="50">
        <f>ROUND(М[[#This Row],[Количество]]*М[[#This Row],[Цена за ед., руб]],2)</f>
        <v>0</v>
      </c>
      <c r="H28" s="37"/>
      <c r="I28" s="41"/>
    </row>
    <row r="29" spans="1:9" ht="11.1" customHeight="1" x14ac:dyDescent="0.2">
      <c r="A29" s="40" t="s">
        <v>76</v>
      </c>
      <c r="B29" s="37"/>
      <c r="C29" s="37" t="s">
        <v>77</v>
      </c>
      <c r="D29" s="34" t="s">
        <v>35</v>
      </c>
      <c r="E29" s="39">
        <v>97.5</v>
      </c>
      <c r="F29" s="50"/>
      <c r="G29" s="50">
        <f>ROUND(М[[#This Row],[Количество]]*М[[#This Row],[Цена за ед., руб]],2)</f>
        <v>0</v>
      </c>
      <c r="H29" s="37"/>
      <c r="I29" s="41"/>
    </row>
    <row r="30" spans="1:9" ht="11.1" customHeight="1" x14ac:dyDescent="0.2">
      <c r="A30" s="40" t="s">
        <v>106</v>
      </c>
      <c r="B30" s="37"/>
      <c r="C30" s="37" t="s">
        <v>107</v>
      </c>
      <c r="D30" s="34" t="s">
        <v>27</v>
      </c>
      <c r="E30" s="36"/>
      <c r="F30" s="50"/>
      <c r="G30" s="50">
        <f>ROUND(М[[#This Row],[Количество]]*М[[#This Row],[Цена за ед., руб]],2)</f>
        <v>0</v>
      </c>
      <c r="H30" s="37"/>
      <c r="I30" s="41"/>
    </row>
    <row r="31" spans="1:9" ht="11.1" customHeight="1" x14ac:dyDescent="0.2">
      <c r="A31" s="40" t="s">
        <v>108</v>
      </c>
      <c r="B31" s="37"/>
      <c r="C31" s="37" t="s">
        <v>109</v>
      </c>
      <c r="D31" s="34" t="s">
        <v>27</v>
      </c>
      <c r="E31" s="36"/>
      <c r="F31" s="50"/>
      <c r="G31" s="50">
        <f>ROUND(М[[#This Row],[Количество]]*М[[#This Row],[Цена за ед., руб]],2)</f>
        <v>0</v>
      </c>
      <c r="H31" s="37"/>
      <c r="I31" s="41"/>
    </row>
    <row r="32" spans="1:9" ht="11.1" customHeight="1" x14ac:dyDescent="0.2">
      <c r="A32" s="40" t="s">
        <v>56</v>
      </c>
      <c r="B32" s="37"/>
      <c r="C32" s="37" t="s">
        <v>57</v>
      </c>
      <c r="D32" s="34" t="s">
        <v>27</v>
      </c>
      <c r="E32" s="35">
        <v>184</v>
      </c>
      <c r="F32" s="50"/>
      <c r="G32" s="50">
        <f>ROUND(М[[#This Row],[Количество]]*М[[#This Row],[Цена за ед., руб]],2)</f>
        <v>0</v>
      </c>
      <c r="H32" s="37"/>
      <c r="I32" s="41"/>
    </row>
    <row r="33" spans="1:9" ht="11.1" customHeight="1" x14ac:dyDescent="0.2">
      <c r="A33" s="40" t="s">
        <v>56</v>
      </c>
      <c r="B33" s="37"/>
      <c r="C33" s="37" t="s">
        <v>99</v>
      </c>
      <c r="D33" s="34" t="s">
        <v>27</v>
      </c>
      <c r="E33" s="35">
        <v>325</v>
      </c>
      <c r="F33" s="50"/>
      <c r="G33" s="50">
        <f>ROUND(М[[#This Row],[Количество]]*М[[#This Row],[Цена за ед., руб]],2)</f>
        <v>0</v>
      </c>
      <c r="H33" s="37"/>
      <c r="I33" s="41"/>
    </row>
    <row r="34" spans="1:9" ht="11.1" customHeight="1" x14ac:dyDescent="0.2">
      <c r="A34" s="40" t="s">
        <v>56</v>
      </c>
      <c r="B34" s="37"/>
      <c r="C34" s="37" t="s">
        <v>58</v>
      </c>
      <c r="D34" s="34" t="s">
        <v>27</v>
      </c>
      <c r="E34" s="35">
        <v>693</v>
      </c>
      <c r="F34" s="50"/>
      <c r="G34" s="50">
        <f>ROUND(М[[#This Row],[Количество]]*М[[#This Row],[Цена за ед., руб]],2)</f>
        <v>0</v>
      </c>
      <c r="H34" s="37"/>
      <c r="I34" s="41"/>
    </row>
    <row r="35" spans="1:9" ht="11.1" customHeight="1" x14ac:dyDescent="0.2">
      <c r="A35" s="40" t="s">
        <v>110</v>
      </c>
      <c r="B35" s="37"/>
      <c r="C35" s="37" t="s">
        <v>111</v>
      </c>
      <c r="D35" s="34" t="s">
        <v>27</v>
      </c>
      <c r="E35" s="36"/>
      <c r="F35" s="50"/>
      <c r="G35" s="50">
        <f>ROUND(М[[#This Row],[Количество]]*М[[#This Row],[Цена за ед., руб]],2)</f>
        <v>0</v>
      </c>
      <c r="H35" s="37"/>
      <c r="I35" s="41"/>
    </row>
    <row r="36" spans="1:9" ht="11.1" customHeight="1" x14ac:dyDescent="0.2">
      <c r="A36" s="40" t="s">
        <v>110</v>
      </c>
      <c r="B36" s="37"/>
      <c r="C36" s="37" t="s">
        <v>112</v>
      </c>
      <c r="D36" s="34" t="s">
        <v>27</v>
      </c>
      <c r="E36" s="36"/>
      <c r="F36" s="50"/>
      <c r="G36" s="50">
        <f>ROUND(М[[#This Row],[Количество]]*М[[#This Row],[Цена за ед., руб]],2)</f>
        <v>0</v>
      </c>
      <c r="H36" s="37"/>
      <c r="I36" s="41"/>
    </row>
    <row r="37" spans="1:9" ht="11.1" customHeight="1" x14ac:dyDescent="0.2">
      <c r="A37" s="40" t="s">
        <v>113</v>
      </c>
      <c r="B37" s="37"/>
      <c r="C37" s="37" t="s">
        <v>111</v>
      </c>
      <c r="D37" s="34" t="s">
        <v>27</v>
      </c>
      <c r="E37" s="36"/>
      <c r="F37" s="50"/>
      <c r="G37" s="50">
        <f>ROUND(М[[#This Row],[Количество]]*М[[#This Row],[Цена за ед., руб]],2)</f>
        <v>0</v>
      </c>
      <c r="H37" s="37"/>
      <c r="I37" s="41"/>
    </row>
    <row r="38" spans="1:9" ht="35.1" customHeight="1" x14ac:dyDescent="0.2">
      <c r="A38" s="40" t="s">
        <v>85</v>
      </c>
      <c r="B38" s="37"/>
      <c r="C38" s="37" t="s">
        <v>86</v>
      </c>
      <c r="D38" s="34" t="s">
        <v>35</v>
      </c>
      <c r="E38" s="35">
        <v>9</v>
      </c>
      <c r="F38" s="50"/>
      <c r="G38" s="50">
        <f>ROUND(М[[#This Row],[Количество]]*М[[#This Row],[Цена за ед., руб]],2)</f>
        <v>0</v>
      </c>
      <c r="H38" s="37"/>
      <c r="I38" s="41"/>
    </row>
    <row r="39" spans="1:9" ht="35.1" customHeight="1" x14ac:dyDescent="0.2">
      <c r="A39" s="40" t="s">
        <v>85</v>
      </c>
      <c r="B39" s="37"/>
      <c r="C39" s="37" t="s">
        <v>86</v>
      </c>
      <c r="D39" s="34" t="s">
        <v>35</v>
      </c>
      <c r="E39" s="35">
        <v>33</v>
      </c>
      <c r="F39" s="50"/>
      <c r="G39" s="50">
        <f>ROUND(М[[#This Row],[Количество]]*М[[#This Row],[Цена за ед., руб]],2)</f>
        <v>0</v>
      </c>
      <c r="H39" s="37" t="s">
        <v>44</v>
      </c>
      <c r="I39" s="41"/>
    </row>
    <row r="40" spans="1:9" ht="23.1" customHeight="1" x14ac:dyDescent="0.2">
      <c r="A40" s="40" t="s">
        <v>85</v>
      </c>
      <c r="B40" s="37"/>
      <c r="C40" s="37" t="s">
        <v>96</v>
      </c>
      <c r="D40" s="34" t="s">
        <v>35</v>
      </c>
      <c r="E40" s="38">
        <v>4298</v>
      </c>
      <c r="F40" s="50"/>
      <c r="G40" s="50">
        <f>ROUND(М[[#This Row],[Количество]]*М[[#This Row],[Цена за ед., руб]],2)</f>
        <v>0</v>
      </c>
      <c r="H40" s="37"/>
      <c r="I40" s="41"/>
    </row>
    <row r="41" spans="1:9" ht="23.1" customHeight="1" x14ac:dyDescent="0.2">
      <c r="A41" s="40" t="s">
        <v>85</v>
      </c>
      <c r="B41" s="37"/>
      <c r="C41" s="37" t="s">
        <v>97</v>
      </c>
      <c r="D41" s="34" t="s">
        <v>35</v>
      </c>
      <c r="E41" s="38">
        <v>1142</v>
      </c>
      <c r="F41" s="50"/>
      <c r="G41" s="50">
        <f>ROUND(М[[#This Row],[Количество]]*М[[#This Row],[Цена за ед., руб]],2)</f>
        <v>0</v>
      </c>
      <c r="H41" s="37"/>
      <c r="I41" s="41"/>
    </row>
    <row r="42" spans="1:9" ht="23.1" customHeight="1" x14ac:dyDescent="0.2">
      <c r="A42" s="40" t="s">
        <v>85</v>
      </c>
      <c r="B42" s="37" t="s">
        <v>83</v>
      </c>
      <c r="C42" s="37" t="s">
        <v>97</v>
      </c>
      <c r="D42" s="34" t="s">
        <v>35</v>
      </c>
      <c r="E42" s="35">
        <v>190</v>
      </c>
      <c r="F42" s="50"/>
      <c r="G42" s="50">
        <f>ROUND(М[[#This Row],[Количество]]*М[[#This Row],[Цена за ед., руб]],2)</f>
        <v>0</v>
      </c>
      <c r="H42" s="37"/>
      <c r="I42" s="41"/>
    </row>
    <row r="43" spans="1:9" ht="23.1" customHeight="1" x14ac:dyDescent="0.2">
      <c r="A43" s="40" t="s">
        <v>127</v>
      </c>
      <c r="B43" s="37"/>
      <c r="C43" s="37" t="s">
        <v>128</v>
      </c>
      <c r="D43" s="34" t="s">
        <v>27</v>
      </c>
      <c r="E43" s="35">
        <v>4</v>
      </c>
      <c r="F43" s="50"/>
      <c r="G43" s="50">
        <f>ROUND(М[[#This Row],[Количество]]*М[[#This Row],[Цена за ед., руб]],2)</f>
        <v>0</v>
      </c>
      <c r="H43" s="37"/>
      <c r="I43" s="41"/>
    </row>
    <row r="44" spans="1:9" ht="23.1" customHeight="1" x14ac:dyDescent="0.2">
      <c r="A44" s="44" t="s">
        <v>127</v>
      </c>
      <c r="B44" s="53"/>
      <c r="C44" s="53" t="s">
        <v>129</v>
      </c>
      <c r="D44" s="45" t="s">
        <v>27</v>
      </c>
      <c r="E44" s="46">
        <v>4</v>
      </c>
      <c r="F44" s="50"/>
      <c r="G44" s="51">
        <f>ROUND(М[[#This Row],[Количество]]*М[[#This Row],[Цена за ед., руб]],2)</f>
        <v>0</v>
      </c>
      <c r="H44" s="53"/>
      <c r="I44" s="48"/>
    </row>
    <row r="45" spans="1:9" ht="23.1" customHeight="1" x14ac:dyDescent="0.2">
      <c r="A45" s="44" t="s">
        <v>166</v>
      </c>
      <c r="B45" s="53"/>
      <c r="C45" s="53"/>
      <c r="D45" s="45" t="s">
        <v>78</v>
      </c>
      <c r="E45" s="76"/>
      <c r="F45" s="51"/>
      <c r="G45" s="51">
        <f ca="1">SUMIF(ЛСР!$B$6:$N$192,М[[#This Row],[Наим.]],ЛСР!$M$6:$M$192)</f>
        <v>0</v>
      </c>
      <c r="H45" s="53" t="s">
        <v>187</v>
      </c>
      <c r="I45" s="48"/>
    </row>
    <row r="46" spans="1:9" ht="23.1" customHeight="1" x14ac:dyDescent="0.2">
      <c r="A46" s="44" t="s">
        <v>167</v>
      </c>
      <c r="B46" s="53"/>
      <c r="C46" s="53"/>
      <c r="D46" s="45" t="s">
        <v>78</v>
      </c>
      <c r="E46" s="76"/>
      <c r="F46" s="51"/>
      <c r="G46" s="51">
        <f ca="1">SUMIF(ЛСР!$B$6:$N$192,М[[#This Row],[Наим.]],ЛСР!$M$6:$M$192)</f>
        <v>0</v>
      </c>
      <c r="H46" s="53" t="s">
        <v>187</v>
      </c>
      <c r="I46" s="48"/>
    </row>
    <row r="47" spans="1:9" ht="23.1" customHeight="1" x14ac:dyDescent="0.2">
      <c r="A47" s="44" t="s">
        <v>168</v>
      </c>
      <c r="B47" s="53"/>
      <c r="C47" s="53"/>
      <c r="D47" s="45" t="s">
        <v>78</v>
      </c>
      <c r="E47" s="76"/>
      <c r="F47" s="51"/>
      <c r="G47" s="51">
        <f ca="1">SUMIF(ЛСР!$B$6:$N$192,М[[#This Row],[Наим.]],ЛСР!$M$6:$M$192)</f>
        <v>0</v>
      </c>
      <c r="H47" s="53" t="s">
        <v>187</v>
      </c>
      <c r="I47" s="48"/>
    </row>
    <row r="48" spans="1:9" ht="23.1" customHeight="1" x14ac:dyDescent="0.2">
      <c r="A48" s="44" t="s">
        <v>169</v>
      </c>
      <c r="B48" s="53"/>
      <c r="C48" s="53"/>
      <c r="D48" s="45" t="s">
        <v>78</v>
      </c>
      <c r="E48" s="76"/>
      <c r="F48" s="51"/>
      <c r="G48" s="51">
        <f ca="1">SUMIF(ЛСР!$B$6:$N$192,М[[#This Row],[Наим.]],ЛСР!$M$6:$M$192)</f>
        <v>0</v>
      </c>
      <c r="H48" s="53" t="s">
        <v>187</v>
      </c>
      <c r="I48" s="48"/>
    </row>
    <row r="49" spans="1:9" ht="23.1" customHeight="1" x14ac:dyDescent="0.2">
      <c r="A49" s="44" t="s">
        <v>170</v>
      </c>
      <c r="B49" s="53"/>
      <c r="C49" s="53"/>
      <c r="D49" s="45" t="s">
        <v>78</v>
      </c>
      <c r="E49" s="76"/>
      <c r="F49" s="51"/>
      <c r="G49" s="51">
        <f ca="1">SUMIF(ЛСР!$B$6:$N$192,М[[#This Row],[Наим.]],ЛСР!$M$6:$M$192)</f>
        <v>0</v>
      </c>
      <c r="H49" s="53" t="s">
        <v>187</v>
      </c>
      <c r="I49" s="48"/>
    </row>
    <row r="50" spans="1:9" ht="23.1" customHeight="1" x14ac:dyDescent="0.2">
      <c r="A50" s="44" t="s">
        <v>171</v>
      </c>
      <c r="B50" s="53"/>
      <c r="C50" s="53"/>
      <c r="D50" s="45" t="s">
        <v>78</v>
      </c>
      <c r="E50" s="76"/>
      <c r="F50" s="51"/>
      <c r="G50" s="51">
        <f ca="1">SUMIF(ЛСР!$B$6:$N$192,М[[#This Row],[Наим.]],ЛСР!$M$6:$M$192)</f>
        <v>0</v>
      </c>
      <c r="H50" s="53" t="s">
        <v>187</v>
      </c>
      <c r="I50" s="48"/>
    </row>
    <row r="51" spans="1:9" ht="11.45" customHeight="1" x14ac:dyDescent="0.2">
      <c r="A51" s="44" t="s">
        <v>165</v>
      </c>
      <c r="B51" s="53"/>
      <c r="C51" s="53"/>
      <c r="D51" s="45"/>
      <c r="E51" s="47"/>
      <c r="F51" s="51"/>
      <c r="G51" s="51">
        <f ca="1">SUBTOTAL(109,М[Сумма, руб])</f>
        <v>0</v>
      </c>
      <c r="H51" s="53"/>
      <c r="I51" s="48"/>
    </row>
    <row r="53" spans="1:9" ht="11.45" customHeight="1" x14ac:dyDescent="0.2">
      <c r="F53" s="78" t="s">
        <v>175</v>
      </c>
      <c r="G53" s="79">
        <f ca="1">ЛСР!M195-М[[#Totals],[Сумма,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50" xr:uid="{FE53AFB9-AB09-4713-ABCE-7C65CA051706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5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155</v>
      </c>
      <c r="B1" s="1" t="s">
        <v>156</v>
      </c>
    </row>
    <row r="2" spans="1:2" ht="11.1" customHeight="1" x14ac:dyDescent="0.2">
      <c r="A2" s="1" t="s">
        <v>157</v>
      </c>
      <c r="B2" s="1" t="s">
        <v>158</v>
      </c>
    </row>
    <row r="3" spans="1:2" ht="11.1" customHeight="1" x14ac:dyDescent="0.2">
      <c r="A3" s="1" t="s">
        <v>159</v>
      </c>
      <c r="B3" s="1" t="s">
        <v>160</v>
      </c>
    </row>
    <row r="4" spans="1:2" ht="11.1" customHeight="1" x14ac:dyDescent="0.2">
      <c r="A4" s="1" t="s">
        <v>161</v>
      </c>
      <c r="B4" s="1" t="s">
        <v>162</v>
      </c>
    </row>
    <row r="5" spans="1:2" ht="11.1" customHeight="1" x14ac:dyDescent="0.2">
      <c r="A5" s="1" t="s">
        <v>163</v>
      </c>
      <c r="B5" s="1" t="s">
        <v>164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2026-07-22T08:43:31Z</dcterms:modified>
</cp:coreProperties>
</file>