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C67E6271-9693-4A42-8679-72F842170A22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ЛСР!$A$7:$N$278</definedName>
  </definedNames>
  <calcPr calcId="191029"/>
</workbook>
</file>

<file path=xl/calcChain.xml><?xml version="1.0" encoding="utf-8"?>
<calcChain xmlns="http://schemas.openxmlformats.org/spreadsheetml/2006/main">
  <c r="N267" i="1" l="1" a="1"/>
  <c r="N267" i="1" s="1"/>
  <c r="N266" i="1" a="1"/>
  <c r="N266" i="1" s="1"/>
  <c r="N265" i="1" a="1"/>
  <c r="N265" i="1" s="1"/>
  <c r="N264" i="1" a="1"/>
  <c r="N264" i="1" s="1"/>
  <c r="N263" i="1" a="1"/>
  <c r="N263" i="1" s="1"/>
  <c r="J181" i="1"/>
  <c r="K181" i="1" a="1"/>
  <c r="K181" i="1" s="1"/>
  <c r="J183" i="1"/>
  <c r="K183" i="1" a="1"/>
  <c r="K183" i="1" s="1"/>
  <c r="N183" i="1" a="1"/>
  <c r="N183" i="1" s="1"/>
  <c r="E21" i="2"/>
  <c r="G88" i="3"/>
  <c r="K99" i="1" a="1"/>
  <c r="K99" i="1" s="1"/>
  <c r="J99" i="1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J264" i="1"/>
  <c r="J265" i="1"/>
  <c r="J266" i="1"/>
  <c r="J267" i="1"/>
  <c r="J263" i="1"/>
  <c r="J13" i="1"/>
  <c r="K13" i="1" a="1"/>
  <c r="K13" i="1" s="1"/>
  <c r="J15" i="1"/>
  <c r="K15" i="1" a="1"/>
  <c r="K15" i="1" s="1"/>
  <c r="J17" i="1"/>
  <c r="N17" i="1" a="1"/>
  <c r="N17" i="1" s="1"/>
  <c r="K17" i="1" a="1"/>
  <c r="K17" i="1" s="1"/>
  <c r="L17" i="1" s="1"/>
  <c r="J18" i="1"/>
  <c r="N18" i="1" a="1"/>
  <c r="N18" i="1" s="1"/>
  <c r="K18" i="1" a="1"/>
  <c r="K18" i="1" s="1"/>
  <c r="L18" i="1" s="1"/>
  <c r="J19" i="1"/>
  <c r="N19" i="1" a="1"/>
  <c r="N19" i="1" s="1"/>
  <c r="K19" i="1" a="1"/>
  <c r="K19" i="1" s="1"/>
  <c r="L19" i="1" s="1"/>
  <c r="J20" i="1"/>
  <c r="N20" i="1" a="1"/>
  <c r="N20" i="1" s="1"/>
  <c r="K20" i="1" a="1"/>
  <c r="K20" i="1" s="1"/>
  <c r="L20" i="1" s="1"/>
  <c r="J21" i="1"/>
  <c r="N21" i="1" a="1"/>
  <c r="N21" i="1" s="1"/>
  <c r="K21" i="1" a="1"/>
  <c r="K21" i="1" s="1"/>
  <c r="L21" i="1" s="1"/>
  <c r="J22" i="1"/>
  <c r="N22" i="1" a="1"/>
  <c r="N22" i="1" s="1"/>
  <c r="K22" i="1" a="1"/>
  <c r="K22" i="1" s="1"/>
  <c r="L22" i="1" s="1"/>
  <c r="J23" i="1"/>
  <c r="N23" i="1" a="1"/>
  <c r="N23" i="1" s="1"/>
  <c r="K23" i="1" a="1"/>
  <c r="K23" i="1" s="1"/>
  <c r="L23" i="1" s="1"/>
  <c r="J24" i="1"/>
  <c r="N24" i="1" a="1"/>
  <c r="N24" i="1" s="1"/>
  <c r="K24" i="1" a="1"/>
  <c r="K24" i="1" s="1"/>
  <c r="J25" i="1"/>
  <c r="N25" i="1" a="1"/>
  <c r="N25" i="1" s="1"/>
  <c r="K25" i="1" a="1"/>
  <c r="K25" i="1" s="1"/>
  <c r="J26" i="1"/>
  <c r="N26" i="1" a="1"/>
  <c r="N26" i="1" s="1"/>
  <c r="K26" i="1" a="1"/>
  <c r="K26" i="1" s="1"/>
  <c r="J27" i="1"/>
  <c r="N27" i="1" a="1"/>
  <c r="N27" i="1" s="1"/>
  <c r="K27" i="1" a="1"/>
  <c r="K27" i="1" s="1"/>
  <c r="J29" i="1"/>
  <c r="K29" i="1" a="1"/>
  <c r="K29" i="1" s="1"/>
  <c r="J31" i="1"/>
  <c r="N31" i="1" a="1"/>
  <c r="N31" i="1" s="1"/>
  <c r="K31" i="1" a="1"/>
  <c r="K31" i="1" s="1"/>
  <c r="J33" i="1"/>
  <c r="K33" i="1" a="1"/>
  <c r="K33" i="1" s="1"/>
  <c r="J35" i="1"/>
  <c r="N35" i="1" a="1"/>
  <c r="N35" i="1" s="1"/>
  <c r="K35" i="1" a="1"/>
  <c r="K35" i="1" s="1"/>
  <c r="J37" i="1"/>
  <c r="K37" i="1" a="1"/>
  <c r="K37" i="1" s="1"/>
  <c r="J39" i="1"/>
  <c r="N39" i="1" a="1"/>
  <c r="N39" i="1" s="1"/>
  <c r="K39" i="1" a="1"/>
  <c r="K39" i="1" s="1"/>
  <c r="L39" i="1" s="1"/>
  <c r="J40" i="1"/>
  <c r="N40" i="1" a="1"/>
  <c r="N40" i="1" s="1"/>
  <c r="K40" i="1" a="1"/>
  <c r="K40" i="1" s="1"/>
  <c r="J41" i="1"/>
  <c r="N41" i="1" a="1"/>
  <c r="N41" i="1" s="1"/>
  <c r="K41" i="1" a="1"/>
  <c r="K41" i="1" s="1"/>
  <c r="J43" i="1"/>
  <c r="K43" i="1" a="1"/>
  <c r="K43" i="1" s="1"/>
  <c r="J45" i="1"/>
  <c r="N45" i="1" a="1"/>
  <c r="N45" i="1" s="1"/>
  <c r="K45" i="1" a="1"/>
  <c r="K45" i="1" s="1"/>
  <c r="J46" i="1"/>
  <c r="N46" i="1" a="1"/>
  <c r="N46" i="1" s="1"/>
  <c r="K46" i="1" a="1"/>
  <c r="K46" i="1" s="1"/>
  <c r="L46" i="1" s="1"/>
  <c r="J47" i="1"/>
  <c r="N47" i="1" a="1"/>
  <c r="N47" i="1" s="1"/>
  <c r="K47" i="1" a="1"/>
  <c r="K47" i="1" s="1"/>
  <c r="L47" i="1" s="1"/>
  <c r="J48" i="1"/>
  <c r="N48" i="1" a="1"/>
  <c r="N48" i="1" s="1"/>
  <c r="K48" i="1" a="1"/>
  <c r="K48" i="1" s="1"/>
  <c r="L48" i="1" s="1"/>
  <c r="J49" i="1"/>
  <c r="N49" i="1" a="1"/>
  <c r="N49" i="1" s="1"/>
  <c r="K49" i="1" a="1"/>
  <c r="K49" i="1" s="1"/>
  <c r="L49" i="1" s="1"/>
  <c r="J50" i="1"/>
  <c r="N50" i="1" a="1"/>
  <c r="N50" i="1" s="1"/>
  <c r="K50" i="1" a="1"/>
  <c r="K50" i="1" s="1"/>
  <c r="L50" i="1" s="1"/>
  <c r="J52" i="1"/>
  <c r="K52" i="1" a="1"/>
  <c r="K52" i="1" s="1"/>
  <c r="L52" i="1" s="1"/>
  <c r="L51" i="1" s="1"/>
  <c r="J54" i="1"/>
  <c r="N54" i="1" a="1"/>
  <c r="N54" i="1" s="1"/>
  <c r="K54" i="1" a="1"/>
  <c r="K54" i="1" s="1"/>
  <c r="J55" i="1"/>
  <c r="N55" i="1" a="1"/>
  <c r="N55" i="1" s="1"/>
  <c r="K55" i="1" a="1"/>
  <c r="K55" i="1" s="1"/>
  <c r="L55" i="1" s="1"/>
  <c r="J56" i="1"/>
  <c r="N56" i="1" a="1"/>
  <c r="N56" i="1" s="1"/>
  <c r="K56" i="1" a="1"/>
  <c r="K56" i="1" s="1"/>
  <c r="J57" i="1"/>
  <c r="N57" i="1" a="1"/>
  <c r="N57" i="1" s="1"/>
  <c r="K57" i="1" a="1"/>
  <c r="K57" i="1" s="1"/>
  <c r="L57" i="1" s="1"/>
  <c r="J58" i="1"/>
  <c r="N58" i="1" a="1"/>
  <c r="N58" i="1" s="1"/>
  <c r="K58" i="1" a="1"/>
  <c r="K58" i="1" s="1"/>
  <c r="L58" i="1" s="1"/>
  <c r="J59" i="1"/>
  <c r="N59" i="1" a="1"/>
  <c r="N59" i="1" s="1"/>
  <c r="K59" i="1" a="1"/>
  <c r="K59" i="1" s="1"/>
  <c r="L59" i="1" s="1"/>
  <c r="J60" i="1"/>
  <c r="N60" i="1" a="1"/>
  <c r="N60" i="1" s="1"/>
  <c r="K60" i="1" a="1"/>
  <c r="K60" i="1" s="1"/>
  <c r="J62" i="1"/>
  <c r="K62" i="1" a="1"/>
  <c r="K62" i="1" s="1"/>
  <c r="L62" i="1" s="1"/>
  <c r="L61" i="1" s="1"/>
  <c r="J64" i="1"/>
  <c r="N64" i="1" a="1"/>
  <c r="N64" i="1" s="1"/>
  <c r="K64" i="1" a="1"/>
  <c r="K64" i="1" s="1"/>
  <c r="J66" i="1"/>
  <c r="K66" i="1" a="1"/>
  <c r="K66" i="1" s="1"/>
  <c r="J269" i="1"/>
  <c r="N269" i="1" a="1"/>
  <c r="N269" i="1" s="1"/>
  <c r="K269" i="1" a="1"/>
  <c r="K269" i="1" s="1"/>
  <c r="J68" i="1"/>
  <c r="N68" i="1" a="1"/>
  <c r="N68" i="1" s="1"/>
  <c r="K68" i="1" a="1"/>
  <c r="K68" i="1" s="1"/>
  <c r="J69" i="1"/>
  <c r="N69" i="1" a="1"/>
  <c r="N69" i="1" s="1"/>
  <c r="K69" i="1" a="1"/>
  <c r="K69" i="1" s="1"/>
  <c r="L69" i="1" s="1"/>
  <c r="J70" i="1"/>
  <c r="N70" i="1" a="1"/>
  <c r="N70" i="1" s="1"/>
  <c r="K70" i="1" a="1"/>
  <c r="K70" i="1" s="1"/>
  <c r="L70" i="1" s="1"/>
  <c r="J71" i="1"/>
  <c r="N71" i="1" a="1"/>
  <c r="N71" i="1" s="1"/>
  <c r="K71" i="1" a="1"/>
  <c r="K71" i="1" s="1"/>
  <c r="J72" i="1"/>
  <c r="N72" i="1" a="1"/>
  <c r="N72" i="1" s="1"/>
  <c r="K72" i="1" a="1"/>
  <c r="K72" i="1" s="1"/>
  <c r="J73" i="1"/>
  <c r="N73" i="1" a="1"/>
  <c r="N73" i="1" s="1"/>
  <c r="K73" i="1" a="1"/>
  <c r="K73" i="1" s="1"/>
  <c r="J74" i="1"/>
  <c r="N74" i="1" a="1"/>
  <c r="N74" i="1" s="1"/>
  <c r="K74" i="1" a="1"/>
  <c r="K74" i="1" s="1"/>
  <c r="J75" i="1"/>
  <c r="N75" i="1" a="1"/>
  <c r="N75" i="1" s="1"/>
  <c r="K75" i="1" a="1"/>
  <c r="K75" i="1" s="1"/>
  <c r="L75" i="1" s="1"/>
  <c r="J76" i="1"/>
  <c r="N76" i="1" a="1"/>
  <c r="N76" i="1" s="1"/>
  <c r="K76" i="1" a="1"/>
  <c r="K76" i="1" s="1"/>
  <c r="L76" i="1" s="1"/>
  <c r="J77" i="1"/>
  <c r="N77" i="1" a="1"/>
  <c r="N77" i="1" s="1"/>
  <c r="K77" i="1" a="1"/>
  <c r="K77" i="1" s="1"/>
  <c r="L77" i="1" s="1"/>
  <c r="J78" i="1"/>
  <c r="N78" i="1" a="1"/>
  <c r="N78" i="1" s="1"/>
  <c r="K78" i="1" a="1"/>
  <c r="K78" i="1" s="1"/>
  <c r="J80" i="1"/>
  <c r="K80" i="1" a="1"/>
  <c r="K80" i="1" s="1"/>
  <c r="L80" i="1" s="1"/>
  <c r="L79" i="1" s="1"/>
  <c r="J82" i="1"/>
  <c r="N82" i="1" a="1"/>
  <c r="N82" i="1" s="1"/>
  <c r="K82" i="1" a="1"/>
  <c r="K82" i="1" s="1"/>
  <c r="L82" i="1" s="1"/>
  <c r="J83" i="1"/>
  <c r="N83" i="1" a="1"/>
  <c r="N83" i="1" s="1"/>
  <c r="K83" i="1" a="1"/>
  <c r="K83" i="1" s="1"/>
  <c r="J84" i="1"/>
  <c r="N84" i="1" a="1"/>
  <c r="N84" i="1" s="1"/>
  <c r="K84" i="1" a="1"/>
  <c r="K84" i="1" s="1"/>
  <c r="J85" i="1"/>
  <c r="N85" i="1" a="1"/>
  <c r="N85" i="1" s="1"/>
  <c r="K85" i="1" a="1"/>
  <c r="K85" i="1" s="1"/>
  <c r="L85" i="1" s="1"/>
  <c r="J86" i="1"/>
  <c r="N86" i="1" a="1"/>
  <c r="N86" i="1" s="1"/>
  <c r="K86" i="1" a="1"/>
  <c r="K86" i="1" s="1"/>
  <c r="L86" i="1" s="1"/>
  <c r="J87" i="1"/>
  <c r="N87" i="1" a="1"/>
  <c r="N87" i="1" s="1"/>
  <c r="K87" i="1" a="1"/>
  <c r="K87" i="1" s="1"/>
  <c r="J89" i="1"/>
  <c r="K89" i="1" a="1"/>
  <c r="K89" i="1" s="1"/>
  <c r="J91" i="1"/>
  <c r="N91" i="1" a="1"/>
  <c r="N91" i="1" s="1"/>
  <c r="K91" i="1" a="1"/>
  <c r="K91" i="1" s="1"/>
  <c r="J93" i="1"/>
  <c r="K93" i="1" a="1"/>
  <c r="K93" i="1" s="1"/>
  <c r="J95" i="1"/>
  <c r="N95" i="1" a="1"/>
  <c r="N95" i="1" s="1"/>
  <c r="K95" i="1" a="1"/>
  <c r="K95" i="1" s="1"/>
  <c r="J97" i="1"/>
  <c r="K97" i="1" a="1"/>
  <c r="K97" i="1" s="1"/>
  <c r="J100" i="1"/>
  <c r="N100" i="1" a="1"/>
  <c r="N100" i="1" s="1"/>
  <c r="K100" i="1" a="1"/>
  <c r="K100" i="1" s="1"/>
  <c r="J101" i="1"/>
  <c r="N101" i="1" a="1"/>
  <c r="N101" i="1" s="1"/>
  <c r="K101" i="1" a="1"/>
  <c r="K101" i="1" s="1"/>
  <c r="J103" i="1"/>
  <c r="K103" i="1" a="1"/>
  <c r="K103" i="1" s="1"/>
  <c r="L103" i="1" s="1"/>
  <c r="L102" i="1" s="1"/>
  <c r="J105" i="1"/>
  <c r="N105" i="1" a="1"/>
  <c r="N105" i="1" s="1"/>
  <c r="K105" i="1" a="1"/>
  <c r="K105" i="1" s="1"/>
  <c r="J107" i="1"/>
  <c r="K107" i="1" a="1"/>
  <c r="K107" i="1" s="1"/>
  <c r="L107" i="1" s="1"/>
  <c r="L106" i="1" s="1"/>
  <c r="J109" i="1"/>
  <c r="N109" i="1" a="1"/>
  <c r="N109" i="1" s="1"/>
  <c r="K109" i="1" a="1"/>
  <c r="K109" i="1" s="1"/>
  <c r="L109" i="1" s="1"/>
  <c r="J110" i="1"/>
  <c r="N110" i="1" a="1"/>
  <c r="N110" i="1" s="1"/>
  <c r="K110" i="1" a="1"/>
  <c r="K110" i="1" s="1"/>
  <c r="J112" i="1"/>
  <c r="K112" i="1" a="1"/>
  <c r="K112" i="1" s="1"/>
  <c r="J114" i="1"/>
  <c r="N114" i="1" a="1"/>
  <c r="N114" i="1" s="1"/>
  <c r="K114" i="1" a="1"/>
  <c r="K114" i="1" s="1"/>
  <c r="L114" i="1" s="1"/>
  <c r="J115" i="1"/>
  <c r="N115" i="1" a="1"/>
  <c r="N115" i="1" s="1"/>
  <c r="K115" i="1" a="1"/>
  <c r="K115" i="1" s="1"/>
  <c r="J116" i="1"/>
  <c r="N116" i="1" a="1"/>
  <c r="N116" i="1" s="1"/>
  <c r="K116" i="1" a="1"/>
  <c r="K116" i="1" s="1"/>
  <c r="L116" i="1" s="1"/>
  <c r="J117" i="1"/>
  <c r="N117" i="1" a="1"/>
  <c r="N117" i="1" s="1"/>
  <c r="K117" i="1" a="1"/>
  <c r="K117" i="1" s="1"/>
  <c r="J118" i="1"/>
  <c r="N118" i="1" a="1"/>
  <c r="N118" i="1" s="1"/>
  <c r="K118" i="1" a="1"/>
  <c r="K118" i="1" s="1"/>
  <c r="J119" i="1"/>
  <c r="N119" i="1" a="1"/>
  <c r="N119" i="1" s="1"/>
  <c r="K119" i="1" a="1"/>
  <c r="K119" i="1" s="1"/>
  <c r="J121" i="1"/>
  <c r="K121" i="1" a="1"/>
  <c r="K121" i="1" s="1"/>
  <c r="J123" i="1"/>
  <c r="N123" i="1" a="1"/>
  <c r="N123" i="1" s="1"/>
  <c r="K123" i="1" a="1"/>
  <c r="K123" i="1" s="1"/>
  <c r="J125" i="1"/>
  <c r="K125" i="1" a="1"/>
  <c r="K125" i="1" s="1"/>
  <c r="J127" i="1"/>
  <c r="N127" i="1" a="1"/>
  <c r="N127" i="1" s="1"/>
  <c r="K127" i="1" a="1"/>
  <c r="K127" i="1" s="1"/>
  <c r="L127" i="1" s="1"/>
  <c r="J128" i="1"/>
  <c r="N128" i="1" a="1"/>
  <c r="N128" i="1" s="1"/>
  <c r="K128" i="1" a="1"/>
  <c r="K128" i="1" s="1"/>
  <c r="J129" i="1"/>
  <c r="N129" i="1" a="1"/>
  <c r="N129" i="1" s="1"/>
  <c r="K129" i="1" a="1"/>
  <c r="K129" i="1" s="1"/>
  <c r="L129" i="1" s="1"/>
  <c r="J131" i="1"/>
  <c r="K131" i="1" a="1"/>
  <c r="K131" i="1" s="1"/>
  <c r="J133" i="1"/>
  <c r="N133" i="1" a="1"/>
  <c r="N133" i="1" s="1"/>
  <c r="K133" i="1" a="1"/>
  <c r="K133" i="1" s="1"/>
  <c r="L133" i="1" s="1"/>
  <c r="J134" i="1"/>
  <c r="N134" i="1" a="1"/>
  <c r="N134" i="1" s="1"/>
  <c r="K134" i="1" a="1"/>
  <c r="K134" i="1" s="1"/>
  <c r="J135" i="1"/>
  <c r="N135" i="1" a="1"/>
  <c r="N135" i="1" s="1"/>
  <c r="K135" i="1" a="1"/>
  <c r="K135" i="1" s="1"/>
  <c r="J136" i="1"/>
  <c r="N136" i="1" a="1"/>
  <c r="N136" i="1" s="1"/>
  <c r="K136" i="1" a="1"/>
  <c r="K136" i="1" s="1"/>
  <c r="L136" i="1" s="1"/>
  <c r="J137" i="1"/>
  <c r="N137" i="1" a="1"/>
  <c r="N137" i="1" s="1"/>
  <c r="K137" i="1" a="1"/>
  <c r="K137" i="1" s="1"/>
  <c r="L137" i="1" s="1"/>
  <c r="J138" i="1"/>
  <c r="N138" i="1" a="1"/>
  <c r="N138" i="1" s="1"/>
  <c r="K138" i="1" a="1"/>
  <c r="K138" i="1" s="1"/>
  <c r="J141" i="1"/>
  <c r="K141" i="1" a="1"/>
  <c r="K141" i="1" s="1"/>
  <c r="L141" i="1" s="1"/>
  <c r="L140" i="1" s="1"/>
  <c r="J143" i="1"/>
  <c r="N143" i="1" a="1"/>
  <c r="N143" i="1" s="1"/>
  <c r="K143" i="1" a="1"/>
  <c r="K143" i="1" s="1"/>
  <c r="J144" i="1"/>
  <c r="N144" i="1" a="1"/>
  <c r="N144" i="1" s="1"/>
  <c r="K144" i="1" a="1"/>
  <c r="K144" i="1" s="1"/>
  <c r="J145" i="1"/>
  <c r="N145" i="1" a="1"/>
  <c r="N145" i="1" s="1"/>
  <c r="K145" i="1" a="1"/>
  <c r="K145" i="1" s="1"/>
  <c r="L145" i="1" s="1"/>
  <c r="J146" i="1"/>
  <c r="N146" i="1" a="1"/>
  <c r="N146" i="1" s="1"/>
  <c r="K146" i="1" a="1"/>
  <c r="K146" i="1" s="1"/>
  <c r="J273" i="1"/>
  <c r="K273" i="1" a="1"/>
  <c r="K273" i="1" s="1"/>
  <c r="J150" i="1"/>
  <c r="K150" i="1" a="1"/>
  <c r="K150" i="1" s="1"/>
  <c r="J152" i="1"/>
  <c r="K152" i="1" a="1"/>
  <c r="K152" i="1" s="1"/>
  <c r="L152" i="1" s="1"/>
  <c r="L151" i="1" s="1"/>
  <c r="J154" i="1"/>
  <c r="N154" i="1" a="1"/>
  <c r="N154" i="1" s="1"/>
  <c r="K154" i="1" a="1"/>
  <c r="K154" i="1" s="1"/>
  <c r="J156" i="1"/>
  <c r="K156" i="1" a="1"/>
  <c r="K156" i="1" s="1"/>
  <c r="L156" i="1" s="1"/>
  <c r="L155" i="1" s="1"/>
  <c r="J158" i="1"/>
  <c r="N158" i="1" a="1"/>
  <c r="N158" i="1" s="1"/>
  <c r="K158" i="1" a="1"/>
  <c r="K158" i="1" s="1"/>
  <c r="J160" i="1"/>
  <c r="K160" i="1" a="1"/>
  <c r="K160" i="1" s="1"/>
  <c r="J162" i="1"/>
  <c r="N162" i="1" a="1"/>
  <c r="N162" i="1" s="1"/>
  <c r="K162" i="1" a="1"/>
  <c r="K162" i="1" s="1"/>
  <c r="L162" i="1" s="1"/>
  <c r="J163" i="1"/>
  <c r="N163" i="1" a="1"/>
  <c r="N163" i="1" s="1"/>
  <c r="K163" i="1" a="1"/>
  <c r="K163" i="1" s="1"/>
  <c r="L163" i="1" s="1"/>
  <c r="J164" i="1"/>
  <c r="N164" i="1" a="1"/>
  <c r="N164" i="1" s="1"/>
  <c r="K164" i="1" a="1"/>
  <c r="K164" i="1" s="1"/>
  <c r="J166" i="1"/>
  <c r="K166" i="1" a="1"/>
  <c r="K166" i="1" s="1"/>
  <c r="L166" i="1" s="1"/>
  <c r="L165" i="1" s="1"/>
  <c r="J168" i="1"/>
  <c r="N168" i="1" a="1"/>
  <c r="N168" i="1" s="1"/>
  <c r="K168" i="1" a="1"/>
  <c r="K168" i="1" s="1"/>
  <c r="L168" i="1" s="1"/>
  <c r="J169" i="1"/>
  <c r="N169" i="1" a="1"/>
  <c r="N169" i="1" s="1"/>
  <c r="K169" i="1" a="1"/>
  <c r="K169" i="1" s="1"/>
  <c r="J170" i="1"/>
  <c r="N170" i="1" a="1"/>
  <c r="N170" i="1" s="1"/>
  <c r="K170" i="1" a="1"/>
  <c r="K170" i="1" s="1"/>
  <c r="J172" i="1"/>
  <c r="K172" i="1" a="1"/>
  <c r="K172" i="1" s="1"/>
  <c r="J174" i="1"/>
  <c r="K174" i="1" a="1"/>
  <c r="K174" i="1" s="1"/>
  <c r="J176" i="1"/>
  <c r="N176" i="1" a="1"/>
  <c r="N176" i="1" s="1"/>
  <c r="K176" i="1" a="1"/>
  <c r="K176" i="1" s="1"/>
  <c r="J177" i="1"/>
  <c r="N177" i="1" a="1"/>
  <c r="N177" i="1" s="1"/>
  <c r="K177" i="1" a="1"/>
  <c r="K177" i="1" s="1"/>
  <c r="J178" i="1"/>
  <c r="N178" i="1" a="1"/>
  <c r="N178" i="1" s="1"/>
  <c r="K178" i="1" a="1"/>
  <c r="K178" i="1" s="1"/>
  <c r="J179" i="1"/>
  <c r="N179" i="1" a="1"/>
  <c r="N179" i="1" s="1"/>
  <c r="K179" i="1" a="1"/>
  <c r="K179" i="1" s="1"/>
  <c r="L179" i="1" s="1"/>
  <c r="J186" i="1"/>
  <c r="K186" i="1" a="1"/>
  <c r="K186" i="1" s="1"/>
  <c r="L186" i="1" s="1"/>
  <c r="L185" i="1" s="1"/>
  <c r="J188" i="1"/>
  <c r="K188" i="1" a="1"/>
  <c r="K188" i="1" s="1"/>
  <c r="L188" i="1" s="1"/>
  <c r="L187" i="1" s="1"/>
  <c r="J190" i="1"/>
  <c r="N190" i="1" a="1"/>
  <c r="N190" i="1" s="1"/>
  <c r="K190" i="1" a="1"/>
  <c r="K190" i="1" s="1"/>
  <c r="L190" i="1" s="1"/>
  <c r="J191" i="1"/>
  <c r="N191" i="1" a="1"/>
  <c r="N191" i="1" s="1"/>
  <c r="K191" i="1" a="1"/>
  <c r="K191" i="1" s="1"/>
  <c r="J192" i="1"/>
  <c r="N192" i="1" a="1"/>
  <c r="N192" i="1" s="1"/>
  <c r="K192" i="1" a="1"/>
  <c r="K192" i="1" s="1"/>
  <c r="J194" i="1"/>
  <c r="K194" i="1" a="1"/>
  <c r="K194" i="1" s="1"/>
  <c r="L194" i="1" s="1"/>
  <c r="L193" i="1" s="1"/>
  <c r="J196" i="1"/>
  <c r="N196" i="1" a="1"/>
  <c r="N196" i="1" s="1"/>
  <c r="K196" i="1" a="1"/>
  <c r="K196" i="1" s="1"/>
  <c r="L196" i="1" s="1"/>
  <c r="L195" i="1" s="1"/>
  <c r="J198" i="1"/>
  <c r="K198" i="1" a="1"/>
  <c r="K198" i="1" s="1"/>
  <c r="J200" i="1"/>
  <c r="N200" i="1" a="1"/>
  <c r="N200" i="1" s="1"/>
  <c r="K200" i="1" a="1"/>
  <c r="K200" i="1" s="1"/>
  <c r="J202" i="1"/>
  <c r="K202" i="1" a="1"/>
  <c r="K202" i="1" s="1"/>
  <c r="J204" i="1"/>
  <c r="N204" i="1" a="1"/>
  <c r="N204" i="1" s="1"/>
  <c r="K204" i="1" a="1"/>
  <c r="K204" i="1" s="1"/>
  <c r="J206" i="1"/>
  <c r="K206" i="1" a="1"/>
  <c r="K206" i="1" s="1"/>
  <c r="L206" i="1" s="1"/>
  <c r="L205" i="1" s="1"/>
  <c r="J208" i="1"/>
  <c r="N208" i="1" a="1"/>
  <c r="N208" i="1" s="1"/>
  <c r="K208" i="1" a="1"/>
  <c r="K208" i="1" s="1"/>
  <c r="J210" i="1"/>
  <c r="K210" i="1" a="1"/>
  <c r="K210" i="1" s="1"/>
  <c r="L210" i="1" s="1"/>
  <c r="L209" i="1" s="1"/>
  <c r="J212" i="1"/>
  <c r="N212" i="1" a="1"/>
  <c r="N212" i="1" s="1"/>
  <c r="K212" i="1" a="1"/>
  <c r="K212" i="1" s="1"/>
  <c r="L212" i="1" s="1"/>
  <c r="J213" i="1"/>
  <c r="N213" i="1" a="1"/>
  <c r="N213" i="1" s="1"/>
  <c r="K213" i="1" a="1"/>
  <c r="K213" i="1" s="1"/>
  <c r="L213" i="1" s="1"/>
  <c r="J214" i="1"/>
  <c r="N214" i="1" a="1"/>
  <c r="N214" i="1" s="1"/>
  <c r="K214" i="1" a="1"/>
  <c r="K214" i="1" s="1"/>
  <c r="L214" i="1" s="1"/>
  <c r="J216" i="1"/>
  <c r="K216" i="1" a="1"/>
  <c r="K216" i="1" s="1"/>
  <c r="J218" i="1"/>
  <c r="K218" i="1" a="1"/>
  <c r="K218" i="1" s="1"/>
  <c r="J220" i="1"/>
  <c r="N220" i="1" a="1"/>
  <c r="N220" i="1" s="1"/>
  <c r="K220" i="1" a="1"/>
  <c r="K220" i="1" s="1"/>
  <c r="J221" i="1"/>
  <c r="N221" i="1" a="1"/>
  <c r="N221" i="1" s="1"/>
  <c r="K221" i="1" a="1"/>
  <c r="K221" i="1" s="1"/>
  <c r="J222" i="1"/>
  <c r="N222" i="1" a="1"/>
  <c r="N222" i="1" s="1"/>
  <c r="K222" i="1" a="1"/>
  <c r="K222" i="1" s="1"/>
  <c r="J223" i="1"/>
  <c r="N223" i="1" a="1"/>
  <c r="N223" i="1" s="1"/>
  <c r="K223" i="1" a="1"/>
  <c r="K223" i="1" s="1"/>
  <c r="J226" i="1"/>
  <c r="K226" i="1" a="1"/>
  <c r="K226" i="1" s="1"/>
  <c r="J228" i="1"/>
  <c r="K228" i="1" a="1"/>
  <c r="K228" i="1" s="1"/>
  <c r="L228" i="1" s="1"/>
  <c r="L227" i="1" s="1"/>
  <c r="J230" i="1"/>
  <c r="N230" i="1" a="1"/>
  <c r="N230" i="1" s="1"/>
  <c r="K230" i="1" a="1"/>
  <c r="K230" i="1" s="1"/>
  <c r="L230" i="1" s="1"/>
  <c r="J231" i="1"/>
  <c r="N231" i="1" a="1"/>
  <c r="N231" i="1" s="1"/>
  <c r="K231" i="1" a="1"/>
  <c r="K231" i="1" s="1"/>
  <c r="J232" i="1"/>
  <c r="N232" i="1" a="1"/>
  <c r="N232" i="1" s="1"/>
  <c r="K232" i="1" a="1"/>
  <c r="K232" i="1" s="1"/>
  <c r="J234" i="1"/>
  <c r="K234" i="1" a="1"/>
  <c r="K234" i="1" s="1"/>
  <c r="L234" i="1" s="1"/>
  <c r="L233" i="1" s="1"/>
  <c r="J236" i="1"/>
  <c r="N236" i="1" a="1"/>
  <c r="N236" i="1" s="1"/>
  <c r="K236" i="1" a="1"/>
  <c r="K236" i="1" s="1"/>
  <c r="J238" i="1"/>
  <c r="K238" i="1" a="1"/>
  <c r="K238" i="1" s="1"/>
  <c r="L238" i="1" s="1"/>
  <c r="L237" i="1" s="1"/>
  <c r="J240" i="1"/>
  <c r="N240" i="1" a="1"/>
  <c r="N240" i="1" s="1"/>
  <c r="K240" i="1" a="1"/>
  <c r="K240" i="1" s="1"/>
  <c r="L240" i="1" s="1"/>
  <c r="L239" i="1" s="1"/>
  <c r="J242" i="1"/>
  <c r="K242" i="1" a="1"/>
  <c r="K242" i="1" s="1"/>
  <c r="L242" i="1" s="1"/>
  <c r="L241" i="1" s="1"/>
  <c r="J244" i="1"/>
  <c r="N244" i="1" a="1"/>
  <c r="N244" i="1" s="1"/>
  <c r="K244" i="1" a="1"/>
  <c r="K244" i="1" s="1"/>
  <c r="J245" i="1"/>
  <c r="N245" i="1" a="1"/>
  <c r="N245" i="1" s="1"/>
  <c r="K245" i="1" a="1"/>
  <c r="K245" i="1" s="1"/>
  <c r="J247" i="1"/>
  <c r="K247" i="1" a="1"/>
  <c r="K247" i="1" s="1"/>
  <c r="J249" i="1"/>
  <c r="N249" i="1" a="1"/>
  <c r="N249" i="1" s="1"/>
  <c r="K249" i="1" a="1"/>
  <c r="K249" i="1" s="1"/>
  <c r="J251" i="1"/>
  <c r="K251" i="1" a="1"/>
  <c r="K251" i="1" s="1"/>
  <c r="L251" i="1" s="1"/>
  <c r="L250" i="1" s="1"/>
  <c r="J253" i="1"/>
  <c r="N253" i="1" a="1"/>
  <c r="N253" i="1" s="1"/>
  <c r="K253" i="1" a="1"/>
  <c r="K253" i="1" s="1"/>
  <c r="L253" i="1" s="1"/>
  <c r="J254" i="1"/>
  <c r="N254" i="1" a="1"/>
  <c r="N254" i="1" s="1"/>
  <c r="K254" i="1" a="1"/>
  <c r="K254" i="1" s="1"/>
  <c r="J255" i="1"/>
  <c r="N255" i="1" a="1"/>
  <c r="N255" i="1" s="1"/>
  <c r="K255" i="1" a="1"/>
  <c r="K255" i="1" s="1"/>
  <c r="L255" i="1" s="1"/>
  <c r="J259" i="1"/>
  <c r="K259" i="1" a="1"/>
  <c r="K259" i="1" s="1"/>
  <c r="J261" i="1"/>
  <c r="N261" i="1" a="1"/>
  <c r="N261" i="1" s="1"/>
  <c r="K261" i="1" a="1"/>
  <c r="K261" i="1" s="1"/>
  <c r="E30" i="2"/>
  <c r="E29" i="2"/>
  <c r="E28" i="2"/>
  <c r="E27" i="2"/>
  <c r="E26" i="2"/>
  <c r="E25" i="2"/>
  <c r="E24" i="2"/>
  <c r="E23" i="2"/>
  <c r="E22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1" i="2" s="1"/>
  <c r="L99" i="1" l="1"/>
  <c r="L71" i="1"/>
  <c r="L204" i="1"/>
  <c r="L203" i="1" s="1"/>
  <c r="L89" i="1"/>
  <c r="L88" i="1" s="1"/>
  <c r="L236" i="1"/>
  <c r="L235" i="1" s="1"/>
  <c r="L72" i="1"/>
  <c r="L176" i="1"/>
  <c r="L269" i="1"/>
  <c r="L268" i="1" s="1"/>
  <c r="L273" i="1"/>
  <c r="L272" i="1" s="1"/>
  <c r="L271" i="1" s="1"/>
  <c r="L270" i="1" s="1"/>
  <c r="L25" i="1"/>
  <c r="L232" i="1"/>
  <c r="L26" i="1"/>
  <c r="L174" i="1"/>
  <c r="L173" i="1" s="1"/>
  <c r="L181" i="1"/>
  <c r="L180" i="1" s="1"/>
  <c r="L183" i="1"/>
  <c r="L27" i="1"/>
  <c r="L125" i="1"/>
  <c r="L124" i="1" s="1"/>
  <c r="L177" i="1"/>
  <c r="L231" i="1"/>
  <c r="L100" i="1"/>
  <c r="L54" i="1"/>
  <c r="L118" i="1"/>
  <c r="L143" i="1"/>
  <c r="L64" i="1"/>
  <c r="L105" i="1"/>
  <c r="L200" i="1"/>
  <c r="L199" i="1" s="1"/>
  <c r="L33" i="1"/>
  <c r="L32" i="1" s="1"/>
  <c r="L93" i="1"/>
  <c r="L92" i="1" s="1"/>
  <c r="L73" i="1"/>
  <c r="L119" i="1"/>
  <c r="L144" i="1"/>
  <c r="L247" i="1"/>
  <c r="L246" i="1" s="1"/>
  <c r="L222" i="1"/>
  <c r="L95" i="1"/>
  <c r="L94" i="1" s="1"/>
  <c r="L169" i="1"/>
  <c r="L170" i="1"/>
  <c r="L220" i="1"/>
  <c r="L221" i="1"/>
  <c r="L56" i="1"/>
  <c r="L117" i="1"/>
  <c r="L160" i="1"/>
  <c r="L159" i="1" s="1"/>
  <c r="L223" i="1"/>
  <c r="L87" i="1"/>
  <c r="L245" i="1"/>
  <c r="L29" i="1"/>
  <c r="L28" i="1" s="1"/>
  <c r="L43" i="1"/>
  <c r="L42" i="1" s="1"/>
  <c r="L191" i="1"/>
  <c r="L24" i="1"/>
  <c r="L83" i="1"/>
  <c r="L138" i="1"/>
  <c r="L192" i="1"/>
  <c r="L35" i="1"/>
  <c r="L34" i="1" s="1"/>
  <c r="L101" i="1"/>
  <c r="L68" i="1"/>
  <c r="L158" i="1"/>
  <c r="L157" i="1" s="1"/>
  <c r="L84" i="1"/>
  <c r="L91" i="1"/>
  <c r="L90" i="1" s="1"/>
  <c r="L146" i="1"/>
  <c r="L202" i="1"/>
  <c r="L201" i="1" s="1"/>
  <c r="L40" i="1"/>
  <c r="L41" i="1"/>
  <c r="L110" i="1"/>
  <c r="L108" i="1" s="1"/>
  <c r="L134" i="1"/>
  <c r="L74" i="1"/>
  <c r="L78" i="1"/>
  <c r="L128" i="1"/>
  <c r="L131" i="1"/>
  <c r="L130" i="1" s="1"/>
  <c r="L135" i="1"/>
  <c r="L198" i="1"/>
  <c r="L197" i="1" s="1"/>
  <c r="L164" i="1"/>
  <c r="L161" i="1" s="1"/>
  <c r="L172" i="1"/>
  <c r="L171" i="1" s="1"/>
  <c r="L211" i="1"/>
  <c r="L216" i="1"/>
  <c r="L215" i="1" s="1"/>
  <c r="L218" i="1"/>
  <c r="L217" i="1" s="1"/>
  <c r="L244" i="1"/>
  <c r="L254" i="1"/>
  <c r="L252" i="1" s="1"/>
  <c r="L259" i="1"/>
  <c r="L258" i="1" s="1"/>
  <c r="L66" i="1"/>
  <c r="L65" i="1" s="1"/>
  <c r="L154" i="1"/>
  <c r="L153" i="1" s="1"/>
  <c r="L37" i="1"/>
  <c r="L36" i="1" s="1"/>
  <c r="L45" i="1"/>
  <c r="L44" i="1" s="1"/>
  <c r="L249" i="1"/>
  <c r="L248" i="1" s="1"/>
  <c r="L208" i="1"/>
  <c r="L207" i="1" s="1"/>
  <c r="L123" i="1"/>
  <c r="L121" i="1"/>
  <c r="L120" i="1" s="1"/>
  <c r="L150" i="1"/>
  <c r="L149" i="1" s="1"/>
  <c r="L261" i="1"/>
  <c r="L97" i="1"/>
  <c r="L96" i="1" s="1"/>
  <c r="L115" i="1"/>
  <c r="L31" i="1"/>
  <c r="L30" i="1" s="1"/>
  <c r="L178" i="1"/>
  <c r="L112" i="1"/>
  <c r="L111" i="1" s="1"/>
  <c r="L60" i="1"/>
  <c r="L15" i="1"/>
  <c r="L14" i="1" s="1"/>
  <c r="L226" i="1"/>
  <c r="L225" i="1" s="1"/>
  <c r="L13" i="1"/>
  <c r="L12" i="1" s="1"/>
  <c r="L63" i="1" l="1"/>
  <c r="L267" i="1"/>
  <c r="L229" i="1"/>
  <c r="L275" i="1"/>
  <c r="E33" i="2" s="1"/>
  <c r="L182" i="1"/>
  <c r="L266" i="1"/>
  <c r="L175" i="1"/>
  <c r="L98" i="1"/>
  <c r="L264" i="1"/>
  <c r="L104" i="1"/>
  <c r="L263" i="1"/>
  <c r="L16" i="1"/>
  <c r="L126" i="1"/>
  <c r="L122" i="1"/>
  <c r="L265" i="1"/>
  <c r="L67" i="1"/>
  <c r="L260" i="1"/>
  <c r="L142" i="1"/>
  <c r="L139" i="1" s="1"/>
  <c r="L113" i="1"/>
  <c r="L167" i="1"/>
  <c r="L219" i="1"/>
  <c r="L81" i="1"/>
  <c r="L38" i="1"/>
  <c r="L243" i="1"/>
  <c r="L53" i="1"/>
  <c r="L189" i="1"/>
  <c r="L132" i="1"/>
  <c r="L224" i="1" l="1"/>
  <c r="L184" i="1"/>
  <c r="L148" i="1"/>
  <c r="L262" i="1"/>
  <c r="L276" i="1" s="1"/>
  <c r="L11" i="1"/>
  <c r="L10" i="1" s="1"/>
  <c r="L257" i="1" l="1"/>
  <c r="L256" i="1" s="1"/>
  <c r="L147" i="1"/>
  <c r="L9" i="1" l="1"/>
  <c r="L274" i="1" l="1"/>
  <c r="G91" i="3"/>
  <c r="G90" i="3"/>
  <c r="G92" i="3"/>
  <c r="G93" i="3"/>
  <c r="G89" i="3"/>
  <c r="G94" i="3" l="1"/>
  <c r="G96" i="3" s="1"/>
</calcChain>
</file>

<file path=xl/sharedStrings.xml><?xml version="1.0" encoding="utf-8"?>
<sst xmlns="http://schemas.openxmlformats.org/spreadsheetml/2006/main" count="1190" uniqueCount="241">
  <si>
    <t>Локальный сметный расчет (ЛСР) №7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</si>
  <si>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ГП-72.107» Секция 0, 1, 2</t>
  </si>
  <si>
    <t>Ведомость объемов работ и расхода материалов по работе: Устройство системы водоснабжения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</si>
  <si>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</si>
  <si>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</si>
  <si>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</si>
  <si>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</si>
  <si>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</si>
  <si>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</si>
  <si>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</si>
  <si>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</si>
  <si>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</si>
  <si>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</si>
  <si>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</si>
  <si>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</si>
  <si>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</si>
  <si>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</si>
  <si>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</si>
  <si>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</si>
  <si>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11.02</t>
  </si>
  <si>
    <t>Устройство системы водоснабжения</t>
  </si>
  <si>
    <t>11.02.02</t>
  </si>
  <si>
    <t>Устройство водоснабжения (горизонтальная разводка)</t>
  </si>
  <si>
    <t>11.02.02.00</t>
  </si>
  <si>
    <t>Работы:</t>
  </si>
  <si>
    <t>Бурение отверстий до 100мм</t>
  </si>
  <si>
    <t>шт</t>
  </si>
  <si>
    <t>Изоляция трубопровода</t>
  </si>
  <si>
    <t>м</t>
  </si>
  <si>
    <t>Материалы:</t>
  </si>
  <si>
    <t>1</t>
  </si>
  <si>
    <t>Теплоизоляция трубная</t>
  </si>
  <si>
    <t>K-FLEX</t>
  </si>
  <si>
    <t>64х13мм вспененный полиэтилен</t>
  </si>
  <si>
    <t>пог. м</t>
  </si>
  <si>
    <t>2</t>
  </si>
  <si>
    <t>76х13мм вспененный полиэтилен</t>
  </si>
  <si>
    <t>3</t>
  </si>
  <si>
    <t>89х13мм вспененный полиэтилен</t>
  </si>
  <si>
    <t>4</t>
  </si>
  <si>
    <t>48х13мм вспененный полиэтилен</t>
  </si>
  <si>
    <t>5</t>
  </si>
  <si>
    <t>57х13мм вспененный полиэтилен</t>
  </si>
  <si>
    <t>6</t>
  </si>
  <si>
    <t>50х13мм вспененный полиэтилен</t>
  </si>
  <si>
    <t>7</t>
  </si>
  <si>
    <t>110х13мм вспененный полиэтилен</t>
  </si>
  <si>
    <t>8</t>
  </si>
  <si>
    <t>22х13мм вспененный полиэтилен</t>
  </si>
  <si>
    <t>9</t>
  </si>
  <si>
    <t>28х13мм вспененный полиэтилен</t>
  </si>
  <si>
    <t>10</t>
  </si>
  <si>
    <t>35х13мм вспененный полиэтилен</t>
  </si>
  <si>
    <t>42х13мм вспененный полиэтилен</t>
  </si>
  <si>
    <t>Монтаж автоматического воздухоотводчика</t>
  </si>
  <si>
    <t>Воздухоотводчик</t>
  </si>
  <si>
    <t>Valtec</t>
  </si>
  <si>
    <t>автоматический Ду-15 10bar</t>
  </si>
  <si>
    <t>Монтаж затвора</t>
  </si>
  <si>
    <t>Затвор поворотный дисковый</t>
  </si>
  <si>
    <t>REON</t>
  </si>
  <si>
    <t>межфланцевый Ду-80 Py-16bar ручной с контролем положения</t>
  </si>
  <si>
    <t>Монтаж клапана (фланцевые, резьбовые) до 32 мм</t>
  </si>
  <si>
    <t>Клапан балансировочный</t>
  </si>
  <si>
    <t>Weser</t>
  </si>
  <si>
    <t>ручной MVT-R Ду-25 Ру-16бар</t>
  </si>
  <si>
    <t>Клапан обратный</t>
  </si>
  <si>
    <t>муфтовый Ду-20 Ру-16бар</t>
  </si>
  <si>
    <t>Клапан регулирующий</t>
  </si>
  <si>
    <t>понижения давления резьбовой Ду-15Ру-10 бар</t>
  </si>
  <si>
    <t>Монтаж клапана (фланцевые, резьбовые) от 40 мм</t>
  </si>
  <si>
    <t>ручной MVT-R Ду-40 Ру-16бар</t>
  </si>
  <si>
    <t>ручной фланцевый Ду-65 Ру-16бар</t>
  </si>
  <si>
    <t>ручной фланцевый Ду-50 Ру-16бар</t>
  </si>
  <si>
    <t>Межфланцевый Ду-100 Ру-16бар</t>
  </si>
  <si>
    <t>Межфланцевый Ду-80 Ру-16бар</t>
  </si>
  <si>
    <t>Межфланцевый Ду-65 Ру-16бар</t>
  </si>
  <si>
    <t>Монтаж коллектора</t>
  </si>
  <si>
    <t>Коллектор (в сборе) распределительный</t>
  </si>
  <si>
    <t>Д-50 с 5-ю выходами (диаметр подключения Ду32)</t>
  </si>
  <si>
    <t>в комплекте с кранами, фильтами, редукторами давления.</t>
  </si>
  <si>
    <t>Д-40 с 1-м выходом (диаметр подключения Ду25)</t>
  </si>
  <si>
    <t>в комплекте с кранами, фильтрами, редукторами давления</t>
  </si>
  <si>
    <t>Д-50 с 2-мя выходами (диаметр подключения Ду32)</t>
  </si>
  <si>
    <t>Д-50 с 3-мя выходами (диаметр подключения Ду32)</t>
  </si>
  <si>
    <t>Д-50 с 4-мя выходами (диаметр подключения Ду32)</t>
  </si>
  <si>
    <t>Монтаж крана с электроприводом</t>
  </si>
  <si>
    <t>Кран шаровой</t>
  </si>
  <si>
    <t>Gidrolock</t>
  </si>
  <si>
    <t>муфтовый с электроприводом В/В Ду-15 полнопроходной</t>
  </si>
  <si>
    <t>Монтаж кранов (фланцевые, резьбовые) до 32 мм</t>
  </si>
  <si>
    <t>УВП</t>
  </si>
  <si>
    <t>в сумке</t>
  </si>
  <si>
    <t>Ду-15 полнопроходный с НГ</t>
  </si>
  <si>
    <t>Ду-20 полнопроходный с НГ</t>
  </si>
  <si>
    <t>Ду-25 полнопроходный с НГ</t>
  </si>
  <si>
    <t>Ду-32 полнопроходный с НГ</t>
  </si>
  <si>
    <t>муфтовый со штуцером Ду-20</t>
  </si>
  <si>
    <t>ВР-ВР Ду-15 полнопроходной</t>
  </si>
  <si>
    <t>ВР-ВР Ду-20 полнопроходной</t>
  </si>
  <si>
    <t>ВР-НР Ду-15 полнопроходной</t>
  </si>
  <si>
    <t>для УВП</t>
  </si>
  <si>
    <t>Кран трехходовой для манометра</t>
  </si>
  <si>
    <t>Ду-15 Ру-16 G1/2-М20х1,5 латунь</t>
  </si>
  <si>
    <t>Монтаж кранов (фланцевые, резьбовые) от 40 мм</t>
  </si>
  <si>
    <t>c НГ Ду-50 полнопроходной</t>
  </si>
  <si>
    <t>LD</t>
  </si>
  <si>
    <t>фланцевый Ду-100 PN1,6 с электроприводом</t>
  </si>
  <si>
    <t>межфланцевый СТРИЖ Ду-50 PN1,6</t>
  </si>
  <si>
    <t>межфланцевый СТРИЖ Ду-65 PN1,6</t>
  </si>
  <si>
    <t>фланцевый Ду-80</t>
  </si>
  <si>
    <t>фланцевый Ду-100</t>
  </si>
  <si>
    <t>Монтаж насосной установки повышения давления</t>
  </si>
  <si>
    <t>Насосная установка повышения давления</t>
  </si>
  <si>
    <t>WILO либо аналог</t>
  </si>
  <si>
    <t>16бар Q=15,9 м3/час Н=69 м</t>
  </si>
  <si>
    <t>COR-3 MVL 808/SKw-EB-R
или аналог. в комплекте с виброкомпенсаторами 4 шт</t>
  </si>
  <si>
    <t>Монтаж НСПС</t>
  </si>
  <si>
    <t>Переход</t>
  </si>
  <si>
    <t>сварной Д125/108 ПЭ / Сталь</t>
  </si>
  <si>
    <t>Монтаж счетчика</t>
  </si>
  <si>
    <t>Вставка ремонтная</t>
  </si>
  <si>
    <t>для счетчика Ду50 мм</t>
  </si>
  <si>
    <t>Счетчик воды</t>
  </si>
  <si>
    <t>Пульсар</t>
  </si>
  <si>
    <t>с импульсным выходом Ду-50 Qn- L-</t>
  </si>
  <si>
    <t>Счетчик с импульсным выходом и системой передачи показаний по RS-485 Ду 50
Qn=40 м3/ч , Qmin=0,45 м3/ч , IP68</t>
  </si>
  <si>
    <t>Монтаж трубы из сшитого полиэтилена</t>
  </si>
  <si>
    <t>Труба сшитый полиэтилен</t>
  </si>
  <si>
    <t>ONE PLUS</t>
  </si>
  <si>
    <t>DN-20х2,8 PN-10bar PEXа</t>
  </si>
  <si>
    <t>Монтаж фильтра</t>
  </si>
  <si>
    <t>Фильтр сетчатый</t>
  </si>
  <si>
    <t>муфтовый ВР-ВР Ду-15 латунь</t>
  </si>
  <si>
    <t>Прокладка трубы ППН</t>
  </si>
  <si>
    <t>Труба полипропиленовая</t>
  </si>
  <si>
    <t>PPH PN20 DN50х8,3 арм.стекловолокно</t>
  </si>
  <si>
    <t>PPH PN25 DN25х4,2 арм.стекловолокно</t>
  </si>
  <si>
    <t>PPH PN20 DN32х5,4 арм.стекловолокно</t>
  </si>
  <si>
    <t>PPH PN20 DN40х6,7 арм.стекловолокно</t>
  </si>
  <si>
    <t>PPH PN20 DN63х10,5 арм.стекловолокно</t>
  </si>
  <si>
    <t>PPH PN20 DN75х12,5 арм.стекловолокно</t>
  </si>
  <si>
    <t>Прокладка трубы ПЭ</t>
  </si>
  <si>
    <t>Труба полиэтиленовая (пог.м.)</t>
  </si>
  <si>
    <t>ПЭ-100 SDR13,6 DN125х8,1</t>
  </si>
  <si>
    <t>Прокладка трубы стальной до 40 мм</t>
  </si>
  <si>
    <t>Труба стальная</t>
  </si>
  <si>
    <t>12Х18Н10Т сварка D-26x2.5</t>
  </si>
  <si>
    <t>12Х18Н10Т сварка D-48x3.5</t>
  </si>
  <si>
    <t>12Х18Н10Т сварка D-22x3</t>
  </si>
  <si>
    <t>Прокладка трубы стальной от 57 мм</t>
  </si>
  <si>
    <t>12Х18Н10Т сварка D-108x4.0</t>
  </si>
  <si>
    <t>12Х18Н10Т сварка D-57x3.5</t>
  </si>
  <si>
    <t>12Х18Н10Т сварка D-89x4.5</t>
  </si>
  <si>
    <t>12Х18Н10Т сварка D-76x3.5</t>
  </si>
  <si>
    <t>Труба электросварная (пог.м.)</t>
  </si>
  <si>
    <t>стальная D-89х4,0</t>
  </si>
  <si>
    <t>стальная D-108х4,0</t>
  </si>
  <si>
    <t>%</t>
  </si>
  <si>
    <t>Закупка подрядчик</t>
  </si>
  <si>
    <t>11.02.02.27</t>
  </si>
  <si>
    <t>Устройство водоснабжения в КУИ</t>
  </si>
  <si>
    <t>Монтажные работы</t>
  </si>
  <si>
    <t>компл.</t>
  </si>
  <si>
    <t>11.02.03</t>
  </si>
  <si>
    <t>ПНР</t>
  </si>
  <si>
    <t>11.02.03.00</t>
  </si>
  <si>
    <t>Пусконаладочные работы системы водоснабжения: регулировка системы, манометрические испытания</t>
  </si>
  <si>
    <t>11.02.04</t>
  </si>
  <si>
    <t>Устройство стояков для горизонтальной системы водоснабжения</t>
  </si>
  <si>
    <t>11.02.04.01</t>
  </si>
  <si>
    <t>Устройство водоснабжения В-1</t>
  </si>
  <si>
    <t>Бурение отверстий до 80мм</t>
  </si>
  <si>
    <t>Монтаж защитного кожуха</t>
  </si>
  <si>
    <t>м2</t>
  </si>
  <si>
    <t>Окожушка</t>
  </si>
  <si>
    <t>оцинк. сталь 0,5мм</t>
  </si>
  <si>
    <t>гильзы</t>
  </si>
  <si>
    <t>Монтаж муфты противопожарной</t>
  </si>
  <si>
    <t>Муфта противопожарная</t>
  </si>
  <si>
    <t>ПМ-50</t>
  </si>
  <si>
    <t>Присоединители для счетчика</t>
  </si>
  <si>
    <t>с обратным клапаном</t>
  </si>
  <si>
    <t>для счетчика Ду15 мм</t>
  </si>
  <si>
    <t>с импульсным выходом Ду-15 Qn-1,5м3/час L-110мм</t>
  </si>
  <si>
    <t>Монтаж трубной изоляции</t>
  </si>
  <si>
    <t>Пробивка отверстий</t>
  </si>
  <si>
    <t>стальная D-76х3,5</t>
  </si>
  <si>
    <t>11.02.04.02</t>
  </si>
  <si>
    <t>Устройство водоснабжения Т-3</t>
  </si>
  <si>
    <t>11.02.04.03</t>
  </si>
  <si>
    <t>Устройство водоснабжения Т-4</t>
  </si>
  <si>
    <t>32х13мм вспененный полиэтилен</t>
  </si>
  <si>
    <t>ПМ32</t>
  </si>
  <si>
    <t>11.02.99</t>
  </si>
  <si>
    <t>Прочие работы</t>
  </si>
  <si>
    <t>11.02.99.00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</si>
  <si>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</si>
  <si>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</si>
  <si>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</si>
  <si>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</si>
  <si>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</si>
  <si>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</si>
  <si>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</si>
  <si>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</si>
  <si>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</si>
  <si>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</si>
  <si>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</si>
  <si>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</si>
  <si>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</si>
  <si>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</si>
  <si>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</si>
  <si>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</si>
  <si>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ГП-72.107.01.11.02 Подвал_Устройство системы водоснабжения №1</t>
  </si>
  <si>
    <t>7518ebe8-ba01-11f0-8b59-a036bcbd010b</t>
  </si>
  <si>
    <t>ГП-72.107.01.11.02 Секция 1_Устройство системы водоснабжения №2</t>
  </si>
  <si>
    <t>39c021e3-c0f5-11f0-8b59-a036bcbd010b</t>
  </si>
  <si>
    <t>ГП-72.107.02.11.02 Секция 2_Устройство системы водоснабжения №1</t>
  </si>
  <si>
    <t>f6da4107-c106-11f0-8b59-a036bcbd010b</t>
  </si>
  <si>
    <t>Итог</t>
  </si>
  <si>
    <t>Фитинги для ПЭ (сшитый) трубы</t>
  </si>
  <si>
    <t>Фитинги для ППН трубы</t>
  </si>
  <si>
    <t>Фитинги для ПЭ трубы</t>
  </si>
  <si>
    <t>Фитинги для стальной трубы</t>
  </si>
  <si>
    <t>Прочие материалы</t>
  </si>
  <si>
    <t>ИТОГО по сметному расчету, в тч НДС:</t>
  </si>
  <si>
    <t>в тч НДС ____%</t>
  </si>
  <si>
    <t xml:space="preserve"> ответные фланцы+ прокладки</t>
  </si>
  <si>
    <t>Прочие работы (навигация)</t>
  </si>
  <si>
    <t>Проверка:</t>
  </si>
  <si>
    <t>указать %</t>
  </si>
  <si>
    <t>Примечание:</t>
  </si>
  <si>
    <t>-</t>
  </si>
  <si>
    <t>В стоимость пусконоладочных работ входит: ПНР Насосной станции ХП, Атоматизация (узлов учета воды, повысительной НУ)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</si>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</sst>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#,##0.00\ _₽"/>
  </numFmts>
  <fonts count="18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C00000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2" fillId="0" borderId="0"/>
    <xf numFmtId="0" fontId="1" fillId="0" borderId="0"/>
    <xf numFmtId="0" fontId="13" fillId="0" borderId="0"/>
    <xf numFmtId="0" fontId="1" fillId="0" borderId="0"/>
  </cellStyleXfs>
  <cellXfs count="133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left" wrapText="1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1" fontId="0" fillId="9" borderId="5" xfId="0" applyNumberFormat="1" applyFill="1" applyBorder="1" applyAlignment="1">
      <alignment horizontal="right" vertical="center"/>
    </xf>
    <xf numFmtId="1" fontId="7" fillId="9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4" fontId="0" fillId="0" borderId="0" xfId="0" applyNumberFormat="1" applyAlignment="1">
      <alignment horizontal="left"/>
    </xf>
    <xf numFmtId="4" fontId="5" fillId="0" borderId="5" xfId="0" applyNumberFormat="1" applyFont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7" fillId="4" borderId="5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 wrapText="1"/>
    </xf>
    <xf numFmtId="0" fontId="7" fillId="4" borderId="5" xfId="0" applyFont="1" applyFill="1" applyBorder="1" applyAlignment="1">
      <alignment horizontal="center" vertical="center"/>
    </xf>
    <xf numFmtId="4" fontId="7" fillId="4" borderId="5" xfId="0" applyNumberFormat="1" applyFont="1" applyFill="1" applyBorder="1" applyAlignment="1">
      <alignment horizontal="center" vertical="center"/>
    </xf>
    <xf numFmtId="4" fontId="8" fillId="4" borderId="0" xfId="0" applyNumberFormat="1" applyFont="1" applyFill="1" applyAlignment="1">
      <alignment horizontal="right" vertical="center"/>
    </xf>
    <xf numFmtId="0" fontId="7" fillId="0" borderId="5" xfId="0" applyFont="1" applyBorder="1" applyAlignment="1">
      <alignment horizontal="center"/>
    </xf>
    <xf numFmtId="0" fontId="7" fillId="5" borderId="5" xfId="0" applyFont="1" applyFill="1" applyBorder="1" applyAlignment="1">
      <alignment horizontal="right" vertical="center"/>
    </xf>
    <xf numFmtId="1" fontId="7" fillId="5" borderId="7" xfId="0" applyNumberFormat="1" applyFont="1" applyFill="1" applyBorder="1" applyAlignment="1">
      <alignment horizontal="right" vertical="center"/>
    </xf>
    <xf numFmtId="4" fontId="7" fillId="5" borderId="7" xfId="0" applyNumberFormat="1" applyFont="1" applyFill="1" applyBorder="1" applyAlignment="1">
      <alignment horizontal="right" vertical="center"/>
    </xf>
    <xf numFmtId="4" fontId="7" fillId="5" borderId="5" xfId="0" applyNumberFormat="1" applyFont="1" applyFill="1" applyBorder="1" applyAlignment="1">
      <alignment horizontal="right" vertical="center"/>
    </xf>
    <xf numFmtId="0" fontId="7" fillId="5" borderId="5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7" fillId="6" borderId="7" xfId="0" applyFont="1" applyFill="1" applyBorder="1" applyAlignment="1">
      <alignment horizontal="center"/>
    </xf>
    <xf numFmtId="1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1" fontId="9" fillId="0" borderId="0" xfId="1" applyNumberFormat="1" applyFont="1" applyAlignment="1">
      <alignment horizontal="center" vertical="center"/>
    </xf>
    <xf numFmtId="0" fontId="13" fillId="0" borderId="0" xfId="3" applyAlignment="1">
      <alignment vertical="center"/>
    </xf>
    <xf numFmtId="0" fontId="14" fillId="0" borderId="0" xfId="3" applyFont="1" applyAlignment="1">
      <alignment vertical="center"/>
    </xf>
    <xf numFmtId="4" fontId="14" fillId="0" borderId="0" xfId="3" applyNumberFormat="1" applyFont="1" applyAlignment="1">
      <alignment vertical="center"/>
    </xf>
    <xf numFmtId="0" fontId="15" fillId="0" borderId="0" xfId="1" applyFont="1" applyAlignment="1">
      <alignment horizontal="center" vertical="center"/>
    </xf>
    <xf numFmtId="0" fontId="9" fillId="0" borderId="0" xfId="3" applyFont="1"/>
    <xf numFmtId="0" fontId="15" fillId="0" borderId="0" xfId="3" applyFont="1"/>
    <xf numFmtId="4" fontId="15" fillId="0" borderId="0" xfId="3" applyNumberFormat="1" applyFont="1"/>
    <xf numFmtId="49" fontId="9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16" fillId="0" borderId="0" xfId="0" applyFont="1" applyAlignment="1">
      <alignment horizontal="left" vertical="center" wrapText="1"/>
    </xf>
    <xf numFmtId="0" fontId="17" fillId="8" borderId="0" xfId="0" applyFont="1" applyFill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15" fillId="0" borderId="0" xfId="4" applyFont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67BA4EAE-9448-44A3-ABFD-B143AAD9B299}"/>
    <cellStyle name="Обычный 3 2 2 4" xfId="2" xr:uid="{EB3023F8-74FD-4561-A817-8CC420BFCEEF}"/>
    <cellStyle name="Обычный 3 2 2 4 2" xfId="4" xr:uid="{13B85206-8640-4D9D-8E37-0F4510BB6FD1}"/>
    <cellStyle name="Обычный 5" xfId="1" xr:uid="{C9481109-5E26-457D-96D4-3344F0C44F40}"/>
  </cellStyles>
  <dxfs count="41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0B1109-2B19-4E5D-BA05-5D78693BFB91}" name="Р" displayName="Р" ref="A3:F31" totalsRowCount="1" headerRowDxfId="40" headerRowBorderDxfId="39" tableBorderDxfId="38" totalsRowBorderDxfId="37">
  <autoFilter ref="A3:F30" xr:uid="{F60B1109-2B19-4E5D-BA05-5D78693BFB91}"/>
  <tableColumns count="6">
    <tableColumn id="1" xr3:uid="{B87DD46D-25FB-460B-B9BC-9E76B8D608D2}" name="Наименование" totalsRowLabel="Итог" dataDxfId="36" totalsRowDxfId="35"/>
    <tableColumn id="2" xr3:uid="{0BA24648-6766-44C0-B294-73CD38BC2C02}" name="Ед. изм." dataDxfId="34" totalsRowDxfId="33"/>
    <tableColumn id="3" xr3:uid="{06FDF6AA-A0F1-4FB5-AE27-A38A80A9F739}" name="Количество" dataDxfId="32" totalsRowDxfId="31"/>
    <tableColumn id="4" xr3:uid="{92269921-AA7B-4B86-91B2-B945AFF72C69}" name="Цена за ед., руб" dataDxfId="30" totalsRowDxfId="29"/>
    <tableColumn id="5" xr3:uid="{BDC2F313-229E-478D-BA5E-CE7995577437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4FAE831C-7D2B-4808-B2EC-6FF04E6557C7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A79761-360B-4F25-9252-54315CF80387}" name="М" displayName="М" ref="A3:I94" totalsRowCount="1" headerRowDxfId="24" headerRowBorderDxfId="23" tableBorderDxfId="22" totalsRowBorderDxfId="21">
  <autoFilter ref="A3:I93" xr:uid="{BBA79761-360B-4F25-9252-54315CF80387}"/>
  <tableColumns count="9">
    <tableColumn id="1" xr3:uid="{303FABF7-7C5A-4E78-8B4D-A88B3AD5F73A}" name="Наим." totalsRowLabel="Итог" dataDxfId="20" totalsRowDxfId="8"/>
    <tableColumn id="2" xr3:uid="{5EE5B738-7D7A-4045-8CA4-57173CA8AB0A}" name="Артикул, марка, произв." dataDxfId="19" totalsRowDxfId="7"/>
    <tableColumn id="3" xr3:uid="{41F6C8EB-71CA-4110-A7CA-F6FDAB84DB64}" name="Хар-ка" dataDxfId="18" totalsRowDxfId="6"/>
    <tableColumn id="4" xr3:uid="{55007450-7E39-4DCF-9E86-02FEA82D714A}" name="Ед. изм." dataDxfId="17" totalsRowDxfId="5"/>
    <tableColumn id="5" xr3:uid="{599F00D1-8666-4366-A6DB-010F26F24A73}" name="Количество" dataDxfId="16" totalsRowDxfId="4"/>
    <tableColumn id="6" xr3:uid="{41179AD5-5457-4992-9226-66CC0F57D3CB}" name="Цена за ед., руб" dataDxfId="15" totalsRowDxfId="3"/>
    <tableColumn id="7" xr3:uid="{6DE41DAE-003D-48A9-85A3-DD8B998CFA10}" name="Сумма, руб" totalsRowFunction="sum" dataDxfId="14" totalsRowDxfId="2">
      <calculatedColumnFormula>ROUND(М[[#This Row],[Количество]]*М[[#This Row],[Цена за ед., руб]],2)</calculatedColumnFormula>
    </tableColumn>
    <tableColumn id="8" xr3:uid="{661821E4-E5C3-4999-A084-334BF8DF6625}" name="Прим." dataDxfId="13" totalsRowDxfId="1"/>
    <tableColumn id="9" xr3:uid="{8E2DF368-1122-4170-AE04-8FAB1E206C45}" name="Форма закупа" dataDxfId="12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EM288"/>
  <sheetViews>
    <sheetView tabSelected="1" workbookViewId="0">
      <pane ySplit="7" topLeftCell="A248" activePane="bottomLeft" state="frozen"/>
      <selection pane="bottomLeft" activeCell="F257" sqref="F257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9" width="10.5" style="1" customWidth="1"/>
    <col min="10" max="10" width="14.6640625" style="1" customWidth="1"/>
    <col min="11" max="11" width="16" style="1" customWidth="1"/>
    <col min="12" max="12" width="17" style="1" customWidth="1"/>
    <col min="13" max="13" width="35" style="1" customWidth="1"/>
    <col min="14" max="14" width="23.33203125" style="1" customWidth="1"/>
  </cols>
  <sheetData>
    <row r="2" spans="1:14" x14ac:dyDescent="0.2">
      <c r="B2" s="108" t="s">
        <v>0</v>
      </c>
      <c r="C2" s="108"/>
      <c r="D2" s="108"/>
      <c r="E2" s="108"/>
      <c r="F2" s="108"/>
      <c r="G2" s="108"/>
      <c r="H2" s="108"/>
      <c r="I2" s="108"/>
      <c r="J2" s="108"/>
    </row>
    <row r="3" spans="1:14" x14ac:dyDescent="0.2">
      <c r="B3" s="109" t="s">
        <v>1</v>
      </c>
      <c r="C3" s="109"/>
      <c r="D3" s="109"/>
      <c r="E3" s="109"/>
      <c r="F3" s="109"/>
      <c r="G3" s="109"/>
      <c r="H3" s="109"/>
      <c r="I3" s="109"/>
      <c r="J3" s="109"/>
    </row>
    <row r="4" spans="1:14" x14ac:dyDescent="0.2">
      <c r="B4" s="109" t="s">
        <v>2</v>
      </c>
      <c r="C4" s="109"/>
      <c r="D4" s="109"/>
      <c r="E4" s="109"/>
      <c r="F4" s="109"/>
      <c r="G4" s="109"/>
      <c r="H4" s="109"/>
      <c r="I4" s="109"/>
      <c r="J4" s="109"/>
    </row>
    <row r="6" spans="1:14" x14ac:dyDescent="0.2">
      <c r="A6" s="112" t="s">
        <v>3</v>
      </c>
      <c r="B6" s="112" t="s">
        <v>4</v>
      </c>
      <c r="C6" s="114" t="s">
        <v>5</v>
      </c>
      <c r="D6" s="116" t="s">
        <v>6</v>
      </c>
      <c r="E6" s="112" t="s">
        <v>7</v>
      </c>
      <c r="F6" s="106" t="s">
        <v>8</v>
      </c>
      <c r="G6" s="110" t="s">
        <v>9</v>
      </c>
      <c r="H6" s="110" t="s">
        <v>10</v>
      </c>
      <c r="I6" s="110" t="s">
        <v>11</v>
      </c>
      <c r="J6" s="112" t="s">
        <v>12</v>
      </c>
      <c r="K6" s="106" t="s">
        <v>13</v>
      </c>
      <c r="L6" s="106" t="s">
        <v>14</v>
      </c>
      <c r="M6" s="112" t="s">
        <v>15</v>
      </c>
      <c r="N6" s="106" t="s">
        <v>16</v>
      </c>
    </row>
    <row r="7" spans="1:14" x14ac:dyDescent="0.2">
      <c r="A7" s="113"/>
      <c r="B7" s="113"/>
      <c r="C7" s="115"/>
      <c r="D7" s="117"/>
      <c r="E7" s="113"/>
      <c r="F7" s="107"/>
      <c r="G7" s="111"/>
      <c r="H7" s="111"/>
      <c r="I7" s="111"/>
      <c r="J7" s="113"/>
      <c r="K7" s="107"/>
      <c r="L7" s="107"/>
      <c r="M7" s="113"/>
      <c r="N7" s="107"/>
    </row>
    <row r="8" spans="1:14" x14ac:dyDescent="0.2">
      <c r="A8" s="3" t="s">
        <v>17</v>
      </c>
      <c r="B8" s="4" t="s">
        <v>18</v>
      </c>
      <c r="C8" s="5"/>
      <c r="D8" s="5"/>
      <c r="E8" s="6"/>
      <c r="F8" s="7"/>
      <c r="G8" s="7"/>
      <c r="H8" s="7"/>
      <c r="I8" s="7"/>
      <c r="J8" s="7"/>
      <c r="K8" s="53"/>
      <c r="L8" s="53"/>
      <c r="M8" s="5"/>
      <c r="N8" s="5"/>
    </row>
    <row r="9" spans="1:14" outlineLevel="1" x14ac:dyDescent="0.2">
      <c r="A9" s="8" t="s">
        <v>19</v>
      </c>
      <c r="B9" s="9" t="s">
        <v>20</v>
      </c>
      <c r="C9" s="10"/>
      <c r="D9" s="10"/>
      <c r="E9" s="11"/>
      <c r="F9" s="12"/>
      <c r="G9" s="12"/>
      <c r="H9" s="12"/>
      <c r="I9" s="12"/>
      <c r="J9" s="12"/>
      <c r="K9" s="54"/>
      <c r="L9" s="54">
        <f ca="1">SUM($L$256,$L$147,$L$270,$L$10)</f>
        <v>0</v>
      </c>
      <c r="M9" s="10"/>
      <c r="N9" s="10"/>
    </row>
    <row r="10" spans="1:14" ht="22.5" outlineLevel="2" x14ac:dyDescent="0.2">
      <c r="A10" s="13" t="s">
        <v>21</v>
      </c>
      <c r="B10" s="14" t="s">
        <v>22</v>
      </c>
      <c r="C10" s="15"/>
      <c r="D10" s="15"/>
      <c r="E10" s="16"/>
      <c r="F10" s="17"/>
      <c r="G10" s="18"/>
      <c r="H10" s="18"/>
      <c r="I10" s="18"/>
      <c r="J10" s="18"/>
      <c r="K10" s="55"/>
      <c r="L10" s="55">
        <f>SUM($L$139,$L$11)</f>
        <v>0</v>
      </c>
      <c r="M10" s="19"/>
      <c r="N10" s="19"/>
    </row>
    <row r="11" spans="1:14" ht="22.5" outlineLevel="3" x14ac:dyDescent="0.2">
      <c r="A11" s="13" t="s">
        <v>23</v>
      </c>
      <c r="B11" s="14" t="s">
        <v>22</v>
      </c>
      <c r="C11" s="15"/>
      <c r="D11" s="15"/>
      <c r="E11" s="16"/>
      <c r="F11" s="17"/>
      <c r="G11" s="18"/>
      <c r="H11" s="18"/>
      <c r="I11" s="18"/>
      <c r="J11" s="18"/>
      <c r="K11" s="55"/>
      <c r="L11" s="55">
        <f>SUM($L$132,$L$130,$L$126,$L$124,$L$122,$L$120,$L$113,$L$111,$L$108,$L$106,$L$104,$L$102,$L$98,$L$96,$L$94,$L$92,$L$90,$L$88,$L$81,$L$79,$L$67,$L$65,$L$63,$L$61,$L$53,$L$51,$L$44,$L$42,$L$38,$L$36,$L$34,$L$32,$L$30,$L$28,$L$16,$L$14,$L$12)</f>
        <v>0</v>
      </c>
      <c r="M11" s="19"/>
      <c r="N11" s="19"/>
    </row>
    <row r="12" spans="1:14" outlineLevel="4" x14ac:dyDescent="0.2">
      <c r="A12" s="20"/>
      <c r="B12" s="14" t="s">
        <v>24</v>
      </c>
      <c r="C12" s="21"/>
      <c r="D12" s="21"/>
      <c r="E12" s="21"/>
      <c r="F12" s="21"/>
      <c r="G12" s="21"/>
      <c r="H12" s="21"/>
      <c r="I12" s="21"/>
      <c r="J12" s="21"/>
      <c r="K12" s="56"/>
      <c r="L12" s="57">
        <f>SUM($L$13)</f>
        <v>0</v>
      </c>
      <c r="M12" s="18"/>
      <c r="N12" s="22"/>
    </row>
    <row r="13" spans="1:14" outlineLevel="4" x14ac:dyDescent="0.2">
      <c r="A13" s="23"/>
      <c r="B13" s="24" t="s">
        <v>25</v>
      </c>
      <c r="C13" s="25"/>
      <c r="D13" s="25"/>
      <c r="E13" s="26" t="s">
        <v>26</v>
      </c>
      <c r="F13" s="27"/>
      <c r="G13" s="28">
        <v>24</v>
      </c>
      <c r="H13" s="27"/>
      <c r="I13" s="27"/>
      <c r="J13" s="28">
        <f>SUM($G$13:$I$13)</f>
        <v>24</v>
      </c>
      <c r="K13" s="58">
        <f t="array" ref="K13">INDEX(Р[Цена за ед., руб],MATCH(1,IF(($B13=Р[Наименование])*($M13=Р[Примечание]),{1},($B13=Р[Наименование])*($M13=Р[Примечание])),0))</f>
        <v>0</v>
      </c>
      <c r="L13" s="58">
        <f>ROUND($J$13*$K$13,2)</f>
        <v>0</v>
      </c>
      <c r="M13" s="25"/>
      <c r="N13" s="25"/>
    </row>
    <row r="14" spans="1:14" outlineLevel="4" x14ac:dyDescent="0.2">
      <c r="A14" s="20"/>
      <c r="B14" s="14" t="s">
        <v>24</v>
      </c>
      <c r="C14" s="21"/>
      <c r="D14" s="21"/>
      <c r="E14" s="21"/>
      <c r="F14" s="21"/>
      <c r="G14" s="21"/>
      <c r="H14" s="21"/>
      <c r="I14" s="21"/>
      <c r="J14" s="21"/>
      <c r="K14" s="56"/>
      <c r="L14" s="57">
        <f>SUM($L$15)</f>
        <v>0</v>
      </c>
      <c r="M14" s="18"/>
      <c r="N14" s="22"/>
    </row>
    <row r="15" spans="1:14" outlineLevel="4" x14ac:dyDescent="0.2">
      <c r="A15" s="23"/>
      <c r="B15" s="24" t="s">
        <v>27</v>
      </c>
      <c r="C15" s="25"/>
      <c r="D15" s="25"/>
      <c r="E15" s="26" t="s">
        <v>28</v>
      </c>
      <c r="F15" s="27"/>
      <c r="G15" s="28">
        <v>798</v>
      </c>
      <c r="H15" s="29">
        <v>2616</v>
      </c>
      <c r="I15" s="29">
        <v>5944</v>
      </c>
      <c r="J15" s="29">
        <f>SUM($G$15:$I$15)</f>
        <v>9358</v>
      </c>
      <c r="K15" s="58">
        <f t="array" ref="K15">INDEX(Р[Цена за ед., руб],MATCH(1,IF(($B15=Р[Наименование])*($M15=Р[Примечание]),{1},($B15=Р[Наименование])*($M15=Р[Примечание])),0))</f>
        <v>0</v>
      </c>
      <c r="L15" s="58">
        <f>ROUND($J$15*$K$15,2)</f>
        <v>0</v>
      </c>
      <c r="M15" s="25"/>
      <c r="N15" s="25"/>
    </row>
    <row r="16" spans="1:14" outlineLevel="4" x14ac:dyDescent="0.2">
      <c r="A16" s="20"/>
      <c r="B16" s="14" t="s">
        <v>29</v>
      </c>
      <c r="C16" s="21"/>
      <c r="D16" s="21"/>
      <c r="E16" s="21"/>
      <c r="F16" s="21"/>
      <c r="G16" s="21"/>
      <c r="H16" s="21"/>
      <c r="I16" s="21"/>
      <c r="J16" s="21"/>
      <c r="K16" s="56"/>
      <c r="L16" s="57">
        <f>SUM($L$17:$L$27)</f>
        <v>0</v>
      </c>
      <c r="M16" s="18"/>
      <c r="N16" s="22"/>
    </row>
    <row r="17" spans="1:14" ht="33.75" outlineLevel="4" x14ac:dyDescent="0.2">
      <c r="A17" s="23" t="s">
        <v>30</v>
      </c>
      <c r="B17" s="24" t="s">
        <v>31</v>
      </c>
      <c r="C17" s="25" t="s">
        <v>32</v>
      </c>
      <c r="D17" s="25" t="s">
        <v>33</v>
      </c>
      <c r="E17" s="26" t="s">
        <v>34</v>
      </c>
      <c r="F17" s="27"/>
      <c r="G17" s="28">
        <v>136</v>
      </c>
      <c r="H17" s="27"/>
      <c r="I17" s="27"/>
      <c r="J17" s="28">
        <f>SUM($G$17:$I$17)</f>
        <v>136</v>
      </c>
      <c r="K17" s="58">
        <f t="array" ref="K17">INDEX(М[Цена за ед., руб],MATCH(1,IF(($B17=М[Наим.])*($C17=М[Артикул, марка, произв.])*($D17=М[Хар-ка])*($M17=М[Прим.]),{1},($B17=М[Наим.])*($C17=М[Артикул, марка, произв.])*($D17=М[Хар-ка])*($M17=М[Прим.])),0))</f>
        <v>0</v>
      </c>
      <c r="L17" s="58">
        <f>ROUND($J$17*$K$17,2)</f>
        <v>0</v>
      </c>
      <c r="M17" s="25"/>
      <c r="N17" s="25">
        <f t="array" ref="N17">INDEX(М[Форма закупа],MATCH(1,IF(($B17=М[Наим.])*($C17=М[Артикул, марка, произв.])*($D17=М[Хар-ка])*($M17=М[Прим.]),{1},($B17=М[Наим.])*($C17=М[Артикул, марка, произв.])*($D17=М[Хар-ка])*($M17=М[Прим.])),0))</f>
        <v>0</v>
      </c>
    </row>
    <row r="18" spans="1:14" ht="33.75" outlineLevel="4" x14ac:dyDescent="0.2">
      <c r="A18" s="23" t="s">
        <v>35</v>
      </c>
      <c r="B18" s="24" t="s">
        <v>31</v>
      </c>
      <c r="C18" s="25" t="s">
        <v>32</v>
      </c>
      <c r="D18" s="25" t="s">
        <v>36</v>
      </c>
      <c r="E18" s="26" t="s">
        <v>34</v>
      </c>
      <c r="F18" s="27"/>
      <c r="G18" s="28">
        <v>117</v>
      </c>
      <c r="H18" s="27"/>
      <c r="I18" s="27"/>
      <c r="J18" s="28">
        <f>SUM($G$18:$I$18)</f>
        <v>117</v>
      </c>
      <c r="K18" s="58">
        <f t="array" ref="K18">INDEX(М[Цена за ед., руб],MATCH(1,IF(($B18=М[Наим.])*($C18=М[Артикул, марка, произв.])*($D18=М[Хар-ка])*($M18=М[Прим.]),{1},($B18=М[Наим.])*($C18=М[Артикул, марка, произв.])*($D18=М[Хар-ка])*($M18=М[Прим.])),0))</f>
        <v>0</v>
      </c>
      <c r="L18" s="58">
        <f>ROUND($J$18*$K$18,2)</f>
        <v>0</v>
      </c>
      <c r="M18" s="25"/>
      <c r="N18" s="25">
        <f t="array" ref="N18">INDEX(М[Форма закупа],MATCH(1,IF(($B18=М[Наим.])*($C18=М[Артикул, марка, произв.])*($D18=М[Хар-ка])*($M18=М[Прим.]),{1},($B18=М[Наим.])*($C18=М[Артикул, марка, произв.])*($D18=М[Хар-ка])*($M18=М[Прим.])),0))</f>
        <v>0</v>
      </c>
    </row>
    <row r="19" spans="1:14" ht="33.75" outlineLevel="4" x14ac:dyDescent="0.2">
      <c r="A19" s="23" t="s">
        <v>37</v>
      </c>
      <c r="B19" s="24" t="s">
        <v>31</v>
      </c>
      <c r="C19" s="25" t="s">
        <v>32</v>
      </c>
      <c r="D19" s="25" t="s">
        <v>38</v>
      </c>
      <c r="E19" s="26" t="s">
        <v>34</v>
      </c>
      <c r="F19" s="27"/>
      <c r="G19" s="28">
        <v>20</v>
      </c>
      <c r="H19" s="27"/>
      <c r="I19" s="27"/>
      <c r="J19" s="28">
        <f>SUM($G$19:$I$19)</f>
        <v>20</v>
      </c>
      <c r="K19" s="58">
        <f t="array" ref="K19">INDEX(М[Цена за ед., руб],MATCH(1,IF(($B19=М[Наим.])*($C19=М[Артикул, марка, произв.])*($D19=М[Хар-ка])*($M19=М[Прим.]),{1},($B19=М[Наим.])*($C19=М[Артикул, марка, произв.])*($D19=М[Хар-ка])*($M19=М[Прим.])),0))</f>
        <v>0</v>
      </c>
      <c r="L19" s="58">
        <f>ROUND($J$19*$K$19,2)</f>
        <v>0</v>
      </c>
      <c r="M19" s="25"/>
      <c r="N19" s="25">
        <f t="array" ref="N19">INDEX(М[Форма закупа],MATCH(1,IF(($B19=М[Наим.])*($C19=М[Артикул, марка, произв.])*($D19=М[Хар-ка])*($M19=М[Прим.]),{1},($B19=М[Наим.])*($C19=М[Артикул, марка, произв.])*($D19=М[Хар-ка])*($M19=М[Прим.])),0))</f>
        <v>0</v>
      </c>
    </row>
    <row r="20" spans="1:14" ht="33.75" outlineLevel="4" x14ac:dyDescent="0.2">
      <c r="A20" s="23" t="s">
        <v>39</v>
      </c>
      <c r="B20" s="24" t="s">
        <v>31</v>
      </c>
      <c r="C20" s="25" t="s">
        <v>32</v>
      </c>
      <c r="D20" s="25" t="s">
        <v>40</v>
      </c>
      <c r="E20" s="26" t="s">
        <v>34</v>
      </c>
      <c r="F20" s="27"/>
      <c r="G20" s="28">
        <v>30</v>
      </c>
      <c r="H20" s="27"/>
      <c r="I20" s="27"/>
      <c r="J20" s="28">
        <f>SUM($G$20:$I$20)</f>
        <v>30</v>
      </c>
      <c r="K20" s="58">
        <f t="array" ref="K20">INDEX(М[Цена за ед., руб],MATCH(1,IF(($B20=М[Наим.])*($C20=М[Артикул, марка, произв.])*($D20=М[Хар-ка])*($M20=М[Прим.]),{1},($B20=М[Наим.])*($C20=М[Артикул, марка, произв.])*($D20=М[Хар-ка])*($M20=М[Прим.])),0))</f>
        <v>0</v>
      </c>
      <c r="L20" s="58">
        <f>ROUND($J$20*$K$20,2)</f>
        <v>0</v>
      </c>
      <c r="M20" s="25"/>
      <c r="N20" s="25">
        <f t="array" ref="N20">INDEX(М[Форма закупа],MATCH(1,IF(($B20=М[Наим.])*($C20=М[Артикул, марка, произв.])*($D20=М[Хар-ка])*($M20=М[Прим.]),{1},($B20=М[Наим.])*($C20=М[Артикул, марка, произв.])*($D20=М[Хар-ка])*($M20=М[Прим.])),0))</f>
        <v>0</v>
      </c>
    </row>
    <row r="21" spans="1:14" ht="33.75" outlineLevel="4" x14ac:dyDescent="0.2">
      <c r="A21" s="23" t="s">
        <v>41</v>
      </c>
      <c r="B21" s="24" t="s">
        <v>31</v>
      </c>
      <c r="C21" s="25" t="s">
        <v>32</v>
      </c>
      <c r="D21" s="25" t="s">
        <v>42</v>
      </c>
      <c r="E21" s="26" t="s">
        <v>34</v>
      </c>
      <c r="F21" s="27"/>
      <c r="G21" s="28">
        <v>1</v>
      </c>
      <c r="H21" s="27"/>
      <c r="I21" s="27"/>
      <c r="J21" s="28">
        <f>SUM($G$21:$I$21)</f>
        <v>1</v>
      </c>
      <c r="K21" s="58">
        <f t="array" ref="K21">INDEX(М[Цена за ед., руб],MATCH(1,IF(($B21=М[Наим.])*($C21=М[Артикул, марка, произв.])*($D21=М[Хар-ка])*($M21=М[Прим.]),{1},($B21=М[Наим.])*($C21=М[Артикул, марка, произв.])*($D21=М[Хар-ка])*($M21=М[Прим.])),0))</f>
        <v>0</v>
      </c>
      <c r="L21" s="58">
        <f>ROUND($J$21*$K$21,2)</f>
        <v>0</v>
      </c>
      <c r="M21" s="25"/>
      <c r="N21" s="25">
        <f t="array" ref="N21">INDEX(М[Форма закупа],MATCH(1,IF(($B21=М[Наим.])*($C21=М[Артикул, марка, произв.])*($D21=М[Хар-ка])*($M21=М[Прим.]),{1},($B21=М[Наим.])*($C21=М[Артикул, марка, произв.])*($D21=М[Хар-ка])*($M21=М[Прим.])),0))</f>
        <v>0</v>
      </c>
    </row>
    <row r="22" spans="1:14" ht="33.75" outlineLevel="4" x14ac:dyDescent="0.2">
      <c r="A22" s="23" t="s">
        <v>43</v>
      </c>
      <c r="B22" s="24" t="s">
        <v>31</v>
      </c>
      <c r="C22" s="25" t="s">
        <v>32</v>
      </c>
      <c r="D22" s="25" t="s">
        <v>44</v>
      </c>
      <c r="E22" s="26" t="s">
        <v>34</v>
      </c>
      <c r="F22" s="27"/>
      <c r="G22" s="28">
        <v>41</v>
      </c>
      <c r="H22" s="27"/>
      <c r="I22" s="27"/>
      <c r="J22" s="28">
        <f>SUM($G$22:$I$22)</f>
        <v>41</v>
      </c>
      <c r="K22" s="58">
        <f t="array" ref="K22">INDEX(М[Цена за ед., руб],MATCH(1,IF(($B22=М[Наим.])*($C22=М[Артикул, марка, произв.])*($D22=М[Хар-ка])*($M22=М[Прим.]),{1},($B22=М[Наим.])*($C22=М[Артикул, марка, произв.])*($D22=М[Хар-ка])*($M22=М[Прим.])),0))</f>
        <v>0</v>
      </c>
      <c r="L22" s="58">
        <f>ROUND($J$22*$K$22,2)</f>
        <v>0</v>
      </c>
      <c r="M22" s="25"/>
      <c r="N22" s="25">
        <f t="array" ref="N22">INDEX(М[Форма закупа],MATCH(1,IF(($B22=М[Наим.])*($C22=М[Артикул, марка, произв.])*($D22=М[Хар-ка])*($M22=М[Прим.]),{1},($B22=М[Наим.])*($C22=М[Артикул, марка, произв.])*($D22=М[Хар-ка])*($M22=М[Прим.])),0))</f>
        <v>0</v>
      </c>
    </row>
    <row r="23" spans="1:14" ht="33.75" outlineLevel="4" x14ac:dyDescent="0.2">
      <c r="A23" s="23" t="s">
        <v>45</v>
      </c>
      <c r="B23" s="24" t="s">
        <v>31</v>
      </c>
      <c r="C23" s="25" t="s">
        <v>32</v>
      </c>
      <c r="D23" s="25" t="s">
        <v>46</v>
      </c>
      <c r="E23" s="26" t="s">
        <v>34</v>
      </c>
      <c r="F23" s="27"/>
      <c r="G23" s="28">
        <v>23</v>
      </c>
      <c r="H23" s="27"/>
      <c r="I23" s="27"/>
      <c r="J23" s="28">
        <f>SUM($G$23:$I$23)</f>
        <v>23</v>
      </c>
      <c r="K23" s="58">
        <f t="array" ref="K23">INDEX(М[Цена за ед., руб],MATCH(1,IF(($B23=М[Наим.])*($C23=М[Артикул, марка, произв.])*($D23=М[Хар-ка])*($M23=М[Прим.]),{1},($B23=М[Наим.])*($C23=М[Артикул, марка, произв.])*($D23=М[Хар-ка])*($M23=М[Прим.])),0))</f>
        <v>0</v>
      </c>
      <c r="L23" s="58">
        <f>ROUND($J$23*$K$23,2)</f>
        <v>0</v>
      </c>
      <c r="M23" s="25"/>
      <c r="N23" s="25">
        <f t="array" ref="N23">INDEX(М[Форма закупа],MATCH(1,IF(($B23=М[Наим.])*($C23=М[Артикул, марка, произв.])*($D23=М[Хар-ка])*($M23=М[Прим.]),{1},($B23=М[Наим.])*($C23=М[Артикул, марка, произв.])*($D23=М[Хар-ка])*($M23=М[Прим.])),0))</f>
        <v>0</v>
      </c>
    </row>
    <row r="24" spans="1:14" ht="33.75" outlineLevel="4" x14ac:dyDescent="0.2">
      <c r="A24" s="23" t="s">
        <v>47</v>
      </c>
      <c r="B24" s="24" t="s">
        <v>31</v>
      </c>
      <c r="C24" s="25" t="s">
        <v>32</v>
      </c>
      <c r="D24" s="25" t="s">
        <v>48</v>
      </c>
      <c r="E24" s="26" t="s">
        <v>34</v>
      </c>
      <c r="F24" s="27"/>
      <c r="G24" s="27"/>
      <c r="H24" s="29">
        <v>2600</v>
      </c>
      <c r="I24" s="29">
        <v>5928</v>
      </c>
      <c r="J24" s="29">
        <f>SUM($G$24:$I$24)</f>
        <v>8528</v>
      </c>
      <c r="K24" s="58">
        <f t="array" ref="K24">INDEX(М[Цена за ед., руб],MATCH(1,IF(($B24=М[Наим.])*($C24=М[Артикул, марка, произв.])*($D24=М[Хар-ка])*($M24=М[Прим.]),{1},($B24=М[Наим.])*($C24=М[Артикул, марка, произв.])*($D24=М[Хар-ка])*($M24=М[Прим.])),0))</f>
        <v>0</v>
      </c>
      <c r="L24" s="58">
        <f>ROUND($J$24*$K$24,2)</f>
        <v>0</v>
      </c>
      <c r="M24" s="25"/>
      <c r="N24" s="25">
        <f t="array" ref="N24">INDEX(М[Форма закупа],MATCH(1,IF(($B24=М[Наим.])*($C24=М[Артикул, марка, произв.])*($D24=М[Хар-ка])*($M24=М[Прим.]),{1},($B24=М[Наим.])*($C24=М[Артикул, марка, произв.])*($D24=М[Хар-ка])*($M24=М[Прим.])),0))</f>
        <v>0</v>
      </c>
    </row>
    <row r="25" spans="1:14" ht="33.75" outlineLevel="4" x14ac:dyDescent="0.2">
      <c r="A25" s="23" t="s">
        <v>49</v>
      </c>
      <c r="B25" s="24" t="s">
        <v>31</v>
      </c>
      <c r="C25" s="25" t="s">
        <v>32</v>
      </c>
      <c r="D25" s="25" t="s">
        <v>50</v>
      </c>
      <c r="E25" s="26" t="s">
        <v>34</v>
      </c>
      <c r="F25" s="27"/>
      <c r="G25" s="28">
        <v>240</v>
      </c>
      <c r="H25" s="28">
        <v>16</v>
      </c>
      <c r="I25" s="28">
        <v>16</v>
      </c>
      <c r="J25" s="28">
        <f>SUM($G$25:$I$25)</f>
        <v>272</v>
      </c>
      <c r="K25" s="58">
        <f t="array" ref="K25">INDEX(М[Цена за ед., руб],MATCH(1,IF(($B25=М[Наим.])*($C25=М[Артикул, марка, произв.])*($D25=М[Хар-ка])*($M25=М[Прим.]),{1},($B25=М[Наим.])*($C25=М[Артикул, марка, произв.])*($D25=М[Хар-ка])*($M25=М[Прим.])),0))</f>
        <v>0</v>
      </c>
      <c r="L25" s="58">
        <f>ROUND($J$25*$K$25,2)</f>
        <v>0</v>
      </c>
      <c r="M25" s="25"/>
      <c r="N25" s="25">
        <f t="array" ref="N25">INDEX(М[Форма закупа],MATCH(1,IF(($B25=М[Наим.])*($C25=М[Артикул, марка, произв.])*($D25=М[Хар-ка])*($M25=М[Прим.]),{1},($B25=М[Наим.])*($C25=М[Артикул, марка, произв.])*($D25=М[Хар-ка])*($M25=М[Прим.])),0))</f>
        <v>0</v>
      </c>
    </row>
    <row r="26" spans="1:14" ht="33.75" outlineLevel="4" x14ac:dyDescent="0.2">
      <c r="A26" s="23" t="s">
        <v>51</v>
      </c>
      <c r="B26" s="24" t="s">
        <v>31</v>
      </c>
      <c r="C26" s="25" t="s">
        <v>32</v>
      </c>
      <c r="D26" s="25" t="s">
        <v>52</v>
      </c>
      <c r="E26" s="26" t="s">
        <v>34</v>
      </c>
      <c r="F26" s="27"/>
      <c r="G26" s="28">
        <v>170</v>
      </c>
      <c r="H26" s="27"/>
      <c r="I26" s="27"/>
      <c r="J26" s="28">
        <f>SUM($G$26:$I$26)</f>
        <v>170</v>
      </c>
      <c r="K26" s="58">
        <f t="array" ref="K26">INDEX(М[Цена за ед., руб],MATCH(1,IF(($B26=М[Наим.])*($C26=М[Артикул, марка, произв.])*($D26=М[Хар-ка])*($M26=М[Прим.]),{1},($B26=М[Наим.])*($C26=М[Артикул, марка, произв.])*($D26=М[Хар-ка])*($M26=М[Прим.])),0))</f>
        <v>0</v>
      </c>
      <c r="L26" s="58">
        <f>ROUND($J$26*$K$26,2)</f>
        <v>0</v>
      </c>
      <c r="M26" s="25"/>
      <c r="N26" s="25">
        <f t="array" ref="N26">INDEX(М[Форма закупа],MATCH(1,IF(($B26=М[Наим.])*($C26=М[Артикул, марка, произв.])*($D26=М[Хар-ка])*($M26=М[Прим.]),{1},($B26=М[Наим.])*($C26=М[Артикул, марка, произв.])*($D26=М[Хар-ка])*($M26=М[Прим.])),0))</f>
        <v>0</v>
      </c>
    </row>
    <row r="27" spans="1:14" ht="33.75" outlineLevel="4" x14ac:dyDescent="0.2">
      <c r="A27" s="23" t="s">
        <v>17</v>
      </c>
      <c r="B27" s="24" t="s">
        <v>31</v>
      </c>
      <c r="C27" s="25" t="s">
        <v>32</v>
      </c>
      <c r="D27" s="25" t="s">
        <v>53</v>
      </c>
      <c r="E27" s="26" t="s">
        <v>34</v>
      </c>
      <c r="F27" s="27"/>
      <c r="G27" s="28">
        <v>20</v>
      </c>
      <c r="H27" s="27"/>
      <c r="I27" s="27"/>
      <c r="J27" s="28">
        <f>SUM($G$27:$I$27)</f>
        <v>20</v>
      </c>
      <c r="K27" s="58">
        <f t="array" ref="K27">INDEX(М[Цена за ед., руб],MATCH(1,IF(($B27=М[Наим.])*($C27=М[Артикул, марка, произв.])*($D27=М[Хар-ка])*($M27=М[Прим.]),{1},($B27=М[Наим.])*($C27=М[Артикул, марка, произв.])*($D27=М[Хар-ка])*($M27=М[Прим.])),0))</f>
        <v>0</v>
      </c>
      <c r="L27" s="58">
        <f>ROUND($J$27*$K$27,2)</f>
        <v>0</v>
      </c>
      <c r="M27" s="25"/>
      <c r="N27" s="25">
        <f t="array" ref="N27">INDEX(М[Форма закупа],MATCH(1,IF(($B27=М[Наим.])*($C27=М[Артикул, марка, произв.])*($D27=М[Хар-ка])*($M27=М[Прим.]),{1},($B27=М[Наим.])*($C27=М[Артикул, марка, произв.])*($D27=М[Хар-ка])*($M27=М[Прим.])),0))</f>
        <v>0</v>
      </c>
    </row>
    <row r="28" spans="1:14" outlineLevel="4" x14ac:dyDescent="0.2">
      <c r="A28" s="20"/>
      <c r="B28" s="14" t="s">
        <v>24</v>
      </c>
      <c r="C28" s="21"/>
      <c r="D28" s="21"/>
      <c r="E28" s="21"/>
      <c r="F28" s="21"/>
      <c r="G28" s="21"/>
      <c r="H28" s="21"/>
      <c r="I28" s="21"/>
      <c r="J28" s="21"/>
      <c r="K28" s="56"/>
      <c r="L28" s="57">
        <f>SUM($L$29)</f>
        <v>0</v>
      </c>
      <c r="M28" s="18"/>
      <c r="N28" s="22"/>
    </row>
    <row r="29" spans="1:14" ht="22.5" outlineLevel="4" x14ac:dyDescent="0.2">
      <c r="A29" s="23"/>
      <c r="B29" s="24" t="s">
        <v>54</v>
      </c>
      <c r="C29" s="25"/>
      <c r="D29" s="25"/>
      <c r="E29" s="26" t="s">
        <v>26</v>
      </c>
      <c r="F29" s="27"/>
      <c r="G29" s="27"/>
      <c r="H29" s="28">
        <v>8</v>
      </c>
      <c r="I29" s="28">
        <v>8</v>
      </c>
      <c r="J29" s="28">
        <f>SUM($G$29:$I$29)</f>
        <v>16</v>
      </c>
      <c r="K29" s="58">
        <f t="array" ref="K29">INDEX(Р[Цена за ед., руб],MATCH(1,IF(($B29=Р[Наименование])*($M29=Р[Примечание]),{1},($B29=Р[Наименование])*($M29=Р[Примечание])),0))</f>
        <v>0</v>
      </c>
      <c r="L29" s="58">
        <f>ROUND($J$29*$K$29,2)</f>
        <v>0</v>
      </c>
      <c r="M29" s="25"/>
      <c r="N29" s="25"/>
    </row>
    <row r="30" spans="1:14" outlineLevel="4" x14ac:dyDescent="0.2">
      <c r="A30" s="20"/>
      <c r="B30" s="14" t="s">
        <v>29</v>
      </c>
      <c r="C30" s="21"/>
      <c r="D30" s="21"/>
      <c r="E30" s="21"/>
      <c r="F30" s="21"/>
      <c r="G30" s="21"/>
      <c r="H30" s="21"/>
      <c r="I30" s="21"/>
      <c r="J30" s="21"/>
      <c r="K30" s="56"/>
      <c r="L30" s="57">
        <f>SUM($L$31)</f>
        <v>0</v>
      </c>
      <c r="M30" s="18"/>
      <c r="N30" s="22"/>
    </row>
    <row r="31" spans="1:14" ht="22.5" outlineLevel="4" x14ac:dyDescent="0.2">
      <c r="A31" s="23" t="s">
        <v>30</v>
      </c>
      <c r="B31" s="24" t="s">
        <v>55</v>
      </c>
      <c r="C31" s="25" t="s">
        <v>56</v>
      </c>
      <c r="D31" s="25" t="s">
        <v>57</v>
      </c>
      <c r="E31" s="26" t="s">
        <v>26</v>
      </c>
      <c r="F31" s="27"/>
      <c r="G31" s="27"/>
      <c r="H31" s="28">
        <v>8</v>
      </c>
      <c r="I31" s="28">
        <v>8</v>
      </c>
      <c r="J31" s="28">
        <f>SUM($G$31:$I$31)</f>
        <v>16</v>
      </c>
      <c r="K31" s="58">
        <f t="array" ref="K31">INDEX(М[Цена за ед., руб],MATCH(1,IF(($B31=М[Наим.])*($C31=М[Артикул, марка, произв.])*($D31=М[Хар-ка])*($M31=М[Прим.]),{1},($B31=М[Наим.])*($C31=М[Артикул, марка, произв.])*($D31=М[Хар-ка])*($M31=М[Прим.])),0))</f>
        <v>0</v>
      </c>
      <c r="L31" s="58">
        <f>ROUND($J$31*$K$31,2)</f>
        <v>0</v>
      </c>
      <c r="M31" s="25"/>
      <c r="N31" s="25">
        <f t="array" ref="N31">INDEX(М[Форма закупа],MATCH(1,IF(($B31=М[Наим.])*($C31=М[Артикул, марка, произв.])*($D31=М[Хар-ка])*($M31=М[Прим.]),{1},($B31=М[Наим.])*($C31=М[Артикул, марка, произв.])*($D31=М[Хар-ка])*($M31=М[Прим.])),0))</f>
        <v>0</v>
      </c>
    </row>
    <row r="32" spans="1:14" outlineLevel="4" x14ac:dyDescent="0.2">
      <c r="A32" s="20"/>
      <c r="B32" s="14" t="s">
        <v>24</v>
      </c>
      <c r="C32" s="21"/>
      <c r="D32" s="21"/>
      <c r="E32" s="21"/>
      <c r="F32" s="21"/>
      <c r="G32" s="21"/>
      <c r="H32" s="21"/>
      <c r="I32" s="21"/>
      <c r="J32" s="21"/>
      <c r="K32" s="56"/>
      <c r="L32" s="57">
        <f>SUM($L$33)</f>
        <v>0</v>
      </c>
      <c r="M32" s="18"/>
      <c r="N32" s="22"/>
    </row>
    <row r="33" spans="1:14" outlineLevel="4" x14ac:dyDescent="0.2">
      <c r="A33" s="23"/>
      <c r="B33" s="24" t="s">
        <v>58</v>
      </c>
      <c r="C33" s="25"/>
      <c r="D33" s="25"/>
      <c r="E33" s="26" t="s">
        <v>26</v>
      </c>
      <c r="F33" s="27"/>
      <c r="G33" s="28">
        <v>2</v>
      </c>
      <c r="H33" s="27"/>
      <c r="I33" s="27"/>
      <c r="J33" s="28">
        <f>SUM($G$33:$I$33)</f>
        <v>2</v>
      </c>
      <c r="K33" s="58">
        <f t="array" ref="K33">INDEX(Р[Цена за ед., руб],MATCH(1,IF(($B33=Р[Наименование])*($M33=Р[Примечание]),{1},($B33=Р[Наименование])*($M33=Р[Примечание])),0))</f>
        <v>0</v>
      </c>
      <c r="L33" s="58">
        <f>ROUND($J$33*$K$33,2)</f>
        <v>0</v>
      </c>
      <c r="M33" s="25"/>
      <c r="N33" s="25"/>
    </row>
    <row r="34" spans="1:14" outlineLevel="4" x14ac:dyDescent="0.2">
      <c r="A34" s="20"/>
      <c r="B34" s="14" t="s">
        <v>29</v>
      </c>
      <c r="C34" s="21"/>
      <c r="D34" s="21"/>
      <c r="E34" s="21"/>
      <c r="F34" s="21"/>
      <c r="G34" s="21"/>
      <c r="H34" s="21"/>
      <c r="I34" s="21"/>
      <c r="J34" s="21"/>
      <c r="K34" s="56"/>
      <c r="L34" s="57">
        <f>SUM($L$35)</f>
        <v>0</v>
      </c>
      <c r="M34" s="18"/>
      <c r="N34" s="22"/>
    </row>
    <row r="35" spans="1:14" ht="56.25" outlineLevel="4" x14ac:dyDescent="0.2">
      <c r="A35" s="23" t="s">
        <v>30</v>
      </c>
      <c r="B35" s="24" t="s">
        <v>59</v>
      </c>
      <c r="C35" s="25" t="s">
        <v>60</v>
      </c>
      <c r="D35" s="25" t="s">
        <v>61</v>
      </c>
      <c r="E35" s="26" t="s">
        <v>26</v>
      </c>
      <c r="F35" s="27"/>
      <c r="G35" s="28">
        <v>2</v>
      </c>
      <c r="H35" s="27"/>
      <c r="I35" s="27"/>
      <c r="J35" s="28">
        <f>SUM($G$35:$I$35)</f>
        <v>2</v>
      </c>
      <c r="K35" s="58">
        <f t="array" ref="K35">INDEX(М[Цена за ед., руб],MATCH(1,IF(($B35=М[Наим.])*($C35=М[Артикул, марка, произв.])*($D35=М[Хар-ка])*($M35=М[Прим.]),{1},($B35=М[Наим.])*($C35=М[Артикул, марка, произв.])*($D35=М[Хар-ка])*($M35=М[Прим.])),0))</f>
        <v>0</v>
      </c>
      <c r="L35" s="58">
        <f>ROUND($J$35*$K$35,2)</f>
        <v>0</v>
      </c>
      <c r="M35" s="25"/>
      <c r="N35" s="25">
        <f t="array" ref="N35">INDEX(М[Форма закупа],MATCH(1,IF(($B35=М[Наим.])*($C35=М[Артикул, марка, произв.])*($D35=М[Хар-ка])*($M35=М[Прим.]),{1},($B35=М[Наим.])*($C35=М[Артикул, марка, произв.])*($D35=М[Хар-ка])*($M35=М[Прим.])),0))</f>
        <v>0</v>
      </c>
    </row>
    <row r="36" spans="1:14" outlineLevel="4" x14ac:dyDescent="0.2">
      <c r="A36" s="20"/>
      <c r="B36" s="14" t="s">
        <v>24</v>
      </c>
      <c r="C36" s="21"/>
      <c r="D36" s="21"/>
      <c r="E36" s="21"/>
      <c r="F36" s="21"/>
      <c r="G36" s="21"/>
      <c r="H36" s="21"/>
      <c r="I36" s="21"/>
      <c r="J36" s="21"/>
      <c r="K36" s="56"/>
      <c r="L36" s="57">
        <f>SUM($L$37)</f>
        <v>0</v>
      </c>
      <c r="M36" s="18"/>
      <c r="N36" s="22"/>
    </row>
    <row r="37" spans="1:14" ht="22.5" outlineLevel="4" x14ac:dyDescent="0.2">
      <c r="A37" s="23"/>
      <c r="B37" s="24" t="s">
        <v>62</v>
      </c>
      <c r="C37" s="25"/>
      <c r="D37" s="25"/>
      <c r="E37" s="26" t="s">
        <v>26</v>
      </c>
      <c r="F37" s="27"/>
      <c r="G37" s="28">
        <v>6</v>
      </c>
      <c r="H37" s="28">
        <v>8</v>
      </c>
      <c r="I37" s="28">
        <v>8</v>
      </c>
      <c r="J37" s="28">
        <f>SUM($G$37:$I$37)</f>
        <v>22</v>
      </c>
      <c r="K37" s="58">
        <f t="array" ref="K37">INDEX(Р[Цена за ед., руб],MATCH(1,IF(($B37=Р[Наименование])*($M37=Р[Примечание]),{1},($B37=Р[Наименование])*($M37=Р[Примечание])),0))</f>
        <v>0</v>
      </c>
      <c r="L37" s="58">
        <f>ROUND($J$37*$K$37,2)</f>
        <v>0</v>
      </c>
      <c r="M37" s="25"/>
      <c r="N37" s="25"/>
    </row>
    <row r="38" spans="1:14" outlineLevel="4" x14ac:dyDescent="0.2">
      <c r="A38" s="20"/>
      <c r="B38" s="14" t="s">
        <v>29</v>
      </c>
      <c r="C38" s="21"/>
      <c r="D38" s="21"/>
      <c r="E38" s="21"/>
      <c r="F38" s="21"/>
      <c r="G38" s="21"/>
      <c r="H38" s="21"/>
      <c r="I38" s="21"/>
      <c r="J38" s="21"/>
      <c r="K38" s="56"/>
      <c r="L38" s="57">
        <f>SUM($L$39:$L$41)</f>
        <v>0</v>
      </c>
      <c r="M38" s="18"/>
      <c r="N38" s="22"/>
    </row>
    <row r="39" spans="1:14" ht="22.5" outlineLevel="4" x14ac:dyDescent="0.2">
      <c r="A39" s="23" t="s">
        <v>30</v>
      </c>
      <c r="B39" s="24" t="s">
        <v>63</v>
      </c>
      <c r="C39" s="25" t="s">
        <v>64</v>
      </c>
      <c r="D39" s="25" t="s">
        <v>65</v>
      </c>
      <c r="E39" s="26" t="s">
        <v>26</v>
      </c>
      <c r="F39" s="27"/>
      <c r="G39" s="28">
        <v>4</v>
      </c>
      <c r="H39" s="27"/>
      <c r="I39" s="27"/>
      <c r="J39" s="28">
        <f>SUM($G$39:$I$39)</f>
        <v>4</v>
      </c>
      <c r="K39" s="58">
        <f t="array" ref="K39">INDEX(М[Цена за ед., руб],MATCH(1,IF(($B39=М[Наим.])*($C39=М[Артикул, марка, произв.])*($D39=М[Хар-ка])*($M39=М[Прим.]),{1},($B39=М[Наим.])*($C39=М[Артикул, марка, произв.])*($D39=М[Хар-ка])*($M39=М[Прим.])),0))</f>
        <v>0</v>
      </c>
      <c r="L39" s="58">
        <f>ROUND($J$39*$K$39,2)</f>
        <v>0</v>
      </c>
      <c r="M39" s="25"/>
      <c r="N39" s="25">
        <f t="array" ref="N39">INDEX(М[Форма закупа],MATCH(1,IF(($B39=М[Наим.])*($C39=М[Артикул, марка, произв.])*($D39=М[Хар-ка])*($M39=М[Прим.]),{1},($B39=М[Наим.])*($C39=М[Артикул, марка, произв.])*($D39=М[Хар-ка])*($M39=М[Прим.])),0))</f>
        <v>0</v>
      </c>
    </row>
    <row r="40" spans="1:14" ht="22.5" outlineLevel="4" x14ac:dyDescent="0.2">
      <c r="A40" s="23" t="s">
        <v>35</v>
      </c>
      <c r="B40" s="24" t="s">
        <v>66</v>
      </c>
      <c r="C40" s="25" t="s">
        <v>56</v>
      </c>
      <c r="D40" s="25" t="s">
        <v>67</v>
      </c>
      <c r="E40" s="26" t="s">
        <v>26</v>
      </c>
      <c r="F40" s="27"/>
      <c r="G40" s="28">
        <v>2</v>
      </c>
      <c r="H40" s="27"/>
      <c r="I40" s="27"/>
      <c r="J40" s="28">
        <f>SUM($G$40:$I$40)</f>
        <v>2</v>
      </c>
      <c r="K40" s="58">
        <f t="array" ref="K40">INDEX(М[Цена за ед., руб],MATCH(1,IF(($B40=М[Наим.])*($C40=М[Артикул, марка, произв.])*($D40=М[Хар-ка])*($M40=М[Прим.]),{1},($B40=М[Наим.])*($C40=М[Артикул, марка, произв.])*($D40=М[Хар-ка])*($M40=М[Прим.])),0))</f>
        <v>0</v>
      </c>
      <c r="L40" s="58">
        <f>ROUND($J$40*$K$40,2)</f>
        <v>0</v>
      </c>
      <c r="M40" s="25"/>
      <c r="N40" s="25">
        <f t="array" ref="N40">INDEX(М[Форма закупа],MATCH(1,IF(($B40=М[Наим.])*($C40=М[Артикул, марка, произв.])*($D40=М[Хар-ка])*($M40=М[Прим.]),{1},($B40=М[Наим.])*($C40=М[Артикул, марка, произв.])*($D40=М[Хар-ка])*($M40=М[Прим.])),0))</f>
        <v>0</v>
      </c>
    </row>
    <row r="41" spans="1:14" ht="45" outlineLevel="4" x14ac:dyDescent="0.2">
      <c r="A41" s="23" t="s">
        <v>37</v>
      </c>
      <c r="B41" s="24" t="s">
        <v>68</v>
      </c>
      <c r="C41" s="25" t="s">
        <v>56</v>
      </c>
      <c r="D41" s="25" t="s">
        <v>69</v>
      </c>
      <c r="E41" s="26" t="s">
        <v>26</v>
      </c>
      <c r="F41" s="27"/>
      <c r="G41" s="27"/>
      <c r="H41" s="28">
        <v>8</v>
      </c>
      <c r="I41" s="28">
        <v>8</v>
      </c>
      <c r="J41" s="28">
        <f>SUM($G$41:$I$41)</f>
        <v>16</v>
      </c>
      <c r="K41" s="58">
        <f t="array" ref="K41">INDEX(М[Цена за ед., руб],MATCH(1,IF(($B41=М[Наим.])*($C41=М[Артикул, марка, произв.])*($D41=М[Хар-ка])*($M41=М[Прим.]),{1},($B41=М[Наим.])*($C41=М[Артикул, марка, произв.])*($D41=М[Хар-ка])*($M41=М[Прим.])),0))</f>
        <v>0</v>
      </c>
      <c r="L41" s="58">
        <f>ROUND($J$41*$K$41,2)</f>
        <v>0</v>
      </c>
      <c r="M41" s="25"/>
      <c r="N41" s="25">
        <f t="array" ref="N41">INDEX(М[Форма закупа],MATCH(1,IF(($B41=М[Наим.])*($C41=М[Артикул, марка, произв.])*($D41=М[Хар-ка])*($M41=М[Прим.]),{1},($B41=М[Наим.])*($C41=М[Артикул, марка, произв.])*($D41=М[Хар-ка])*($M41=М[Прим.])),0))</f>
        <v>0</v>
      </c>
    </row>
    <row r="42" spans="1:14" outlineLevel="4" x14ac:dyDescent="0.2">
      <c r="A42" s="20"/>
      <c r="B42" s="14" t="s">
        <v>24</v>
      </c>
      <c r="C42" s="21"/>
      <c r="D42" s="21"/>
      <c r="E42" s="21"/>
      <c r="F42" s="21"/>
      <c r="G42" s="21"/>
      <c r="H42" s="21"/>
      <c r="I42" s="21"/>
      <c r="J42" s="21"/>
      <c r="K42" s="56"/>
      <c r="L42" s="57">
        <f>SUM($L$43)</f>
        <v>0</v>
      </c>
      <c r="M42" s="18"/>
      <c r="N42" s="22"/>
    </row>
    <row r="43" spans="1:14" ht="22.5" outlineLevel="4" x14ac:dyDescent="0.2">
      <c r="A43" s="23"/>
      <c r="B43" s="24" t="s">
        <v>70</v>
      </c>
      <c r="C43" s="25"/>
      <c r="D43" s="25"/>
      <c r="E43" s="26" t="s">
        <v>26</v>
      </c>
      <c r="F43" s="27"/>
      <c r="G43" s="28">
        <v>11</v>
      </c>
      <c r="H43" s="27"/>
      <c r="I43" s="27"/>
      <c r="J43" s="28">
        <f>SUM($G$43:$I$43)</f>
        <v>11</v>
      </c>
      <c r="K43" s="58">
        <f t="array" ref="K43">INDEX(Р[Цена за ед., руб],MATCH(1,IF(($B43=Р[Наименование])*($M43=Р[Примечание]),{1},($B43=Р[Наименование])*($M43=Р[Примечание])),0))</f>
        <v>0</v>
      </c>
      <c r="L43" s="58">
        <f>ROUND($J$43*$K$43,2)</f>
        <v>0</v>
      </c>
      <c r="M43" s="25"/>
      <c r="N43" s="25"/>
    </row>
    <row r="44" spans="1:14" outlineLevel="4" x14ac:dyDescent="0.2">
      <c r="A44" s="20"/>
      <c r="B44" s="14" t="s">
        <v>29</v>
      </c>
      <c r="C44" s="21"/>
      <c r="D44" s="21"/>
      <c r="E44" s="21"/>
      <c r="F44" s="21"/>
      <c r="G44" s="21"/>
      <c r="H44" s="21"/>
      <c r="I44" s="21"/>
      <c r="J44" s="21"/>
      <c r="K44" s="56"/>
      <c r="L44" s="57">
        <f>SUM($L$45:$L$50)</f>
        <v>0</v>
      </c>
      <c r="M44" s="18"/>
      <c r="N44" s="22"/>
    </row>
    <row r="45" spans="1:14" ht="22.5" outlineLevel="4" x14ac:dyDescent="0.2">
      <c r="A45" s="23" t="s">
        <v>30</v>
      </c>
      <c r="B45" s="24" t="s">
        <v>63</v>
      </c>
      <c r="C45" s="25" t="s">
        <v>64</v>
      </c>
      <c r="D45" s="25" t="s">
        <v>71</v>
      </c>
      <c r="E45" s="26" t="s">
        <v>26</v>
      </c>
      <c r="F45" s="27"/>
      <c r="G45" s="28">
        <v>1</v>
      </c>
      <c r="H45" s="27"/>
      <c r="I45" s="27"/>
      <c r="J45" s="28">
        <f>SUM($G$45:$I$45)</f>
        <v>1</v>
      </c>
      <c r="K45" s="58">
        <f t="array" ref="K45">INDEX(М[Цена за ед., руб],MATCH(1,IF(($B45=М[Наим.])*($C45=М[Артикул, марка, произв.])*($D45=М[Хар-ка])*($M45=М[Прим.]),{1},($B45=М[Наим.])*($C45=М[Артикул, марка, произв.])*($D45=М[Хар-ка])*($M45=М[Прим.])),0))</f>
        <v>0</v>
      </c>
      <c r="L45" s="58">
        <f>ROUND($J$45*$K$45,2)</f>
        <v>0</v>
      </c>
      <c r="M45" s="25"/>
      <c r="N45" s="25">
        <f t="array" ref="N45">INDEX(М[Форма закупа],MATCH(1,IF(($B45=М[Наим.])*($C45=М[Артикул, марка, произв.])*($D45=М[Хар-ка])*($M45=М[Прим.]),{1},($B45=М[Наим.])*($C45=М[Артикул, марка, произв.])*($D45=М[Хар-ка])*($M45=М[Прим.])),0))</f>
        <v>0</v>
      </c>
    </row>
    <row r="46" spans="1:14" ht="33.75" outlineLevel="4" x14ac:dyDescent="0.2">
      <c r="A46" s="23" t="s">
        <v>35</v>
      </c>
      <c r="B46" s="24" t="s">
        <v>63</v>
      </c>
      <c r="C46" s="25" t="s">
        <v>64</v>
      </c>
      <c r="D46" s="25" t="s">
        <v>72</v>
      </c>
      <c r="E46" s="26" t="s">
        <v>26</v>
      </c>
      <c r="F46" s="27"/>
      <c r="G46" s="28">
        <v>1</v>
      </c>
      <c r="H46" s="27"/>
      <c r="I46" s="27"/>
      <c r="J46" s="28">
        <f>SUM($G$46:$I$46)</f>
        <v>1</v>
      </c>
      <c r="K46" s="58">
        <f t="array" ref="K46">INDEX(М[Цена за ед., руб],MATCH(1,IF(($B46=М[Наим.])*($C46=М[Артикул, марка, произв.])*($D46=М[Хар-ка])*($M46=М[Прим.]),{1},($B46=М[Наим.])*($C46=М[Артикул, марка, произв.])*($D46=М[Хар-ка])*($M46=М[Прим.])),0))</f>
        <v>0</v>
      </c>
      <c r="L46" s="58">
        <f>ROUND($J$46*$K$46,2)</f>
        <v>0</v>
      </c>
      <c r="M46" s="25"/>
      <c r="N46" s="25">
        <f t="array" ref="N46">INDEX(М[Форма закупа],MATCH(1,IF(($B46=М[Наим.])*($C46=М[Артикул, марка, произв.])*($D46=М[Хар-ка])*($M46=М[Прим.]),{1},($B46=М[Наим.])*($C46=М[Артикул, марка, произв.])*($D46=М[Хар-ка])*($M46=М[Прим.])),0))</f>
        <v>0</v>
      </c>
    </row>
    <row r="47" spans="1:14" ht="33.75" outlineLevel="4" x14ac:dyDescent="0.2">
      <c r="A47" s="23" t="s">
        <v>37</v>
      </c>
      <c r="B47" s="24" t="s">
        <v>63</v>
      </c>
      <c r="C47" s="25" t="s">
        <v>64</v>
      </c>
      <c r="D47" s="25" t="s">
        <v>73</v>
      </c>
      <c r="E47" s="26" t="s">
        <v>26</v>
      </c>
      <c r="F47" s="27"/>
      <c r="G47" s="28">
        <v>1</v>
      </c>
      <c r="H47" s="27"/>
      <c r="I47" s="27"/>
      <c r="J47" s="28">
        <f>SUM($G$47:$I$47)</f>
        <v>1</v>
      </c>
      <c r="K47" s="58">
        <f t="array" ref="K47">INDEX(М[Цена за ед., руб],MATCH(1,IF(($B47=М[Наим.])*($C47=М[Артикул, марка, произв.])*($D47=М[Хар-ка])*($M47=М[Прим.]),{1},($B47=М[Наим.])*($C47=М[Артикул, марка, произв.])*($D47=М[Хар-ка])*($M47=М[Прим.])),0))</f>
        <v>0</v>
      </c>
      <c r="L47" s="58">
        <f>ROUND($J$47*$K$47,2)</f>
        <v>0</v>
      </c>
      <c r="M47" s="25"/>
      <c r="N47" s="25">
        <f t="array" ref="N47">INDEX(М[Форма закупа],MATCH(1,IF(($B47=М[Наим.])*($C47=М[Артикул, марка, произв.])*($D47=М[Хар-ка])*($M47=М[Прим.]),{1},($B47=М[Наим.])*($C47=М[Артикул, марка, произв.])*($D47=М[Хар-ка])*($M47=М[Прим.])),0))</f>
        <v>0</v>
      </c>
    </row>
    <row r="48" spans="1:14" ht="22.5" outlineLevel="4" x14ac:dyDescent="0.2">
      <c r="A48" s="23" t="s">
        <v>39</v>
      </c>
      <c r="B48" s="24" t="s">
        <v>66</v>
      </c>
      <c r="C48" s="25" t="s">
        <v>60</v>
      </c>
      <c r="D48" s="25" t="s">
        <v>74</v>
      </c>
      <c r="E48" s="26" t="s">
        <v>26</v>
      </c>
      <c r="F48" s="27"/>
      <c r="G48" s="28">
        <v>2</v>
      </c>
      <c r="H48" s="27"/>
      <c r="I48" s="27"/>
      <c r="J48" s="28">
        <f>SUM($G$48:$I$48)</f>
        <v>2</v>
      </c>
      <c r="K48" s="58">
        <f t="array" ref="K48">INDEX(М[Цена за ед., руб],MATCH(1,IF(($B48=М[Наим.])*($C48=М[Артикул, марка, произв.])*($D48=М[Хар-ка])*($M48=М[Прим.]),{1},($B48=М[Наим.])*($C48=М[Артикул, марка, произв.])*($D48=М[Хар-ка])*($M48=М[Прим.])),0))</f>
        <v>0</v>
      </c>
      <c r="L48" s="58">
        <f>ROUND($J$48*$K$48,2)</f>
        <v>0</v>
      </c>
      <c r="M48" s="25"/>
      <c r="N48" s="25">
        <f t="array" ref="N48">INDEX(М[Форма закупа],MATCH(1,IF(($B48=М[Наим.])*($C48=М[Артикул, марка, произв.])*($D48=М[Хар-ка])*($M48=М[Прим.]),{1},($B48=М[Наим.])*($C48=М[Артикул, марка, произв.])*($D48=М[Хар-ка])*($M48=М[Прим.])),0))</f>
        <v>0</v>
      </c>
    </row>
    <row r="49" spans="1:14" ht="22.5" outlineLevel="4" x14ac:dyDescent="0.2">
      <c r="A49" s="23" t="s">
        <v>41</v>
      </c>
      <c r="B49" s="24" t="s">
        <v>66</v>
      </c>
      <c r="C49" s="25" t="s">
        <v>60</v>
      </c>
      <c r="D49" s="25" t="s">
        <v>75</v>
      </c>
      <c r="E49" s="26" t="s">
        <v>26</v>
      </c>
      <c r="F49" s="27"/>
      <c r="G49" s="28">
        <v>4</v>
      </c>
      <c r="H49" s="27"/>
      <c r="I49" s="27"/>
      <c r="J49" s="28">
        <f>SUM($G$49:$I$49)</f>
        <v>4</v>
      </c>
      <c r="K49" s="58">
        <f t="array" ref="K49">INDEX(М[Цена за ед., руб],MATCH(1,IF(($B49=М[Наим.])*($C49=М[Артикул, марка, произв.])*($D49=М[Хар-ка])*($M49=М[Прим.]),{1},($B49=М[Наим.])*($C49=М[Артикул, марка, произв.])*($D49=М[Хар-ка])*($M49=М[Прим.])),0))</f>
        <v>0</v>
      </c>
      <c r="L49" s="58">
        <f>ROUND($J$49*$K$49,2)</f>
        <v>0</v>
      </c>
      <c r="M49" s="25"/>
      <c r="N49" s="25">
        <f t="array" ref="N49">INDEX(М[Форма закупа],MATCH(1,IF(($B49=М[Наим.])*($C49=М[Артикул, марка, произв.])*($D49=М[Хар-ка])*($M49=М[Прим.]),{1},($B49=М[Наим.])*($C49=М[Артикул, марка, произв.])*($D49=М[Хар-ка])*($M49=М[Прим.])),0))</f>
        <v>0</v>
      </c>
    </row>
    <row r="50" spans="1:14" ht="22.5" outlineLevel="4" x14ac:dyDescent="0.2">
      <c r="A50" s="23" t="s">
        <v>43</v>
      </c>
      <c r="B50" s="24" t="s">
        <v>66</v>
      </c>
      <c r="C50" s="25" t="s">
        <v>60</v>
      </c>
      <c r="D50" s="25" t="s">
        <v>76</v>
      </c>
      <c r="E50" s="26" t="s">
        <v>26</v>
      </c>
      <c r="F50" s="27"/>
      <c r="G50" s="28">
        <v>2</v>
      </c>
      <c r="H50" s="27"/>
      <c r="I50" s="27"/>
      <c r="J50" s="28">
        <f>SUM($G$50:$I$50)</f>
        <v>2</v>
      </c>
      <c r="K50" s="58">
        <f t="array" ref="K50">INDEX(М[Цена за ед., руб],MATCH(1,IF(($B50=М[Наим.])*($C50=М[Артикул, марка, произв.])*($D50=М[Хар-ка])*($M50=М[Прим.]),{1},($B50=М[Наим.])*($C50=М[Артикул, марка, произв.])*($D50=М[Хар-ка])*($M50=М[Прим.])),0))</f>
        <v>0</v>
      </c>
      <c r="L50" s="58">
        <f>ROUND($J$50*$K$50,2)</f>
        <v>0</v>
      </c>
      <c r="M50" s="25"/>
      <c r="N50" s="25">
        <f t="array" ref="N50">INDEX(М[Форма закупа],MATCH(1,IF(($B50=М[Наим.])*($C50=М[Артикул, марка, произв.])*($D50=М[Хар-ка])*($M50=М[Прим.]),{1},($B50=М[Наим.])*($C50=М[Артикул, марка, произв.])*($D50=М[Хар-ка])*($M50=М[Прим.])),0))</f>
        <v>0</v>
      </c>
    </row>
    <row r="51" spans="1:14" outlineLevel="4" x14ac:dyDescent="0.2">
      <c r="A51" s="20"/>
      <c r="B51" s="14" t="s">
        <v>24</v>
      </c>
      <c r="C51" s="21"/>
      <c r="D51" s="21"/>
      <c r="E51" s="21"/>
      <c r="F51" s="21"/>
      <c r="G51" s="21"/>
      <c r="H51" s="21"/>
      <c r="I51" s="21"/>
      <c r="J51" s="21"/>
      <c r="K51" s="56"/>
      <c r="L51" s="57">
        <f>SUM($L$52)</f>
        <v>0</v>
      </c>
      <c r="M51" s="18"/>
      <c r="N51" s="22"/>
    </row>
    <row r="52" spans="1:14" outlineLevel="4" x14ac:dyDescent="0.2">
      <c r="A52" s="23"/>
      <c r="B52" s="24" t="s">
        <v>77</v>
      </c>
      <c r="C52" s="25"/>
      <c r="D52" s="25"/>
      <c r="E52" s="26" t="s">
        <v>26</v>
      </c>
      <c r="F52" s="27"/>
      <c r="G52" s="27"/>
      <c r="H52" s="28">
        <v>52</v>
      </c>
      <c r="I52" s="28">
        <v>62</v>
      </c>
      <c r="J52" s="28">
        <f>SUM($G$52:$I$52)</f>
        <v>114</v>
      </c>
      <c r="K52" s="58">
        <f t="array" ref="K52">INDEX(Р[Цена за ед., руб],MATCH(1,IF(($B52=Р[Наименование])*($M52=Р[Примечание]),{1},($B52=Р[Наименование])*($M52=Р[Примечание])),0))</f>
        <v>0</v>
      </c>
      <c r="L52" s="58">
        <f>ROUND($J$52*$K$52,2)</f>
        <v>0</v>
      </c>
      <c r="M52" s="25"/>
      <c r="N52" s="25"/>
    </row>
    <row r="53" spans="1:14" outlineLevel="4" x14ac:dyDescent="0.2">
      <c r="A53" s="20"/>
      <c r="B53" s="14" t="s">
        <v>29</v>
      </c>
      <c r="C53" s="21"/>
      <c r="D53" s="21"/>
      <c r="E53" s="21"/>
      <c r="F53" s="21"/>
      <c r="G53" s="21"/>
      <c r="H53" s="21"/>
      <c r="I53" s="21"/>
      <c r="J53" s="21"/>
      <c r="K53" s="56"/>
      <c r="L53" s="57">
        <f>SUM($L$54:$L$60)</f>
        <v>0</v>
      </c>
      <c r="M53" s="18"/>
      <c r="N53" s="22"/>
    </row>
    <row r="54" spans="1:14" ht="56.25" outlineLevel="4" x14ac:dyDescent="0.2">
      <c r="A54" s="23" t="s">
        <v>30</v>
      </c>
      <c r="B54" s="24" t="s">
        <v>78</v>
      </c>
      <c r="C54" s="25"/>
      <c r="D54" s="25" t="s">
        <v>79</v>
      </c>
      <c r="E54" s="26" t="s">
        <v>26</v>
      </c>
      <c r="F54" s="27"/>
      <c r="G54" s="27"/>
      <c r="H54" s="27"/>
      <c r="I54" s="28">
        <v>48</v>
      </c>
      <c r="J54" s="28">
        <f>SUM($G$54:$I$54)</f>
        <v>48</v>
      </c>
      <c r="K54" s="58">
        <f t="array" ref="K54">INDEX(М[Цена за ед., руб],MATCH(1,IF(($B54=М[Наим.])*($C54=М[Артикул, марка, произв.])*($D54=М[Хар-ка])*($M54=М[Прим.]),{1},($B54=М[Наим.])*($C54=М[Артикул, марка, произв.])*($D54=М[Хар-ка])*($M54=М[Прим.])),0))</f>
        <v>0</v>
      </c>
      <c r="L54" s="58">
        <f>ROUND($J$54*$K$54,2)</f>
        <v>0</v>
      </c>
      <c r="M54" s="25" t="s">
        <v>80</v>
      </c>
      <c r="N54" s="25">
        <f t="array" ref="N54">INDEX(М[Форма закупа],MATCH(1,IF(($B54=М[Наим.])*($C54=М[Артикул, марка, произв.])*($D54=М[Хар-ка])*($M54=М[Прим.]),{1},($B54=М[Наим.])*($C54=М[Артикул, марка, произв.])*($D54=М[Хар-ка])*($M54=М[Прим.])),0))</f>
        <v>0</v>
      </c>
    </row>
    <row r="55" spans="1:14" ht="56.25" outlineLevel="4" x14ac:dyDescent="0.2">
      <c r="A55" s="23" t="s">
        <v>35</v>
      </c>
      <c r="B55" s="24" t="s">
        <v>78</v>
      </c>
      <c r="C55" s="25"/>
      <c r="D55" s="25" t="s">
        <v>81</v>
      </c>
      <c r="E55" s="26" t="s">
        <v>26</v>
      </c>
      <c r="F55" s="27"/>
      <c r="G55" s="27"/>
      <c r="H55" s="27"/>
      <c r="I55" s="28">
        <v>1</v>
      </c>
      <c r="J55" s="28">
        <f>SUM($G$55:$I$55)</f>
        <v>1</v>
      </c>
      <c r="K55" s="58">
        <f t="array" ref="K55">INDEX(М[Цена за ед., руб],MATCH(1,IF(($B55=М[Наим.])*($C55=М[Артикул, марка, произв.])*($D55=М[Хар-ка])*($M55=М[Прим.]),{1},($B55=М[Наим.])*($C55=М[Артикул, марка, произв.])*($D55=М[Хар-ка])*($M55=М[Прим.])),0))</f>
        <v>0</v>
      </c>
      <c r="L55" s="58">
        <f>ROUND($J$55*$K$55,2)</f>
        <v>0</v>
      </c>
      <c r="M55" s="25" t="s">
        <v>82</v>
      </c>
      <c r="N55" s="25">
        <f t="array" ref="N55">INDEX(М[Форма закупа],MATCH(1,IF(($B55=М[Наим.])*($C55=М[Артикул, марка, произв.])*($D55=М[Хар-ка])*($M55=М[Прим.]),{1},($B55=М[Наим.])*($C55=М[Артикул, марка, произв.])*($D55=М[Хар-ка])*($M55=М[Прим.])),0))</f>
        <v>0</v>
      </c>
    </row>
    <row r="56" spans="1:14" ht="56.25" outlineLevel="4" x14ac:dyDescent="0.2">
      <c r="A56" s="23" t="s">
        <v>37</v>
      </c>
      <c r="B56" s="24" t="s">
        <v>78</v>
      </c>
      <c r="C56" s="25"/>
      <c r="D56" s="25" t="s">
        <v>83</v>
      </c>
      <c r="E56" s="26" t="s">
        <v>26</v>
      </c>
      <c r="F56" s="27"/>
      <c r="G56" s="27"/>
      <c r="H56" s="27"/>
      <c r="I56" s="28">
        <v>4</v>
      </c>
      <c r="J56" s="28">
        <f>SUM($G$56:$I$56)</f>
        <v>4</v>
      </c>
      <c r="K56" s="58">
        <f t="array" ref="K56">INDEX(М[Цена за ед., руб],MATCH(1,IF(($B56=М[Наим.])*($C56=М[Артикул, марка, произв.])*($D56=М[Хар-ка])*($M56=М[Прим.]),{1},($B56=М[Наим.])*($C56=М[Артикул, марка, произв.])*($D56=М[Хар-ка])*($M56=М[Прим.])),0))</f>
        <v>0</v>
      </c>
      <c r="L56" s="58">
        <f>ROUND($J$56*$K$56,2)</f>
        <v>0</v>
      </c>
      <c r="M56" s="25"/>
      <c r="N56" s="25">
        <f t="array" ref="N56">INDEX(М[Форма закупа],MATCH(1,IF(($B56=М[Наим.])*($C56=М[Артикул, марка, произв.])*($D56=М[Хар-ка])*($M56=М[Прим.]),{1},($B56=М[Наим.])*($C56=М[Артикул, марка, произв.])*($D56=М[Хар-ка])*($M56=М[Прим.])),0))</f>
        <v>0</v>
      </c>
    </row>
    <row r="57" spans="1:14" ht="56.25" outlineLevel="4" x14ac:dyDescent="0.2">
      <c r="A57" s="23" t="s">
        <v>39</v>
      </c>
      <c r="B57" s="24" t="s">
        <v>78</v>
      </c>
      <c r="C57" s="25"/>
      <c r="D57" s="25" t="s">
        <v>83</v>
      </c>
      <c r="E57" s="26" t="s">
        <v>26</v>
      </c>
      <c r="F57" s="27"/>
      <c r="G57" s="27"/>
      <c r="H57" s="28">
        <v>26</v>
      </c>
      <c r="I57" s="27"/>
      <c r="J57" s="28">
        <f>SUM($G$57:$I$57)</f>
        <v>26</v>
      </c>
      <c r="K57" s="58">
        <f t="array" ref="K57">INDEX(М[Цена за ед., руб],MATCH(1,IF(($B57=М[Наим.])*($C57=М[Артикул, марка, произв.])*($D57=М[Хар-ка])*($M57=М[Прим.]),{1},($B57=М[Наим.])*($C57=М[Артикул, марка, произв.])*($D57=М[Хар-ка])*($M57=М[Прим.])),0))</f>
        <v>0</v>
      </c>
      <c r="L57" s="58">
        <f>ROUND($J$57*$K$57,2)</f>
        <v>0</v>
      </c>
      <c r="M57" s="25" t="s">
        <v>80</v>
      </c>
      <c r="N57" s="25">
        <f t="array" ref="N57">INDEX(М[Форма закупа],MATCH(1,IF(($B57=М[Наим.])*($C57=М[Артикул, марка, произв.])*($D57=М[Хар-ка])*($M57=М[Прим.]),{1},($B57=М[Наим.])*($C57=М[Артикул, марка, произв.])*($D57=М[Хар-ка])*($M57=М[Прим.])),0))</f>
        <v>0</v>
      </c>
    </row>
    <row r="58" spans="1:14" ht="56.25" outlineLevel="4" x14ac:dyDescent="0.2">
      <c r="A58" s="23" t="s">
        <v>41</v>
      </c>
      <c r="B58" s="24" t="s">
        <v>78</v>
      </c>
      <c r="C58" s="25"/>
      <c r="D58" s="25" t="s">
        <v>83</v>
      </c>
      <c r="E58" s="26" t="s">
        <v>26</v>
      </c>
      <c r="F58" s="27"/>
      <c r="G58" s="27"/>
      <c r="H58" s="27"/>
      <c r="I58" s="28">
        <v>1</v>
      </c>
      <c r="J58" s="28">
        <f>SUM($G$58:$I$58)</f>
        <v>1</v>
      </c>
      <c r="K58" s="58">
        <f t="array" ref="K58">INDEX(М[Цена за ед., руб],MATCH(1,IF(($B58=М[Наим.])*($C58=М[Артикул, марка, произв.])*($D58=М[Хар-ка])*($M58=М[Прим.]),{1},($B58=М[Наим.])*($C58=М[Артикул, марка, произв.])*($D58=М[Хар-ка])*($M58=М[Прим.])),0))</f>
        <v>0</v>
      </c>
      <c r="L58" s="58">
        <f>ROUND($J$58*$K$58,2)</f>
        <v>0</v>
      </c>
      <c r="M58" s="25" t="s">
        <v>82</v>
      </c>
      <c r="N58" s="25">
        <f t="array" ref="N58">INDEX(М[Форма закупа],MATCH(1,IF(($B58=М[Наим.])*($C58=М[Артикул, марка, произв.])*($D58=М[Хар-ка])*($M58=М[Прим.]),{1},($B58=М[Наим.])*($C58=М[Артикул, марка, произв.])*($D58=М[Хар-ка])*($M58=М[Прим.])),0))</f>
        <v>0</v>
      </c>
    </row>
    <row r="59" spans="1:14" ht="56.25" outlineLevel="4" x14ac:dyDescent="0.2">
      <c r="A59" s="23" t="s">
        <v>43</v>
      </c>
      <c r="B59" s="24" t="s">
        <v>78</v>
      </c>
      <c r="C59" s="25"/>
      <c r="D59" s="25" t="s">
        <v>84</v>
      </c>
      <c r="E59" s="26" t="s">
        <v>26</v>
      </c>
      <c r="F59" s="27"/>
      <c r="G59" s="27"/>
      <c r="H59" s="28">
        <v>26</v>
      </c>
      <c r="I59" s="28">
        <v>4</v>
      </c>
      <c r="J59" s="28">
        <f>SUM($G$59:$I$59)</f>
        <v>30</v>
      </c>
      <c r="K59" s="58">
        <f t="array" ref="K59">INDEX(М[Цена за ед., руб],MATCH(1,IF(($B59=М[Наим.])*($C59=М[Артикул, марка, произв.])*($D59=М[Хар-ка])*($M59=М[Прим.]),{1},($B59=М[Наим.])*($C59=М[Артикул, марка, произв.])*($D59=М[Хар-ка])*($M59=М[Прим.])),0))</f>
        <v>0</v>
      </c>
      <c r="L59" s="58">
        <f>ROUND($J$59*$K$59,2)</f>
        <v>0</v>
      </c>
      <c r="M59" s="25" t="s">
        <v>80</v>
      </c>
      <c r="N59" s="25">
        <f t="array" ref="N59">INDEX(М[Форма закупа],MATCH(1,IF(($B59=М[Наим.])*($C59=М[Артикул, марка, произв.])*($D59=М[Хар-ка])*($M59=М[Прим.]),{1},($B59=М[Наим.])*($C59=М[Артикул, марка, произв.])*($D59=М[Хар-ка])*($M59=М[Прим.])),0))</f>
        <v>0</v>
      </c>
    </row>
    <row r="60" spans="1:14" ht="56.25" outlineLevel="4" x14ac:dyDescent="0.2">
      <c r="A60" s="23" t="s">
        <v>45</v>
      </c>
      <c r="B60" s="24" t="s">
        <v>78</v>
      </c>
      <c r="C60" s="25"/>
      <c r="D60" s="25" t="s">
        <v>85</v>
      </c>
      <c r="E60" s="26" t="s">
        <v>26</v>
      </c>
      <c r="F60" s="27"/>
      <c r="G60" s="27"/>
      <c r="H60" s="27"/>
      <c r="I60" s="28">
        <v>4</v>
      </c>
      <c r="J60" s="28">
        <f>SUM($G$60:$I$60)</f>
        <v>4</v>
      </c>
      <c r="K60" s="58">
        <f t="array" ref="K60">INDEX(М[Цена за ед., руб],MATCH(1,IF(($B60=М[Наим.])*($C60=М[Артикул, марка, произв.])*($D60=М[Хар-ка])*($M60=М[Прим.]),{1},($B60=М[Наим.])*($C60=М[Артикул, марка, произв.])*($D60=М[Хар-ка])*($M60=М[Прим.])),0))</f>
        <v>0</v>
      </c>
      <c r="L60" s="58">
        <f>ROUND($J$60*$K$60,2)</f>
        <v>0</v>
      </c>
      <c r="M60" s="25" t="s">
        <v>80</v>
      </c>
      <c r="N60" s="25">
        <f t="array" ref="N60">INDEX(М[Форма закупа],MATCH(1,IF(($B60=М[Наим.])*($C60=М[Артикул, марка, произв.])*($D60=М[Хар-ка])*($M60=М[Прим.]),{1},($B60=М[Наим.])*($C60=М[Артикул, марка, произв.])*($D60=М[Хар-ка])*($M60=М[Прим.])),0))</f>
        <v>0</v>
      </c>
    </row>
    <row r="61" spans="1:14" outlineLevel="4" x14ac:dyDescent="0.2">
      <c r="A61" s="20"/>
      <c r="B61" s="14" t="s">
        <v>24</v>
      </c>
      <c r="C61" s="21"/>
      <c r="D61" s="21"/>
      <c r="E61" s="21"/>
      <c r="F61" s="21"/>
      <c r="G61" s="21"/>
      <c r="H61" s="21"/>
      <c r="I61" s="21"/>
      <c r="J61" s="21"/>
      <c r="K61" s="56"/>
      <c r="L61" s="57">
        <f>SUM($L$62)</f>
        <v>0</v>
      </c>
      <c r="M61" s="18"/>
      <c r="N61" s="22"/>
    </row>
    <row r="62" spans="1:14" outlineLevel="4" x14ac:dyDescent="0.2">
      <c r="A62" s="23"/>
      <c r="B62" s="24" t="s">
        <v>86</v>
      </c>
      <c r="C62" s="25"/>
      <c r="D62" s="25"/>
      <c r="E62" s="26" t="s">
        <v>26</v>
      </c>
      <c r="F62" s="27"/>
      <c r="G62" s="27"/>
      <c r="H62" s="28">
        <v>130</v>
      </c>
      <c r="I62" s="28">
        <v>282</v>
      </c>
      <c r="J62" s="28">
        <f>SUM($G$62:$I$62)</f>
        <v>412</v>
      </c>
      <c r="K62" s="58">
        <f t="array" ref="K62">INDEX(Р[Цена за ед., руб],MATCH(1,IF(($B62=Р[Наименование])*($M62=Р[Примечание]),{1},($B62=Р[Наименование])*($M62=Р[Примечание])),0))</f>
        <v>0</v>
      </c>
      <c r="L62" s="58">
        <f>ROUND($J$62*$K$62,2)</f>
        <v>0</v>
      </c>
      <c r="M62" s="25"/>
      <c r="N62" s="25"/>
    </row>
    <row r="63" spans="1:14" outlineLevel="4" x14ac:dyDescent="0.2">
      <c r="A63" s="20"/>
      <c r="B63" s="14" t="s">
        <v>29</v>
      </c>
      <c r="C63" s="21"/>
      <c r="D63" s="21"/>
      <c r="E63" s="21"/>
      <c r="F63" s="21"/>
      <c r="G63" s="21"/>
      <c r="H63" s="21"/>
      <c r="I63" s="21"/>
      <c r="J63" s="21"/>
      <c r="K63" s="56"/>
      <c r="L63" s="57">
        <f>SUM($L$64)</f>
        <v>0</v>
      </c>
      <c r="M63" s="18"/>
      <c r="N63" s="22"/>
    </row>
    <row r="64" spans="1:14" ht="45" outlineLevel="4" x14ac:dyDescent="0.2">
      <c r="A64" s="23" t="s">
        <v>30</v>
      </c>
      <c r="B64" s="24" t="s">
        <v>87</v>
      </c>
      <c r="C64" s="60" t="s">
        <v>88</v>
      </c>
      <c r="D64" s="60" t="s">
        <v>89</v>
      </c>
      <c r="E64" s="26" t="s">
        <v>26</v>
      </c>
      <c r="F64" s="27"/>
      <c r="G64" s="27"/>
      <c r="H64" s="28">
        <v>130</v>
      </c>
      <c r="I64" s="28">
        <v>282</v>
      </c>
      <c r="J64" s="28">
        <f>SUM($G$64:$I$64)</f>
        <v>412</v>
      </c>
      <c r="K64" s="58">
        <f t="array" ref="K64">INDEX(М[Цена за ед., руб],MATCH(1,IF(($B64=М[Наим.])*($C64=М[Артикул, марка, произв.])*($D64=М[Хар-ка])*($M64=М[Прим.]),{1},($B64=М[Наим.])*($C64=М[Артикул, марка, произв.])*($D64=М[Хар-ка])*($M64=М[Прим.])),0))</f>
        <v>0</v>
      </c>
      <c r="L64" s="58">
        <f>ROUND($J$64*$K$64,2)</f>
        <v>0</v>
      </c>
      <c r="M64" s="25"/>
      <c r="N64" s="25">
        <f t="array" ref="N64">INDEX(М[Форма закупа],MATCH(1,IF(($B64=М[Наим.])*($C64=М[Артикул, марка, произв.])*($D64=М[Хар-ка])*($M64=М[Прим.]),{1},($B64=М[Наим.])*($C64=М[Артикул, марка, произв.])*($D64=М[Хар-ка])*($M64=М[Прим.])),0))</f>
        <v>0</v>
      </c>
    </row>
    <row r="65" spans="1:14" outlineLevel="4" x14ac:dyDescent="0.2">
      <c r="A65" s="20"/>
      <c r="B65" s="14" t="s">
        <v>24</v>
      </c>
      <c r="C65" s="21"/>
      <c r="D65" s="21"/>
      <c r="E65" s="21"/>
      <c r="F65" s="21"/>
      <c r="G65" s="21"/>
      <c r="H65" s="21"/>
      <c r="I65" s="21"/>
      <c r="J65" s="21"/>
      <c r="K65" s="56"/>
      <c r="L65" s="57">
        <f>SUM($L$66)</f>
        <v>0</v>
      </c>
      <c r="M65" s="18"/>
      <c r="N65" s="22"/>
    </row>
    <row r="66" spans="1:14" ht="22.5" outlineLevel="4" x14ac:dyDescent="0.2">
      <c r="A66" s="23"/>
      <c r="B66" s="24" t="s">
        <v>90</v>
      </c>
      <c r="C66" s="25"/>
      <c r="D66" s="25"/>
      <c r="E66" s="26" t="s">
        <v>26</v>
      </c>
      <c r="F66" s="27"/>
      <c r="G66" s="28">
        <v>149</v>
      </c>
      <c r="H66" s="28">
        <v>81</v>
      </c>
      <c r="I66" s="28">
        <v>157</v>
      </c>
      <c r="J66" s="28">
        <f>SUM($G$66:$I$66)</f>
        <v>387</v>
      </c>
      <c r="K66" s="58">
        <f t="array" ref="K66">INDEX(Р[Цена за ед., руб],MATCH(1,IF(($B66=Р[Наименование])*($M66=Р[Примечание]),{1},($B66=Р[Наименование])*($M66=Р[Примечание])),0))</f>
        <v>0</v>
      </c>
      <c r="L66" s="58">
        <f>ROUND($J$66*$K$66,2)</f>
        <v>0</v>
      </c>
      <c r="M66" s="25"/>
      <c r="N66" s="25"/>
    </row>
    <row r="67" spans="1:14" outlineLevel="4" x14ac:dyDescent="0.2">
      <c r="A67" s="20"/>
      <c r="B67" s="14" t="s">
        <v>29</v>
      </c>
      <c r="C67" s="21"/>
      <c r="D67" s="21"/>
      <c r="E67" s="21"/>
      <c r="F67" s="21"/>
      <c r="G67" s="21"/>
      <c r="H67" s="21"/>
      <c r="I67" s="21"/>
      <c r="J67" s="21"/>
      <c r="K67" s="56"/>
      <c r="L67" s="57">
        <f>SUM(L68:L78)</f>
        <v>0</v>
      </c>
      <c r="M67" s="18"/>
      <c r="N67" s="22"/>
    </row>
    <row r="68" spans="1:14" ht="33.75" outlineLevel="4" x14ac:dyDescent="0.2">
      <c r="A68" s="23">
        <v>1</v>
      </c>
      <c r="B68" s="24" t="s">
        <v>87</v>
      </c>
      <c r="C68" s="25" t="s">
        <v>56</v>
      </c>
      <c r="D68" s="25" t="s">
        <v>93</v>
      </c>
      <c r="E68" s="26" t="s">
        <v>26</v>
      </c>
      <c r="F68" s="27"/>
      <c r="G68" s="28">
        <v>25</v>
      </c>
      <c r="H68" s="27"/>
      <c r="I68" s="27"/>
      <c r="J68" s="28">
        <f>SUM($G$68:$I$68)</f>
        <v>25</v>
      </c>
      <c r="K68" s="58">
        <f t="array" ref="K68">INDEX(М[Цена за ед., руб],MATCH(1,IF(($B68=М[Наим.])*($C68=М[Артикул, марка, произв.])*($D68=М[Хар-ка])*($M68=М[Прим.]),{1},($B68=М[Наим.])*($C68=М[Артикул, марка, произв.])*($D68=М[Хар-ка])*($M68=М[Прим.])),0))</f>
        <v>0</v>
      </c>
      <c r="L68" s="58">
        <f>ROUND($J$68*$K$68,2)</f>
        <v>0</v>
      </c>
      <c r="M68" s="25"/>
      <c r="N68" s="25">
        <f t="array" ref="N68">INDEX(М[Форма закупа],MATCH(1,IF(($B68=М[Наим.])*($C68=М[Артикул, марка, произв.])*($D68=М[Хар-ка])*($M68=М[Прим.]),{1},($B68=М[Наим.])*($C68=М[Артикул, марка, произв.])*($D68=М[Хар-ка])*($M68=М[Прим.])),0))</f>
        <v>0</v>
      </c>
    </row>
    <row r="69" spans="1:14" ht="33.75" outlineLevel="4" x14ac:dyDescent="0.2">
      <c r="A69" s="23">
        <v>2</v>
      </c>
      <c r="B69" s="24" t="s">
        <v>87</v>
      </c>
      <c r="C69" s="25" t="s">
        <v>56</v>
      </c>
      <c r="D69" s="25" t="s">
        <v>94</v>
      </c>
      <c r="E69" s="26" t="s">
        <v>26</v>
      </c>
      <c r="F69" s="27"/>
      <c r="G69" s="28">
        <v>12</v>
      </c>
      <c r="H69" s="27"/>
      <c r="I69" s="27"/>
      <c r="J69" s="28">
        <f>SUM($G$69:$I$69)</f>
        <v>12</v>
      </c>
      <c r="K69" s="58">
        <f t="array" ref="K69">INDEX(М[Цена за ед., руб],MATCH(1,IF(($B69=М[Наим.])*($C69=М[Артикул, марка, произв.])*($D69=М[Хар-ка])*($M69=М[Прим.]),{1},($B69=М[Наим.])*($C69=М[Артикул, марка, произв.])*($D69=М[Хар-ка])*($M69=М[Прим.])),0))</f>
        <v>0</v>
      </c>
      <c r="L69" s="58">
        <f>ROUND($J$69*$K$69,2)</f>
        <v>0</v>
      </c>
      <c r="M69" s="25"/>
      <c r="N69" s="25">
        <f t="array" ref="N69">INDEX(М[Форма закупа],MATCH(1,IF(($B69=М[Наим.])*($C69=М[Артикул, марка, произв.])*($D69=М[Хар-ка])*($M69=М[Прим.]),{1},($B69=М[Наим.])*($C69=М[Артикул, марка, произв.])*($D69=М[Хар-ка])*($M69=М[Прим.])),0))</f>
        <v>0</v>
      </c>
    </row>
    <row r="70" spans="1:14" ht="33.75" outlineLevel="4" x14ac:dyDescent="0.2">
      <c r="A70" s="23">
        <v>3</v>
      </c>
      <c r="B70" s="24" t="s">
        <v>87</v>
      </c>
      <c r="C70" s="25" t="s">
        <v>56</v>
      </c>
      <c r="D70" s="25" t="s">
        <v>95</v>
      </c>
      <c r="E70" s="26" t="s">
        <v>26</v>
      </c>
      <c r="F70" s="27"/>
      <c r="G70" s="28">
        <v>4</v>
      </c>
      <c r="H70" s="27"/>
      <c r="I70" s="27"/>
      <c r="J70" s="28">
        <f>SUM($G$70:$I$70)</f>
        <v>4</v>
      </c>
      <c r="K70" s="58">
        <f t="array" ref="K70">INDEX(М[Цена за ед., руб],MATCH(1,IF(($B70=М[Наим.])*($C70=М[Артикул, марка, произв.])*($D70=М[Хар-ка])*($M70=М[Прим.]),{1},($B70=М[Наим.])*($C70=М[Артикул, марка, произв.])*($D70=М[Хар-ка])*($M70=М[Прим.])),0))</f>
        <v>0</v>
      </c>
      <c r="L70" s="58">
        <f>ROUND($J$70*$K$70,2)</f>
        <v>0</v>
      </c>
      <c r="M70" s="25"/>
      <c r="N70" s="25">
        <f t="array" ref="N70">INDEX(М[Форма закупа],MATCH(1,IF(($B70=М[Наим.])*($C70=М[Артикул, марка, произв.])*($D70=М[Хар-ка])*($M70=М[Прим.]),{1},($B70=М[Наим.])*($C70=М[Артикул, марка, произв.])*($D70=М[Хар-ка])*($M70=М[Прим.])),0))</f>
        <v>0</v>
      </c>
    </row>
    <row r="71" spans="1:14" ht="33.75" outlineLevel="4" x14ac:dyDescent="0.2">
      <c r="A71" s="23">
        <v>4</v>
      </c>
      <c r="B71" s="24" t="s">
        <v>87</v>
      </c>
      <c r="C71" s="25" t="s">
        <v>56</v>
      </c>
      <c r="D71" s="25" t="s">
        <v>96</v>
      </c>
      <c r="E71" s="26" t="s">
        <v>26</v>
      </c>
      <c r="F71" s="27"/>
      <c r="G71" s="28">
        <v>2</v>
      </c>
      <c r="H71" s="27"/>
      <c r="I71" s="27"/>
      <c r="J71" s="28">
        <f>SUM($G$71:$I$71)</f>
        <v>2</v>
      </c>
      <c r="K71" s="58">
        <f t="array" ref="K71">INDEX(М[Цена за ед., руб],MATCH(1,IF(($B71=М[Наим.])*($C71=М[Артикул, марка, произв.])*($D71=М[Хар-ка])*($M71=М[Прим.]),{1},($B71=М[Наим.])*($C71=М[Артикул, марка, произв.])*($D71=М[Хар-ка])*($M71=М[Прим.])),0))</f>
        <v>0</v>
      </c>
      <c r="L71" s="58">
        <f>ROUND($J$71*$K$71,2)</f>
        <v>0</v>
      </c>
      <c r="M71" s="25"/>
      <c r="N71" s="25">
        <f t="array" ref="N71">INDEX(М[Форма закупа],MATCH(1,IF(($B71=М[Наим.])*($C71=М[Артикул, марка, произв.])*($D71=М[Хар-ка])*($M71=М[Прим.]),{1},($B71=М[Наим.])*($C71=М[Артикул, марка, произв.])*($D71=М[Хар-ка])*($M71=М[Прим.])),0))</f>
        <v>0</v>
      </c>
    </row>
    <row r="72" spans="1:14" ht="22.5" outlineLevel="4" x14ac:dyDescent="0.2">
      <c r="A72" s="23">
        <v>5</v>
      </c>
      <c r="B72" s="24" t="s">
        <v>87</v>
      </c>
      <c r="C72" s="25" t="s">
        <v>56</v>
      </c>
      <c r="D72" s="25" t="s">
        <v>97</v>
      </c>
      <c r="E72" s="26" t="s">
        <v>26</v>
      </c>
      <c r="F72" s="27"/>
      <c r="G72" s="28">
        <v>4</v>
      </c>
      <c r="H72" s="27"/>
      <c r="I72" s="27"/>
      <c r="J72" s="28">
        <f>SUM($G$72:$I$72)</f>
        <v>4</v>
      </c>
      <c r="K72" s="58">
        <f t="array" ref="K72">INDEX(М[Цена за ед., руб],MATCH(1,IF(($B72=М[Наим.])*($C72=М[Артикул, марка, произв.])*($D72=М[Хар-ка])*($M72=М[Прим.]),{1},($B72=М[Наим.])*($C72=М[Артикул, марка, произв.])*($D72=М[Хар-ка])*($M72=М[Прим.])),0))</f>
        <v>0</v>
      </c>
      <c r="L72" s="58">
        <f>ROUND($J$72*$K$72,2)</f>
        <v>0</v>
      </c>
      <c r="M72" s="25"/>
      <c r="N72" s="25">
        <f t="array" ref="N72">INDEX(М[Форма закупа],MATCH(1,IF(($B72=М[Наим.])*($C72=М[Артикул, марка, произв.])*($D72=М[Хар-ка])*($M72=М[Прим.]),{1},($B72=М[Наим.])*($C72=М[Артикул, марка, произв.])*($D72=М[Хар-ка])*($M72=М[Прим.])),0))</f>
        <v>0</v>
      </c>
    </row>
    <row r="73" spans="1:14" ht="22.5" outlineLevel="4" x14ac:dyDescent="0.2">
      <c r="A73" s="23">
        <v>6</v>
      </c>
      <c r="B73" s="24" t="s">
        <v>87</v>
      </c>
      <c r="C73" s="25" t="s">
        <v>56</v>
      </c>
      <c r="D73" s="25" t="s">
        <v>98</v>
      </c>
      <c r="E73" s="26" t="s">
        <v>26</v>
      </c>
      <c r="F73" s="27"/>
      <c r="G73" s="28">
        <v>95</v>
      </c>
      <c r="H73" s="28">
        <v>8</v>
      </c>
      <c r="I73" s="28">
        <v>8</v>
      </c>
      <c r="J73" s="28">
        <f>SUM($G$73:$I$73)</f>
        <v>111</v>
      </c>
      <c r="K73" s="58">
        <f t="array" ref="K73">INDEX(М[Цена за ед., руб],MATCH(1,IF(($B73=М[Наим.])*($C73=М[Артикул, марка, произв.])*($D73=М[Хар-ка])*($M73=М[Прим.]),{1},($B73=М[Наим.])*($C73=М[Артикул, марка, произв.])*($D73=М[Хар-ка])*($M73=М[Прим.])),0))</f>
        <v>0</v>
      </c>
      <c r="L73" s="58">
        <f>ROUND($J$73*$K$73,2)</f>
        <v>0</v>
      </c>
      <c r="M73" s="25"/>
      <c r="N73" s="25">
        <f t="array" ref="N73">INDEX(М[Форма закупа],MATCH(1,IF(($B73=М[Наим.])*($C73=М[Артикул, марка, произв.])*($D73=М[Хар-ка])*($M73=М[Прим.]),{1},($B73=М[Наим.])*($C73=М[Артикул, марка, произв.])*($D73=М[Хар-ка])*($M73=М[Прим.])),0))</f>
        <v>0</v>
      </c>
    </row>
    <row r="74" spans="1:14" ht="22.5" outlineLevel="4" x14ac:dyDescent="0.2">
      <c r="A74" s="23">
        <v>7</v>
      </c>
      <c r="B74" s="24" t="s">
        <v>87</v>
      </c>
      <c r="C74" s="25" t="s">
        <v>56</v>
      </c>
      <c r="D74" s="25" t="s">
        <v>99</v>
      </c>
      <c r="E74" s="26" t="s">
        <v>26</v>
      </c>
      <c r="F74" s="27"/>
      <c r="G74" s="28">
        <v>4</v>
      </c>
      <c r="H74" s="27"/>
      <c r="I74" s="27"/>
      <c r="J74" s="28">
        <f>SUM($G$74:$I$74)</f>
        <v>4</v>
      </c>
      <c r="K74" s="58">
        <f t="array" ref="K74">INDEX(М[Цена за ед., руб],MATCH(1,IF(($B74=М[Наим.])*($C74=М[Артикул, марка, произв.])*($D74=М[Хар-ка])*($M74=М[Прим.]),{1},($B74=М[Наим.])*($C74=М[Артикул, марка, произв.])*($D74=М[Хар-ка])*($M74=М[Прим.])),0))</f>
        <v>0</v>
      </c>
      <c r="L74" s="58">
        <f>ROUND($J$74*$K$74,2)</f>
        <v>0</v>
      </c>
      <c r="M74" s="25"/>
      <c r="N74" s="25">
        <f t="array" ref="N74">INDEX(М[Форма закупа],MATCH(1,IF(($B74=М[Наим.])*($C74=М[Артикул, марка, произв.])*($D74=М[Хар-ка])*($M74=М[Прим.]),{1},($B74=М[Наим.])*($C74=М[Артикул, марка, произв.])*($D74=М[Хар-ка])*($M74=М[Прим.])),0))</f>
        <v>0</v>
      </c>
    </row>
    <row r="75" spans="1:14" ht="22.5" outlineLevel="4" x14ac:dyDescent="0.2">
      <c r="A75" s="23">
        <v>8</v>
      </c>
      <c r="B75" s="24" t="s">
        <v>87</v>
      </c>
      <c r="C75" s="25"/>
      <c r="D75" s="25" t="s">
        <v>100</v>
      </c>
      <c r="E75" s="26" t="s">
        <v>26</v>
      </c>
      <c r="F75" s="27"/>
      <c r="G75" s="27"/>
      <c r="H75" s="27"/>
      <c r="I75" s="28">
        <v>3</v>
      </c>
      <c r="J75" s="28">
        <f>SUM($G$75:$I$75)</f>
        <v>3</v>
      </c>
      <c r="K75" s="58">
        <f t="array" ref="K75">INDEX(М[Цена за ед., руб],MATCH(1,IF(($B75=М[Наим.])*($C75=М[Артикул, марка, произв.])*($D75=М[Хар-ка])*($M75=М[Прим.]),{1},($B75=М[Наим.])*($C75=М[Артикул, марка, произв.])*($D75=М[Хар-ка])*($M75=М[Прим.])),0))</f>
        <v>0</v>
      </c>
      <c r="L75" s="58">
        <f>ROUND($J$75*$K$75,2)</f>
        <v>0</v>
      </c>
      <c r="M75" s="25" t="s">
        <v>101</v>
      </c>
      <c r="N75" s="25">
        <f t="array" ref="N75">INDEX(М[Форма закупа],MATCH(1,IF(($B75=М[Наим.])*($C75=М[Артикул, марка, произв.])*($D75=М[Хар-ка])*($M75=М[Прим.]),{1},($B75=М[Наим.])*($C75=М[Артикул, марка, произв.])*($D75=М[Хар-ка])*($M75=М[Прим.])),0))</f>
        <v>0</v>
      </c>
    </row>
    <row r="76" spans="1:14" ht="22.5" outlineLevel="4" x14ac:dyDescent="0.2">
      <c r="A76" s="23">
        <v>9</v>
      </c>
      <c r="B76" s="24" t="s">
        <v>87</v>
      </c>
      <c r="C76" s="25" t="s">
        <v>56</v>
      </c>
      <c r="D76" s="25" t="s">
        <v>100</v>
      </c>
      <c r="E76" s="26" t="s">
        <v>26</v>
      </c>
      <c r="F76" s="27"/>
      <c r="G76" s="27"/>
      <c r="H76" s="28">
        <v>65</v>
      </c>
      <c r="I76" s="28">
        <v>138</v>
      </c>
      <c r="J76" s="28">
        <f>SUM($G$76:$I$76)</f>
        <v>203</v>
      </c>
      <c r="K76" s="58">
        <f t="array" ref="K76">INDEX(М[Цена за ед., руб],MATCH(1,IF(($B76=М[Наим.])*($C76=М[Артикул, марка, произв.])*($D76=М[Хар-ка])*($M76=М[Прим.]),{1},($B76=М[Наим.])*($C76=М[Артикул, марка, произв.])*($D76=М[Хар-ка])*($M76=М[Прим.])),0))</f>
        <v>0</v>
      </c>
      <c r="L76" s="58">
        <f>ROUND($J$76*$K$76,2)</f>
        <v>0</v>
      </c>
      <c r="M76" s="25" t="s">
        <v>101</v>
      </c>
      <c r="N76" s="25">
        <f t="array" ref="N76">INDEX(М[Форма закупа],MATCH(1,IF(($B76=М[Наим.])*($C76=М[Артикул, марка, произв.])*($D76=М[Хар-ка])*($M76=М[Прим.]),{1},($B76=М[Наим.])*($C76=М[Артикул, марка, произв.])*($D76=М[Хар-ка])*($M76=М[Прим.])),0))</f>
        <v>0</v>
      </c>
    </row>
    <row r="77" spans="1:14" ht="22.5" outlineLevel="4" x14ac:dyDescent="0.2">
      <c r="A77" s="23">
        <v>10</v>
      </c>
      <c r="B77" s="24" t="s">
        <v>87</v>
      </c>
      <c r="C77" s="25" t="s">
        <v>56</v>
      </c>
      <c r="D77" s="25" t="s">
        <v>100</v>
      </c>
      <c r="E77" s="26" t="s">
        <v>26</v>
      </c>
      <c r="F77" s="27"/>
      <c r="G77" s="27"/>
      <c r="H77" s="28">
        <v>8</v>
      </c>
      <c r="I77" s="28">
        <v>8</v>
      </c>
      <c r="J77" s="28">
        <f>SUM($G$77:$I$77)</f>
        <v>16</v>
      </c>
      <c r="K77" s="58">
        <f t="array" ref="K77">INDEX(М[Цена за ед., руб],MATCH(1,IF(($B77=М[Наим.])*($C77=М[Артикул, марка, произв.])*($D77=М[Хар-ка])*($M77=М[Прим.]),{1},($B77=М[Наим.])*($C77=М[Артикул, марка, произв.])*($D77=М[Хар-ка])*($M77=М[Прим.])),0))</f>
        <v>0</v>
      </c>
      <c r="L77" s="58">
        <f>ROUND($J$77*$K$77,2)</f>
        <v>0</v>
      </c>
      <c r="M77" s="25"/>
      <c r="N77" s="25">
        <f t="array" ref="N77">INDEX(М[Форма закупа],MATCH(1,IF(($B77=М[Наим.])*($C77=М[Артикул, марка, произв.])*($D77=М[Хар-ка])*($M77=М[Прим.]),{1},($B77=М[Наим.])*($C77=М[Артикул, марка, произв.])*($D77=М[Хар-ка])*($M77=М[Прим.])),0))</f>
        <v>0</v>
      </c>
    </row>
    <row r="78" spans="1:14" ht="22.5" outlineLevel="4" x14ac:dyDescent="0.2">
      <c r="A78" s="23">
        <v>11</v>
      </c>
      <c r="B78" s="24" t="s">
        <v>102</v>
      </c>
      <c r="C78" s="25"/>
      <c r="D78" s="25" t="s">
        <v>103</v>
      </c>
      <c r="E78" s="26" t="s">
        <v>26</v>
      </c>
      <c r="F78" s="27"/>
      <c r="G78" s="28">
        <v>3</v>
      </c>
      <c r="H78" s="27"/>
      <c r="I78" s="27"/>
      <c r="J78" s="28">
        <f>SUM($G$78:$I$78)</f>
        <v>3</v>
      </c>
      <c r="K78" s="58">
        <f t="array" ref="K78">INDEX(М[Цена за ед., руб],MATCH(1,IF(($B78=М[Наим.])*($C78=М[Артикул, марка, произв.])*($D78=М[Хар-ка])*($M78=М[Прим.]),{1},($B78=М[Наим.])*($C78=М[Артикул, марка, произв.])*($D78=М[Хар-ка])*($M78=М[Прим.])),0))</f>
        <v>0</v>
      </c>
      <c r="L78" s="58">
        <f>ROUND($J$78*$K$78,2)</f>
        <v>0</v>
      </c>
      <c r="M78" s="25"/>
      <c r="N78" s="25">
        <f t="array" ref="N78">INDEX(М[Форма закупа],MATCH(1,IF(($B78=М[Наим.])*($C78=М[Артикул, марка, произв.])*($D78=М[Хар-ка])*($M78=М[Прим.]),{1},($B78=М[Наим.])*($C78=М[Артикул, марка, произв.])*($D78=М[Хар-ка])*($M78=М[Прим.])),0))</f>
        <v>0</v>
      </c>
    </row>
    <row r="79" spans="1:14" outlineLevel="4" x14ac:dyDescent="0.2">
      <c r="A79" s="20"/>
      <c r="B79" s="14" t="s">
        <v>24</v>
      </c>
      <c r="C79" s="21"/>
      <c r="D79" s="21"/>
      <c r="E79" s="21"/>
      <c r="F79" s="21"/>
      <c r="G79" s="21"/>
      <c r="H79" s="21"/>
      <c r="I79" s="21"/>
      <c r="J79" s="21"/>
      <c r="K79" s="56"/>
      <c r="L79" s="57">
        <f>SUM($L$80)</f>
        <v>0</v>
      </c>
      <c r="M79" s="18"/>
      <c r="N79" s="22"/>
    </row>
    <row r="80" spans="1:14" ht="22.5" outlineLevel="4" x14ac:dyDescent="0.2">
      <c r="A80" s="23"/>
      <c r="B80" s="24" t="s">
        <v>104</v>
      </c>
      <c r="C80" s="25"/>
      <c r="D80" s="25"/>
      <c r="E80" s="26" t="s">
        <v>26</v>
      </c>
      <c r="F80" s="27"/>
      <c r="G80" s="28">
        <v>27</v>
      </c>
      <c r="H80" s="27"/>
      <c r="I80" s="27"/>
      <c r="J80" s="28">
        <f>SUM($G$80:$I$80)</f>
        <v>27</v>
      </c>
      <c r="K80" s="58">
        <f t="array" ref="K80">INDEX(Р[Цена за ед., руб],MATCH(1,IF(($B80=Р[Наименование])*($M80=Р[Примечание]),{1},($B80=Р[Наименование])*($M80=Р[Примечание])),0))</f>
        <v>0</v>
      </c>
      <c r="L80" s="58">
        <f>ROUND($J$80*$K$80,2)</f>
        <v>0</v>
      </c>
      <c r="M80" s="25"/>
      <c r="N80" s="25"/>
    </row>
    <row r="81" spans="1:14" outlineLevel="4" x14ac:dyDescent="0.2">
      <c r="A81" s="20"/>
      <c r="B81" s="14" t="s">
        <v>29</v>
      </c>
      <c r="C81" s="21"/>
      <c r="D81" s="21"/>
      <c r="E81" s="21"/>
      <c r="F81" s="21"/>
      <c r="G81" s="21"/>
      <c r="H81" s="21"/>
      <c r="I81" s="21"/>
      <c r="J81" s="21"/>
      <c r="K81" s="56"/>
      <c r="L81" s="57">
        <f>SUM($L$82:$L$87)</f>
        <v>0</v>
      </c>
      <c r="M81" s="18"/>
      <c r="N81" s="22"/>
    </row>
    <row r="82" spans="1:14" ht="22.5" outlineLevel="4" x14ac:dyDescent="0.2">
      <c r="A82" s="23" t="s">
        <v>30</v>
      </c>
      <c r="B82" s="24" t="s">
        <v>87</v>
      </c>
      <c r="C82" s="25" t="s">
        <v>56</v>
      </c>
      <c r="D82" s="25" t="s">
        <v>105</v>
      </c>
      <c r="E82" s="26" t="s">
        <v>26</v>
      </c>
      <c r="F82" s="27"/>
      <c r="G82" s="28">
        <v>8</v>
      </c>
      <c r="H82" s="27"/>
      <c r="I82" s="27"/>
      <c r="J82" s="28">
        <f>SUM($G$82:$I$82)</f>
        <v>8</v>
      </c>
      <c r="K82" s="58">
        <f t="array" ref="K82">INDEX(М[Цена за ед., руб],MATCH(1,IF(($B82=М[Наим.])*($C82=М[Артикул, марка, произв.])*($D82=М[Хар-ка])*($M82=М[Прим.]),{1},($B82=М[Наим.])*($C82=М[Артикул, марка, произв.])*($D82=М[Хар-ка])*($M82=М[Прим.])),0))</f>
        <v>0</v>
      </c>
      <c r="L82" s="58">
        <f>ROUND($J$82*$K$82,2)</f>
        <v>0</v>
      </c>
      <c r="M82" s="25"/>
      <c r="N82" s="25">
        <f t="array" ref="N82">INDEX(М[Форма закупа],MATCH(1,IF(($B82=М[Наим.])*($C82=М[Артикул, марка, произв.])*($D82=М[Хар-ка])*($M82=М[Прим.]),{1},($B82=М[Наим.])*($C82=М[Артикул, марка, произв.])*($D82=М[Хар-ка])*($M82=М[Прим.])),0))</f>
        <v>0</v>
      </c>
    </row>
    <row r="83" spans="1:14" ht="33.75" outlineLevel="4" x14ac:dyDescent="0.2">
      <c r="A83" s="23" t="s">
        <v>35</v>
      </c>
      <c r="B83" s="24" t="s">
        <v>87</v>
      </c>
      <c r="C83" s="25" t="s">
        <v>106</v>
      </c>
      <c r="D83" s="25" t="s">
        <v>107</v>
      </c>
      <c r="E83" s="26" t="s">
        <v>26</v>
      </c>
      <c r="F83" s="27"/>
      <c r="G83" s="28">
        <v>1</v>
      </c>
      <c r="H83" s="27"/>
      <c r="I83" s="27"/>
      <c r="J83" s="28">
        <f>SUM($G$83:$I$83)</f>
        <v>1</v>
      </c>
      <c r="K83" s="58">
        <f t="array" ref="K83">INDEX(М[Цена за ед., руб],MATCH(1,IF(($B83=М[Наим.])*($C83=М[Артикул, марка, произв.])*($D83=М[Хар-ка])*($M83=М[Прим.]),{1},($B83=М[Наим.])*($C83=М[Артикул, марка, произв.])*($D83=М[Хар-ка])*($M83=М[Прим.])),0))</f>
        <v>0</v>
      </c>
      <c r="L83" s="58">
        <f>ROUND($J$83*$K$83,2)</f>
        <v>0</v>
      </c>
      <c r="M83" s="25"/>
      <c r="N83" s="25">
        <f t="array" ref="N83">INDEX(М[Форма закупа],MATCH(1,IF(($B83=М[Наим.])*($C83=М[Артикул, марка, произв.])*($D83=М[Хар-ка])*($M83=М[Прим.]),{1},($B83=М[Наим.])*($C83=М[Артикул, марка, произв.])*($D83=М[Хар-ка])*($M83=М[Прим.])),0))</f>
        <v>0</v>
      </c>
    </row>
    <row r="84" spans="1:14" ht="33.75" outlineLevel="4" x14ac:dyDescent="0.2">
      <c r="A84" s="23" t="s">
        <v>37</v>
      </c>
      <c r="B84" s="24" t="s">
        <v>87</v>
      </c>
      <c r="C84" s="25" t="s">
        <v>106</v>
      </c>
      <c r="D84" s="25" t="s">
        <v>108</v>
      </c>
      <c r="E84" s="26" t="s">
        <v>26</v>
      </c>
      <c r="F84" s="27"/>
      <c r="G84" s="28">
        <v>3</v>
      </c>
      <c r="H84" s="27"/>
      <c r="I84" s="27"/>
      <c r="J84" s="28">
        <f>SUM($G$84:$I$84)</f>
        <v>3</v>
      </c>
      <c r="K84" s="58">
        <f t="array" ref="K84">INDEX(М[Цена за ед., руб],MATCH(1,IF(($B84=М[Наим.])*($C84=М[Артикул, марка, произв.])*($D84=М[Хар-ка])*($M84=М[Прим.]),{1},($B84=М[Наим.])*($C84=М[Артикул, марка, произв.])*($D84=М[Хар-ка])*($M84=М[Прим.])),0))</f>
        <v>0</v>
      </c>
      <c r="L84" s="58">
        <f>ROUND($J$84*$K$84,2)</f>
        <v>0</v>
      </c>
      <c r="M84" s="25"/>
      <c r="N84" s="25">
        <f t="array" ref="N84">INDEX(М[Форма закупа],MATCH(1,IF(($B84=М[Наим.])*($C84=М[Артикул, марка, произв.])*($D84=М[Хар-ка])*($M84=М[Прим.]),{1},($B84=М[Наим.])*($C84=М[Артикул, марка, произв.])*($D84=М[Хар-ка])*($M84=М[Прим.])),0))</f>
        <v>0</v>
      </c>
    </row>
    <row r="85" spans="1:14" ht="33.75" outlineLevel="4" x14ac:dyDescent="0.2">
      <c r="A85" s="23" t="s">
        <v>39</v>
      </c>
      <c r="B85" s="24" t="s">
        <v>87</v>
      </c>
      <c r="C85" s="25" t="s">
        <v>106</v>
      </c>
      <c r="D85" s="25" t="s">
        <v>109</v>
      </c>
      <c r="E85" s="26" t="s">
        <v>26</v>
      </c>
      <c r="F85" s="27"/>
      <c r="G85" s="28">
        <v>1</v>
      </c>
      <c r="H85" s="27"/>
      <c r="I85" s="27"/>
      <c r="J85" s="28">
        <f>SUM($G$85:$I$85)</f>
        <v>1</v>
      </c>
      <c r="K85" s="58">
        <f t="array" ref="K85">INDEX(М[Цена за ед., руб],MATCH(1,IF(($B85=М[Наим.])*($C85=М[Артикул, марка, произв.])*($D85=М[Хар-ка])*($M85=М[Прим.]),{1},($B85=М[Наим.])*($C85=М[Артикул, марка, произв.])*($D85=М[Хар-ка])*($M85=М[Прим.])),0))</f>
        <v>0</v>
      </c>
      <c r="L85" s="58">
        <f>ROUND($J$85*$K$85,2)</f>
        <v>0</v>
      </c>
      <c r="M85" s="25"/>
      <c r="N85" s="25">
        <f t="array" ref="N85">INDEX(М[Форма закупа],MATCH(1,IF(($B85=М[Наим.])*($C85=М[Артикул, марка, произв.])*($D85=М[Хар-ка])*($M85=М[Прим.]),{1},($B85=М[Наим.])*($C85=М[Артикул, марка, произв.])*($D85=М[Хар-ка])*($M85=М[Прим.])),0))</f>
        <v>0</v>
      </c>
    </row>
    <row r="86" spans="1:14" outlineLevel="4" x14ac:dyDescent="0.2">
      <c r="A86" s="23" t="s">
        <v>41</v>
      </c>
      <c r="B86" s="24" t="s">
        <v>87</v>
      </c>
      <c r="C86" s="25" t="s">
        <v>106</v>
      </c>
      <c r="D86" s="25" t="s">
        <v>110</v>
      </c>
      <c r="E86" s="26" t="s">
        <v>26</v>
      </c>
      <c r="F86" s="27"/>
      <c r="G86" s="28">
        <v>9</v>
      </c>
      <c r="H86" s="27"/>
      <c r="I86" s="27"/>
      <c r="J86" s="28">
        <f>SUM($G$86:$I$86)</f>
        <v>9</v>
      </c>
      <c r="K86" s="58">
        <f t="array" ref="K86">INDEX(М[Цена за ед., руб],MATCH(1,IF(($B86=М[Наим.])*($C86=М[Артикул, марка, произв.])*($D86=М[Хар-ка])*($M86=М[Прим.]),{1},($B86=М[Наим.])*($C86=М[Артикул, марка, произв.])*($D86=М[Хар-ка])*($M86=М[Прим.])),0))</f>
        <v>0</v>
      </c>
      <c r="L86" s="58">
        <f>ROUND($J$86*$K$86,2)</f>
        <v>0</v>
      </c>
      <c r="M86" s="25"/>
      <c r="N86" s="25">
        <f t="array" ref="N86">INDEX(М[Форма закупа],MATCH(1,IF(($B86=М[Наим.])*($C86=М[Артикул, марка, произв.])*($D86=М[Хар-ка])*($M86=М[Прим.]),{1},($B86=М[Наим.])*($C86=М[Артикул, марка, произв.])*($D86=М[Хар-ка])*($M86=М[Прим.])),0))</f>
        <v>0</v>
      </c>
    </row>
    <row r="87" spans="1:14" ht="22.5" outlineLevel="4" x14ac:dyDescent="0.2">
      <c r="A87" s="23" t="s">
        <v>43</v>
      </c>
      <c r="B87" s="24" t="s">
        <v>87</v>
      </c>
      <c r="C87" s="25" t="s">
        <v>106</v>
      </c>
      <c r="D87" s="25" t="s">
        <v>111</v>
      </c>
      <c r="E87" s="26" t="s">
        <v>26</v>
      </c>
      <c r="F87" s="27"/>
      <c r="G87" s="28">
        <v>5</v>
      </c>
      <c r="H87" s="27"/>
      <c r="I87" s="27"/>
      <c r="J87" s="28">
        <f>SUM($G$87:$I$87)</f>
        <v>5</v>
      </c>
      <c r="K87" s="58">
        <f t="array" ref="K87">INDEX(М[Цена за ед., руб],MATCH(1,IF(($B87=М[Наим.])*($C87=М[Артикул, марка, произв.])*($D87=М[Хар-ка])*($M87=М[Прим.]),{1},($B87=М[Наим.])*($C87=М[Артикул, марка, произв.])*($D87=М[Хар-ка])*($M87=М[Прим.])),0))</f>
        <v>0</v>
      </c>
      <c r="L87" s="58">
        <f>ROUND($J$87*$K$87,2)</f>
        <v>0</v>
      </c>
      <c r="M87" s="25"/>
      <c r="N87" s="25">
        <f t="array" ref="N87">INDEX(М[Форма закупа],MATCH(1,IF(($B87=М[Наим.])*($C87=М[Артикул, марка, произв.])*($D87=М[Хар-ка])*($M87=М[Прим.]),{1},($B87=М[Наим.])*($C87=М[Артикул, марка, произв.])*($D87=М[Хар-ка])*($M87=М[Прим.])),0))</f>
        <v>0</v>
      </c>
    </row>
    <row r="88" spans="1:14" outlineLevel="4" x14ac:dyDescent="0.2">
      <c r="A88" s="20"/>
      <c r="B88" s="14" t="s">
        <v>24</v>
      </c>
      <c r="C88" s="21"/>
      <c r="D88" s="21"/>
      <c r="E88" s="21"/>
      <c r="F88" s="21"/>
      <c r="G88" s="21"/>
      <c r="H88" s="21"/>
      <c r="I88" s="21"/>
      <c r="J88" s="21"/>
      <c r="K88" s="56"/>
      <c r="L88" s="57">
        <f>SUM($L$89)</f>
        <v>0</v>
      </c>
      <c r="M88" s="18"/>
      <c r="N88" s="22"/>
    </row>
    <row r="89" spans="1:14" ht="22.5" outlineLevel="4" x14ac:dyDescent="0.2">
      <c r="A89" s="23"/>
      <c r="B89" s="24" t="s">
        <v>112</v>
      </c>
      <c r="C89" s="25"/>
      <c r="D89" s="25"/>
      <c r="E89" s="26" t="s">
        <v>26</v>
      </c>
      <c r="F89" s="27"/>
      <c r="G89" s="28">
        <v>1</v>
      </c>
      <c r="H89" s="27"/>
      <c r="I89" s="27"/>
      <c r="J89" s="28">
        <f>SUM($G$89:$I$89)</f>
        <v>1</v>
      </c>
      <c r="K89" s="58">
        <f t="array" ref="K89">INDEX(Р[Цена за ед., руб],MATCH(1,IF(($B89=Р[Наименование])*($M89=Р[Примечание]),{1},($B89=Р[Наименование])*($M89=Р[Примечание])),0))</f>
        <v>0</v>
      </c>
      <c r="L89" s="58">
        <f>ROUND($J$89*$K$89,2)</f>
        <v>0</v>
      </c>
      <c r="M89" s="25"/>
      <c r="N89" s="25"/>
    </row>
    <row r="90" spans="1:14" outlineLevel="4" x14ac:dyDescent="0.2">
      <c r="A90" s="20"/>
      <c r="B90" s="14" t="s">
        <v>29</v>
      </c>
      <c r="C90" s="21"/>
      <c r="D90" s="21"/>
      <c r="E90" s="21"/>
      <c r="F90" s="21"/>
      <c r="G90" s="21"/>
      <c r="H90" s="21"/>
      <c r="I90" s="21"/>
      <c r="J90" s="21"/>
      <c r="K90" s="56"/>
      <c r="L90" s="57">
        <f>SUM($L$91)</f>
        <v>0</v>
      </c>
      <c r="M90" s="18"/>
      <c r="N90" s="22"/>
    </row>
    <row r="91" spans="1:14" ht="33.75" outlineLevel="4" x14ac:dyDescent="0.2">
      <c r="A91" s="23" t="s">
        <v>30</v>
      </c>
      <c r="B91" s="24" t="s">
        <v>113</v>
      </c>
      <c r="C91" s="25" t="s">
        <v>114</v>
      </c>
      <c r="D91" s="25" t="s">
        <v>115</v>
      </c>
      <c r="E91" s="26" t="s">
        <v>26</v>
      </c>
      <c r="F91" s="30">
        <v>1</v>
      </c>
      <c r="G91" s="28">
        <v>1</v>
      </c>
      <c r="H91" s="27"/>
      <c r="I91" s="27"/>
      <c r="J91" s="28">
        <f>SUM($G$91:$I$91)</f>
        <v>1</v>
      </c>
      <c r="K91" s="58">
        <f t="array" ref="K91">INDEX(М[Цена за ед., руб],MATCH(1,IF(($B91=М[Наим.])*($C91=М[Артикул, марка, произв.])*($D91=М[Хар-ка])*($M91=М[Прим.]),{1},($B91=М[Наим.])*($C91=М[Артикул, марка, произв.])*($D91=М[Хар-ка])*($M91=М[Прим.])),0))</f>
        <v>0</v>
      </c>
      <c r="L91" s="58">
        <f>ROUND($J$91*$K$91,2)</f>
        <v>0</v>
      </c>
      <c r="M91" s="25" t="s">
        <v>116</v>
      </c>
      <c r="N91" s="25">
        <f t="array" ref="N91">INDEX(М[Форма закупа],MATCH(1,IF(($B91=М[Наим.])*($C91=М[Артикул, марка, произв.])*($D91=М[Хар-ка])*($M91=М[Прим.]),{1},($B91=М[Наим.])*($C91=М[Артикул, марка, произв.])*($D91=М[Хар-ка])*($M91=М[Прим.])),0))</f>
        <v>0</v>
      </c>
    </row>
    <row r="92" spans="1:14" outlineLevel="4" x14ac:dyDescent="0.2">
      <c r="A92" s="20"/>
      <c r="B92" s="14" t="s">
        <v>24</v>
      </c>
      <c r="C92" s="21"/>
      <c r="D92" s="21"/>
      <c r="E92" s="21"/>
      <c r="F92" s="21"/>
      <c r="G92" s="21"/>
      <c r="H92" s="21"/>
      <c r="I92" s="21"/>
      <c r="J92" s="21"/>
      <c r="K92" s="56"/>
      <c r="L92" s="57">
        <f>SUM($L$93)</f>
        <v>0</v>
      </c>
      <c r="M92" s="18"/>
      <c r="N92" s="22"/>
    </row>
    <row r="93" spans="1:14" outlineLevel="4" x14ac:dyDescent="0.2">
      <c r="A93" s="23"/>
      <c r="B93" s="24" t="s">
        <v>117</v>
      </c>
      <c r="C93" s="25"/>
      <c r="D93" s="25"/>
      <c r="E93" s="26" t="s">
        <v>26</v>
      </c>
      <c r="F93" s="27"/>
      <c r="G93" s="28">
        <v>2</v>
      </c>
      <c r="H93" s="27"/>
      <c r="I93" s="27"/>
      <c r="J93" s="28">
        <f>SUM($G$93:$I$93)</f>
        <v>2</v>
      </c>
      <c r="K93" s="58">
        <f t="array" ref="K93">INDEX(Р[Цена за ед., руб],MATCH(1,IF(($B93=Р[Наименование])*($M93=Р[Примечание]),{1},($B93=Р[Наименование])*($M93=Р[Примечание])),0))</f>
        <v>0</v>
      </c>
      <c r="L93" s="58">
        <f>ROUND($J$93*$K$93,2)</f>
        <v>0</v>
      </c>
      <c r="M93" s="25"/>
      <c r="N93" s="25"/>
    </row>
    <row r="94" spans="1:14" outlineLevel="4" x14ac:dyDescent="0.2">
      <c r="A94" s="20"/>
      <c r="B94" s="14" t="s">
        <v>29</v>
      </c>
      <c r="C94" s="21"/>
      <c r="D94" s="21"/>
      <c r="E94" s="21"/>
      <c r="F94" s="21"/>
      <c r="G94" s="21"/>
      <c r="H94" s="21"/>
      <c r="I94" s="21"/>
      <c r="J94" s="21"/>
      <c r="K94" s="56"/>
      <c r="L94" s="57">
        <f>SUM($L$95)</f>
        <v>0</v>
      </c>
      <c r="M94" s="18"/>
      <c r="N94" s="22"/>
    </row>
    <row r="95" spans="1:14" ht="22.5" outlineLevel="4" x14ac:dyDescent="0.2">
      <c r="A95" s="23" t="s">
        <v>30</v>
      </c>
      <c r="B95" s="24" t="s">
        <v>118</v>
      </c>
      <c r="C95" s="25"/>
      <c r="D95" s="25" t="s">
        <v>119</v>
      </c>
      <c r="E95" s="26" t="s">
        <v>26</v>
      </c>
      <c r="F95" s="27"/>
      <c r="G95" s="28">
        <v>2</v>
      </c>
      <c r="H95" s="27"/>
      <c r="I95" s="27"/>
      <c r="J95" s="28">
        <f>SUM($G$95:$I$95)</f>
        <v>2</v>
      </c>
      <c r="K95" s="58">
        <f t="array" ref="K95">INDEX(М[Цена за ед., руб],MATCH(1,IF(($B95=М[Наим.])*($C95=М[Артикул, марка, произв.])*($D95=М[Хар-ка])*($M95=М[Прим.]),{1},($B95=М[Наим.])*($C95=М[Артикул, марка, произв.])*($D95=М[Хар-ка])*($M95=М[Прим.])),0))</f>
        <v>0</v>
      </c>
      <c r="L95" s="58">
        <f>ROUND($J$95*$K$95,2)</f>
        <v>0</v>
      </c>
      <c r="M95" s="25"/>
      <c r="N95" s="25">
        <f t="array" ref="N95">INDEX(М[Форма закупа],MATCH(1,IF(($B95=М[Наим.])*($C95=М[Артикул, марка, произв.])*($D95=М[Хар-ка])*($M95=М[Прим.]),{1},($B95=М[Наим.])*($C95=М[Артикул, марка, произв.])*($D95=М[Хар-ка])*($M95=М[Прим.])),0))</f>
        <v>0</v>
      </c>
    </row>
    <row r="96" spans="1:14" outlineLevel="4" x14ac:dyDescent="0.2">
      <c r="A96" s="20"/>
      <c r="B96" s="14" t="s">
        <v>24</v>
      </c>
      <c r="C96" s="21"/>
      <c r="D96" s="21"/>
      <c r="E96" s="21"/>
      <c r="F96" s="21"/>
      <c r="G96" s="21"/>
      <c r="H96" s="21"/>
      <c r="I96" s="21"/>
      <c r="J96" s="21"/>
      <c r="K96" s="56"/>
      <c r="L96" s="57">
        <f>SUM($L$97)</f>
        <v>0</v>
      </c>
      <c r="M96" s="18"/>
      <c r="N96" s="22"/>
    </row>
    <row r="97" spans="1:14" outlineLevel="4" x14ac:dyDescent="0.2">
      <c r="A97" s="23"/>
      <c r="B97" s="24" t="s">
        <v>120</v>
      </c>
      <c r="C97" s="25"/>
      <c r="D97" s="25"/>
      <c r="E97" s="26" t="s">
        <v>26</v>
      </c>
      <c r="F97" s="27"/>
      <c r="G97" s="28">
        <v>1</v>
      </c>
      <c r="H97" s="27"/>
      <c r="I97" s="27"/>
      <c r="J97" s="28">
        <f>SUM($G$97:$I$97)</f>
        <v>1</v>
      </c>
      <c r="K97" s="58">
        <f t="array" ref="K97">INDEX(Р[Цена за ед., руб],MATCH(1,IF(($B97=Р[Наименование])*($M97=Р[Примечание]),{1},($B97=Р[Наименование])*($M97=Р[Примечание])),0))</f>
        <v>0</v>
      </c>
      <c r="L97" s="58">
        <f>ROUND($J$97*$K$97,2)</f>
        <v>0</v>
      </c>
      <c r="M97" s="25"/>
      <c r="N97" s="25"/>
    </row>
    <row r="98" spans="1:14" outlineLevel="4" x14ac:dyDescent="0.2">
      <c r="A98" s="20"/>
      <c r="B98" s="14" t="s">
        <v>29</v>
      </c>
      <c r="C98" s="21"/>
      <c r="D98" s="21"/>
      <c r="E98" s="21"/>
      <c r="F98" s="21"/>
      <c r="G98" s="21"/>
      <c r="H98" s="21"/>
      <c r="I98" s="21"/>
      <c r="J98" s="21"/>
      <c r="K98" s="56"/>
      <c r="L98" s="57">
        <f>SUM($L$99:$L$101)</f>
        <v>0</v>
      </c>
      <c r="M98" s="18"/>
      <c r="N98" s="22"/>
    </row>
    <row r="99" spans="1:14" outlineLevel="4" x14ac:dyDescent="0.2">
      <c r="A99" s="23"/>
      <c r="B99" s="24" t="s">
        <v>181</v>
      </c>
      <c r="C99" s="25"/>
      <c r="D99" s="25"/>
      <c r="E99" s="26" t="s">
        <v>163</v>
      </c>
      <c r="F99" s="27"/>
      <c r="G99" s="28">
        <v>1</v>
      </c>
      <c r="H99" s="27"/>
      <c r="I99" s="27"/>
      <c r="J99" s="28">
        <f>SUM($G$100:$I$100)</f>
        <v>1</v>
      </c>
      <c r="K99" s="58">
        <f t="array" ref="K99">INDEX(М[Цена за ед., руб],MATCH(1,IF(($B99=М[Наим.])*($C99=М[Артикул, марка, произв.])*($D99=М[Хар-ка])*($M99=М[Прим.]),{1},($B99=М[Наим.])*($C99=М[Артикул, марка, произв.])*($D99=М[Хар-ка])*($M99=М[Прим.])),0))</f>
        <v>0</v>
      </c>
      <c r="L99" s="58">
        <f>ROUND(J99*K99,2)</f>
        <v>0</v>
      </c>
      <c r="M99" s="72" t="s">
        <v>227</v>
      </c>
      <c r="N99" s="25" t="s">
        <v>159</v>
      </c>
    </row>
    <row r="100" spans="1:14" ht="22.5" outlineLevel="4" x14ac:dyDescent="0.2">
      <c r="A100" s="23" t="s">
        <v>30</v>
      </c>
      <c r="B100" s="24" t="s">
        <v>121</v>
      </c>
      <c r="C100" s="25"/>
      <c r="D100" s="25" t="s">
        <v>122</v>
      </c>
      <c r="E100" s="26" t="s">
        <v>26</v>
      </c>
      <c r="F100" s="27"/>
      <c r="G100" s="28">
        <v>1</v>
      </c>
      <c r="H100" s="27"/>
      <c r="I100" s="27"/>
      <c r="J100" s="28">
        <f>SUM($G$100:$I$100)</f>
        <v>1</v>
      </c>
      <c r="K100" s="58">
        <f t="array" ref="K100">INDEX(М[Цена за ед., руб],MATCH(1,IF(($B100=М[Наим.])*($C100=М[Артикул, марка, произв.])*($D100=М[Хар-ка])*($M100=М[Прим.]),{1},($B100=М[Наим.])*($C100=М[Артикул, марка, произв.])*($D100=М[Хар-ка])*($M100=М[Прим.])),0))</f>
        <v>0</v>
      </c>
      <c r="L100" s="58">
        <f>ROUND($J$100*$K$100,2)</f>
        <v>0</v>
      </c>
      <c r="M100" s="25"/>
      <c r="N100" s="25">
        <f t="array" ref="N100">INDEX(М[Форма закупа],MATCH(1,IF(($B100=М[Наим.])*($C100=М[Артикул, марка, произв.])*($D100=М[Хар-ка])*($M100=М[Прим.]),{1},($B100=М[Наим.])*($C100=М[Артикул, марка, произв.])*($D100=М[Хар-ка])*($M100=М[Прим.])),0))</f>
        <v>0</v>
      </c>
    </row>
    <row r="101" spans="1:14" ht="45" outlineLevel="4" x14ac:dyDescent="0.2">
      <c r="A101" s="23" t="s">
        <v>35</v>
      </c>
      <c r="B101" s="24" t="s">
        <v>123</v>
      </c>
      <c r="C101" s="25" t="s">
        <v>124</v>
      </c>
      <c r="D101" s="25" t="s">
        <v>125</v>
      </c>
      <c r="E101" s="26" t="s">
        <v>26</v>
      </c>
      <c r="F101" s="27"/>
      <c r="G101" s="28">
        <v>1</v>
      </c>
      <c r="H101" s="27"/>
      <c r="I101" s="27"/>
      <c r="J101" s="28">
        <f>SUM($G$101:$I$101)</f>
        <v>1</v>
      </c>
      <c r="K101" s="58">
        <f t="array" ref="K101">INDEX(М[Цена за ед., руб],MATCH(1,IF(($B101=М[Наим.])*($C101=М[Артикул, марка, произв.])*($D101=М[Хар-ка])*($M101=М[Прим.]),{1},($B101=М[Наим.])*($C101=М[Артикул, марка, произв.])*($D101=М[Хар-ка])*($M101=М[Прим.])),0))</f>
        <v>0</v>
      </c>
      <c r="L101" s="58">
        <f>ROUND($J$101*$K$101,2)</f>
        <v>0</v>
      </c>
      <c r="M101" s="25" t="s">
        <v>126</v>
      </c>
      <c r="N101" s="25">
        <f t="array" ref="N101">INDEX(М[Форма закупа],MATCH(1,IF(($B101=М[Наим.])*($C101=М[Артикул, марка, произв.])*($D101=М[Хар-ка])*($M101=М[Прим.]),{1},($B101=М[Наим.])*($C101=М[Артикул, марка, произв.])*($D101=М[Хар-ка])*($M101=М[Прим.])),0))</f>
        <v>0</v>
      </c>
    </row>
    <row r="102" spans="1:14" outlineLevel="4" x14ac:dyDescent="0.2">
      <c r="A102" s="20"/>
      <c r="B102" s="14" t="s">
        <v>24</v>
      </c>
      <c r="C102" s="21"/>
      <c r="D102" s="21"/>
      <c r="E102" s="21"/>
      <c r="F102" s="21"/>
      <c r="G102" s="21"/>
      <c r="H102" s="21"/>
      <c r="I102" s="21"/>
      <c r="J102" s="21"/>
      <c r="K102" s="56"/>
      <c r="L102" s="57">
        <f>SUM($L$103)</f>
        <v>0</v>
      </c>
      <c r="M102" s="18"/>
      <c r="N102" s="22"/>
    </row>
    <row r="103" spans="1:14" outlineLevel="4" x14ac:dyDescent="0.2">
      <c r="A103" s="23"/>
      <c r="B103" s="24" t="s">
        <v>127</v>
      </c>
      <c r="C103" s="25"/>
      <c r="D103" s="25"/>
      <c r="E103" s="26" t="s">
        <v>28</v>
      </c>
      <c r="F103" s="27"/>
      <c r="G103" s="27"/>
      <c r="H103" s="29">
        <v>2600</v>
      </c>
      <c r="I103" s="29">
        <v>5928</v>
      </c>
      <c r="J103" s="29">
        <f>SUM($G$103:$I$103)</f>
        <v>8528</v>
      </c>
      <c r="K103" s="58">
        <f t="array" ref="K103">INDEX(Р[Цена за ед., руб],MATCH(1,IF(($B103=Р[Наименование])*($M103=Р[Примечание]),{1},($B103=Р[Наименование])*($M103=Р[Примечание])),0))</f>
        <v>0</v>
      </c>
      <c r="L103" s="58">
        <f>ROUND($J$103*$K$103,2)</f>
        <v>0</v>
      </c>
      <c r="M103" s="25"/>
      <c r="N103" s="25"/>
    </row>
    <row r="104" spans="1:14" outlineLevel="4" x14ac:dyDescent="0.2">
      <c r="A104" s="20"/>
      <c r="B104" s="14" t="s">
        <v>29</v>
      </c>
      <c r="C104" s="21"/>
      <c r="D104" s="21"/>
      <c r="E104" s="21"/>
      <c r="F104" s="21"/>
      <c r="G104" s="21"/>
      <c r="H104" s="21"/>
      <c r="I104" s="21"/>
      <c r="J104" s="21"/>
      <c r="K104" s="56"/>
      <c r="L104" s="57">
        <f>SUM($L$105)</f>
        <v>0</v>
      </c>
      <c r="M104" s="18"/>
      <c r="N104" s="22"/>
    </row>
    <row r="105" spans="1:14" ht="22.5" outlineLevel="4" x14ac:dyDescent="0.2">
      <c r="A105" s="65" t="s">
        <v>30</v>
      </c>
      <c r="B105" s="24" t="s">
        <v>128</v>
      </c>
      <c r="C105" s="25" t="s">
        <v>129</v>
      </c>
      <c r="D105" s="25" t="s">
        <v>130</v>
      </c>
      <c r="E105" s="26" t="s">
        <v>34</v>
      </c>
      <c r="F105" s="27"/>
      <c r="G105" s="27"/>
      <c r="H105" s="29">
        <v>2600</v>
      </c>
      <c r="I105" s="29">
        <v>5928</v>
      </c>
      <c r="J105" s="29">
        <f>SUM($G$105:$I$105)</f>
        <v>8528</v>
      </c>
      <c r="K105" s="58">
        <f t="array" ref="K105">INDEX(М[Цена за ед., руб],MATCH(1,IF(($B105=М[Наим.])*($C105=М[Артикул, марка, произв.])*($D105=М[Хар-ка])*($M105=М[Прим.]),{1},($B105=М[Наим.])*($C105=М[Артикул, марка, произв.])*($D105=М[Хар-ка])*($M105=М[Прим.])),0))</f>
        <v>0</v>
      </c>
      <c r="L105" s="58">
        <f>ROUND($J$105*$K$105,2)</f>
        <v>0</v>
      </c>
      <c r="M105" s="25"/>
      <c r="N105" s="25">
        <f t="array" ref="N105">INDEX(М[Форма закупа],MATCH(1,IF(($B105=М[Наим.])*($C105=М[Артикул, марка, произв.])*($D105=М[Хар-ка])*($M105=М[Прим.]),{1},($B105=М[Наим.])*($C105=М[Артикул, марка, произв.])*($D105=М[Хар-ка])*($M105=М[Прим.])),0))</f>
        <v>0</v>
      </c>
    </row>
    <row r="106" spans="1:14" outlineLevel="4" x14ac:dyDescent="0.2">
      <c r="A106" s="20"/>
      <c r="B106" s="14" t="s">
        <v>24</v>
      </c>
      <c r="C106" s="21"/>
      <c r="D106" s="21"/>
      <c r="E106" s="21"/>
      <c r="F106" s="21"/>
      <c r="G106" s="21"/>
      <c r="H106" s="21"/>
      <c r="I106" s="21"/>
      <c r="J106" s="21"/>
      <c r="K106" s="56"/>
      <c r="L106" s="57">
        <f>SUM($L$107)</f>
        <v>0</v>
      </c>
      <c r="M106" s="18"/>
      <c r="N106" s="22"/>
    </row>
    <row r="107" spans="1:14" outlineLevel="4" x14ac:dyDescent="0.2">
      <c r="A107" s="23"/>
      <c r="B107" s="24" t="s">
        <v>131</v>
      </c>
      <c r="C107" s="25"/>
      <c r="D107" s="25"/>
      <c r="E107" s="26" t="s">
        <v>26</v>
      </c>
      <c r="F107" s="27"/>
      <c r="G107" s="28">
        <v>1</v>
      </c>
      <c r="H107" s="28">
        <v>8</v>
      </c>
      <c r="I107" s="28">
        <v>8</v>
      </c>
      <c r="J107" s="28">
        <f>SUM($G$107:$I$107)</f>
        <v>17</v>
      </c>
      <c r="K107" s="58">
        <f t="array" ref="K107">INDEX(Р[Цена за ед., руб],MATCH(1,IF(($B107=Р[Наименование])*($M107=Р[Примечание]),{1},($B107=Р[Наименование])*($M107=Р[Примечание])),0))</f>
        <v>0</v>
      </c>
      <c r="L107" s="58">
        <f>ROUND($J$107*$K$107,2)</f>
        <v>0</v>
      </c>
      <c r="M107" s="25"/>
      <c r="N107" s="25"/>
    </row>
    <row r="108" spans="1:14" outlineLevel="4" x14ac:dyDescent="0.2">
      <c r="A108" s="20"/>
      <c r="B108" s="14" t="s">
        <v>29</v>
      </c>
      <c r="C108" s="21"/>
      <c r="D108" s="21"/>
      <c r="E108" s="21"/>
      <c r="F108" s="21"/>
      <c r="G108" s="21"/>
      <c r="H108" s="21"/>
      <c r="I108" s="21"/>
      <c r="J108" s="21"/>
      <c r="K108" s="56"/>
      <c r="L108" s="57">
        <f>SUM($L$109:$L$110)</f>
        <v>0</v>
      </c>
      <c r="M108" s="18"/>
      <c r="N108" s="22"/>
    </row>
    <row r="109" spans="1:14" ht="22.5" outlineLevel="4" x14ac:dyDescent="0.2">
      <c r="A109" s="23" t="s">
        <v>30</v>
      </c>
      <c r="B109" s="24" t="s">
        <v>132</v>
      </c>
      <c r="C109" s="25" t="s">
        <v>60</v>
      </c>
      <c r="D109" s="25" t="s">
        <v>111</v>
      </c>
      <c r="E109" s="26" t="s">
        <v>26</v>
      </c>
      <c r="F109" s="27"/>
      <c r="G109" s="28">
        <v>1</v>
      </c>
      <c r="H109" s="27"/>
      <c r="I109" s="27"/>
      <c r="J109" s="28">
        <f>SUM($G$109:$I$109)</f>
        <v>1</v>
      </c>
      <c r="K109" s="58">
        <f t="array" ref="K109">INDEX(М[Цена за ед., руб],MATCH(1,IF(($B109=М[Наим.])*($C109=М[Артикул, марка, произв.])*($D109=М[Хар-ка])*($M109=М[Прим.]),{1},($B109=М[Наим.])*($C109=М[Артикул, марка, произв.])*($D109=М[Хар-ка])*($M109=М[Прим.])),0))</f>
        <v>0</v>
      </c>
      <c r="L109" s="58">
        <f>ROUND($J$109*$K$109,2)</f>
        <v>0</v>
      </c>
      <c r="M109" s="25"/>
      <c r="N109" s="25">
        <f t="array" ref="N109">INDEX(М[Форма закупа],MATCH(1,IF(($B109=М[Наим.])*($C109=М[Артикул, марка, произв.])*($D109=М[Хар-ка])*($M109=М[Прим.]),{1},($B109=М[Наим.])*($C109=М[Артикул, марка, произв.])*($D109=М[Хар-ка])*($M109=М[Прим.])),0))</f>
        <v>0</v>
      </c>
    </row>
    <row r="110" spans="1:14" ht="22.5" outlineLevel="4" x14ac:dyDescent="0.2">
      <c r="A110" s="23" t="s">
        <v>35</v>
      </c>
      <c r="B110" s="24" t="s">
        <v>132</v>
      </c>
      <c r="C110" s="25" t="s">
        <v>56</v>
      </c>
      <c r="D110" s="25" t="s">
        <v>133</v>
      </c>
      <c r="E110" s="26" t="s">
        <v>26</v>
      </c>
      <c r="F110" s="27"/>
      <c r="G110" s="27"/>
      <c r="H110" s="28">
        <v>8</v>
      </c>
      <c r="I110" s="28">
        <v>8</v>
      </c>
      <c r="J110" s="28">
        <f>SUM($G$110:$I$110)</f>
        <v>16</v>
      </c>
      <c r="K110" s="58">
        <f t="array" ref="K110">INDEX(М[Цена за ед., руб],MATCH(1,IF(($B110=М[Наим.])*($C110=М[Артикул, марка, произв.])*($D110=М[Хар-ка])*($M110=М[Прим.]),{1},($B110=М[Наим.])*($C110=М[Артикул, марка, произв.])*($D110=М[Хар-ка])*($M110=М[Прим.])),0))</f>
        <v>0</v>
      </c>
      <c r="L110" s="58">
        <f>ROUND($J$110*$K$110,2)</f>
        <v>0</v>
      </c>
      <c r="M110" s="25"/>
      <c r="N110" s="25">
        <f t="array" ref="N110">INDEX(М[Форма закупа],MATCH(1,IF(($B110=М[Наим.])*($C110=М[Артикул, марка, произв.])*($D110=М[Хар-ка])*($M110=М[Прим.]),{1},($B110=М[Наим.])*($C110=М[Артикул, марка, произв.])*($D110=М[Хар-ка])*($M110=М[Прим.])),0))</f>
        <v>0</v>
      </c>
    </row>
    <row r="111" spans="1:14" outlineLevel="4" x14ac:dyDescent="0.2">
      <c r="A111" s="20"/>
      <c r="B111" s="14" t="s">
        <v>24</v>
      </c>
      <c r="C111" s="21"/>
      <c r="D111" s="21"/>
      <c r="E111" s="21"/>
      <c r="F111" s="21"/>
      <c r="G111" s="21"/>
      <c r="H111" s="21"/>
      <c r="I111" s="21"/>
      <c r="J111" s="21"/>
      <c r="K111" s="56"/>
      <c r="L111" s="57">
        <f>SUM($L$112)</f>
        <v>0</v>
      </c>
      <c r="M111" s="18"/>
      <c r="N111" s="22"/>
    </row>
    <row r="112" spans="1:14" outlineLevel="4" x14ac:dyDescent="0.2">
      <c r="A112" s="65"/>
      <c r="B112" s="24" t="s">
        <v>134</v>
      </c>
      <c r="C112" s="25"/>
      <c r="D112" s="25"/>
      <c r="E112" s="26" t="s">
        <v>34</v>
      </c>
      <c r="F112" s="27"/>
      <c r="G112" s="28">
        <v>690</v>
      </c>
      <c r="H112" s="28">
        <v>19</v>
      </c>
      <c r="I112" s="28">
        <v>19</v>
      </c>
      <c r="J112" s="28">
        <f>SUM($G$112:$I$112)</f>
        <v>728</v>
      </c>
      <c r="K112" s="58">
        <f t="array" ref="K112">INDEX(Р[Цена за ед., руб],MATCH(1,IF(($B112=Р[Наименование])*($M112=Р[Примечание]),{1},($B112=Р[Наименование])*($M112=Р[Примечание])),0))</f>
        <v>0</v>
      </c>
      <c r="L112" s="58">
        <f>ROUND($J$112*$K$112,2)</f>
        <v>0</v>
      </c>
      <c r="M112" s="25"/>
      <c r="N112" s="25"/>
    </row>
    <row r="113" spans="1:14" outlineLevel="4" x14ac:dyDescent="0.2">
      <c r="A113" s="20"/>
      <c r="B113" s="14" t="s">
        <v>29</v>
      </c>
      <c r="C113" s="21"/>
      <c r="D113" s="21"/>
      <c r="E113" s="21"/>
      <c r="F113" s="21"/>
      <c r="G113" s="21"/>
      <c r="H113" s="21"/>
      <c r="I113" s="21"/>
      <c r="J113" s="21"/>
      <c r="K113" s="56"/>
      <c r="L113" s="57">
        <f>SUM($L$114:$L$119)</f>
        <v>0</v>
      </c>
      <c r="M113" s="18"/>
      <c r="N113" s="22"/>
    </row>
    <row r="114" spans="1:14" ht="45" outlineLevel="4" x14ac:dyDescent="0.2">
      <c r="A114" s="65" t="s">
        <v>30</v>
      </c>
      <c r="B114" s="24" t="s">
        <v>135</v>
      </c>
      <c r="C114" s="25"/>
      <c r="D114" s="25" t="s">
        <v>136</v>
      </c>
      <c r="E114" s="26" t="s">
        <v>34</v>
      </c>
      <c r="F114" s="27"/>
      <c r="G114" s="28">
        <v>41</v>
      </c>
      <c r="H114" s="27"/>
      <c r="I114" s="27"/>
      <c r="J114" s="28">
        <f>SUM($G$114:$I$114)</f>
        <v>41</v>
      </c>
      <c r="K114" s="58">
        <f t="array" ref="K114">INDEX(М[Цена за ед., руб],MATCH(1,IF(($B114=М[Наим.])*($C114=М[Артикул, марка, произв.])*($D114=М[Хар-ка])*($M114=М[Прим.]),{1},($B114=М[Наим.])*($C114=М[Артикул, марка, произв.])*($D114=М[Хар-ка])*($M114=М[Прим.])),0))</f>
        <v>0</v>
      </c>
      <c r="L114" s="58">
        <f>ROUND($J$114*$K$114,2)</f>
        <v>0</v>
      </c>
      <c r="M114" s="25"/>
      <c r="N114" s="25">
        <f t="array" ref="N114">INDEX(М[Форма закупа],MATCH(1,IF(($B114=М[Наим.])*($C114=М[Артикул, марка, произв.])*($D114=М[Хар-ка])*($M114=М[Прим.]),{1},($B114=М[Наим.])*($C114=М[Артикул, марка, произв.])*($D114=М[Хар-ка])*($M114=М[Прим.])),0))</f>
        <v>0</v>
      </c>
    </row>
    <row r="115" spans="1:14" ht="45" outlineLevel="4" x14ac:dyDescent="0.2">
      <c r="A115" s="65" t="s">
        <v>35</v>
      </c>
      <c r="B115" s="24" t="s">
        <v>135</v>
      </c>
      <c r="C115" s="25"/>
      <c r="D115" s="25" t="s">
        <v>137</v>
      </c>
      <c r="E115" s="26" t="s">
        <v>34</v>
      </c>
      <c r="F115" s="27"/>
      <c r="G115" s="28">
        <v>240</v>
      </c>
      <c r="H115" s="28">
        <v>19</v>
      </c>
      <c r="I115" s="28">
        <v>19</v>
      </c>
      <c r="J115" s="28">
        <f>SUM($G$115:$I$115)</f>
        <v>278</v>
      </c>
      <c r="K115" s="58">
        <f t="array" ref="K115">INDEX(М[Цена за ед., руб],MATCH(1,IF(($B115=М[Наим.])*($C115=М[Артикул, марка, произв.])*($D115=М[Хар-ка])*($M115=М[Прим.]),{1},($B115=М[Наим.])*($C115=М[Артикул, марка, произв.])*($D115=М[Хар-ка])*($M115=М[Прим.])),0))</f>
        <v>0</v>
      </c>
      <c r="L115" s="58">
        <f>ROUND($J$115*$K$115,2)</f>
        <v>0</v>
      </c>
      <c r="M115" s="25"/>
      <c r="N115" s="25">
        <f t="array" ref="N115">INDEX(М[Форма закупа],MATCH(1,IF(($B115=М[Наим.])*($C115=М[Артикул, марка, произв.])*($D115=М[Хар-ка])*($M115=М[Прим.]),{1},($B115=М[Наим.])*($C115=М[Артикул, марка, произв.])*($D115=М[Хар-ка])*($M115=М[Прим.])),0))</f>
        <v>0</v>
      </c>
    </row>
    <row r="116" spans="1:14" ht="45" outlineLevel="4" x14ac:dyDescent="0.2">
      <c r="A116" s="65" t="s">
        <v>37</v>
      </c>
      <c r="B116" s="24" t="s">
        <v>135</v>
      </c>
      <c r="C116" s="25"/>
      <c r="D116" s="25" t="s">
        <v>138</v>
      </c>
      <c r="E116" s="26" t="s">
        <v>34</v>
      </c>
      <c r="F116" s="27"/>
      <c r="G116" s="28">
        <v>170</v>
      </c>
      <c r="H116" s="27"/>
      <c r="I116" s="27"/>
      <c r="J116" s="28">
        <f>SUM($G$116:$I$116)</f>
        <v>170</v>
      </c>
      <c r="K116" s="58">
        <f t="array" ref="K116">INDEX(М[Цена за ед., руб],MATCH(1,IF(($B116=М[Наим.])*($C116=М[Артикул, марка, произв.])*($D116=М[Хар-ка])*($M116=М[Прим.]),{1},($B116=М[Наим.])*($C116=М[Артикул, марка, произв.])*($D116=М[Хар-ка])*($M116=М[Прим.])),0))</f>
        <v>0</v>
      </c>
      <c r="L116" s="58">
        <f>ROUND($J$116*$K$116,2)</f>
        <v>0</v>
      </c>
      <c r="M116" s="25"/>
      <c r="N116" s="25">
        <f t="array" ref="N116">INDEX(М[Форма закупа],MATCH(1,IF(($B116=М[Наим.])*($C116=М[Артикул, марка, произв.])*($D116=М[Хар-ка])*($M116=М[Прим.]),{1},($B116=М[Наим.])*($C116=М[Артикул, марка, произв.])*($D116=М[Хар-ка])*($M116=М[Прим.])),0))</f>
        <v>0</v>
      </c>
    </row>
    <row r="117" spans="1:14" ht="45" outlineLevel="4" x14ac:dyDescent="0.2">
      <c r="A117" s="65" t="s">
        <v>39</v>
      </c>
      <c r="B117" s="24" t="s">
        <v>135</v>
      </c>
      <c r="C117" s="25"/>
      <c r="D117" s="25" t="s">
        <v>139</v>
      </c>
      <c r="E117" s="26" t="s">
        <v>34</v>
      </c>
      <c r="F117" s="27"/>
      <c r="G117" s="28">
        <v>20</v>
      </c>
      <c r="H117" s="27"/>
      <c r="I117" s="27"/>
      <c r="J117" s="28">
        <f>SUM($G$117:$I$117)</f>
        <v>20</v>
      </c>
      <c r="K117" s="58">
        <f t="array" ref="K117">INDEX(М[Цена за ед., руб],MATCH(1,IF(($B117=М[Наим.])*($C117=М[Артикул, марка, произв.])*($D117=М[Хар-ка])*($M117=М[Прим.]),{1},($B117=М[Наим.])*($C117=М[Артикул, марка, произв.])*($D117=М[Хар-ка])*($M117=М[Прим.])),0))</f>
        <v>0</v>
      </c>
      <c r="L117" s="58">
        <f>ROUND($J$117*$K$117,2)</f>
        <v>0</v>
      </c>
      <c r="M117" s="25"/>
      <c r="N117" s="25">
        <f t="array" ref="N117">INDEX(М[Форма закупа],MATCH(1,IF(($B117=М[Наим.])*($C117=М[Артикул, марка, произв.])*($D117=М[Хар-ка])*($M117=М[Прим.]),{1},($B117=М[Наим.])*($C117=М[Артикул, марка, произв.])*($D117=М[Хар-ка])*($M117=М[Прим.])),0))</f>
        <v>0</v>
      </c>
    </row>
    <row r="118" spans="1:14" ht="45" outlineLevel="4" x14ac:dyDescent="0.2">
      <c r="A118" s="65" t="s">
        <v>41</v>
      </c>
      <c r="B118" s="24" t="s">
        <v>135</v>
      </c>
      <c r="C118" s="25"/>
      <c r="D118" s="25" t="s">
        <v>140</v>
      </c>
      <c r="E118" s="26" t="s">
        <v>34</v>
      </c>
      <c r="F118" s="27"/>
      <c r="G118" s="28">
        <v>136</v>
      </c>
      <c r="H118" s="27"/>
      <c r="I118" s="27"/>
      <c r="J118" s="28">
        <f>SUM($G$118:$I$118)</f>
        <v>136</v>
      </c>
      <c r="K118" s="58">
        <f t="array" ref="K118">INDEX(М[Цена за ед., руб],MATCH(1,IF(($B118=М[Наим.])*($C118=М[Артикул, марка, произв.])*($D118=М[Хар-ка])*($M118=М[Прим.]),{1},($B118=М[Наим.])*($C118=М[Артикул, марка, произв.])*($D118=М[Хар-ка])*($M118=М[Прим.])),0))</f>
        <v>0</v>
      </c>
      <c r="L118" s="58">
        <f>ROUND($J$118*$K$118,2)</f>
        <v>0</v>
      </c>
      <c r="M118" s="25"/>
      <c r="N118" s="25">
        <f t="array" ref="N118">INDEX(М[Форма закупа],MATCH(1,IF(($B118=М[Наим.])*($C118=М[Артикул, марка, произв.])*($D118=М[Хар-ка])*($M118=М[Прим.]),{1},($B118=М[Наим.])*($C118=М[Артикул, марка, произв.])*($D118=М[Хар-ка])*($M118=М[Прим.])),0))</f>
        <v>0</v>
      </c>
    </row>
    <row r="119" spans="1:14" ht="45" outlineLevel="4" x14ac:dyDescent="0.2">
      <c r="A119" s="65" t="s">
        <v>43</v>
      </c>
      <c r="B119" s="24" t="s">
        <v>135</v>
      </c>
      <c r="C119" s="25"/>
      <c r="D119" s="25" t="s">
        <v>141</v>
      </c>
      <c r="E119" s="26" t="s">
        <v>34</v>
      </c>
      <c r="F119" s="27"/>
      <c r="G119" s="28">
        <v>83</v>
      </c>
      <c r="H119" s="27"/>
      <c r="I119" s="27"/>
      <c r="J119" s="28">
        <f>SUM($G$119:$I$119)</f>
        <v>83</v>
      </c>
      <c r="K119" s="58">
        <f t="array" ref="K119">INDEX(М[Цена за ед., руб],MATCH(1,IF(($B119=М[Наим.])*($C119=М[Артикул, марка, произв.])*($D119=М[Хар-ка])*($M119=М[Прим.]),{1},($B119=М[Наим.])*($C119=М[Артикул, марка, произв.])*($D119=М[Хар-ка])*($M119=М[Прим.])),0))</f>
        <v>0</v>
      </c>
      <c r="L119" s="58">
        <f>ROUND($J$119*$K$119,2)</f>
        <v>0</v>
      </c>
      <c r="M119" s="25"/>
      <c r="N119" s="25">
        <f t="array" ref="N119">INDEX(М[Форма закупа],MATCH(1,IF(($B119=М[Наим.])*($C119=М[Артикул, марка, произв.])*($D119=М[Хар-ка])*($M119=М[Прим.]),{1},($B119=М[Наим.])*($C119=М[Артикул, марка, произв.])*($D119=М[Хар-ка])*($M119=М[Прим.])),0))</f>
        <v>0</v>
      </c>
    </row>
    <row r="120" spans="1:14" outlineLevel="4" x14ac:dyDescent="0.2">
      <c r="A120" s="20"/>
      <c r="B120" s="14" t="s">
        <v>24</v>
      </c>
      <c r="C120" s="21"/>
      <c r="D120" s="21"/>
      <c r="E120" s="21"/>
      <c r="F120" s="21"/>
      <c r="G120" s="21"/>
      <c r="H120" s="21"/>
      <c r="I120" s="21"/>
      <c r="J120" s="21"/>
      <c r="K120" s="56"/>
      <c r="L120" s="57">
        <f>SUM($L$121)</f>
        <v>0</v>
      </c>
      <c r="M120" s="18"/>
      <c r="N120" s="22"/>
    </row>
    <row r="121" spans="1:14" outlineLevel="4" x14ac:dyDescent="0.2">
      <c r="A121" s="23"/>
      <c r="B121" s="24" t="s">
        <v>142</v>
      </c>
      <c r="C121" s="25"/>
      <c r="D121" s="25"/>
      <c r="E121" s="26" t="s">
        <v>28</v>
      </c>
      <c r="F121" s="27"/>
      <c r="G121" s="28">
        <v>4</v>
      </c>
      <c r="H121" s="27"/>
      <c r="I121" s="27"/>
      <c r="J121" s="28">
        <f>SUM($G$121:$I$121)</f>
        <v>4</v>
      </c>
      <c r="K121" s="58">
        <f t="array" ref="K121">INDEX(Р[Цена за ед., руб],MATCH(1,IF(($B121=Р[Наименование])*($M121=Р[Примечание]),{1},($B121=Р[Наименование])*($M121=Р[Примечание])),0))</f>
        <v>0</v>
      </c>
      <c r="L121" s="58">
        <f>ROUND($J$121*$K$121,2)</f>
        <v>0</v>
      </c>
      <c r="M121" s="25"/>
      <c r="N121" s="25"/>
    </row>
    <row r="122" spans="1:14" outlineLevel="4" x14ac:dyDescent="0.2">
      <c r="A122" s="20"/>
      <c r="B122" s="14" t="s">
        <v>29</v>
      </c>
      <c r="C122" s="21"/>
      <c r="D122" s="21"/>
      <c r="E122" s="21"/>
      <c r="F122" s="21"/>
      <c r="G122" s="21"/>
      <c r="H122" s="21"/>
      <c r="I122" s="21"/>
      <c r="J122" s="21"/>
      <c r="K122" s="56"/>
      <c r="L122" s="57">
        <f>SUM($L$123)</f>
        <v>0</v>
      </c>
      <c r="M122" s="18"/>
      <c r="N122" s="22"/>
    </row>
    <row r="123" spans="1:14" ht="22.5" outlineLevel="4" x14ac:dyDescent="0.2">
      <c r="A123" s="65" t="s">
        <v>30</v>
      </c>
      <c r="B123" s="24" t="s">
        <v>143</v>
      </c>
      <c r="C123" s="25"/>
      <c r="D123" s="25" t="s">
        <v>144</v>
      </c>
      <c r="E123" s="26" t="s">
        <v>34</v>
      </c>
      <c r="F123" s="27"/>
      <c r="G123" s="28">
        <v>4</v>
      </c>
      <c r="H123" s="27"/>
      <c r="I123" s="27"/>
      <c r="J123" s="28">
        <f>SUM($G$123:$I$123)</f>
        <v>4</v>
      </c>
      <c r="K123" s="58">
        <f t="array" ref="K123">INDEX(М[Цена за ед., руб],MATCH(1,IF(($B123=М[Наим.])*($C123=М[Артикул, марка, произв.])*($D123=М[Хар-ка])*($M123=М[Прим.]),{1},($B123=М[Наим.])*($C123=М[Артикул, марка, произв.])*($D123=М[Хар-ка])*($M123=М[Прим.])),0))</f>
        <v>0</v>
      </c>
      <c r="L123" s="58">
        <f>ROUND($J$123*$K$123,2)</f>
        <v>0</v>
      </c>
      <c r="M123" s="25"/>
      <c r="N123" s="25">
        <f t="array" ref="N123">INDEX(М[Форма закупа],MATCH(1,IF(($B123=М[Наим.])*($C123=М[Артикул, марка, произв.])*($D123=М[Хар-ка])*($M123=М[Прим.]),{1},($B123=М[Наим.])*($C123=М[Артикул, марка, произв.])*($D123=М[Хар-ка])*($M123=М[Прим.])),0))</f>
        <v>0</v>
      </c>
    </row>
    <row r="124" spans="1:14" outlineLevel="4" x14ac:dyDescent="0.2">
      <c r="A124" s="20"/>
      <c r="B124" s="14" t="s">
        <v>24</v>
      </c>
      <c r="C124" s="21"/>
      <c r="D124" s="21"/>
      <c r="E124" s="21"/>
      <c r="F124" s="21"/>
      <c r="G124" s="21"/>
      <c r="H124" s="21"/>
      <c r="I124" s="21"/>
      <c r="J124" s="21"/>
      <c r="K124" s="56"/>
      <c r="L124" s="57">
        <f>SUM($L$125)</f>
        <v>0</v>
      </c>
      <c r="M124" s="18"/>
      <c r="N124" s="22"/>
    </row>
    <row r="125" spans="1:14" outlineLevel="4" x14ac:dyDescent="0.2">
      <c r="A125" s="23"/>
      <c r="B125" s="24" t="s">
        <v>145</v>
      </c>
      <c r="C125" s="25"/>
      <c r="D125" s="25"/>
      <c r="E125" s="26" t="s">
        <v>34</v>
      </c>
      <c r="F125" s="27"/>
      <c r="G125" s="31">
        <v>60.5</v>
      </c>
      <c r="H125" s="27"/>
      <c r="I125" s="27"/>
      <c r="J125" s="31">
        <f>SUM($G$125:$I$125)</f>
        <v>60.5</v>
      </c>
      <c r="K125" s="58">
        <f t="array" ref="K125">INDEX(Р[Цена за ед., руб],MATCH(1,IF(($B125=Р[Наименование])*($M125=Р[Примечание]),{1},($B125=Р[Наименование])*($M125=Р[Примечание])),0))</f>
        <v>0</v>
      </c>
      <c r="L125" s="58">
        <f>ROUND($J$125*$K$125,2)</f>
        <v>0</v>
      </c>
      <c r="M125" s="25"/>
      <c r="N125" s="25"/>
    </row>
    <row r="126" spans="1:14" outlineLevel="4" x14ac:dyDescent="0.2">
      <c r="A126" s="20"/>
      <c r="B126" s="14" t="s">
        <v>29</v>
      </c>
      <c r="C126" s="21"/>
      <c r="D126" s="21"/>
      <c r="E126" s="21"/>
      <c r="F126" s="21"/>
      <c r="G126" s="21"/>
      <c r="H126" s="21"/>
      <c r="I126" s="21"/>
      <c r="J126" s="21"/>
      <c r="K126" s="56"/>
      <c r="L126" s="57">
        <f>SUM($L$127:$L$129)</f>
        <v>0</v>
      </c>
      <c r="M126" s="18"/>
      <c r="N126" s="22"/>
    </row>
    <row r="127" spans="1:14" ht="22.5" outlineLevel="4" x14ac:dyDescent="0.2">
      <c r="A127" s="65" t="s">
        <v>30</v>
      </c>
      <c r="B127" s="24" t="s">
        <v>146</v>
      </c>
      <c r="C127" s="25"/>
      <c r="D127" s="25" t="s">
        <v>147</v>
      </c>
      <c r="E127" s="26" t="s">
        <v>28</v>
      </c>
      <c r="F127" s="27"/>
      <c r="G127" s="28">
        <v>30</v>
      </c>
      <c r="H127" s="27"/>
      <c r="I127" s="27"/>
      <c r="J127" s="28">
        <f>SUM($G$127:$I$127)</f>
        <v>30</v>
      </c>
      <c r="K127" s="58">
        <f t="array" ref="K127">INDEX(М[Цена за ед., руб],MATCH(1,IF(($B127=М[Наим.])*($C127=М[Артикул, марка, произв.])*($D127=М[Хар-ка])*($M127=М[Прим.]),{1},($B127=М[Наим.])*($C127=М[Артикул, марка, произв.])*($D127=М[Хар-ка])*($M127=М[Прим.])),0))</f>
        <v>0</v>
      </c>
      <c r="L127" s="58">
        <f>ROUND($J$127*$K$127,2)</f>
        <v>0</v>
      </c>
      <c r="M127" s="25"/>
      <c r="N127" s="25">
        <f t="array" ref="N127">INDEX(М[Форма закупа],MATCH(1,IF(($B127=М[Наим.])*($C127=М[Артикул, марка, произв.])*($D127=М[Хар-ка])*($M127=М[Прим.]),{1},($B127=М[Наим.])*($C127=М[Артикул, марка, произв.])*($D127=М[Хар-ка])*($M127=М[Прим.])),0))</f>
        <v>0</v>
      </c>
    </row>
    <row r="128" spans="1:14" ht="22.5" outlineLevel="4" x14ac:dyDescent="0.2">
      <c r="A128" s="65" t="s">
        <v>35</v>
      </c>
      <c r="B128" s="24" t="s">
        <v>146</v>
      </c>
      <c r="C128" s="25"/>
      <c r="D128" s="25" t="s">
        <v>148</v>
      </c>
      <c r="E128" s="26" t="s">
        <v>28</v>
      </c>
      <c r="F128" s="27"/>
      <c r="G128" s="28">
        <v>30</v>
      </c>
      <c r="H128" s="27"/>
      <c r="I128" s="27"/>
      <c r="J128" s="28">
        <f>SUM($G$128:$I$128)</f>
        <v>30</v>
      </c>
      <c r="K128" s="58">
        <f t="array" ref="K128">INDEX(М[Цена за ед., руб],MATCH(1,IF(($B128=М[Наим.])*($C128=М[Артикул, марка, произв.])*($D128=М[Хар-ка])*($M128=М[Прим.]),{1},($B128=М[Наим.])*($C128=М[Артикул, марка, произв.])*($D128=М[Хар-ка])*($M128=М[Прим.])),0))</f>
        <v>0</v>
      </c>
      <c r="L128" s="58">
        <f>ROUND($J$128*$K$128,2)</f>
        <v>0</v>
      </c>
      <c r="M128" s="25"/>
      <c r="N128" s="25">
        <f t="array" ref="N128">INDEX(М[Форма закупа],MATCH(1,IF(($B128=М[Наим.])*($C128=М[Артикул, марка, произв.])*($D128=М[Хар-ка])*($M128=М[Прим.]),{1},($B128=М[Наим.])*($C128=М[Артикул, марка, произв.])*($D128=М[Хар-ка])*($M128=М[Прим.])),0))</f>
        <v>0</v>
      </c>
    </row>
    <row r="129" spans="1:14" ht="22.5" outlineLevel="4" x14ac:dyDescent="0.2">
      <c r="A129" s="65" t="s">
        <v>37</v>
      </c>
      <c r="B129" s="24" t="s">
        <v>146</v>
      </c>
      <c r="C129" s="25"/>
      <c r="D129" s="25" t="s">
        <v>149</v>
      </c>
      <c r="E129" s="26" t="s">
        <v>28</v>
      </c>
      <c r="F129" s="27"/>
      <c r="G129" s="31">
        <v>0.5</v>
      </c>
      <c r="H129" s="27"/>
      <c r="I129" s="27"/>
      <c r="J129" s="31">
        <f>SUM($G$129:$I$129)</f>
        <v>0.5</v>
      </c>
      <c r="K129" s="58">
        <f t="array" ref="K129">INDEX(М[Цена за ед., руб],MATCH(1,IF(($B129=М[Наим.])*($C129=М[Артикул, марка, произв.])*($D129=М[Хар-ка])*($M129=М[Прим.]),{1},($B129=М[Наим.])*($C129=М[Артикул, марка, произв.])*($D129=М[Хар-ка])*($M129=М[Прим.])),0))</f>
        <v>0</v>
      </c>
      <c r="L129" s="58">
        <f>ROUND($J$129*$K$129,2)</f>
        <v>0</v>
      </c>
      <c r="M129" s="25"/>
      <c r="N129" s="25">
        <f t="array" ref="N129">INDEX(М[Форма закупа],MATCH(1,IF(($B129=М[Наим.])*($C129=М[Артикул, марка, произв.])*($D129=М[Хар-ка])*($M129=М[Прим.]),{1},($B129=М[Наим.])*($C129=М[Артикул, марка, произв.])*($D129=М[Хар-ка])*($M129=М[Прим.])),0))</f>
        <v>0</v>
      </c>
    </row>
    <row r="130" spans="1:14" outlineLevel="4" x14ac:dyDescent="0.2">
      <c r="A130" s="20"/>
      <c r="B130" s="14" t="s">
        <v>24</v>
      </c>
      <c r="C130" s="21"/>
      <c r="D130" s="21"/>
      <c r="E130" s="21"/>
      <c r="F130" s="21"/>
      <c r="G130" s="21"/>
      <c r="H130" s="21"/>
      <c r="I130" s="21"/>
      <c r="J130" s="21"/>
      <c r="K130" s="56"/>
      <c r="L130" s="57">
        <f>SUM($L$131)</f>
        <v>0</v>
      </c>
      <c r="M130" s="18"/>
      <c r="N130" s="22"/>
    </row>
    <row r="131" spans="1:14" outlineLevel="4" x14ac:dyDescent="0.2">
      <c r="A131" s="23"/>
      <c r="B131" s="24" t="s">
        <v>150</v>
      </c>
      <c r="C131" s="25"/>
      <c r="D131" s="25"/>
      <c r="E131" s="26" t="s">
        <v>28</v>
      </c>
      <c r="F131" s="27"/>
      <c r="G131" s="28">
        <v>119</v>
      </c>
      <c r="H131" s="27"/>
      <c r="I131" s="27"/>
      <c r="J131" s="28">
        <f>SUM($G$131:$I$131)</f>
        <v>119</v>
      </c>
      <c r="K131" s="58">
        <f t="array" ref="K131">INDEX(Р[Цена за ед., руб],MATCH(1,IF(($B131=Р[Наименование])*($M131=Р[Примечание]),{1},($B131=Р[Наименование])*($M131=Р[Примечание])),0))</f>
        <v>0</v>
      </c>
      <c r="L131" s="58">
        <f>ROUND($J$131*$K$131,2)</f>
        <v>0</v>
      </c>
      <c r="M131" s="25"/>
      <c r="N131" s="25"/>
    </row>
    <row r="132" spans="1:14" outlineLevel="4" x14ac:dyDescent="0.2">
      <c r="A132" s="20"/>
      <c r="B132" s="14" t="s">
        <v>29</v>
      </c>
      <c r="C132" s="21"/>
      <c r="D132" s="21"/>
      <c r="E132" s="21"/>
      <c r="F132" s="21"/>
      <c r="G132" s="21"/>
      <c r="H132" s="21"/>
      <c r="I132" s="21"/>
      <c r="J132" s="21"/>
      <c r="K132" s="56"/>
      <c r="L132" s="57">
        <f>SUM($L$133:$L$138)</f>
        <v>0</v>
      </c>
      <c r="M132" s="18"/>
      <c r="N132" s="22"/>
    </row>
    <row r="133" spans="1:14" ht="22.5" outlineLevel="4" x14ac:dyDescent="0.2">
      <c r="A133" s="65" t="s">
        <v>30</v>
      </c>
      <c r="B133" s="24" t="s">
        <v>146</v>
      </c>
      <c r="C133" s="25"/>
      <c r="D133" s="25" t="s">
        <v>151</v>
      </c>
      <c r="E133" s="26" t="s">
        <v>28</v>
      </c>
      <c r="F133" s="27"/>
      <c r="G133" s="28">
        <v>23</v>
      </c>
      <c r="H133" s="27"/>
      <c r="I133" s="27"/>
      <c r="J133" s="28">
        <f>SUM($G$133:$I$133)</f>
        <v>23</v>
      </c>
      <c r="K133" s="58">
        <f t="array" ref="K133">INDEX(М[Цена за ед., руб],MATCH(1,IF(($B133=М[Наим.])*($C133=М[Артикул, марка, произв.])*($D133=М[Хар-ка])*($M133=М[Прим.]),{1},($B133=М[Наим.])*($C133=М[Артикул, марка, произв.])*($D133=М[Хар-ка])*($M133=М[Прим.])),0))</f>
        <v>0</v>
      </c>
      <c r="L133" s="58">
        <f>ROUND($J$133*$K$133,2)</f>
        <v>0</v>
      </c>
      <c r="M133" s="25"/>
      <c r="N133" s="25">
        <f t="array" ref="N133">INDEX(М[Форма закупа],MATCH(1,IF(($B133=М[Наим.])*($C133=М[Артикул, марка, произв.])*($D133=М[Хар-ка])*($M133=М[Прим.]),{1},($B133=М[Наим.])*($C133=М[Артикул, марка, произв.])*($D133=М[Хар-ка])*($M133=М[Прим.])),0))</f>
        <v>0</v>
      </c>
    </row>
    <row r="134" spans="1:14" ht="22.5" outlineLevel="4" x14ac:dyDescent="0.2">
      <c r="A134" s="65" t="s">
        <v>35</v>
      </c>
      <c r="B134" s="24" t="s">
        <v>146</v>
      </c>
      <c r="C134" s="25"/>
      <c r="D134" s="25" t="s">
        <v>152</v>
      </c>
      <c r="E134" s="26" t="s">
        <v>28</v>
      </c>
      <c r="F134" s="27"/>
      <c r="G134" s="28">
        <v>1</v>
      </c>
      <c r="H134" s="27"/>
      <c r="I134" s="27"/>
      <c r="J134" s="28">
        <f>SUM($G$134:$I$134)</f>
        <v>1</v>
      </c>
      <c r="K134" s="58">
        <f t="array" ref="K134">INDEX(М[Цена за ед., руб],MATCH(1,IF(($B134=М[Наим.])*($C134=М[Артикул, марка, произв.])*($D134=М[Хар-ка])*($M134=М[Прим.]),{1},($B134=М[Наим.])*($C134=М[Артикул, марка, произв.])*($D134=М[Хар-ка])*($M134=М[Прим.])),0))</f>
        <v>0</v>
      </c>
      <c r="L134" s="58">
        <f>ROUND($J$134*$K$134,2)</f>
        <v>0</v>
      </c>
      <c r="M134" s="25"/>
      <c r="N134" s="25">
        <f t="array" ref="N134">INDEX(М[Форма закупа],MATCH(1,IF(($B134=М[Наим.])*($C134=М[Артикул, марка, произв.])*($D134=М[Хар-ка])*($M134=М[Прим.]),{1},($B134=М[Наим.])*($C134=М[Артикул, марка, произв.])*($D134=М[Хар-ка])*($M134=М[Прим.])),0))</f>
        <v>0</v>
      </c>
    </row>
    <row r="135" spans="1:14" ht="22.5" outlineLevel="4" x14ac:dyDescent="0.2">
      <c r="A135" s="65" t="s">
        <v>37</v>
      </c>
      <c r="B135" s="24" t="s">
        <v>146</v>
      </c>
      <c r="C135" s="25"/>
      <c r="D135" s="25" t="s">
        <v>153</v>
      </c>
      <c r="E135" s="26" t="s">
        <v>28</v>
      </c>
      <c r="F135" s="27"/>
      <c r="G135" s="28">
        <v>45</v>
      </c>
      <c r="H135" s="27"/>
      <c r="I135" s="27"/>
      <c r="J135" s="28">
        <f>SUM($G$135:$I$135)</f>
        <v>45</v>
      </c>
      <c r="K135" s="58">
        <f t="array" ref="K135">INDEX(М[Цена за ед., руб],MATCH(1,IF(($B135=М[Наим.])*($C135=М[Артикул, марка, произв.])*($D135=М[Хар-ка])*($M135=М[Прим.]),{1},($B135=М[Наим.])*($C135=М[Артикул, марка, произв.])*($D135=М[Хар-ка])*($M135=М[Прим.])),0))</f>
        <v>0</v>
      </c>
      <c r="L135" s="58">
        <f>ROUND($J$135*$K$135,2)</f>
        <v>0</v>
      </c>
      <c r="M135" s="25"/>
      <c r="N135" s="25">
        <f t="array" ref="N135">INDEX(М[Форма закупа],MATCH(1,IF(($B135=М[Наим.])*($C135=М[Артикул, марка, произв.])*($D135=М[Хар-ка])*($M135=М[Прим.]),{1},($B135=М[Наим.])*($C135=М[Артикул, марка, произв.])*($D135=М[Хар-ка])*($M135=М[Прим.])),0))</f>
        <v>0</v>
      </c>
    </row>
    <row r="136" spans="1:14" ht="22.5" outlineLevel="4" x14ac:dyDescent="0.2">
      <c r="A136" s="65" t="s">
        <v>39</v>
      </c>
      <c r="B136" s="24" t="s">
        <v>146</v>
      </c>
      <c r="C136" s="25"/>
      <c r="D136" s="25" t="s">
        <v>154</v>
      </c>
      <c r="E136" s="26" t="s">
        <v>28</v>
      </c>
      <c r="F136" s="27"/>
      <c r="G136" s="28">
        <v>34</v>
      </c>
      <c r="H136" s="27"/>
      <c r="I136" s="27"/>
      <c r="J136" s="28">
        <f>SUM($G$136:$I$136)</f>
        <v>34</v>
      </c>
      <c r="K136" s="58">
        <f t="array" ref="K136">INDEX(М[Цена за ед., руб],MATCH(1,IF(($B136=М[Наим.])*($C136=М[Артикул, марка, произв.])*($D136=М[Хар-ка])*($M136=М[Прим.]),{1},($B136=М[Наим.])*($C136=М[Артикул, марка, произв.])*($D136=М[Хар-ка])*($M136=М[Прим.])),0))</f>
        <v>0</v>
      </c>
      <c r="L136" s="58">
        <f>ROUND($J$136*$K$136,2)</f>
        <v>0</v>
      </c>
      <c r="M136" s="25"/>
      <c r="N136" s="25">
        <f t="array" ref="N136">INDEX(М[Форма закупа],MATCH(1,IF(($B136=М[Наим.])*($C136=М[Артикул, марка, произв.])*($D136=М[Хар-ка])*($M136=М[Прим.]),{1},($B136=М[Наим.])*($C136=М[Артикул, марка, произв.])*($D136=М[Хар-ка])*($M136=М[Прим.])),0))</f>
        <v>0</v>
      </c>
    </row>
    <row r="137" spans="1:14" ht="22.5" outlineLevel="4" x14ac:dyDescent="0.2">
      <c r="A137" s="65" t="s">
        <v>41</v>
      </c>
      <c r="B137" s="24" t="s">
        <v>155</v>
      </c>
      <c r="C137" s="25"/>
      <c r="D137" s="25" t="s">
        <v>156</v>
      </c>
      <c r="E137" s="26" t="s">
        <v>34</v>
      </c>
      <c r="F137" s="27"/>
      <c r="G137" s="28">
        <v>8</v>
      </c>
      <c r="H137" s="27"/>
      <c r="I137" s="27"/>
      <c r="J137" s="28">
        <f>SUM($G$137:$I$137)</f>
        <v>8</v>
      </c>
      <c r="K137" s="58">
        <f t="array" ref="K137">INDEX(М[Цена за ед., руб],MATCH(1,IF(($B137=М[Наим.])*($C137=М[Артикул, марка, произв.])*($D137=М[Хар-ка])*($M137=М[Прим.]),{1},($B137=М[Наим.])*($C137=М[Артикул, марка, произв.])*($D137=М[Хар-ка])*($M137=М[Прим.])),0))</f>
        <v>0</v>
      </c>
      <c r="L137" s="58">
        <f>ROUND($J$137*$K$137,2)</f>
        <v>0</v>
      </c>
      <c r="M137" s="25"/>
      <c r="N137" s="25">
        <f t="array" ref="N137">INDEX(М[Форма закупа],MATCH(1,IF(($B137=М[Наим.])*($C137=М[Артикул, марка, произв.])*($D137=М[Хар-ка])*($M137=М[Прим.]),{1},($B137=М[Наим.])*($C137=М[Артикул, марка, произв.])*($D137=М[Хар-ка])*($M137=М[Прим.])),0))</f>
        <v>0</v>
      </c>
    </row>
    <row r="138" spans="1:14" ht="22.5" outlineLevel="4" x14ac:dyDescent="0.2">
      <c r="A138" s="65" t="s">
        <v>43</v>
      </c>
      <c r="B138" s="24" t="s">
        <v>155</v>
      </c>
      <c r="C138" s="25"/>
      <c r="D138" s="25" t="s">
        <v>157</v>
      </c>
      <c r="E138" s="26" t="s">
        <v>34</v>
      </c>
      <c r="F138" s="27"/>
      <c r="G138" s="28">
        <v>8</v>
      </c>
      <c r="H138" s="27"/>
      <c r="I138" s="27"/>
      <c r="J138" s="28">
        <f>SUM($G$138:$I$138)</f>
        <v>8</v>
      </c>
      <c r="K138" s="58">
        <f t="array" ref="K138">INDEX(М[Цена за ед., руб],MATCH(1,IF(($B138=М[Наим.])*($C138=М[Артикул, марка, произв.])*($D138=М[Хар-ка])*($M138=М[Прим.]),{1},($B138=М[Наим.])*($C138=М[Артикул, марка, произв.])*($D138=М[Хар-ка])*($M138=М[Прим.])),0))</f>
        <v>0</v>
      </c>
      <c r="L138" s="58">
        <f>ROUND($J$138*$K$138,2)</f>
        <v>0</v>
      </c>
      <c r="M138" s="25"/>
      <c r="N138" s="25">
        <f t="array" ref="N138">INDEX(М[Форма закупа],MATCH(1,IF(($B138=М[Наим.])*($C138=М[Артикул, марка, произв.])*($D138=М[Хар-ка])*($M138=М[Прим.]),{1},($B138=М[Наим.])*($C138=М[Артикул, марка, произв.])*($D138=М[Хар-ка])*($M138=М[Прим.])),0))</f>
        <v>0</v>
      </c>
    </row>
    <row r="139" spans="1:14" outlineLevel="3" x14ac:dyDescent="0.2">
      <c r="A139" s="13" t="s">
        <v>160</v>
      </c>
      <c r="B139" s="14" t="s">
        <v>161</v>
      </c>
      <c r="C139" s="15"/>
      <c r="D139" s="15"/>
      <c r="E139" s="16"/>
      <c r="F139" s="17"/>
      <c r="G139" s="18"/>
      <c r="H139" s="18"/>
      <c r="I139" s="18"/>
      <c r="J139" s="18"/>
      <c r="K139" s="55"/>
      <c r="L139" s="55">
        <f>SUM($L$142,$L$140)</f>
        <v>0</v>
      </c>
      <c r="M139" s="19"/>
      <c r="N139" s="19"/>
    </row>
    <row r="140" spans="1:14" outlineLevel="4" x14ac:dyDescent="0.2">
      <c r="A140" s="20"/>
      <c r="B140" s="14" t="s">
        <v>24</v>
      </c>
      <c r="C140" s="21"/>
      <c r="D140" s="21"/>
      <c r="E140" s="21"/>
      <c r="F140" s="21"/>
      <c r="G140" s="21"/>
      <c r="H140" s="21"/>
      <c r="I140" s="21"/>
      <c r="J140" s="21"/>
      <c r="K140" s="56"/>
      <c r="L140" s="57">
        <f>SUM($L$141)</f>
        <v>0</v>
      </c>
      <c r="M140" s="18"/>
      <c r="N140" s="22"/>
    </row>
    <row r="141" spans="1:14" outlineLevel="4" x14ac:dyDescent="0.2">
      <c r="A141" s="23"/>
      <c r="B141" s="24" t="s">
        <v>162</v>
      </c>
      <c r="C141" s="25"/>
      <c r="D141" s="25"/>
      <c r="E141" s="26" t="s">
        <v>163</v>
      </c>
      <c r="F141" s="27"/>
      <c r="G141" s="27"/>
      <c r="H141" s="28">
        <v>1</v>
      </c>
      <c r="I141" s="28">
        <v>1</v>
      </c>
      <c r="J141" s="28">
        <f>SUM($G$141:$I$141)</f>
        <v>2</v>
      </c>
      <c r="K141" s="58">
        <f t="array" ref="K141">INDEX(Р[Цена за ед., руб],MATCH(1,IF(($B141=Р[Наименование])*($M141=Р[Примечание]),{1},($B141=Р[Наименование])*($M141=Р[Примечание])),0))</f>
        <v>0</v>
      </c>
      <c r="L141" s="58">
        <f>ROUND($J$141*$K$141,2)</f>
        <v>0</v>
      </c>
      <c r="M141" s="25"/>
      <c r="N141" s="25"/>
    </row>
    <row r="142" spans="1:14" outlineLevel="4" x14ac:dyDescent="0.2">
      <c r="A142" s="20"/>
      <c r="B142" s="14" t="s">
        <v>29</v>
      </c>
      <c r="C142" s="21"/>
      <c r="D142" s="21"/>
      <c r="E142" s="21"/>
      <c r="F142" s="21"/>
      <c r="G142" s="21"/>
      <c r="H142" s="21"/>
      <c r="I142" s="21"/>
      <c r="J142" s="21"/>
      <c r="K142" s="56"/>
      <c r="L142" s="57">
        <f>SUM($L$143:$L$146)</f>
        <v>0</v>
      </c>
      <c r="M142" s="18"/>
      <c r="N142" s="22"/>
    </row>
    <row r="143" spans="1:14" ht="45" outlineLevel="4" x14ac:dyDescent="0.2">
      <c r="A143" s="23" t="s">
        <v>30</v>
      </c>
      <c r="B143" s="24" t="s">
        <v>135</v>
      </c>
      <c r="C143" s="25"/>
      <c r="D143" s="25" t="s">
        <v>137</v>
      </c>
      <c r="E143" s="26" t="s">
        <v>34</v>
      </c>
      <c r="F143" s="27"/>
      <c r="G143" s="27"/>
      <c r="H143" s="28">
        <v>12</v>
      </c>
      <c r="I143" s="28">
        <v>12</v>
      </c>
      <c r="J143" s="28">
        <f>SUM($G$143:$I$143)</f>
        <v>24</v>
      </c>
      <c r="K143" s="58">
        <f t="array" ref="K143">INDEX(М[Цена за ед., руб],MATCH(1,IF(($B143=М[Наим.])*($C143=М[Артикул, марка, произв.])*($D143=М[Хар-ка])*($M143=М[Прим.]),{1},($B143=М[Наим.])*($C143=М[Артикул, марка, произв.])*($D143=М[Хар-ка])*($M143=М[Прим.])),0))</f>
        <v>0</v>
      </c>
      <c r="L143" s="58">
        <f>ROUND($J$143*$K$143,2)</f>
        <v>0</v>
      </c>
      <c r="M143" s="25"/>
      <c r="N143" s="25">
        <f t="array" ref="N143">INDEX(М[Форма закупа],MATCH(1,IF(($B143=М[Наим.])*($C143=М[Артикул, марка, произв.])*($D143=М[Хар-ка])*($M143=М[Прим.]),{1},($B143=М[Наим.])*($C143=М[Артикул, марка, произв.])*($D143=М[Хар-ка])*($M143=М[Прим.])),0))</f>
        <v>0</v>
      </c>
    </row>
    <row r="144" spans="1:14" ht="22.5" outlineLevel="4" x14ac:dyDescent="0.2">
      <c r="A144" s="23" t="s">
        <v>35</v>
      </c>
      <c r="B144" s="24" t="s">
        <v>87</v>
      </c>
      <c r="C144" s="25" t="s">
        <v>56</v>
      </c>
      <c r="D144" s="25" t="s">
        <v>100</v>
      </c>
      <c r="E144" s="26" t="s">
        <v>26</v>
      </c>
      <c r="F144" s="27"/>
      <c r="G144" s="27"/>
      <c r="H144" s="28">
        <v>5</v>
      </c>
      <c r="I144" s="28">
        <v>5</v>
      </c>
      <c r="J144" s="28">
        <f>SUM($G$144:$I$144)</f>
        <v>10</v>
      </c>
      <c r="K144" s="58">
        <f t="array" ref="K144">INDEX(М[Цена за ед., руб],MATCH(1,IF(($B144=М[Наим.])*($C144=М[Артикул, марка, произв.])*($D144=М[Хар-ка])*($M144=М[Прим.]),{1},($B144=М[Наим.])*($C144=М[Артикул, марка, произв.])*($D144=М[Хар-ка])*($M144=М[Прим.])),0))</f>
        <v>0</v>
      </c>
      <c r="L144" s="58">
        <f>ROUND($J$144*$K$144,2)</f>
        <v>0</v>
      </c>
      <c r="M144" s="25"/>
      <c r="N144" s="25">
        <f t="array" ref="N144">INDEX(М[Форма закупа],MATCH(1,IF(($B144=М[Наим.])*($C144=М[Артикул, марка, произв.])*($D144=М[Хар-ка])*($M144=М[Прим.]),{1},($B144=М[Наим.])*($C144=М[Артикул, марка, произв.])*($D144=М[Хар-ка])*($M144=М[Прим.])),0))</f>
        <v>0</v>
      </c>
    </row>
    <row r="145" spans="1:14" ht="22.5" outlineLevel="4" x14ac:dyDescent="0.2">
      <c r="A145" s="23" t="s">
        <v>37</v>
      </c>
      <c r="B145" s="24" t="s">
        <v>132</v>
      </c>
      <c r="C145" s="25" t="s">
        <v>56</v>
      </c>
      <c r="D145" s="25" t="s">
        <v>133</v>
      </c>
      <c r="E145" s="26" t="s">
        <v>26</v>
      </c>
      <c r="F145" s="27"/>
      <c r="G145" s="27"/>
      <c r="H145" s="28">
        <v>2</v>
      </c>
      <c r="I145" s="28">
        <v>2</v>
      </c>
      <c r="J145" s="28">
        <f>SUM($G$145:$I$145)</f>
        <v>4</v>
      </c>
      <c r="K145" s="58">
        <f t="array" ref="K145">INDEX(М[Цена за ед., руб],MATCH(1,IF(($B145=М[Наим.])*($C145=М[Артикул, марка, произв.])*($D145=М[Хар-ка])*($M145=М[Прим.]),{1},($B145=М[Наим.])*($C145=М[Артикул, марка, произв.])*($D145=М[Хар-ка])*($M145=М[Прим.])),0))</f>
        <v>0</v>
      </c>
      <c r="L145" s="58">
        <f>ROUND($J$145*$K$145,2)</f>
        <v>0</v>
      </c>
      <c r="M145" s="25"/>
      <c r="N145" s="25">
        <f t="array" ref="N145">INDEX(М[Форма закупа],MATCH(1,IF(($B145=М[Наим.])*($C145=М[Артикул, марка, произв.])*($D145=М[Хар-ка])*($M145=М[Прим.]),{1},($B145=М[Наим.])*($C145=М[Артикул, марка, произв.])*($D145=М[Хар-ка])*($M145=М[Прим.])),0))</f>
        <v>0</v>
      </c>
    </row>
    <row r="146" spans="1:14" ht="45" outlineLevel="4" x14ac:dyDescent="0.2">
      <c r="A146" s="23" t="s">
        <v>39</v>
      </c>
      <c r="B146" s="24" t="s">
        <v>68</v>
      </c>
      <c r="C146" s="25" t="s">
        <v>56</v>
      </c>
      <c r="D146" s="25" t="s">
        <v>69</v>
      </c>
      <c r="E146" s="26" t="s">
        <v>26</v>
      </c>
      <c r="F146" s="27"/>
      <c r="G146" s="27"/>
      <c r="H146" s="28">
        <v>2</v>
      </c>
      <c r="I146" s="28">
        <v>2</v>
      </c>
      <c r="J146" s="28">
        <f>SUM($G$146:$I$146)</f>
        <v>4</v>
      </c>
      <c r="K146" s="58">
        <f t="array" ref="K146">INDEX(М[Цена за ед., руб],MATCH(1,IF(($B146=М[Наим.])*($C146=М[Артикул, марка, произв.])*($D146=М[Хар-ка])*($M146=М[Прим.]),{1},($B146=М[Наим.])*($C146=М[Артикул, марка, произв.])*($D146=М[Хар-ка])*($M146=М[Прим.])),0))</f>
        <v>0</v>
      </c>
      <c r="L146" s="58">
        <f>ROUND($J$146*$K$146,2)</f>
        <v>0</v>
      </c>
      <c r="M146" s="25"/>
      <c r="N146" s="25">
        <f t="array" ref="N146">INDEX(М[Форма закупа],MATCH(1,IF(($B146=М[Наим.])*($C146=М[Артикул, марка, произв.])*($D146=М[Хар-ка])*($M146=М[Прим.]),{1},($B146=М[Наим.])*($C146=М[Артикул, марка, произв.])*($D146=М[Хар-ка])*($M146=М[Прим.])),0))</f>
        <v>0</v>
      </c>
    </row>
    <row r="147" spans="1:14" ht="33.75" outlineLevel="2" x14ac:dyDescent="0.2">
      <c r="A147" s="13" t="s">
        <v>168</v>
      </c>
      <c r="B147" s="14" t="s">
        <v>169</v>
      </c>
      <c r="C147" s="15"/>
      <c r="D147" s="15"/>
      <c r="E147" s="16"/>
      <c r="F147" s="17"/>
      <c r="G147" s="18"/>
      <c r="H147" s="18"/>
      <c r="I147" s="18"/>
      <c r="J147" s="18"/>
      <c r="K147" s="55"/>
      <c r="L147" s="55">
        <f>SUM($L$224,$L$184,$L$148)</f>
        <v>0</v>
      </c>
      <c r="M147" s="19"/>
      <c r="N147" s="19"/>
    </row>
    <row r="148" spans="1:14" outlineLevel="3" x14ac:dyDescent="0.2">
      <c r="A148" s="13" t="s">
        <v>170</v>
      </c>
      <c r="B148" s="14" t="s">
        <v>171</v>
      </c>
      <c r="C148" s="15"/>
      <c r="D148" s="15"/>
      <c r="E148" s="16"/>
      <c r="F148" s="17"/>
      <c r="G148" s="18"/>
      <c r="H148" s="18"/>
      <c r="I148" s="18"/>
      <c r="J148" s="18"/>
      <c r="K148" s="55"/>
      <c r="L148" s="55">
        <f>SUM($L$182,$L$180,$L$175,$L$173,$L$171,$L$167,$L$165,$L$161,$L$159,$L$157,$L$155,$L$153,$L$151,$L$149)</f>
        <v>0</v>
      </c>
      <c r="M148" s="19"/>
      <c r="N148" s="19"/>
    </row>
    <row r="149" spans="1:14" outlineLevel="4" x14ac:dyDescent="0.2">
      <c r="A149" s="20"/>
      <c r="B149" s="14" t="s">
        <v>24</v>
      </c>
      <c r="C149" s="21"/>
      <c r="D149" s="21"/>
      <c r="E149" s="21"/>
      <c r="F149" s="21"/>
      <c r="G149" s="21"/>
      <c r="H149" s="21"/>
      <c r="I149" s="21"/>
      <c r="J149" s="21"/>
      <c r="K149" s="56"/>
      <c r="L149" s="57">
        <f>SUM($L$150)</f>
        <v>0</v>
      </c>
      <c r="M149" s="18"/>
      <c r="N149" s="22"/>
    </row>
    <row r="150" spans="1:14" outlineLevel="4" x14ac:dyDescent="0.2">
      <c r="A150" s="23"/>
      <c r="B150" s="24" t="s">
        <v>172</v>
      </c>
      <c r="C150" s="25"/>
      <c r="D150" s="25"/>
      <c r="E150" s="26" t="s">
        <v>26</v>
      </c>
      <c r="F150" s="27"/>
      <c r="G150" s="27"/>
      <c r="H150" s="28">
        <v>38</v>
      </c>
      <c r="I150" s="28">
        <v>38</v>
      </c>
      <c r="J150" s="28">
        <f>SUM($G$150:$I$150)</f>
        <v>76</v>
      </c>
      <c r="K150" s="58">
        <f t="array" ref="K150">INDEX(Р[Цена за ед., руб],MATCH(1,IF(($B150=Р[Наименование])*($M150=Р[Примечание]),{1},($B150=Р[Наименование])*($M150=Р[Примечание])),0))</f>
        <v>0</v>
      </c>
      <c r="L150" s="58">
        <f>ROUND($J$150*$K$150,2)</f>
        <v>0</v>
      </c>
      <c r="M150" s="25"/>
      <c r="N150" s="25"/>
    </row>
    <row r="151" spans="1:14" outlineLevel="4" x14ac:dyDescent="0.2">
      <c r="A151" s="20"/>
      <c r="B151" s="14" t="s">
        <v>24</v>
      </c>
      <c r="C151" s="21"/>
      <c r="D151" s="21"/>
      <c r="E151" s="21"/>
      <c r="F151" s="21"/>
      <c r="G151" s="21"/>
      <c r="H151" s="21"/>
      <c r="I151" s="21"/>
      <c r="J151" s="21"/>
      <c r="K151" s="56"/>
      <c r="L151" s="57">
        <f>SUM($L$152)</f>
        <v>0</v>
      </c>
      <c r="M151" s="18"/>
      <c r="N151" s="22"/>
    </row>
    <row r="152" spans="1:14" outlineLevel="4" x14ac:dyDescent="0.2">
      <c r="A152" s="23"/>
      <c r="B152" s="24" t="s">
        <v>173</v>
      </c>
      <c r="C152" s="25"/>
      <c r="D152" s="25"/>
      <c r="E152" s="26" t="s">
        <v>174</v>
      </c>
      <c r="F152" s="27"/>
      <c r="G152" s="27"/>
      <c r="H152" s="28">
        <v>3</v>
      </c>
      <c r="I152" s="28">
        <v>3</v>
      </c>
      <c r="J152" s="28">
        <f>SUM($G$152:$I$152)</f>
        <v>6</v>
      </c>
      <c r="K152" s="58">
        <f t="array" ref="K152">INDEX(Р[Цена за ед., руб],MATCH(1,IF(($B152=Р[Наименование])*($M152=Р[Примечание]),{1},($B152=Р[Наименование])*($M152=Р[Примечание])),0))</f>
        <v>0</v>
      </c>
      <c r="L152" s="58">
        <f>ROUND($J$152*$K$152,2)</f>
        <v>0</v>
      </c>
      <c r="M152" s="25"/>
      <c r="N152" s="25"/>
    </row>
    <row r="153" spans="1:14" outlineLevel="4" x14ac:dyDescent="0.2">
      <c r="A153" s="20"/>
      <c r="B153" s="14" t="s">
        <v>29</v>
      </c>
      <c r="C153" s="21"/>
      <c r="D153" s="21"/>
      <c r="E153" s="21"/>
      <c r="F153" s="21"/>
      <c r="G153" s="21"/>
      <c r="H153" s="21"/>
      <c r="I153" s="21"/>
      <c r="J153" s="21"/>
      <c r="K153" s="56"/>
      <c r="L153" s="57">
        <f>SUM($L$154)</f>
        <v>0</v>
      </c>
      <c r="M153" s="18"/>
      <c r="N153" s="22"/>
    </row>
    <row r="154" spans="1:14" ht="22.5" outlineLevel="4" x14ac:dyDescent="0.2">
      <c r="A154" s="23" t="s">
        <v>30</v>
      </c>
      <c r="B154" s="24" t="s">
        <v>175</v>
      </c>
      <c r="C154" s="25"/>
      <c r="D154" s="25" t="s">
        <v>176</v>
      </c>
      <c r="E154" s="26" t="s">
        <v>174</v>
      </c>
      <c r="F154" s="27"/>
      <c r="G154" s="27"/>
      <c r="H154" s="28">
        <v>3</v>
      </c>
      <c r="I154" s="28">
        <v>3</v>
      </c>
      <c r="J154" s="28">
        <f>SUM($G$154:$I$154)</f>
        <v>6</v>
      </c>
      <c r="K154" s="58">
        <f t="array" ref="K154">INDEX(М[Цена за ед., руб],MATCH(1,IF(($B154=М[Наим.])*($C154=М[Артикул, марка, произв.])*($D154=М[Хар-ка])*($M154=М[Прим.]),{1},($B154=М[Наим.])*($C154=М[Артикул, марка, произв.])*($D154=М[Хар-ка])*($M154=М[Прим.])),0))</f>
        <v>0</v>
      </c>
      <c r="L154" s="58">
        <f>ROUND($J$154*$K$154,2)</f>
        <v>0</v>
      </c>
      <c r="M154" s="25" t="s">
        <v>177</v>
      </c>
      <c r="N154" s="25">
        <f t="array" ref="N154">INDEX(М[Форма закупа],MATCH(1,IF(($B154=М[Наим.])*($C154=М[Артикул, марка, произв.])*($D154=М[Хар-ка])*($M154=М[Прим.]),{1},($B154=М[Наим.])*($C154=М[Артикул, марка, произв.])*($D154=М[Хар-ка])*($M154=М[Прим.])),0))</f>
        <v>0</v>
      </c>
    </row>
    <row r="155" spans="1:14" outlineLevel="4" x14ac:dyDescent="0.2">
      <c r="A155" s="20"/>
      <c r="B155" s="14" t="s">
        <v>24</v>
      </c>
      <c r="C155" s="21"/>
      <c r="D155" s="21"/>
      <c r="E155" s="21"/>
      <c r="F155" s="21"/>
      <c r="G155" s="21"/>
      <c r="H155" s="21"/>
      <c r="I155" s="21"/>
      <c r="J155" s="21"/>
      <c r="K155" s="56"/>
      <c r="L155" s="57">
        <f>SUM($L$156)</f>
        <v>0</v>
      </c>
      <c r="M155" s="18"/>
      <c r="N155" s="22"/>
    </row>
    <row r="156" spans="1:14" outlineLevel="4" x14ac:dyDescent="0.2">
      <c r="A156" s="23"/>
      <c r="B156" s="24" t="s">
        <v>178</v>
      </c>
      <c r="C156" s="25"/>
      <c r="D156" s="25"/>
      <c r="E156" s="26" t="s">
        <v>26</v>
      </c>
      <c r="F156" s="27"/>
      <c r="G156" s="27"/>
      <c r="H156" s="28">
        <v>26</v>
      </c>
      <c r="I156" s="28">
        <v>34</v>
      </c>
      <c r="J156" s="28">
        <f>SUM($G$156:$I$156)</f>
        <v>60</v>
      </c>
      <c r="K156" s="58">
        <f t="array" ref="K156">INDEX(Р[Цена за ед., руб],MATCH(1,IF(($B156=Р[Наименование])*($M156=Р[Примечание]),{1},($B156=Р[Наименование])*($M156=Р[Примечание])),0))</f>
        <v>0</v>
      </c>
      <c r="L156" s="58">
        <f>ROUND($J$156*$K$156,2)</f>
        <v>0</v>
      </c>
      <c r="M156" s="25"/>
      <c r="N156" s="25"/>
    </row>
    <row r="157" spans="1:14" outlineLevel="4" x14ac:dyDescent="0.2">
      <c r="A157" s="20"/>
      <c r="B157" s="14" t="s">
        <v>29</v>
      </c>
      <c r="C157" s="21"/>
      <c r="D157" s="21"/>
      <c r="E157" s="21"/>
      <c r="F157" s="21"/>
      <c r="G157" s="21"/>
      <c r="H157" s="21"/>
      <c r="I157" s="21"/>
      <c r="J157" s="21"/>
      <c r="K157" s="56"/>
      <c r="L157" s="57">
        <f>SUM($L$158)</f>
        <v>0</v>
      </c>
      <c r="M157" s="18"/>
      <c r="N157" s="22"/>
    </row>
    <row r="158" spans="1:14" outlineLevel="4" x14ac:dyDescent="0.2">
      <c r="A158" s="23" t="s">
        <v>30</v>
      </c>
      <c r="B158" s="24" t="s">
        <v>179</v>
      </c>
      <c r="C158" s="25"/>
      <c r="D158" s="25" t="s">
        <v>180</v>
      </c>
      <c r="E158" s="26" t="s">
        <v>26</v>
      </c>
      <c r="F158" s="27"/>
      <c r="G158" s="27"/>
      <c r="H158" s="28">
        <v>26</v>
      </c>
      <c r="I158" s="28">
        <v>34</v>
      </c>
      <c r="J158" s="28">
        <f>SUM($G$158:$I$158)</f>
        <v>60</v>
      </c>
      <c r="K158" s="58">
        <f t="array" ref="K158">INDEX(М[Цена за ед., руб],MATCH(1,IF(($B158=М[Наим.])*($C158=М[Артикул, марка, произв.])*($D158=М[Хар-ка])*($M158=М[Прим.]),{1},($B158=М[Наим.])*($C158=М[Артикул, марка, произв.])*($D158=М[Хар-ка])*($M158=М[Прим.])),0))</f>
        <v>0</v>
      </c>
      <c r="L158" s="58">
        <f>ROUND($J$158*$K$158,2)</f>
        <v>0</v>
      </c>
      <c r="M158" s="25"/>
      <c r="N158" s="25">
        <f t="array" ref="N158">INDEX(М[Форма закупа],MATCH(1,IF(($B158=М[Наим.])*($C158=М[Артикул, марка, произв.])*($D158=М[Хар-ка])*($M158=М[Прим.]),{1},($B158=М[Наим.])*($C158=М[Артикул, марка, произв.])*($D158=М[Хар-ка])*($M158=М[Прим.])),0))</f>
        <v>0</v>
      </c>
    </row>
    <row r="159" spans="1:14" outlineLevel="4" x14ac:dyDescent="0.2">
      <c r="A159" s="20"/>
      <c r="B159" s="14" t="s">
        <v>24</v>
      </c>
      <c r="C159" s="21"/>
      <c r="D159" s="21"/>
      <c r="E159" s="21"/>
      <c r="F159" s="21"/>
      <c r="G159" s="21"/>
      <c r="H159" s="21"/>
      <c r="I159" s="21"/>
      <c r="J159" s="21"/>
      <c r="K159" s="56"/>
      <c r="L159" s="57">
        <f>SUM($L$160)</f>
        <v>0</v>
      </c>
      <c r="M159" s="18"/>
      <c r="N159" s="22"/>
    </row>
    <row r="160" spans="1:14" outlineLevel="4" x14ac:dyDescent="0.2">
      <c r="A160" s="23"/>
      <c r="B160" s="24" t="s">
        <v>120</v>
      </c>
      <c r="C160" s="25"/>
      <c r="D160" s="25"/>
      <c r="E160" s="26" t="s">
        <v>26</v>
      </c>
      <c r="F160" s="27"/>
      <c r="G160" s="27"/>
      <c r="H160" s="28">
        <v>70</v>
      </c>
      <c r="I160" s="28">
        <v>146</v>
      </c>
      <c r="J160" s="28">
        <f>SUM($G$160:$I$160)</f>
        <v>216</v>
      </c>
      <c r="K160" s="58">
        <f t="array" ref="K160">INDEX(Р[Цена за ед., руб],MATCH(1,IF(($B160=Р[Наименование])*($M160=Р[Примечание]),{1},($B160=Р[Наименование])*($M160=Р[Примечание])),0))</f>
        <v>0</v>
      </c>
      <c r="L160" s="58">
        <f>ROUND($J$160*$K$160,2)</f>
        <v>0</v>
      </c>
      <c r="M160" s="25"/>
      <c r="N160" s="25"/>
    </row>
    <row r="161" spans="1:14" outlineLevel="4" x14ac:dyDescent="0.2">
      <c r="A161" s="20"/>
      <c r="B161" s="14" t="s">
        <v>29</v>
      </c>
      <c r="C161" s="21"/>
      <c r="D161" s="21"/>
      <c r="E161" s="21"/>
      <c r="F161" s="21"/>
      <c r="G161" s="21"/>
      <c r="H161" s="21"/>
      <c r="I161" s="21"/>
      <c r="J161" s="21"/>
      <c r="K161" s="56"/>
      <c r="L161" s="57">
        <f>SUM($L$162:$L$164)</f>
        <v>0</v>
      </c>
      <c r="M161" s="18"/>
      <c r="N161" s="22"/>
    </row>
    <row r="162" spans="1:14" outlineLevel="4" x14ac:dyDescent="0.2">
      <c r="A162" s="23" t="s">
        <v>30</v>
      </c>
      <c r="B162" s="24" t="s">
        <v>181</v>
      </c>
      <c r="C162" s="25"/>
      <c r="D162" s="25"/>
      <c r="E162" s="26" t="s">
        <v>163</v>
      </c>
      <c r="F162" s="27"/>
      <c r="G162" s="27"/>
      <c r="H162" s="28">
        <v>70</v>
      </c>
      <c r="I162" s="28">
        <v>146</v>
      </c>
      <c r="J162" s="28">
        <f>SUM($G$162:$I$162)</f>
        <v>216</v>
      </c>
      <c r="K162" s="58">
        <f t="array" ref="K162">INDEX(М[Цена за ед., руб],MATCH(1,IF(($B162=М[Наим.])*($C162=М[Артикул, марка, произв.])*($D162=М[Хар-ка])*($M162=М[Прим.]),{1},($B162=М[Наим.])*($C162=М[Артикул, марка, произв.])*($D162=М[Хар-ка])*($M162=М[Прим.])),0))</f>
        <v>0</v>
      </c>
      <c r="L162" s="58">
        <f>ROUND($J$162*$K$162,2)</f>
        <v>0</v>
      </c>
      <c r="M162" s="25" t="s">
        <v>182</v>
      </c>
      <c r="N162" s="25">
        <f t="array" ref="N162">INDEX(М[Форма закупа],MATCH(1,IF(($B162=М[Наим.])*($C162=М[Артикул, марка, произв.])*($D162=М[Хар-ка])*($M162=М[Прим.]),{1},($B162=М[Наим.])*($C162=М[Артикул, марка, произв.])*($D162=М[Хар-ка])*($M162=М[Прим.])),0))</f>
        <v>0</v>
      </c>
    </row>
    <row r="163" spans="1:14" ht="22.5" outlineLevel="4" x14ac:dyDescent="0.2">
      <c r="A163" s="23" t="s">
        <v>35</v>
      </c>
      <c r="B163" s="24" t="s">
        <v>121</v>
      </c>
      <c r="C163" s="25"/>
      <c r="D163" s="25" t="s">
        <v>183</v>
      </c>
      <c r="E163" s="26" t="s">
        <v>26</v>
      </c>
      <c r="F163" s="27"/>
      <c r="G163" s="27"/>
      <c r="H163" s="28">
        <v>70</v>
      </c>
      <c r="I163" s="28">
        <v>146</v>
      </c>
      <c r="J163" s="28">
        <f>SUM($G$163:$I$163)</f>
        <v>216</v>
      </c>
      <c r="K163" s="58">
        <f t="array" ref="K163">INDEX(М[Цена за ед., руб],MATCH(1,IF(($B163=М[Наим.])*($C163=М[Артикул, марка, произв.])*($D163=М[Хар-ка])*($M163=М[Прим.]),{1},($B163=М[Наим.])*($C163=М[Артикул, марка, произв.])*($D163=М[Хар-ка])*($M163=М[Прим.])),0))</f>
        <v>0</v>
      </c>
      <c r="L163" s="58">
        <f>ROUND($J$163*$K$163,2)</f>
        <v>0</v>
      </c>
      <c r="M163" s="25"/>
      <c r="N163" s="25">
        <f t="array" ref="N163">INDEX(М[Форма закупа],MATCH(1,IF(($B163=М[Наим.])*($C163=М[Артикул, марка, произв.])*($D163=М[Хар-ка])*($M163=М[Прим.]),{1},($B163=М[Наим.])*($C163=М[Артикул, марка, произв.])*($D163=М[Хар-ка])*($M163=М[Прим.])),0))</f>
        <v>0</v>
      </c>
    </row>
    <row r="164" spans="1:14" ht="45" outlineLevel="4" x14ac:dyDescent="0.2">
      <c r="A164" s="23" t="s">
        <v>37</v>
      </c>
      <c r="B164" s="24" t="s">
        <v>123</v>
      </c>
      <c r="C164" s="25" t="s">
        <v>124</v>
      </c>
      <c r="D164" s="25" t="s">
        <v>184</v>
      </c>
      <c r="E164" s="26" t="s">
        <v>26</v>
      </c>
      <c r="F164" s="27"/>
      <c r="G164" s="27"/>
      <c r="H164" s="28">
        <v>70</v>
      </c>
      <c r="I164" s="28">
        <v>146</v>
      </c>
      <c r="J164" s="28">
        <f>SUM($G$164:$I$164)</f>
        <v>216</v>
      </c>
      <c r="K164" s="58">
        <f t="array" ref="K164">INDEX(М[Цена за ед., руб],MATCH(1,IF(($B164=М[Наим.])*($C164=М[Артикул, марка, произв.])*($D164=М[Хар-ка])*($M164=М[Прим.]),{1},($B164=М[Наим.])*($C164=М[Артикул, марка, произв.])*($D164=М[Хар-ка])*($M164=М[Прим.])),0))</f>
        <v>0</v>
      </c>
      <c r="L164" s="58">
        <f>ROUND($J$164*$K$164,2)</f>
        <v>0</v>
      </c>
      <c r="M164" s="25"/>
      <c r="N164" s="25">
        <f t="array" ref="N164">INDEX(М[Форма закупа],MATCH(1,IF(($B164=М[Наим.])*($C164=М[Артикул, марка, произв.])*($D164=М[Хар-ка])*($M164=М[Прим.]),{1},($B164=М[Наим.])*($C164=М[Артикул, марка, произв.])*($D164=М[Хар-ка])*($M164=М[Прим.])),0))</f>
        <v>0</v>
      </c>
    </row>
    <row r="165" spans="1:14" outlineLevel="4" x14ac:dyDescent="0.2">
      <c r="A165" s="20"/>
      <c r="B165" s="14" t="s">
        <v>24</v>
      </c>
      <c r="C165" s="21"/>
      <c r="D165" s="21"/>
      <c r="E165" s="21"/>
      <c r="F165" s="21"/>
      <c r="G165" s="21"/>
      <c r="H165" s="21"/>
      <c r="I165" s="21"/>
      <c r="J165" s="21"/>
      <c r="K165" s="56"/>
      <c r="L165" s="57">
        <f>SUM($L$166)</f>
        <v>0</v>
      </c>
      <c r="M165" s="18"/>
      <c r="N165" s="22"/>
    </row>
    <row r="166" spans="1:14" outlineLevel="4" x14ac:dyDescent="0.2">
      <c r="A166" s="23"/>
      <c r="B166" s="24" t="s">
        <v>185</v>
      </c>
      <c r="C166" s="25"/>
      <c r="D166" s="25"/>
      <c r="E166" s="26" t="s">
        <v>28</v>
      </c>
      <c r="F166" s="27"/>
      <c r="G166" s="27"/>
      <c r="H166" s="28">
        <v>114</v>
      </c>
      <c r="I166" s="28">
        <v>132</v>
      </c>
      <c r="J166" s="28">
        <f>SUM($G$166:$I$166)</f>
        <v>246</v>
      </c>
      <c r="K166" s="58">
        <f t="array" ref="K166">INDEX(Р[Цена за ед., руб],MATCH(1,IF(($B166=Р[Наименование])*($M166=Р[Примечание]),{1},($B166=Р[Наименование])*($M166=Р[Примечание])),0))</f>
        <v>0</v>
      </c>
      <c r="L166" s="58">
        <f>ROUND($J$166*$K$166,2)</f>
        <v>0</v>
      </c>
      <c r="M166" s="25"/>
      <c r="N166" s="25"/>
    </row>
    <row r="167" spans="1:14" outlineLevel="4" x14ac:dyDescent="0.2">
      <c r="A167" s="20"/>
      <c r="B167" s="14" t="s">
        <v>29</v>
      </c>
      <c r="C167" s="21"/>
      <c r="D167" s="21"/>
      <c r="E167" s="21"/>
      <c r="F167" s="21"/>
      <c r="G167" s="21"/>
      <c r="H167" s="21"/>
      <c r="I167" s="21"/>
      <c r="J167" s="21"/>
      <c r="K167" s="56"/>
      <c r="L167" s="57">
        <f>SUM($L$168:$L$170)</f>
        <v>0</v>
      </c>
      <c r="M167" s="18"/>
      <c r="N167" s="22"/>
    </row>
    <row r="168" spans="1:14" ht="33.75" outlineLevel="4" x14ac:dyDescent="0.2">
      <c r="A168" s="23" t="s">
        <v>30</v>
      </c>
      <c r="B168" s="24" t="s">
        <v>31</v>
      </c>
      <c r="C168" s="25" t="s">
        <v>32</v>
      </c>
      <c r="D168" s="25" t="s">
        <v>33</v>
      </c>
      <c r="E168" s="26" t="s">
        <v>34</v>
      </c>
      <c r="F168" s="27"/>
      <c r="G168" s="27"/>
      <c r="H168" s="27"/>
      <c r="I168" s="28">
        <v>98</v>
      </c>
      <c r="J168" s="28">
        <f>SUM($G$168:$I$168)</f>
        <v>98</v>
      </c>
      <c r="K168" s="58">
        <f t="array" ref="K168">INDEX(М[Цена за ед., руб],MATCH(1,IF(($B168=М[Наим.])*($C168=М[Артикул, марка, произв.])*($D168=М[Хар-ка])*($M168=М[Прим.]),{1},($B168=М[Наим.])*($C168=М[Артикул, марка, произв.])*($D168=М[Хар-ка])*($M168=М[Прим.])),0))</f>
        <v>0</v>
      </c>
      <c r="L168" s="58">
        <f>ROUND($J$168*$K$168,2)</f>
        <v>0</v>
      </c>
      <c r="M168" s="25"/>
      <c r="N168" s="25">
        <f t="array" ref="N168">INDEX(М[Форма закупа],MATCH(1,IF(($B168=М[Наим.])*($C168=М[Артикул, марка, произв.])*($D168=М[Хар-ка])*($M168=М[Прим.]),{1},($B168=М[Наим.])*($C168=М[Артикул, марка, произв.])*($D168=М[Хар-ка])*($M168=М[Прим.])),0))</f>
        <v>0</v>
      </c>
    </row>
    <row r="169" spans="1:14" ht="33.75" outlineLevel="4" x14ac:dyDescent="0.2">
      <c r="A169" s="23" t="s">
        <v>35</v>
      </c>
      <c r="B169" s="24" t="s">
        <v>31</v>
      </c>
      <c r="C169" s="25" t="s">
        <v>32</v>
      </c>
      <c r="D169" s="25" t="s">
        <v>44</v>
      </c>
      <c r="E169" s="26" t="s">
        <v>34</v>
      </c>
      <c r="F169" s="27"/>
      <c r="G169" s="27"/>
      <c r="H169" s="28">
        <v>86</v>
      </c>
      <c r="I169" s="27"/>
      <c r="J169" s="28">
        <f>SUM($G$169:$I$169)</f>
        <v>86</v>
      </c>
      <c r="K169" s="58">
        <f t="array" ref="K169">INDEX(М[Цена за ед., руб],MATCH(1,IF(($B169=М[Наим.])*($C169=М[Артикул, марка, произв.])*($D169=М[Хар-ка])*($M169=М[Прим.]),{1},($B169=М[Наим.])*($C169=М[Артикул, марка, произв.])*($D169=М[Хар-ка])*($M169=М[Прим.])),0))</f>
        <v>0</v>
      </c>
      <c r="L169" s="58">
        <f>ROUND($J$169*$K$169,2)</f>
        <v>0</v>
      </c>
      <c r="M169" s="25"/>
      <c r="N169" s="25">
        <f t="array" ref="N169">INDEX(М[Форма закупа],MATCH(1,IF(($B169=М[Наим.])*($C169=М[Артикул, марка, произв.])*($D169=М[Хар-ка])*($M169=М[Прим.]),{1},($B169=М[Наим.])*($C169=М[Артикул, марка, произв.])*($D169=М[Хар-ка])*($M169=М[Прим.])),0))</f>
        <v>0</v>
      </c>
    </row>
    <row r="170" spans="1:14" ht="33.75" outlineLevel="4" x14ac:dyDescent="0.2">
      <c r="A170" s="23" t="s">
        <v>37</v>
      </c>
      <c r="B170" s="24" t="s">
        <v>31</v>
      </c>
      <c r="C170" s="25" t="s">
        <v>32</v>
      </c>
      <c r="D170" s="25" t="s">
        <v>53</v>
      </c>
      <c r="E170" s="26" t="s">
        <v>34</v>
      </c>
      <c r="F170" s="27"/>
      <c r="G170" s="27"/>
      <c r="H170" s="28">
        <v>28</v>
      </c>
      <c r="I170" s="28">
        <v>34</v>
      </c>
      <c r="J170" s="28">
        <f>SUM($G$170:$I$170)</f>
        <v>62</v>
      </c>
      <c r="K170" s="58">
        <f t="array" ref="K170">INDEX(М[Цена за ед., руб],MATCH(1,IF(($B170=М[Наим.])*($C170=М[Артикул, марка, произв.])*($D170=М[Хар-ка])*($M170=М[Прим.]),{1},($B170=М[Наим.])*($C170=М[Артикул, марка, произв.])*($D170=М[Хар-ка])*($M170=М[Прим.])),0))</f>
        <v>0</v>
      </c>
      <c r="L170" s="58">
        <f>ROUND($J$170*$K$170,2)</f>
        <v>0</v>
      </c>
      <c r="M170" s="25"/>
      <c r="N170" s="25">
        <f t="array" ref="N170">INDEX(М[Форма закупа],MATCH(1,IF(($B170=М[Наим.])*($C170=М[Артикул, марка, произв.])*($D170=М[Хар-ка])*($M170=М[Прим.]),{1},($B170=М[Наим.])*($C170=М[Артикул, марка, произв.])*($D170=М[Хар-ка])*($M170=М[Прим.])),0))</f>
        <v>0</v>
      </c>
    </row>
    <row r="171" spans="1:14" outlineLevel="4" x14ac:dyDescent="0.2">
      <c r="A171" s="20"/>
      <c r="B171" s="14" t="s">
        <v>24</v>
      </c>
      <c r="C171" s="21"/>
      <c r="D171" s="21"/>
      <c r="E171" s="21"/>
      <c r="F171" s="21"/>
      <c r="G171" s="21"/>
      <c r="H171" s="21"/>
      <c r="I171" s="21"/>
      <c r="J171" s="21"/>
      <c r="K171" s="56"/>
      <c r="L171" s="57">
        <f>SUM($L$172)</f>
        <v>0</v>
      </c>
      <c r="M171" s="18"/>
      <c r="N171" s="22"/>
    </row>
    <row r="172" spans="1:14" outlineLevel="4" x14ac:dyDescent="0.2">
      <c r="A172" s="23"/>
      <c r="B172" s="24" t="s">
        <v>186</v>
      </c>
      <c r="C172" s="25"/>
      <c r="D172" s="25"/>
      <c r="E172" s="26" t="s">
        <v>26</v>
      </c>
      <c r="F172" s="27"/>
      <c r="G172" s="27"/>
      <c r="H172" s="28">
        <v>70</v>
      </c>
      <c r="I172" s="28">
        <v>80</v>
      </c>
      <c r="J172" s="28">
        <f>SUM($G$172:$I$172)</f>
        <v>150</v>
      </c>
      <c r="K172" s="58">
        <f t="array" ref="K172">INDEX(Р[Цена за ед., руб],MATCH(1,IF(($B172=Р[Наименование])*($M172=Р[Примечание]),{1},($B172=Р[Наименование])*($M172=Р[Примечание])),0))</f>
        <v>0</v>
      </c>
      <c r="L172" s="58">
        <f>ROUND($J$172*$K$172,2)</f>
        <v>0</v>
      </c>
      <c r="M172" s="25"/>
      <c r="N172" s="25"/>
    </row>
    <row r="173" spans="1:14" outlineLevel="4" x14ac:dyDescent="0.2">
      <c r="A173" s="20"/>
      <c r="B173" s="14" t="s">
        <v>24</v>
      </c>
      <c r="C173" s="21"/>
      <c r="D173" s="21"/>
      <c r="E173" s="21"/>
      <c r="F173" s="21"/>
      <c r="G173" s="21"/>
      <c r="H173" s="21"/>
      <c r="I173" s="21"/>
      <c r="J173" s="21"/>
      <c r="K173" s="56"/>
      <c r="L173" s="57">
        <f>SUM($L$174)</f>
        <v>0</v>
      </c>
      <c r="M173" s="18"/>
      <c r="N173" s="22"/>
    </row>
    <row r="174" spans="1:14" outlineLevel="4" x14ac:dyDescent="0.2">
      <c r="A174" s="65"/>
      <c r="B174" s="24" t="s">
        <v>134</v>
      </c>
      <c r="C174" s="25"/>
      <c r="D174" s="25"/>
      <c r="E174" s="26" t="s">
        <v>34</v>
      </c>
      <c r="F174" s="27"/>
      <c r="G174" s="27"/>
      <c r="H174" s="28">
        <v>136</v>
      </c>
      <c r="I174" s="28">
        <v>172</v>
      </c>
      <c r="J174" s="28">
        <f>SUM($G$174:$I$174)</f>
        <v>308</v>
      </c>
      <c r="K174" s="58">
        <f t="array" ref="K174">INDEX(Р[Цена за ед., руб],MATCH(1,IF(($B174=Р[Наименование])*($M174=Р[Примечание]),{1},($B174=Р[Наименование])*($M174=Р[Примечание])),0))</f>
        <v>0</v>
      </c>
      <c r="L174" s="58">
        <f>ROUND($J$174*$K$174,2)</f>
        <v>0</v>
      </c>
      <c r="M174" s="25"/>
      <c r="N174" s="25"/>
    </row>
    <row r="175" spans="1:14" outlineLevel="4" x14ac:dyDescent="0.2">
      <c r="A175" s="20"/>
      <c r="B175" s="14" t="s">
        <v>29</v>
      </c>
      <c r="C175" s="21"/>
      <c r="D175" s="21"/>
      <c r="E175" s="21"/>
      <c r="F175" s="21"/>
      <c r="G175" s="21"/>
      <c r="H175" s="21"/>
      <c r="I175" s="21"/>
      <c r="J175" s="21"/>
      <c r="K175" s="56"/>
      <c r="L175" s="57">
        <f>SUM($L$176:$L$179)</f>
        <v>0</v>
      </c>
      <c r="M175" s="18"/>
      <c r="N175" s="22"/>
    </row>
    <row r="176" spans="1:14" ht="45" outlineLevel="4" x14ac:dyDescent="0.2">
      <c r="A176" s="65" t="s">
        <v>30</v>
      </c>
      <c r="B176" s="24" t="s">
        <v>135</v>
      </c>
      <c r="C176" s="25"/>
      <c r="D176" s="25" t="s">
        <v>136</v>
      </c>
      <c r="E176" s="26" t="s">
        <v>34</v>
      </c>
      <c r="F176" s="27"/>
      <c r="G176" s="27"/>
      <c r="H176" s="28">
        <v>86</v>
      </c>
      <c r="I176" s="27"/>
      <c r="J176" s="28">
        <f>SUM($G$176:$I$176)</f>
        <v>86</v>
      </c>
      <c r="K176" s="58">
        <f t="array" ref="K176">INDEX(М[Цена за ед., руб],MATCH(1,IF(($B176=М[Наим.])*($C176=М[Артикул, марка, произв.])*($D176=М[Хар-ка])*($M176=М[Прим.]),{1},($B176=М[Наим.])*($C176=М[Артикул, марка, произв.])*($D176=М[Хар-ка])*($M176=М[Прим.])),0))</f>
        <v>0</v>
      </c>
      <c r="L176" s="58">
        <f>ROUND($J$176*$K$176,2)</f>
        <v>0</v>
      </c>
      <c r="M176" s="25"/>
      <c r="N176" s="25">
        <f t="array" ref="N176">INDEX(М[Форма закупа],MATCH(1,IF(($B176=М[Наим.])*($C176=М[Артикул, марка, произв.])*($D176=М[Хар-ка])*($M176=М[Прим.]),{1},($B176=М[Наим.])*($C176=М[Артикул, марка, произв.])*($D176=М[Хар-ка])*($M176=М[Прим.])),0))</f>
        <v>0</v>
      </c>
    </row>
    <row r="177" spans="1:14" ht="45" outlineLevel="4" x14ac:dyDescent="0.2">
      <c r="A177" s="65" t="s">
        <v>35</v>
      </c>
      <c r="B177" s="24" t="s">
        <v>135</v>
      </c>
      <c r="C177" s="25"/>
      <c r="D177" s="25" t="s">
        <v>137</v>
      </c>
      <c r="E177" s="26" t="s">
        <v>34</v>
      </c>
      <c r="F177" s="27"/>
      <c r="G177" s="27"/>
      <c r="H177" s="28">
        <v>22</v>
      </c>
      <c r="I177" s="28">
        <v>42</v>
      </c>
      <c r="J177" s="28">
        <f>SUM($G$177:$I$177)</f>
        <v>64</v>
      </c>
      <c r="K177" s="58">
        <f t="array" ref="K177">INDEX(М[Цена за ед., руб],MATCH(1,IF(($B177=М[Наим.])*($C177=М[Артикул, марка, произв.])*($D177=М[Хар-ка])*($M177=М[Прим.]),{1},($B177=М[Наим.])*($C177=М[Артикул, марка, произв.])*($D177=М[Хар-ка])*($M177=М[Прим.])),0))</f>
        <v>0</v>
      </c>
      <c r="L177" s="58">
        <f>ROUND($J$177*$K$177,2)</f>
        <v>0</v>
      </c>
      <c r="M177" s="25"/>
      <c r="N177" s="25">
        <f t="array" ref="N177">INDEX(М[Форма закупа],MATCH(1,IF(($B177=М[Наим.])*($C177=М[Артикул, марка, произв.])*($D177=М[Хар-ка])*($M177=М[Прим.]),{1},($B177=М[Наим.])*($C177=М[Артикул, марка, произв.])*($D177=М[Хар-ка])*($M177=М[Прим.])),0))</f>
        <v>0</v>
      </c>
    </row>
    <row r="178" spans="1:14" ht="45" outlineLevel="4" x14ac:dyDescent="0.2">
      <c r="A178" s="65" t="s">
        <v>37</v>
      </c>
      <c r="B178" s="24" t="s">
        <v>135</v>
      </c>
      <c r="C178" s="25"/>
      <c r="D178" s="25" t="s">
        <v>139</v>
      </c>
      <c r="E178" s="26" t="s">
        <v>34</v>
      </c>
      <c r="F178" s="27"/>
      <c r="G178" s="27"/>
      <c r="H178" s="28">
        <v>28</v>
      </c>
      <c r="I178" s="28">
        <v>32</v>
      </c>
      <c r="J178" s="28">
        <f>SUM($G$178:$I$178)</f>
        <v>60</v>
      </c>
      <c r="K178" s="58">
        <f t="array" ref="K178">INDEX(М[Цена за ед., руб],MATCH(1,IF(($B178=М[Наим.])*($C178=М[Артикул, марка, произв.])*($D178=М[Хар-ка])*($M178=М[Прим.]),{1},($B178=М[Наим.])*($C178=М[Артикул, марка, произв.])*($D178=М[Хар-ка])*($M178=М[Прим.])),0))</f>
        <v>0</v>
      </c>
      <c r="L178" s="58">
        <f>ROUND($J$178*$K$178,2)</f>
        <v>0</v>
      </c>
      <c r="M178" s="25"/>
      <c r="N178" s="25">
        <f t="array" ref="N178">INDEX(М[Форма закупа],MATCH(1,IF(($B178=М[Наим.])*($C178=М[Артикул, марка, произв.])*($D178=М[Хар-ка])*($M178=М[Прим.]),{1},($B178=М[Наим.])*($C178=М[Артикул, марка, произв.])*($D178=М[Хар-ка])*($M178=М[Прим.])),0))</f>
        <v>0</v>
      </c>
    </row>
    <row r="179" spans="1:14" ht="45" outlineLevel="4" x14ac:dyDescent="0.2">
      <c r="A179" s="65" t="s">
        <v>39</v>
      </c>
      <c r="B179" s="24" t="s">
        <v>135</v>
      </c>
      <c r="C179" s="25"/>
      <c r="D179" s="25" t="s">
        <v>140</v>
      </c>
      <c r="E179" s="26" t="s">
        <v>34</v>
      </c>
      <c r="F179" s="27"/>
      <c r="G179" s="27"/>
      <c r="H179" s="27"/>
      <c r="I179" s="28">
        <v>98</v>
      </c>
      <c r="J179" s="28">
        <f>SUM($G$179:$I$179)</f>
        <v>98</v>
      </c>
      <c r="K179" s="58">
        <f t="array" ref="K179">INDEX(М[Цена за ед., руб],MATCH(1,IF(($B179=М[Наим.])*($C179=М[Артикул, марка, произв.])*($D179=М[Хар-ка])*($M179=М[Прим.]),{1},($B179=М[Наим.])*($C179=М[Артикул, марка, произв.])*($D179=М[Хар-ка])*($M179=М[Прим.])),0))</f>
        <v>0</v>
      </c>
      <c r="L179" s="58">
        <f>ROUND($J$179*$K$179,2)</f>
        <v>0</v>
      </c>
      <c r="M179" s="25"/>
      <c r="N179" s="25">
        <f t="array" ref="N179">INDEX(М[Форма закупа],MATCH(1,IF(($B179=М[Наим.])*($C179=М[Артикул, марка, произв.])*($D179=М[Хар-ка])*($M179=М[Прим.]),{1},($B179=М[Наим.])*($C179=М[Артикул, марка, произв.])*($D179=М[Хар-ка])*($M179=М[Прим.])),0))</f>
        <v>0</v>
      </c>
    </row>
    <row r="180" spans="1:14" outlineLevel="4" x14ac:dyDescent="0.2">
      <c r="A180" s="20"/>
      <c r="B180" s="14" t="s">
        <v>24</v>
      </c>
      <c r="C180" s="21"/>
      <c r="D180" s="21"/>
      <c r="E180" s="21"/>
      <c r="F180" s="21"/>
      <c r="G180" s="21"/>
      <c r="H180" s="21"/>
      <c r="I180" s="21"/>
      <c r="J180" s="21"/>
      <c r="K180" s="56"/>
      <c r="L180" s="57">
        <f>SUM($L$181)</f>
        <v>0</v>
      </c>
      <c r="M180" s="18"/>
      <c r="N180" s="22"/>
    </row>
    <row r="181" spans="1:14" outlineLevel="4" x14ac:dyDescent="0.2">
      <c r="A181" s="23"/>
      <c r="B181" s="24" t="s">
        <v>150</v>
      </c>
      <c r="C181" s="25"/>
      <c r="D181" s="25"/>
      <c r="E181" s="26" t="s">
        <v>28</v>
      </c>
      <c r="F181" s="27"/>
      <c r="G181" s="27"/>
      <c r="H181" s="27"/>
      <c r="I181" s="28">
        <v>12</v>
      </c>
      <c r="J181" s="28">
        <f>SUM($G$181:$I$181)</f>
        <v>12</v>
      </c>
      <c r="K181" s="58">
        <f t="array" ref="K181">INDEX(Р[Цена за ед., руб],MATCH(1,IF(($B181=Р[Наименование])*($M181=Р[Примечание]),{1},($B181=Р[Наименование])*($M181=Р[Примечание])),0))</f>
        <v>0</v>
      </c>
      <c r="L181" s="58">
        <f>ROUND($J$181*$K$181,2)</f>
        <v>0</v>
      </c>
      <c r="M181" s="25"/>
      <c r="N181" s="25"/>
    </row>
    <row r="182" spans="1:14" outlineLevel="4" x14ac:dyDescent="0.2">
      <c r="A182" s="20"/>
      <c r="B182" s="14" t="s">
        <v>29</v>
      </c>
      <c r="C182" s="21"/>
      <c r="D182" s="21"/>
      <c r="E182" s="21"/>
      <c r="F182" s="21"/>
      <c r="G182" s="21"/>
      <c r="H182" s="21"/>
      <c r="I182" s="21"/>
      <c r="J182" s="21"/>
      <c r="K182" s="56"/>
      <c r="L182" s="57">
        <f>SUM($L$183)</f>
        <v>0</v>
      </c>
      <c r="M182" s="18"/>
      <c r="N182" s="22"/>
    </row>
    <row r="183" spans="1:14" ht="22.5" outlineLevel="4" x14ac:dyDescent="0.2">
      <c r="A183" s="65" t="s">
        <v>30</v>
      </c>
      <c r="B183" s="24" t="s">
        <v>155</v>
      </c>
      <c r="C183" s="25"/>
      <c r="D183" s="25" t="s">
        <v>187</v>
      </c>
      <c r="E183" s="26" t="s">
        <v>34</v>
      </c>
      <c r="F183" s="27"/>
      <c r="G183" s="27"/>
      <c r="H183" s="27"/>
      <c r="I183" s="28">
        <v>12</v>
      </c>
      <c r="J183" s="28">
        <f>SUM($G$183:$I$183)</f>
        <v>12</v>
      </c>
      <c r="K183" s="58">
        <f t="array" ref="K183">INDEX(М[Цена за ед., руб],MATCH(1,IF(($B183=М[Наим.])*($C183=М[Артикул, марка, произв.])*($D183=М[Хар-ка])*($M183=М[Прим.]),{1},($B183=М[Наим.])*($C183=М[Артикул, марка, произв.])*($D183=М[Хар-ка])*($M183=М[Прим.])),0))</f>
        <v>0</v>
      </c>
      <c r="L183" s="58">
        <f>ROUND($J$183*$K$183,2)</f>
        <v>0</v>
      </c>
      <c r="M183" s="25" t="s">
        <v>177</v>
      </c>
      <c r="N183" s="25">
        <f t="array" ref="N183">INDEX(М[Форма закупа],MATCH(1,IF(($B183=М[Наим.])*($C183=М[Артикул, марка, произв.])*($D183=М[Хар-ка])*($M183=М[Прим.]),{1},($B183=М[Наим.])*($C183=М[Артикул, марка, произв.])*($D183=М[Хар-ка])*($M183=М[Прим.])),0))</f>
        <v>0</v>
      </c>
    </row>
    <row r="184" spans="1:14" outlineLevel="3" x14ac:dyDescent="0.2">
      <c r="A184" s="13" t="s">
        <v>188</v>
      </c>
      <c r="B184" s="14" t="s">
        <v>189</v>
      </c>
      <c r="C184" s="15"/>
      <c r="D184" s="15"/>
      <c r="E184" s="16"/>
      <c r="F184" s="17"/>
      <c r="G184" s="18"/>
      <c r="H184" s="18"/>
      <c r="I184" s="18"/>
      <c r="J184" s="18"/>
      <c r="K184" s="55"/>
      <c r="L184" s="55">
        <f>SUM($L$219,$L$217,$L$215,$L$211,$L$209,$L$207,$L$205,$L$203,$L$201,$L$199,$L$197,$L$195,$L$193,$L$189,$L$187,$L$185)</f>
        <v>0</v>
      </c>
      <c r="M184" s="19"/>
      <c r="N184" s="19"/>
    </row>
    <row r="185" spans="1:14" outlineLevel="4" x14ac:dyDescent="0.2">
      <c r="A185" s="20"/>
      <c r="B185" s="14" t="s">
        <v>24</v>
      </c>
      <c r="C185" s="21"/>
      <c r="D185" s="21"/>
      <c r="E185" s="21"/>
      <c r="F185" s="21"/>
      <c r="G185" s="21"/>
      <c r="H185" s="21"/>
      <c r="I185" s="21"/>
      <c r="J185" s="21"/>
      <c r="K185" s="56"/>
      <c r="L185" s="57">
        <f>SUM($L$186)</f>
        <v>0</v>
      </c>
      <c r="M185" s="18"/>
      <c r="N185" s="22"/>
    </row>
    <row r="186" spans="1:14" outlineLevel="4" x14ac:dyDescent="0.2">
      <c r="A186" s="23"/>
      <c r="B186" s="24" t="s">
        <v>172</v>
      </c>
      <c r="C186" s="25"/>
      <c r="D186" s="25"/>
      <c r="E186" s="26" t="s">
        <v>26</v>
      </c>
      <c r="F186" s="27"/>
      <c r="G186" s="27"/>
      <c r="H186" s="28">
        <v>35</v>
      </c>
      <c r="I186" s="28">
        <v>43</v>
      </c>
      <c r="J186" s="28">
        <f>SUM($G$186:$I$186)</f>
        <v>78</v>
      </c>
      <c r="K186" s="58">
        <f t="array" ref="K186">INDEX(Р[Цена за ед., руб],MATCH(1,IF(($B186=Р[Наименование])*($M186=Р[Примечание]),{1},($B186=Р[Наименование])*($M186=Р[Примечание])),0))</f>
        <v>0</v>
      </c>
      <c r="L186" s="58">
        <f>ROUND($J$186*$K$186,2)</f>
        <v>0</v>
      </c>
      <c r="M186" s="25"/>
      <c r="N186" s="25"/>
    </row>
    <row r="187" spans="1:14" outlineLevel="4" x14ac:dyDescent="0.2">
      <c r="A187" s="20"/>
      <c r="B187" s="14" t="s">
        <v>24</v>
      </c>
      <c r="C187" s="21"/>
      <c r="D187" s="21"/>
      <c r="E187" s="21"/>
      <c r="F187" s="21"/>
      <c r="G187" s="21"/>
      <c r="H187" s="21"/>
      <c r="I187" s="21"/>
      <c r="J187" s="21"/>
      <c r="K187" s="56"/>
      <c r="L187" s="57">
        <f>SUM($L$188)</f>
        <v>0</v>
      </c>
      <c r="M187" s="18"/>
      <c r="N187" s="22"/>
    </row>
    <row r="188" spans="1:14" outlineLevel="4" x14ac:dyDescent="0.2">
      <c r="A188" s="23"/>
      <c r="B188" s="24" t="s">
        <v>27</v>
      </c>
      <c r="C188" s="25"/>
      <c r="D188" s="25"/>
      <c r="E188" s="26" t="s">
        <v>28</v>
      </c>
      <c r="F188" s="27"/>
      <c r="G188" s="27"/>
      <c r="H188" s="28">
        <v>132</v>
      </c>
      <c r="I188" s="28">
        <v>150</v>
      </c>
      <c r="J188" s="28">
        <f>SUM($G$188:$I$188)</f>
        <v>282</v>
      </c>
      <c r="K188" s="58">
        <f t="array" ref="K188">INDEX(Р[Цена за ед., руб],MATCH(1,IF(($B188=Р[Наименование])*($M188=Р[Примечание]),{1},($B188=Р[Наименование])*($M188=Р[Примечание])),0))</f>
        <v>0</v>
      </c>
      <c r="L188" s="58">
        <f>ROUND($J$188*$K$188,2)</f>
        <v>0</v>
      </c>
      <c r="M188" s="25"/>
      <c r="N188" s="25"/>
    </row>
    <row r="189" spans="1:14" outlineLevel="4" x14ac:dyDescent="0.2">
      <c r="A189" s="20"/>
      <c r="B189" s="14" t="s">
        <v>29</v>
      </c>
      <c r="C189" s="21"/>
      <c r="D189" s="21"/>
      <c r="E189" s="21"/>
      <c r="F189" s="21"/>
      <c r="G189" s="21"/>
      <c r="H189" s="21"/>
      <c r="I189" s="21"/>
      <c r="J189" s="21"/>
      <c r="K189" s="56"/>
      <c r="L189" s="57">
        <f>SUM($L$190:$L$192)</f>
        <v>0</v>
      </c>
      <c r="M189" s="18"/>
      <c r="N189" s="22"/>
    </row>
    <row r="190" spans="1:14" ht="33.75" outlineLevel="4" x14ac:dyDescent="0.2">
      <c r="A190" s="23" t="s">
        <v>30</v>
      </c>
      <c r="B190" s="24" t="s">
        <v>31</v>
      </c>
      <c r="C190" s="25"/>
      <c r="D190" s="25" t="s">
        <v>33</v>
      </c>
      <c r="E190" s="26" t="s">
        <v>34</v>
      </c>
      <c r="F190" s="27"/>
      <c r="G190" s="27"/>
      <c r="H190" s="27"/>
      <c r="I190" s="28">
        <v>116</v>
      </c>
      <c r="J190" s="28">
        <f>SUM($G$190:$I$190)</f>
        <v>116</v>
      </c>
      <c r="K190" s="58">
        <f t="array" ref="K190">INDEX(М[Цена за ед., руб],MATCH(1,IF(($B190=М[Наим.])*($C190=М[Артикул, марка, произв.])*($D190=М[Хар-ка])*($M190=М[Прим.]),{1},($B190=М[Наим.])*($C190=М[Артикул, марка, произв.])*($D190=М[Хар-ка])*($M190=М[Прим.])),0))</f>
        <v>0</v>
      </c>
      <c r="L190" s="58">
        <f>ROUND($J$190*$K$190,2)</f>
        <v>0</v>
      </c>
      <c r="M190" s="25"/>
      <c r="N190" s="25">
        <f t="array" ref="N190">INDEX(М[Форма закупа],MATCH(1,IF(($B190=М[Наим.])*($C190=М[Артикул, марка, произв.])*($D190=М[Хар-ка])*($M190=М[Прим.]),{1},($B190=М[Наим.])*($C190=М[Артикул, марка, произв.])*($D190=М[Хар-ка])*($M190=М[Прим.])),0))</f>
        <v>0</v>
      </c>
    </row>
    <row r="191" spans="1:14" ht="33.75" outlineLevel="4" x14ac:dyDescent="0.2">
      <c r="A191" s="23" t="s">
        <v>35</v>
      </c>
      <c r="B191" s="24" t="s">
        <v>31</v>
      </c>
      <c r="C191" s="25"/>
      <c r="D191" s="25" t="s">
        <v>44</v>
      </c>
      <c r="E191" s="26" t="s">
        <v>34</v>
      </c>
      <c r="F191" s="27"/>
      <c r="G191" s="27"/>
      <c r="H191" s="28">
        <v>104</v>
      </c>
      <c r="I191" s="27"/>
      <c r="J191" s="28">
        <f>SUM($G$191:$I$191)</f>
        <v>104</v>
      </c>
      <c r="K191" s="58">
        <f t="array" ref="K191">INDEX(М[Цена за ед., руб],MATCH(1,IF(($B191=М[Наим.])*($C191=М[Артикул, марка, произв.])*($D191=М[Хар-ка])*($M191=М[Прим.]),{1},($B191=М[Наим.])*($C191=М[Артикул, марка, произв.])*($D191=М[Хар-ка])*($M191=М[Прим.])),0))</f>
        <v>0</v>
      </c>
      <c r="L191" s="58">
        <f>ROUND($J$191*$K$191,2)</f>
        <v>0</v>
      </c>
      <c r="M191" s="25"/>
      <c r="N191" s="25">
        <f t="array" ref="N191">INDEX(М[Форма закупа],MATCH(1,IF(($B191=М[Наим.])*($C191=М[Артикул, марка, произв.])*($D191=М[Хар-ка])*($M191=М[Прим.]),{1},($B191=М[Наим.])*($C191=М[Артикул, марка, произв.])*($D191=М[Хар-ка])*($M191=М[Прим.])),0))</f>
        <v>0</v>
      </c>
    </row>
    <row r="192" spans="1:14" ht="33.75" outlineLevel="4" x14ac:dyDescent="0.2">
      <c r="A192" s="23" t="s">
        <v>37</v>
      </c>
      <c r="B192" s="24" t="s">
        <v>31</v>
      </c>
      <c r="C192" s="25"/>
      <c r="D192" s="25" t="s">
        <v>53</v>
      </c>
      <c r="E192" s="26" t="s">
        <v>34</v>
      </c>
      <c r="F192" s="27"/>
      <c r="G192" s="27"/>
      <c r="H192" s="28">
        <v>28</v>
      </c>
      <c r="I192" s="28">
        <v>34</v>
      </c>
      <c r="J192" s="28">
        <f>SUM($G$192:$I$192)</f>
        <v>62</v>
      </c>
      <c r="K192" s="58">
        <f t="array" ref="K192">INDEX(М[Цена за ед., руб],MATCH(1,IF(($B192=М[Наим.])*($C192=М[Артикул, марка, произв.])*($D192=М[Хар-ка])*($M192=М[Прим.]),{1},($B192=М[Наим.])*($C192=М[Артикул, марка, произв.])*($D192=М[Хар-ка])*($M192=М[Прим.])),0))</f>
        <v>0</v>
      </c>
      <c r="L192" s="58">
        <f>ROUND($J$192*$K$192,2)</f>
        <v>0</v>
      </c>
      <c r="M192" s="25"/>
      <c r="N192" s="25">
        <f t="array" ref="N192">INDEX(М[Форма закупа],MATCH(1,IF(($B192=М[Наим.])*($C192=М[Артикул, марка, произв.])*($D192=М[Хар-ка])*($M192=М[Прим.]),{1},($B192=М[Наим.])*($C192=М[Артикул, марка, произв.])*($D192=М[Хар-ка])*($M192=М[Прим.])),0))</f>
        <v>0</v>
      </c>
    </row>
    <row r="193" spans="1:14" outlineLevel="4" x14ac:dyDescent="0.2">
      <c r="A193" s="20"/>
      <c r="B193" s="14" t="s">
        <v>24</v>
      </c>
      <c r="C193" s="21"/>
      <c r="D193" s="21"/>
      <c r="E193" s="21"/>
      <c r="F193" s="21"/>
      <c r="G193" s="21"/>
      <c r="H193" s="21"/>
      <c r="I193" s="21"/>
      <c r="J193" s="21"/>
      <c r="K193" s="56"/>
      <c r="L193" s="57">
        <f>SUM($L$194)</f>
        <v>0</v>
      </c>
      <c r="M193" s="18"/>
      <c r="N193" s="22"/>
    </row>
    <row r="194" spans="1:14" ht="22.5" outlineLevel="4" x14ac:dyDescent="0.2">
      <c r="A194" s="23"/>
      <c r="B194" s="24" t="s">
        <v>54</v>
      </c>
      <c r="C194" s="25"/>
      <c r="D194" s="25"/>
      <c r="E194" s="26" t="s">
        <v>26</v>
      </c>
      <c r="F194" s="27"/>
      <c r="G194" s="27"/>
      <c r="H194" s="28">
        <v>2</v>
      </c>
      <c r="I194" s="28">
        <v>2</v>
      </c>
      <c r="J194" s="28">
        <f>SUM($G$194:$I$194)</f>
        <v>4</v>
      </c>
      <c r="K194" s="58">
        <f t="array" ref="K194">INDEX(Р[Цена за ед., руб],MATCH(1,IF(($B194=Р[Наименование])*($M194=Р[Примечание]),{1},($B194=Р[Наименование])*($M194=Р[Примечание])),0))</f>
        <v>0</v>
      </c>
      <c r="L194" s="58">
        <f>ROUND($J$194*$K$194,2)</f>
        <v>0</v>
      </c>
      <c r="M194" s="25"/>
      <c r="N194" s="25"/>
    </row>
    <row r="195" spans="1:14" outlineLevel="4" x14ac:dyDescent="0.2">
      <c r="A195" s="20"/>
      <c r="B195" s="14" t="s">
        <v>29</v>
      </c>
      <c r="C195" s="21"/>
      <c r="D195" s="21"/>
      <c r="E195" s="21"/>
      <c r="F195" s="21"/>
      <c r="G195" s="21"/>
      <c r="H195" s="21"/>
      <c r="I195" s="21"/>
      <c r="J195" s="21"/>
      <c r="K195" s="56"/>
      <c r="L195" s="57">
        <f>SUM($L$196)</f>
        <v>0</v>
      </c>
      <c r="M195" s="18"/>
      <c r="N195" s="22"/>
    </row>
    <row r="196" spans="1:14" ht="22.5" outlineLevel="4" x14ac:dyDescent="0.2">
      <c r="A196" s="23" t="s">
        <v>30</v>
      </c>
      <c r="B196" s="24" t="s">
        <v>55</v>
      </c>
      <c r="C196" s="25" t="s">
        <v>56</v>
      </c>
      <c r="D196" s="25" t="s">
        <v>57</v>
      </c>
      <c r="E196" s="26" t="s">
        <v>26</v>
      </c>
      <c r="F196" s="27"/>
      <c r="G196" s="27"/>
      <c r="H196" s="28">
        <v>2</v>
      </c>
      <c r="I196" s="28">
        <v>2</v>
      </c>
      <c r="J196" s="28">
        <f>SUM($G$196:$I$196)</f>
        <v>4</v>
      </c>
      <c r="K196" s="58">
        <f t="array" ref="K196">INDEX(М[Цена за ед., руб],MATCH(1,IF(($B196=М[Наим.])*($C196=М[Артикул, марка, произв.])*($D196=М[Хар-ка])*($M196=М[Прим.]),{1},($B196=М[Наим.])*($C196=М[Артикул, марка, произв.])*($D196=М[Хар-ка])*($M196=М[Прим.])),0))</f>
        <v>0</v>
      </c>
      <c r="L196" s="58">
        <f>ROUND($J$196*$K$196,2)</f>
        <v>0</v>
      </c>
      <c r="M196" s="25"/>
      <c r="N196" s="25">
        <f t="array" ref="N196">INDEX(М[Форма закупа],MATCH(1,IF(($B196=М[Наим.])*($C196=М[Артикул, марка, произв.])*($D196=М[Хар-ка])*($M196=М[Прим.]),{1},($B196=М[Наим.])*($C196=М[Артикул, марка, произв.])*($D196=М[Хар-ка])*($M196=М[Прим.])),0))</f>
        <v>0</v>
      </c>
    </row>
    <row r="197" spans="1:14" outlineLevel="4" x14ac:dyDescent="0.2">
      <c r="A197" s="20"/>
      <c r="B197" s="14" t="s">
        <v>24</v>
      </c>
      <c r="C197" s="21"/>
      <c r="D197" s="21"/>
      <c r="E197" s="21"/>
      <c r="F197" s="21"/>
      <c r="G197" s="21"/>
      <c r="H197" s="21"/>
      <c r="I197" s="21"/>
      <c r="J197" s="21"/>
      <c r="K197" s="56"/>
      <c r="L197" s="57">
        <f>SUM($L$198)</f>
        <v>0</v>
      </c>
      <c r="M197" s="18"/>
      <c r="N197" s="22"/>
    </row>
    <row r="198" spans="1:14" outlineLevel="4" x14ac:dyDescent="0.2">
      <c r="A198" s="23"/>
      <c r="B198" s="24" t="s">
        <v>173</v>
      </c>
      <c r="C198" s="25"/>
      <c r="D198" s="25"/>
      <c r="E198" s="26" t="s">
        <v>174</v>
      </c>
      <c r="F198" s="27"/>
      <c r="G198" s="27"/>
      <c r="H198" s="28">
        <v>3</v>
      </c>
      <c r="I198" s="28">
        <v>3</v>
      </c>
      <c r="J198" s="28">
        <f>SUM($G$198:$I$198)</f>
        <v>6</v>
      </c>
      <c r="K198" s="58">
        <f t="array" ref="K198">INDEX(Р[Цена за ед., руб],MATCH(1,IF(($B198=Р[Наименование])*($M198=Р[Примечание]),{1},($B198=Р[Наименование])*($M198=Р[Примечание])),0))</f>
        <v>0</v>
      </c>
      <c r="L198" s="58">
        <f>ROUND($J$198*$K$198,2)</f>
        <v>0</v>
      </c>
      <c r="M198" s="25"/>
      <c r="N198" s="25"/>
    </row>
    <row r="199" spans="1:14" outlineLevel="4" x14ac:dyDescent="0.2">
      <c r="A199" s="20"/>
      <c r="B199" s="14" t="s">
        <v>29</v>
      </c>
      <c r="C199" s="21"/>
      <c r="D199" s="21"/>
      <c r="E199" s="21"/>
      <c r="F199" s="21"/>
      <c r="G199" s="21"/>
      <c r="H199" s="21"/>
      <c r="I199" s="21"/>
      <c r="J199" s="21"/>
      <c r="K199" s="56"/>
      <c r="L199" s="57">
        <f>SUM($L$200)</f>
        <v>0</v>
      </c>
      <c r="M199" s="18"/>
      <c r="N199" s="22"/>
    </row>
    <row r="200" spans="1:14" ht="22.5" outlineLevel="4" x14ac:dyDescent="0.2">
      <c r="A200" s="23" t="s">
        <v>30</v>
      </c>
      <c r="B200" s="24" t="s">
        <v>175</v>
      </c>
      <c r="C200" s="25"/>
      <c r="D200" s="25" t="s">
        <v>176</v>
      </c>
      <c r="E200" s="26" t="s">
        <v>174</v>
      </c>
      <c r="F200" s="27"/>
      <c r="G200" s="27"/>
      <c r="H200" s="28">
        <v>3</v>
      </c>
      <c r="I200" s="28">
        <v>3</v>
      </c>
      <c r="J200" s="28">
        <f>SUM($G$200:$I$200)</f>
        <v>6</v>
      </c>
      <c r="K200" s="58">
        <f t="array" ref="K200">INDEX(М[Цена за ед., руб],MATCH(1,IF(($B200=М[Наим.])*($C200=М[Артикул, марка, произв.])*($D200=М[Хар-ка])*($M200=М[Прим.]),{1},($B200=М[Наим.])*($C200=М[Артикул, марка, произв.])*($D200=М[Хар-ка])*($M200=М[Прим.])),0))</f>
        <v>0</v>
      </c>
      <c r="L200" s="58">
        <f>ROUND($J$200*$K$200,2)</f>
        <v>0</v>
      </c>
      <c r="M200" s="25" t="s">
        <v>177</v>
      </c>
      <c r="N200" s="25">
        <f t="array" ref="N200">INDEX(М[Форма закупа],MATCH(1,IF(($B200=М[Наим.])*($C200=М[Артикул, марка, произв.])*($D200=М[Хар-ка])*($M200=М[Прим.]),{1},($B200=М[Наим.])*($C200=М[Артикул, марка, произв.])*($D200=М[Хар-ка])*($M200=М[Прим.])),0))</f>
        <v>0</v>
      </c>
    </row>
    <row r="201" spans="1:14" outlineLevel="4" x14ac:dyDescent="0.2">
      <c r="A201" s="20"/>
      <c r="B201" s="14" t="s">
        <v>24</v>
      </c>
      <c r="C201" s="21"/>
      <c r="D201" s="21"/>
      <c r="E201" s="21"/>
      <c r="F201" s="21"/>
      <c r="G201" s="21"/>
      <c r="H201" s="21"/>
      <c r="I201" s="21"/>
      <c r="J201" s="21"/>
      <c r="K201" s="56"/>
      <c r="L201" s="57">
        <f>SUM($L$202)</f>
        <v>0</v>
      </c>
      <c r="M201" s="18"/>
      <c r="N201" s="22"/>
    </row>
    <row r="202" spans="1:14" ht="22.5" outlineLevel="4" x14ac:dyDescent="0.2">
      <c r="A202" s="23"/>
      <c r="B202" s="24" t="s">
        <v>90</v>
      </c>
      <c r="C202" s="25"/>
      <c r="D202" s="25"/>
      <c r="E202" s="26" t="s">
        <v>26</v>
      </c>
      <c r="F202" s="27"/>
      <c r="G202" s="27"/>
      <c r="H202" s="28">
        <v>2</v>
      </c>
      <c r="I202" s="28">
        <v>2</v>
      </c>
      <c r="J202" s="28">
        <f>SUM($G$202:$I$202)</f>
        <v>4</v>
      </c>
      <c r="K202" s="58">
        <f t="array" ref="K202">INDEX(Р[Цена за ед., руб],MATCH(1,IF(($B202=Р[Наименование])*($M202=Р[Примечание]),{1},($B202=Р[Наименование])*($M202=Р[Примечание])),0))</f>
        <v>0</v>
      </c>
      <c r="L202" s="58">
        <f>ROUND($J$202*$K$202,2)</f>
        <v>0</v>
      </c>
      <c r="M202" s="25"/>
      <c r="N202" s="25"/>
    </row>
    <row r="203" spans="1:14" outlineLevel="4" x14ac:dyDescent="0.2">
      <c r="A203" s="20"/>
      <c r="B203" s="14" t="s">
        <v>29</v>
      </c>
      <c r="C203" s="21"/>
      <c r="D203" s="21"/>
      <c r="E203" s="21"/>
      <c r="F203" s="21"/>
      <c r="G203" s="21"/>
      <c r="H203" s="21"/>
      <c r="I203" s="21"/>
      <c r="J203" s="21"/>
      <c r="K203" s="56"/>
      <c r="L203" s="57">
        <f>SUM($L$204)</f>
        <v>0</v>
      </c>
      <c r="M203" s="18"/>
      <c r="N203" s="22"/>
    </row>
    <row r="204" spans="1:14" ht="22.5" outlineLevel="4" x14ac:dyDescent="0.2">
      <c r="A204" s="23" t="s">
        <v>30</v>
      </c>
      <c r="B204" s="24" t="s">
        <v>87</v>
      </c>
      <c r="C204" s="25" t="s">
        <v>56</v>
      </c>
      <c r="D204" s="25" t="s">
        <v>98</v>
      </c>
      <c r="E204" s="26" t="s">
        <v>26</v>
      </c>
      <c r="F204" s="27"/>
      <c r="G204" s="27"/>
      <c r="H204" s="28">
        <v>2</v>
      </c>
      <c r="I204" s="28">
        <v>2</v>
      </c>
      <c r="J204" s="28">
        <f>SUM($G$204:$I$204)</f>
        <v>4</v>
      </c>
      <c r="K204" s="58">
        <f t="array" ref="K204">INDEX(М[Цена за ед., руб],MATCH(1,IF(($B204=М[Наим.])*($C204=М[Артикул, марка, произв.])*($D204=М[Хар-ка])*($M204=М[Прим.]),{1},($B204=М[Наим.])*($C204=М[Артикул, марка, произв.])*($D204=М[Хар-ка])*($M204=М[Прим.])),0))</f>
        <v>0</v>
      </c>
      <c r="L204" s="58">
        <f>ROUND($J$204*$K$204,2)</f>
        <v>0</v>
      </c>
      <c r="M204" s="25"/>
      <c r="N204" s="25">
        <f t="array" ref="N204">INDEX(М[Форма закупа],MATCH(1,IF(($B204=М[Наим.])*($C204=М[Артикул, марка, произв.])*($D204=М[Хар-ка])*($M204=М[Прим.]),{1},($B204=М[Наим.])*($C204=М[Артикул, марка, произв.])*($D204=М[Хар-ка])*($M204=М[Прим.])),0))</f>
        <v>0</v>
      </c>
    </row>
    <row r="205" spans="1:14" outlineLevel="4" x14ac:dyDescent="0.2">
      <c r="A205" s="20"/>
      <c r="B205" s="14" t="s">
        <v>24</v>
      </c>
      <c r="C205" s="21"/>
      <c r="D205" s="21"/>
      <c r="E205" s="21"/>
      <c r="F205" s="21"/>
      <c r="G205" s="21"/>
      <c r="H205" s="21"/>
      <c r="I205" s="21"/>
      <c r="J205" s="21"/>
      <c r="K205" s="56"/>
      <c r="L205" s="57">
        <f>SUM($L$206)</f>
        <v>0</v>
      </c>
      <c r="M205" s="18"/>
      <c r="N205" s="22"/>
    </row>
    <row r="206" spans="1:14" outlineLevel="4" x14ac:dyDescent="0.2">
      <c r="A206" s="23"/>
      <c r="B206" s="24" t="s">
        <v>178</v>
      </c>
      <c r="C206" s="25"/>
      <c r="D206" s="25"/>
      <c r="E206" s="26" t="s">
        <v>26</v>
      </c>
      <c r="F206" s="27"/>
      <c r="G206" s="27"/>
      <c r="H206" s="28">
        <v>26</v>
      </c>
      <c r="I206" s="28">
        <v>34</v>
      </c>
      <c r="J206" s="28">
        <f>SUM($G$206:$I$206)</f>
        <v>60</v>
      </c>
      <c r="K206" s="58">
        <f t="array" ref="K206">INDEX(Р[Цена за ед., руб],MATCH(1,IF(($B206=Р[Наименование])*($M206=Р[Примечание]),{1},($B206=Р[Наименование])*($M206=Р[Примечание])),0))</f>
        <v>0</v>
      </c>
      <c r="L206" s="58">
        <f>ROUND($J$206*$K$206,2)</f>
        <v>0</v>
      </c>
      <c r="M206" s="25"/>
      <c r="N206" s="25"/>
    </row>
    <row r="207" spans="1:14" outlineLevel="4" x14ac:dyDescent="0.2">
      <c r="A207" s="20"/>
      <c r="B207" s="14" t="s">
        <v>29</v>
      </c>
      <c r="C207" s="21"/>
      <c r="D207" s="21"/>
      <c r="E207" s="21"/>
      <c r="F207" s="21"/>
      <c r="G207" s="21"/>
      <c r="H207" s="21"/>
      <c r="I207" s="21"/>
      <c r="J207" s="21"/>
      <c r="K207" s="56"/>
      <c r="L207" s="57">
        <f>SUM($L$208)</f>
        <v>0</v>
      </c>
      <c r="M207" s="18"/>
      <c r="N207" s="22"/>
    </row>
    <row r="208" spans="1:14" outlineLevel="4" x14ac:dyDescent="0.2">
      <c r="A208" s="23" t="s">
        <v>30</v>
      </c>
      <c r="B208" s="24" t="s">
        <v>179</v>
      </c>
      <c r="C208" s="25"/>
      <c r="D208" s="25" t="s">
        <v>180</v>
      </c>
      <c r="E208" s="26" t="s">
        <v>26</v>
      </c>
      <c r="F208" s="27"/>
      <c r="G208" s="27"/>
      <c r="H208" s="28">
        <v>26</v>
      </c>
      <c r="I208" s="28">
        <v>34</v>
      </c>
      <c r="J208" s="28">
        <f>SUM($G$208:$I$208)</f>
        <v>60</v>
      </c>
      <c r="K208" s="58">
        <f t="array" ref="K208">INDEX(М[Цена за ед., руб],MATCH(1,IF(($B208=М[Наим.])*($C208=М[Артикул, марка, произв.])*($D208=М[Хар-ка])*($M208=М[Прим.]),{1},($B208=М[Наим.])*($C208=М[Артикул, марка, произв.])*($D208=М[Хар-ка])*($M208=М[Прим.])),0))</f>
        <v>0</v>
      </c>
      <c r="L208" s="58">
        <f>ROUND($J$208*$K$208,2)</f>
        <v>0</v>
      </c>
      <c r="M208" s="25"/>
      <c r="N208" s="25">
        <f t="array" ref="N208">INDEX(М[Форма закупа],MATCH(1,IF(($B208=М[Наим.])*($C208=М[Артикул, марка, произв.])*($D208=М[Хар-ка])*($M208=М[Прим.]),{1},($B208=М[Наим.])*($C208=М[Артикул, марка, произв.])*($D208=М[Хар-ка])*($M208=М[Прим.])),0))</f>
        <v>0</v>
      </c>
    </row>
    <row r="209" spans="1:14" outlineLevel="4" x14ac:dyDescent="0.2">
      <c r="A209" s="20"/>
      <c r="B209" s="14" t="s">
        <v>24</v>
      </c>
      <c r="C209" s="21"/>
      <c r="D209" s="21"/>
      <c r="E209" s="21"/>
      <c r="F209" s="21"/>
      <c r="G209" s="21"/>
      <c r="H209" s="21"/>
      <c r="I209" s="21"/>
      <c r="J209" s="21"/>
      <c r="K209" s="56"/>
      <c r="L209" s="57">
        <f>SUM($L$210)</f>
        <v>0</v>
      </c>
      <c r="M209" s="18"/>
      <c r="N209" s="22"/>
    </row>
    <row r="210" spans="1:14" outlineLevel="4" x14ac:dyDescent="0.2">
      <c r="A210" s="23"/>
      <c r="B210" s="24" t="s">
        <v>120</v>
      </c>
      <c r="C210" s="25"/>
      <c r="D210" s="25"/>
      <c r="E210" s="26" t="s">
        <v>26</v>
      </c>
      <c r="F210" s="27"/>
      <c r="G210" s="27"/>
      <c r="H210" s="28">
        <v>70</v>
      </c>
      <c r="I210" s="28">
        <v>146</v>
      </c>
      <c r="J210" s="28">
        <f>SUM($G$210:$I$210)</f>
        <v>216</v>
      </c>
      <c r="K210" s="58">
        <f t="array" ref="K210">INDEX(Р[Цена за ед., руб],MATCH(1,IF(($B210=Р[Наименование])*($M210=Р[Примечание]),{1},($B210=Р[Наименование])*($M210=Р[Примечание])),0))</f>
        <v>0</v>
      </c>
      <c r="L210" s="58">
        <f>ROUND($J$210*$K$210,2)</f>
        <v>0</v>
      </c>
      <c r="M210" s="25"/>
      <c r="N210" s="25"/>
    </row>
    <row r="211" spans="1:14" outlineLevel="4" x14ac:dyDescent="0.2">
      <c r="A211" s="20"/>
      <c r="B211" s="14" t="s">
        <v>29</v>
      </c>
      <c r="C211" s="21"/>
      <c r="D211" s="21"/>
      <c r="E211" s="21"/>
      <c r="F211" s="21"/>
      <c r="G211" s="21"/>
      <c r="H211" s="21"/>
      <c r="I211" s="21"/>
      <c r="J211" s="21"/>
      <c r="K211" s="56"/>
      <c r="L211" s="57">
        <f>SUM($L$212:$L$214)</f>
        <v>0</v>
      </c>
      <c r="M211" s="18"/>
      <c r="N211" s="22"/>
    </row>
    <row r="212" spans="1:14" outlineLevel="4" x14ac:dyDescent="0.2">
      <c r="A212" s="23" t="s">
        <v>30</v>
      </c>
      <c r="B212" s="24" t="s">
        <v>181</v>
      </c>
      <c r="C212" s="25"/>
      <c r="D212" s="25"/>
      <c r="E212" s="26" t="s">
        <v>163</v>
      </c>
      <c r="F212" s="27"/>
      <c r="G212" s="27"/>
      <c r="H212" s="28">
        <v>70</v>
      </c>
      <c r="I212" s="28">
        <v>146</v>
      </c>
      <c r="J212" s="28">
        <f>SUM($G$212:$I$212)</f>
        <v>216</v>
      </c>
      <c r="K212" s="58">
        <f t="array" ref="K212">INDEX(М[Цена за ед., руб],MATCH(1,IF(($B212=М[Наим.])*($C212=М[Артикул, марка, произв.])*($D212=М[Хар-ка])*($M212=М[Прим.]),{1},($B212=М[Наим.])*($C212=М[Артикул, марка, произв.])*($D212=М[Хар-ка])*($M212=М[Прим.])),0))</f>
        <v>0</v>
      </c>
      <c r="L212" s="58">
        <f>ROUND($J$212*$K$212,2)</f>
        <v>0</v>
      </c>
      <c r="M212" s="25" t="s">
        <v>182</v>
      </c>
      <c r="N212" s="25">
        <f t="array" ref="N212">INDEX(М[Форма закупа],MATCH(1,IF(($B212=М[Наим.])*($C212=М[Артикул, марка, произв.])*($D212=М[Хар-ка])*($M212=М[Прим.]),{1},($B212=М[Наим.])*($C212=М[Артикул, марка, произв.])*($D212=М[Хар-ка])*($M212=М[Прим.])),0))</f>
        <v>0</v>
      </c>
    </row>
    <row r="213" spans="1:14" ht="22.5" outlineLevel="4" x14ac:dyDescent="0.2">
      <c r="A213" s="23" t="s">
        <v>35</v>
      </c>
      <c r="B213" s="24" t="s">
        <v>121</v>
      </c>
      <c r="C213" s="25"/>
      <c r="D213" s="25" t="s">
        <v>183</v>
      </c>
      <c r="E213" s="26" t="s">
        <v>26</v>
      </c>
      <c r="F213" s="27"/>
      <c r="G213" s="27"/>
      <c r="H213" s="28">
        <v>70</v>
      </c>
      <c r="I213" s="28">
        <v>146</v>
      </c>
      <c r="J213" s="28">
        <f>SUM($G$213:$I$213)</f>
        <v>216</v>
      </c>
      <c r="K213" s="58">
        <f t="array" ref="K213">INDEX(М[Цена за ед., руб],MATCH(1,IF(($B213=М[Наим.])*($C213=М[Артикул, марка, произв.])*($D213=М[Хар-ка])*($M213=М[Прим.]),{1},($B213=М[Наим.])*($C213=М[Артикул, марка, произв.])*($D213=М[Хар-ка])*($M213=М[Прим.])),0))</f>
        <v>0</v>
      </c>
      <c r="L213" s="58">
        <f>ROUND($J$213*$K$213,2)</f>
        <v>0</v>
      </c>
      <c r="M213" s="25"/>
      <c r="N213" s="25">
        <f t="array" ref="N213">INDEX(М[Форма закупа],MATCH(1,IF(($B213=М[Наим.])*($C213=М[Артикул, марка, произв.])*($D213=М[Хар-ка])*($M213=М[Прим.]),{1},($B213=М[Наим.])*($C213=М[Артикул, марка, произв.])*($D213=М[Хар-ка])*($M213=М[Прим.])),0))</f>
        <v>0</v>
      </c>
    </row>
    <row r="214" spans="1:14" ht="45" outlineLevel="4" x14ac:dyDescent="0.2">
      <c r="A214" s="23" t="s">
        <v>37</v>
      </c>
      <c r="B214" s="24" t="s">
        <v>123</v>
      </c>
      <c r="C214" s="25" t="s">
        <v>124</v>
      </c>
      <c r="D214" s="25" t="s">
        <v>184</v>
      </c>
      <c r="E214" s="26" t="s">
        <v>26</v>
      </c>
      <c r="F214" s="27"/>
      <c r="G214" s="27"/>
      <c r="H214" s="28">
        <v>70</v>
      </c>
      <c r="I214" s="28">
        <v>146</v>
      </c>
      <c r="J214" s="28">
        <f>SUM($G$214:$I$214)</f>
        <v>216</v>
      </c>
      <c r="K214" s="58">
        <f t="array" ref="K214">INDEX(М[Цена за ед., руб],MATCH(1,IF(($B214=М[Наим.])*($C214=М[Артикул, марка, произв.])*($D214=М[Хар-ка])*($M214=М[Прим.]),{1},($B214=М[Наим.])*($C214=М[Артикул, марка, произв.])*($D214=М[Хар-ка])*($M214=М[Прим.])),0))</f>
        <v>0</v>
      </c>
      <c r="L214" s="58">
        <f>ROUND($J$214*$K$214,2)</f>
        <v>0</v>
      </c>
      <c r="M214" s="25"/>
      <c r="N214" s="25">
        <f t="array" ref="N214">INDEX(М[Форма закупа],MATCH(1,IF(($B214=М[Наим.])*($C214=М[Артикул, марка, произв.])*($D214=М[Хар-ка])*($M214=М[Прим.]),{1},($B214=М[Наим.])*($C214=М[Артикул, марка, произв.])*($D214=М[Хар-ка])*($M214=М[Прим.])),0))</f>
        <v>0</v>
      </c>
    </row>
    <row r="215" spans="1:14" outlineLevel="4" x14ac:dyDescent="0.2">
      <c r="A215" s="20"/>
      <c r="B215" s="14" t="s">
        <v>24</v>
      </c>
      <c r="C215" s="21"/>
      <c r="D215" s="21"/>
      <c r="E215" s="21"/>
      <c r="F215" s="21"/>
      <c r="G215" s="21"/>
      <c r="H215" s="21"/>
      <c r="I215" s="21"/>
      <c r="J215" s="21"/>
      <c r="K215" s="56"/>
      <c r="L215" s="57">
        <f>SUM($L$216)</f>
        <v>0</v>
      </c>
      <c r="M215" s="18"/>
      <c r="N215" s="22"/>
    </row>
    <row r="216" spans="1:14" outlineLevel="4" x14ac:dyDescent="0.2">
      <c r="A216" s="23"/>
      <c r="B216" s="24" t="s">
        <v>186</v>
      </c>
      <c r="C216" s="25"/>
      <c r="D216" s="25"/>
      <c r="E216" s="26" t="s">
        <v>26</v>
      </c>
      <c r="F216" s="27"/>
      <c r="G216" s="27"/>
      <c r="H216" s="28">
        <v>70</v>
      </c>
      <c r="I216" s="28">
        <v>80</v>
      </c>
      <c r="J216" s="28">
        <f>SUM($G$216:$I$216)</f>
        <v>150</v>
      </c>
      <c r="K216" s="58">
        <f t="array" ref="K216">INDEX(Р[Цена за ед., руб],MATCH(1,IF(($B216=Р[Наименование])*($M216=Р[Примечание]),{1},($B216=Р[Наименование])*($M216=Р[Примечание])),0))</f>
        <v>0</v>
      </c>
      <c r="L216" s="58">
        <f>ROUND($J$216*$K$216,2)</f>
        <v>0</v>
      </c>
      <c r="M216" s="25"/>
      <c r="N216" s="25"/>
    </row>
    <row r="217" spans="1:14" outlineLevel="4" x14ac:dyDescent="0.2">
      <c r="A217" s="20"/>
      <c r="B217" s="14" t="s">
        <v>24</v>
      </c>
      <c r="C217" s="21"/>
      <c r="D217" s="21"/>
      <c r="E217" s="21"/>
      <c r="F217" s="21"/>
      <c r="G217" s="21"/>
      <c r="H217" s="21"/>
      <c r="I217" s="21"/>
      <c r="J217" s="21"/>
      <c r="K217" s="56"/>
      <c r="L217" s="57">
        <f>SUM($L$218)</f>
        <v>0</v>
      </c>
      <c r="M217" s="18"/>
      <c r="N217" s="22"/>
    </row>
    <row r="218" spans="1:14" outlineLevel="4" x14ac:dyDescent="0.2">
      <c r="A218" s="65"/>
      <c r="B218" s="24" t="s">
        <v>134</v>
      </c>
      <c r="C218" s="25"/>
      <c r="D218" s="25"/>
      <c r="E218" s="26" t="s">
        <v>34</v>
      </c>
      <c r="F218" s="27"/>
      <c r="G218" s="27"/>
      <c r="H218" s="28">
        <v>154</v>
      </c>
      <c r="I218" s="28">
        <v>192</v>
      </c>
      <c r="J218" s="28">
        <f>SUM($G$218:$I$218)</f>
        <v>346</v>
      </c>
      <c r="K218" s="58">
        <f t="array" ref="K218">INDEX(Р[Цена за ед., руб],MATCH(1,IF(($B218=Р[Наименование])*($M218=Р[Примечание]),{1},($B218=Р[Наименование])*($M218=Р[Примечание])),0))</f>
        <v>0</v>
      </c>
      <c r="L218" s="58">
        <f>ROUND($J$218*$K$218,2)</f>
        <v>0</v>
      </c>
      <c r="M218" s="25"/>
      <c r="N218" s="25"/>
    </row>
    <row r="219" spans="1:14" outlineLevel="4" x14ac:dyDescent="0.2">
      <c r="A219" s="20"/>
      <c r="B219" s="14" t="s">
        <v>29</v>
      </c>
      <c r="C219" s="21"/>
      <c r="D219" s="21"/>
      <c r="E219" s="21"/>
      <c r="F219" s="21"/>
      <c r="G219" s="21"/>
      <c r="H219" s="21"/>
      <c r="I219" s="21"/>
      <c r="J219" s="21"/>
      <c r="K219" s="56"/>
      <c r="L219" s="57">
        <f>SUM($L$220:$L$223)</f>
        <v>0</v>
      </c>
      <c r="M219" s="18"/>
      <c r="N219" s="22"/>
    </row>
    <row r="220" spans="1:14" ht="45" outlineLevel="4" x14ac:dyDescent="0.2">
      <c r="A220" s="65" t="s">
        <v>30</v>
      </c>
      <c r="B220" s="24" t="s">
        <v>135</v>
      </c>
      <c r="C220" s="25"/>
      <c r="D220" s="25" t="s">
        <v>136</v>
      </c>
      <c r="E220" s="26" t="s">
        <v>34</v>
      </c>
      <c r="F220" s="27"/>
      <c r="G220" s="27"/>
      <c r="H220" s="28">
        <v>104</v>
      </c>
      <c r="I220" s="27"/>
      <c r="J220" s="28">
        <f>SUM($G$220:$I$220)</f>
        <v>104</v>
      </c>
      <c r="K220" s="58">
        <f t="array" ref="K220">INDEX(М[Цена за ед., руб],MATCH(1,IF(($B220=М[Наим.])*($C220=М[Артикул, марка, произв.])*($D220=М[Хар-ка])*($M220=М[Прим.]),{1},($B220=М[Наим.])*($C220=М[Артикул, марка, произв.])*($D220=М[Хар-ка])*($M220=М[Прим.])),0))</f>
        <v>0</v>
      </c>
      <c r="L220" s="58">
        <f>ROUND($J$220*$K$220,2)</f>
        <v>0</v>
      </c>
      <c r="M220" s="25"/>
      <c r="N220" s="25">
        <f t="array" ref="N220">INDEX(М[Форма закупа],MATCH(1,IF(($B220=М[Наим.])*($C220=М[Артикул, марка, произв.])*($D220=М[Хар-ка])*($M220=М[Прим.]),{1},($B220=М[Наим.])*($C220=М[Артикул, марка, произв.])*($D220=М[Хар-ка])*($M220=М[Прим.])),0))</f>
        <v>0</v>
      </c>
    </row>
    <row r="221" spans="1:14" ht="45" outlineLevel="4" x14ac:dyDescent="0.2">
      <c r="A221" s="65" t="s">
        <v>35</v>
      </c>
      <c r="B221" s="24" t="s">
        <v>135</v>
      </c>
      <c r="C221" s="25"/>
      <c r="D221" s="25" t="s">
        <v>137</v>
      </c>
      <c r="E221" s="26" t="s">
        <v>34</v>
      </c>
      <c r="F221" s="27"/>
      <c r="G221" s="27"/>
      <c r="H221" s="28">
        <v>22</v>
      </c>
      <c r="I221" s="28">
        <v>42</v>
      </c>
      <c r="J221" s="28">
        <f>SUM($G$221:$I$221)</f>
        <v>64</v>
      </c>
      <c r="K221" s="58">
        <f t="array" ref="K221">INDEX(М[Цена за ед., руб],MATCH(1,IF(($B221=М[Наим.])*($C221=М[Артикул, марка, произв.])*($D221=М[Хар-ка])*($M221=М[Прим.]),{1},($B221=М[Наим.])*($C221=М[Артикул, марка, произв.])*($D221=М[Хар-ка])*($M221=М[Прим.])),0))</f>
        <v>0</v>
      </c>
      <c r="L221" s="58">
        <f>ROUND($J$221*$K$221,2)</f>
        <v>0</v>
      </c>
      <c r="M221" s="25"/>
      <c r="N221" s="25">
        <f t="array" ref="N221">INDEX(М[Форма закупа],MATCH(1,IF(($B221=М[Наим.])*($C221=М[Артикул, марка, произв.])*($D221=М[Хар-ка])*($M221=М[Прим.]),{1},($B221=М[Наим.])*($C221=М[Артикул, марка, произв.])*($D221=М[Хар-ка])*($M221=М[Прим.])),0))</f>
        <v>0</v>
      </c>
    </row>
    <row r="222" spans="1:14" ht="45" outlineLevel="4" x14ac:dyDescent="0.2">
      <c r="A222" s="65" t="s">
        <v>37</v>
      </c>
      <c r="B222" s="24" t="s">
        <v>135</v>
      </c>
      <c r="C222" s="25"/>
      <c r="D222" s="25" t="s">
        <v>139</v>
      </c>
      <c r="E222" s="26" t="s">
        <v>34</v>
      </c>
      <c r="F222" s="27"/>
      <c r="G222" s="27"/>
      <c r="H222" s="28">
        <v>28</v>
      </c>
      <c r="I222" s="28">
        <v>34</v>
      </c>
      <c r="J222" s="28">
        <f>SUM($G$222:$I$222)</f>
        <v>62</v>
      </c>
      <c r="K222" s="58">
        <f t="array" ref="K222">INDEX(М[Цена за ед., руб],MATCH(1,IF(($B222=М[Наим.])*($C222=М[Артикул, марка, произв.])*($D222=М[Хар-ка])*($M222=М[Прим.]),{1},($B222=М[Наим.])*($C222=М[Артикул, марка, произв.])*($D222=М[Хар-ка])*($M222=М[Прим.])),0))</f>
        <v>0</v>
      </c>
      <c r="L222" s="58">
        <f>ROUND($J$222*$K$222,2)</f>
        <v>0</v>
      </c>
      <c r="M222" s="25"/>
      <c r="N222" s="25">
        <f t="array" ref="N222">INDEX(М[Форма закупа],MATCH(1,IF(($B222=М[Наим.])*($C222=М[Артикул, марка, произв.])*($D222=М[Хар-ка])*($M222=М[Прим.]),{1},($B222=М[Наим.])*($C222=М[Артикул, марка, произв.])*($D222=М[Хар-ка])*($M222=М[Прим.])),0))</f>
        <v>0</v>
      </c>
    </row>
    <row r="223" spans="1:14" ht="45" outlineLevel="4" x14ac:dyDescent="0.2">
      <c r="A223" s="65" t="s">
        <v>39</v>
      </c>
      <c r="B223" s="24" t="s">
        <v>135</v>
      </c>
      <c r="C223" s="25"/>
      <c r="D223" s="25" t="s">
        <v>140</v>
      </c>
      <c r="E223" s="26" t="s">
        <v>34</v>
      </c>
      <c r="F223" s="27"/>
      <c r="G223" s="27"/>
      <c r="H223" s="27"/>
      <c r="I223" s="28">
        <v>116</v>
      </c>
      <c r="J223" s="28">
        <f>SUM($G$223:$I$223)</f>
        <v>116</v>
      </c>
      <c r="K223" s="58">
        <f t="array" ref="K223">INDEX(М[Цена за ед., руб],MATCH(1,IF(($B223=М[Наим.])*($C223=М[Артикул, марка, произв.])*($D223=М[Хар-ка])*($M223=М[Прим.]),{1},($B223=М[Наим.])*($C223=М[Артикул, марка, произв.])*($D223=М[Хар-ка])*($M223=М[Прим.])),0))</f>
        <v>0</v>
      </c>
      <c r="L223" s="58">
        <f>ROUND($J$223*$K$223,2)</f>
        <v>0</v>
      </c>
      <c r="M223" s="25"/>
      <c r="N223" s="25">
        <f t="array" ref="N223">INDEX(М[Форма закупа],MATCH(1,IF(($B223=М[Наим.])*($C223=М[Артикул, марка, произв.])*($D223=М[Хар-ка])*($M223=М[Прим.]),{1},($B223=М[Наим.])*($C223=М[Артикул, марка, произв.])*($D223=М[Хар-ка])*($M223=М[Прим.])),0))</f>
        <v>0</v>
      </c>
    </row>
    <row r="224" spans="1:14" outlineLevel="3" x14ac:dyDescent="0.2">
      <c r="A224" s="13" t="s">
        <v>190</v>
      </c>
      <c r="B224" s="14" t="s">
        <v>191</v>
      </c>
      <c r="C224" s="15"/>
      <c r="D224" s="15"/>
      <c r="E224" s="16"/>
      <c r="F224" s="17"/>
      <c r="G224" s="18"/>
      <c r="H224" s="18"/>
      <c r="I224" s="18"/>
      <c r="J224" s="18"/>
      <c r="K224" s="55"/>
      <c r="L224" s="55">
        <f>SUM($L$252,$L$250,$L$248,$L$246,$L$243,$L$241,$L$239,$L$237,$L$235,$L$233,$L$229,$L$227,$L$225)</f>
        <v>0</v>
      </c>
      <c r="M224" s="19"/>
      <c r="N224" s="19"/>
    </row>
    <row r="225" spans="1:14" outlineLevel="4" x14ac:dyDescent="0.2">
      <c r="A225" s="20"/>
      <c r="B225" s="14" t="s">
        <v>24</v>
      </c>
      <c r="C225" s="21"/>
      <c r="D225" s="21"/>
      <c r="E225" s="21"/>
      <c r="F225" s="21"/>
      <c r="G225" s="21"/>
      <c r="H225" s="21"/>
      <c r="I225" s="21"/>
      <c r="J225" s="21"/>
      <c r="K225" s="56"/>
      <c r="L225" s="57">
        <f>SUM($L$226)</f>
        <v>0</v>
      </c>
      <c r="M225" s="18"/>
      <c r="N225" s="22"/>
    </row>
    <row r="226" spans="1:14" outlineLevel="4" x14ac:dyDescent="0.2">
      <c r="A226" s="23"/>
      <c r="B226" s="24" t="s">
        <v>172</v>
      </c>
      <c r="C226" s="25"/>
      <c r="D226" s="25"/>
      <c r="E226" s="26" t="s">
        <v>26</v>
      </c>
      <c r="F226" s="27"/>
      <c r="G226" s="27"/>
      <c r="H226" s="28">
        <v>38</v>
      </c>
      <c r="I226" s="28">
        <v>43</v>
      </c>
      <c r="J226" s="28">
        <f>SUM($G$226:$I$226)</f>
        <v>81</v>
      </c>
      <c r="K226" s="58">
        <f t="array" ref="K226">INDEX(Р[Цена за ед., руб],MATCH(1,IF(($B226=Р[Наименование])*($M226=Р[Примечание]),{1},($B226=Р[Наименование])*($M226=Р[Примечание])),0))</f>
        <v>0</v>
      </c>
      <c r="L226" s="58">
        <f>ROUND($J$226*$K$226,2)</f>
        <v>0</v>
      </c>
      <c r="M226" s="25"/>
      <c r="N226" s="25"/>
    </row>
    <row r="227" spans="1:14" outlineLevel="4" x14ac:dyDescent="0.2">
      <c r="A227" s="20"/>
      <c r="B227" s="14" t="s">
        <v>24</v>
      </c>
      <c r="C227" s="21"/>
      <c r="D227" s="21"/>
      <c r="E227" s="21"/>
      <c r="F227" s="21"/>
      <c r="G227" s="21"/>
      <c r="H227" s="21"/>
      <c r="I227" s="21"/>
      <c r="J227" s="21"/>
      <c r="K227" s="56"/>
      <c r="L227" s="57">
        <f>SUM($L$228)</f>
        <v>0</v>
      </c>
      <c r="M227" s="18"/>
      <c r="N227" s="22"/>
    </row>
    <row r="228" spans="1:14" outlineLevel="4" x14ac:dyDescent="0.2">
      <c r="A228" s="23"/>
      <c r="B228" s="24" t="s">
        <v>27</v>
      </c>
      <c r="C228" s="25"/>
      <c r="D228" s="25"/>
      <c r="E228" s="26" t="s">
        <v>28</v>
      </c>
      <c r="F228" s="27"/>
      <c r="G228" s="27"/>
      <c r="H228" s="28">
        <v>105</v>
      </c>
      <c r="I228" s="28">
        <v>117</v>
      </c>
      <c r="J228" s="28">
        <f>SUM($G$228:$I$228)</f>
        <v>222</v>
      </c>
      <c r="K228" s="58">
        <f t="array" ref="K228">INDEX(Р[Цена за ед., руб],MATCH(1,IF(($B228=Р[Наименование])*($M228=Р[Примечание]),{1},($B228=Р[Наименование])*($M228=Р[Примечание])),0))</f>
        <v>0</v>
      </c>
      <c r="L228" s="58">
        <f>ROUND($J$228*$K$228,2)</f>
        <v>0</v>
      </c>
      <c r="M228" s="25"/>
      <c r="N228" s="25"/>
    </row>
    <row r="229" spans="1:14" outlineLevel="4" x14ac:dyDescent="0.2">
      <c r="A229" s="20"/>
      <c r="B229" s="14" t="s">
        <v>29</v>
      </c>
      <c r="C229" s="21"/>
      <c r="D229" s="21"/>
      <c r="E229" s="21"/>
      <c r="F229" s="21"/>
      <c r="G229" s="21"/>
      <c r="H229" s="21"/>
      <c r="I229" s="21"/>
      <c r="J229" s="21"/>
      <c r="K229" s="56"/>
      <c r="L229" s="57">
        <f>SUM($L$230:$L$232)</f>
        <v>0</v>
      </c>
      <c r="M229" s="18"/>
      <c r="N229" s="22"/>
    </row>
    <row r="230" spans="1:14" ht="33.75" outlineLevel="4" x14ac:dyDescent="0.2">
      <c r="A230" s="23" t="s">
        <v>30</v>
      </c>
      <c r="B230" s="24" t="s">
        <v>31</v>
      </c>
      <c r="C230" s="25" t="s">
        <v>32</v>
      </c>
      <c r="D230" s="25" t="s">
        <v>192</v>
      </c>
      <c r="E230" s="26" t="s">
        <v>34</v>
      </c>
      <c r="F230" s="27"/>
      <c r="G230" s="27"/>
      <c r="H230" s="28">
        <v>95</v>
      </c>
      <c r="I230" s="27"/>
      <c r="J230" s="28">
        <f>SUM($G$230:$I$230)</f>
        <v>95</v>
      </c>
      <c r="K230" s="58">
        <f t="array" ref="K230">INDEX(М[Цена за ед., руб],MATCH(1,IF(($B230=М[Наим.])*($C230=М[Артикул, марка, произв.])*($D230=М[Хар-ка])*($M230=М[Прим.]),{1},($B230=М[Наим.])*($C230=М[Артикул, марка, произв.])*($D230=М[Хар-ка])*($M230=М[Прим.])),0))</f>
        <v>0</v>
      </c>
      <c r="L230" s="58">
        <f>ROUND($J$230*$K$230,2)</f>
        <v>0</v>
      </c>
      <c r="M230" s="25"/>
      <c r="N230" s="25">
        <f t="array" ref="N230">INDEX(М[Форма закупа],MATCH(1,IF(($B230=М[Наим.])*($C230=М[Артикул, марка, произв.])*($D230=М[Хар-ка])*($M230=М[Прим.]),{1},($B230=М[Наим.])*($C230=М[Артикул, марка, произв.])*($D230=М[Хар-ка])*($M230=М[Прим.])),0))</f>
        <v>0</v>
      </c>
    </row>
    <row r="231" spans="1:14" ht="33.75" outlineLevel="4" x14ac:dyDescent="0.2">
      <c r="A231" s="23" t="s">
        <v>35</v>
      </c>
      <c r="B231" s="24" t="s">
        <v>31</v>
      </c>
      <c r="C231" s="25" t="s">
        <v>32</v>
      </c>
      <c r="D231" s="25" t="s">
        <v>50</v>
      </c>
      <c r="E231" s="26" t="s">
        <v>34</v>
      </c>
      <c r="F231" s="27"/>
      <c r="G231" s="27"/>
      <c r="H231" s="28">
        <v>10</v>
      </c>
      <c r="I231" s="28">
        <v>10</v>
      </c>
      <c r="J231" s="28">
        <f>SUM($G$231:$I$231)</f>
        <v>20</v>
      </c>
      <c r="K231" s="58">
        <f t="array" ref="K231">INDEX(М[Цена за ед., руб],MATCH(1,IF(($B231=М[Наим.])*($C231=М[Артикул, марка, произв.])*($D231=М[Хар-ка])*($M231=М[Прим.]),{1},($B231=М[Наим.])*($C231=М[Артикул, марка, произв.])*($D231=М[Хар-ка])*($M231=М[Прим.])),0))</f>
        <v>0</v>
      </c>
      <c r="L231" s="58">
        <f>ROUND($J$231*$K$231,2)</f>
        <v>0</v>
      </c>
      <c r="M231" s="25"/>
      <c r="N231" s="25">
        <f t="array" ref="N231">INDEX(М[Форма закупа],MATCH(1,IF(($B231=М[Наим.])*($C231=М[Артикул, марка, произв.])*($D231=М[Хар-ка])*($M231=М[Прим.]),{1},($B231=М[Наим.])*($C231=М[Артикул, марка, произв.])*($D231=М[Хар-ка])*($M231=М[Прим.])),0))</f>
        <v>0</v>
      </c>
    </row>
    <row r="232" spans="1:14" ht="33.75" outlineLevel="4" x14ac:dyDescent="0.2">
      <c r="A232" s="23" t="s">
        <v>37</v>
      </c>
      <c r="B232" s="24" t="s">
        <v>31</v>
      </c>
      <c r="C232" s="25" t="s">
        <v>32</v>
      </c>
      <c r="D232" s="25" t="s">
        <v>53</v>
      </c>
      <c r="E232" s="26" t="s">
        <v>34</v>
      </c>
      <c r="F232" s="27"/>
      <c r="G232" s="27"/>
      <c r="H232" s="27"/>
      <c r="I232" s="28">
        <v>107</v>
      </c>
      <c r="J232" s="28">
        <f>SUM($G$232:$I$232)</f>
        <v>107</v>
      </c>
      <c r="K232" s="58">
        <f t="array" ref="K232">INDEX(М[Цена за ед., руб],MATCH(1,IF(($B232=М[Наим.])*($C232=М[Артикул, марка, произв.])*($D232=М[Хар-ка])*($M232=М[Прим.]),{1},($B232=М[Наим.])*($C232=М[Артикул, марка, произв.])*($D232=М[Хар-ка])*($M232=М[Прим.])),0))</f>
        <v>0</v>
      </c>
      <c r="L232" s="58">
        <f>ROUND($J$232*$K$232,2)</f>
        <v>0</v>
      </c>
      <c r="M232" s="25"/>
      <c r="N232" s="25">
        <f t="array" ref="N232">INDEX(М[Форма закупа],MATCH(1,IF(($B232=М[Наим.])*($C232=М[Артикул, марка, произв.])*($D232=М[Хар-ка])*($M232=М[Прим.]),{1},($B232=М[Наим.])*($C232=М[Артикул, марка, произв.])*($D232=М[Хар-ка])*($M232=М[Прим.])),0))</f>
        <v>0</v>
      </c>
    </row>
    <row r="233" spans="1:14" outlineLevel="4" x14ac:dyDescent="0.2">
      <c r="A233" s="20"/>
      <c r="B233" s="14" t="s">
        <v>24</v>
      </c>
      <c r="C233" s="21"/>
      <c r="D233" s="21"/>
      <c r="E233" s="21"/>
      <c r="F233" s="21"/>
      <c r="G233" s="21"/>
      <c r="H233" s="21"/>
      <c r="I233" s="21"/>
      <c r="J233" s="21"/>
      <c r="K233" s="56"/>
      <c r="L233" s="57">
        <f>SUM($L$234)</f>
        <v>0</v>
      </c>
      <c r="M233" s="18"/>
      <c r="N233" s="22"/>
    </row>
    <row r="234" spans="1:14" ht="22.5" outlineLevel="4" x14ac:dyDescent="0.2">
      <c r="A234" s="23"/>
      <c r="B234" s="24" t="s">
        <v>54</v>
      </c>
      <c r="C234" s="25"/>
      <c r="D234" s="25"/>
      <c r="E234" s="26" t="s">
        <v>26</v>
      </c>
      <c r="F234" s="27"/>
      <c r="G234" s="27"/>
      <c r="H234" s="28">
        <v>2</v>
      </c>
      <c r="I234" s="28">
        <v>2</v>
      </c>
      <c r="J234" s="28">
        <f>SUM($G$234:$I$234)</f>
        <v>4</v>
      </c>
      <c r="K234" s="58">
        <f t="array" ref="K234">INDEX(Р[Цена за ед., руб],MATCH(1,IF(($B234=Р[Наименование])*($M234=Р[Примечание]),{1},($B234=Р[Наименование])*($M234=Р[Примечание])),0))</f>
        <v>0</v>
      </c>
      <c r="L234" s="58">
        <f>ROUND($J$234*$K$234,2)</f>
        <v>0</v>
      </c>
      <c r="M234" s="25"/>
      <c r="N234" s="25"/>
    </row>
    <row r="235" spans="1:14" outlineLevel="4" x14ac:dyDescent="0.2">
      <c r="A235" s="20"/>
      <c r="B235" s="14" t="s">
        <v>29</v>
      </c>
      <c r="C235" s="21"/>
      <c r="D235" s="21"/>
      <c r="E235" s="21"/>
      <c r="F235" s="21"/>
      <c r="G235" s="21"/>
      <c r="H235" s="21"/>
      <c r="I235" s="21"/>
      <c r="J235" s="21"/>
      <c r="K235" s="56"/>
      <c r="L235" s="57">
        <f>SUM($L$236)</f>
        <v>0</v>
      </c>
      <c r="M235" s="18"/>
      <c r="N235" s="22"/>
    </row>
    <row r="236" spans="1:14" ht="22.5" outlineLevel="4" x14ac:dyDescent="0.2">
      <c r="A236" s="23" t="s">
        <v>30</v>
      </c>
      <c r="B236" s="24" t="s">
        <v>55</v>
      </c>
      <c r="C236" s="25"/>
      <c r="D236" s="25" t="s">
        <v>57</v>
      </c>
      <c r="E236" s="26" t="s">
        <v>26</v>
      </c>
      <c r="F236" s="27"/>
      <c r="G236" s="27"/>
      <c r="H236" s="28">
        <v>2</v>
      </c>
      <c r="I236" s="28">
        <v>2</v>
      </c>
      <c r="J236" s="28">
        <f>SUM($G$236:$I$236)</f>
        <v>4</v>
      </c>
      <c r="K236" s="58">
        <f t="array" ref="K236">INDEX(М[Цена за ед., руб],MATCH(1,IF(($B236=М[Наим.])*($C236=М[Артикул, марка, произв.])*($D236=М[Хар-ка])*($M236=М[Прим.]),{1},($B236=М[Наим.])*($C236=М[Артикул, марка, произв.])*($D236=М[Хар-ка])*($M236=М[Прим.])),0))</f>
        <v>0</v>
      </c>
      <c r="L236" s="58">
        <f>ROUND($J$236*$K$236,2)</f>
        <v>0</v>
      </c>
      <c r="M236" s="25"/>
      <c r="N236" s="25">
        <f t="array" ref="N236">INDEX(М[Форма закупа],MATCH(1,IF(($B236=М[Наим.])*($C236=М[Артикул, марка, произв.])*($D236=М[Хар-ка])*($M236=М[Прим.]),{1},($B236=М[Наим.])*($C236=М[Артикул, марка, произв.])*($D236=М[Хар-ка])*($M236=М[Прим.])),0))</f>
        <v>0</v>
      </c>
    </row>
    <row r="237" spans="1:14" outlineLevel="4" x14ac:dyDescent="0.2">
      <c r="A237" s="20"/>
      <c r="B237" s="14" t="s">
        <v>24</v>
      </c>
      <c r="C237" s="21"/>
      <c r="D237" s="21"/>
      <c r="E237" s="21"/>
      <c r="F237" s="21"/>
      <c r="G237" s="21"/>
      <c r="H237" s="21"/>
      <c r="I237" s="21"/>
      <c r="J237" s="21"/>
      <c r="K237" s="56"/>
      <c r="L237" s="57">
        <f>SUM($L$238)</f>
        <v>0</v>
      </c>
      <c r="M237" s="18"/>
      <c r="N237" s="22"/>
    </row>
    <row r="238" spans="1:14" outlineLevel="4" x14ac:dyDescent="0.2">
      <c r="A238" s="23"/>
      <c r="B238" s="24" t="s">
        <v>173</v>
      </c>
      <c r="C238" s="25"/>
      <c r="D238" s="25"/>
      <c r="E238" s="26" t="s">
        <v>174</v>
      </c>
      <c r="F238" s="27"/>
      <c r="G238" s="27"/>
      <c r="H238" s="28">
        <v>3</v>
      </c>
      <c r="I238" s="28">
        <v>3</v>
      </c>
      <c r="J238" s="28">
        <f>SUM($G$238:$I$238)</f>
        <v>6</v>
      </c>
      <c r="K238" s="58">
        <f t="array" ref="K238">INDEX(Р[Цена за ед., руб],MATCH(1,IF(($B238=Р[Наименование])*($M238=Р[Примечание]),{1},($B238=Р[Наименование])*($M238=Р[Примечание])),0))</f>
        <v>0</v>
      </c>
      <c r="L238" s="58">
        <f>ROUND($J$238*$K$238,2)</f>
        <v>0</v>
      </c>
      <c r="M238" s="25"/>
      <c r="N238" s="25"/>
    </row>
    <row r="239" spans="1:14" outlineLevel="4" x14ac:dyDescent="0.2">
      <c r="A239" s="20"/>
      <c r="B239" s="14" t="s">
        <v>29</v>
      </c>
      <c r="C239" s="21"/>
      <c r="D239" s="21"/>
      <c r="E239" s="21"/>
      <c r="F239" s="21"/>
      <c r="G239" s="21"/>
      <c r="H239" s="21"/>
      <c r="I239" s="21"/>
      <c r="J239" s="21"/>
      <c r="K239" s="56"/>
      <c r="L239" s="57">
        <f>SUM($L$240)</f>
        <v>0</v>
      </c>
      <c r="M239" s="18"/>
      <c r="N239" s="22"/>
    </row>
    <row r="240" spans="1:14" ht="22.5" outlineLevel="4" x14ac:dyDescent="0.2">
      <c r="A240" s="23" t="s">
        <v>30</v>
      </c>
      <c r="B240" s="24" t="s">
        <v>175</v>
      </c>
      <c r="C240" s="25"/>
      <c r="D240" s="25" t="s">
        <v>176</v>
      </c>
      <c r="E240" s="26" t="s">
        <v>174</v>
      </c>
      <c r="F240" s="27"/>
      <c r="G240" s="27"/>
      <c r="H240" s="28">
        <v>3</v>
      </c>
      <c r="I240" s="28">
        <v>3</v>
      </c>
      <c r="J240" s="28">
        <f>SUM($G$240:$I$240)</f>
        <v>6</v>
      </c>
      <c r="K240" s="58">
        <f t="array" ref="K240">INDEX(М[Цена за ед., руб],MATCH(1,IF(($B240=М[Наим.])*($C240=М[Артикул, марка, произв.])*($D240=М[Хар-ка])*($M240=М[Прим.]),{1},($B240=М[Наим.])*($C240=М[Артикул, марка, произв.])*($D240=М[Хар-ка])*($M240=М[Прим.])),0))</f>
        <v>0</v>
      </c>
      <c r="L240" s="58">
        <f>ROUND($J$240*$K$240,2)</f>
        <v>0</v>
      </c>
      <c r="M240" s="25" t="s">
        <v>177</v>
      </c>
      <c r="N240" s="25">
        <f t="array" ref="N240">INDEX(М[Форма закупа],MATCH(1,IF(($B240=М[Наим.])*($C240=М[Артикул, марка, произв.])*($D240=М[Хар-ка])*($M240=М[Прим.]),{1},($B240=М[Наим.])*($C240=М[Артикул, марка, произв.])*($D240=М[Хар-ка])*($M240=М[Прим.])),0))</f>
        <v>0</v>
      </c>
    </row>
    <row r="241" spans="1:14" outlineLevel="4" x14ac:dyDescent="0.2">
      <c r="A241" s="20"/>
      <c r="B241" s="14" t="s">
        <v>24</v>
      </c>
      <c r="C241" s="21"/>
      <c r="D241" s="21"/>
      <c r="E241" s="21"/>
      <c r="F241" s="21"/>
      <c r="G241" s="21"/>
      <c r="H241" s="21"/>
      <c r="I241" s="21"/>
      <c r="J241" s="21"/>
      <c r="K241" s="56"/>
      <c r="L241" s="57">
        <f>SUM($L$242)</f>
        <v>0</v>
      </c>
      <c r="M241" s="18"/>
      <c r="N241" s="22"/>
    </row>
    <row r="242" spans="1:14" ht="22.5" outlineLevel="4" x14ac:dyDescent="0.2">
      <c r="A242" s="23"/>
      <c r="B242" s="24" t="s">
        <v>90</v>
      </c>
      <c r="C242" s="25"/>
      <c r="D242" s="25"/>
      <c r="E242" s="26" t="s">
        <v>26</v>
      </c>
      <c r="F242" s="27"/>
      <c r="G242" s="27"/>
      <c r="H242" s="28">
        <v>4</v>
      </c>
      <c r="I242" s="28">
        <v>4</v>
      </c>
      <c r="J242" s="28">
        <f>SUM($G$242:$I$242)</f>
        <v>8</v>
      </c>
      <c r="K242" s="58">
        <f t="array" ref="K242">INDEX(Р[Цена за ед., руб],MATCH(1,IF(($B242=Р[Наименование])*($M242=Р[Примечание]),{1},($B242=Р[Наименование])*($M242=Р[Примечание])),0))</f>
        <v>0</v>
      </c>
      <c r="L242" s="58">
        <f>ROUND($J$242*$K$242,2)</f>
        <v>0</v>
      </c>
      <c r="M242" s="25"/>
      <c r="N242" s="25"/>
    </row>
    <row r="243" spans="1:14" outlineLevel="4" x14ac:dyDescent="0.2">
      <c r="A243" s="20"/>
      <c r="B243" s="14" t="s">
        <v>29</v>
      </c>
      <c r="C243" s="21"/>
      <c r="D243" s="21"/>
      <c r="E243" s="21"/>
      <c r="F243" s="21"/>
      <c r="G243" s="21"/>
      <c r="H243" s="21"/>
      <c r="I243" s="21"/>
      <c r="J243" s="21"/>
      <c r="K243" s="56"/>
      <c r="L243" s="57">
        <f>SUM($L$244:$L$245)</f>
        <v>0</v>
      </c>
      <c r="M243" s="18"/>
      <c r="N243" s="22"/>
    </row>
    <row r="244" spans="1:14" ht="33.75" outlineLevel="4" x14ac:dyDescent="0.2">
      <c r="A244" s="23" t="s">
        <v>30</v>
      </c>
      <c r="B244" s="24" t="s">
        <v>87</v>
      </c>
      <c r="C244" s="25" t="s">
        <v>56</v>
      </c>
      <c r="D244" s="25" t="s">
        <v>95</v>
      </c>
      <c r="E244" s="26" t="s">
        <v>26</v>
      </c>
      <c r="F244" s="27"/>
      <c r="G244" s="27"/>
      <c r="H244" s="28">
        <v>2</v>
      </c>
      <c r="I244" s="28">
        <v>2</v>
      </c>
      <c r="J244" s="28">
        <f>SUM($G$244:$I$244)</f>
        <v>4</v>
      </c>
      <c r="K244" s="58">
        <f t="array" ref="K244">INDEX(М[Цена за ед., руб],MATCH(1,IF(($B244=М[Наим.])*($C244=М[Артикул, марка, произв.])*($D244=М[Хар-ка])*($M244=М[Прим.]),{1},($B244=М[Наим.])*($C244=М[Артикул, марка, произв.])*($D244=М[Хар-ка])*($M244=М[Прим.])),0))</f>
        <v>0</v>
      </c>
      <c r="L244" s="58">
        <f>ROUND($J$244*$K$244,2)</f>
        <v>0</v>
      </c>
      <c r="M244" s="25"/>
      <c r="N244" s="25">
        <f t="array" ref="N244">INDEX(М[Форма закупа],MATCH(1,IF(($B244=М[Наим.])*($C244=М[Артикул, марка, произв.])*($D244=М[Хар-ка])*($M244=М[Прим.]),{1},($B244=М[Наим.])*($C244=М[Артикул, марка, произв.])*($D244=М[Хар-ка])*($M244=М[Прим.])),0))</f>
        <v>0</v>
      </c>
    </row>
    <row r="245" spans="1:14" ht="22.5" outlineLevel="4" x14ac:dyDescent="0.2">
      <c r="A245" s="23" t="s">
        <v>35</v>
      </c>
      <c r="B245" s="24" t="s">
        <v>87</v>
      </c>
      <c r="C245" s="25" t="s">
        <v>56</v>
      </c>
      <c r="D245" s="25" t="s">
        <v>98</v>
      </c>
      <c r="E245" s="26" t="s">
        <v>26</v>
      </c>
      <c r="F245" s="27"/>
      <c r="G245" s="27"/>
      <c r="H245" s="28">
        <v>2</v>
      </c>
      <c r="I245" s="28">
        <v>2</v>
      </c>
      <c r="J245" s="28">
        <f>SUM($G$245:$I$245)</f>
        <v>4</v>
      </c>
      <c r="K245" s="58">
        <f t="array" ref="K245">INDEX(М[Цена за ед., руб],MATCH(1,IF(($B245=М[Наим.])*($C245=М[Артикул, марка, произв.])*($D245=М[Хар-ка])*($M245=М[Прим.]),{1},($B245=М[Наим.])*($C245=М[Артикул, марка, произв.])*($D245=М[Хар-ка])*($M245=М[Прим.])),0))</f>
        <v>0</v>
      </c>
      <c r="L245" s="58">
        <f>ROUND($J$245*$K$245,2)</f>
        <v>0</v>
      </c>
      <c r="M245" s="25"/>
      <c r="N245" s="25">
        <f t="array" ref="N245">INDEX(М[Форма закупа],MATCH(1,IF(($B245=М[Наим.])*($C245=М[Артикул, марка, произв.])*($D245=М[Хар-ка])*($M245=М[Прим.]),{1},($B245=М[Наим.])*($C245=М[Артикул, марка, произв.])*($D245=М[Хар-ка])*($M245=М[Прим.])),0))</f>
        <v>0</v>
      </c>
    </row>
    <row r="246" spans="1:14" outlineLevel="4" x14ac:dyDescent="0.2">
      <c r="A246" s="20"/>
      <c r="B246" s="14" t="s">
        <v>24</v>
      </c>
      <c r="C246" s="21"/>
      <c r="D246" s="21"/>
      <c r="E246" s="21"/>
      <c r="F246" s="21"/>
      <c r="G246" s="21"/>
      <c r="H246" s="21"/>
      <c r="I246" s="21"/>
      <c r="J246" s="21"/>
      <c r="K246" s="56"/>
      <c r="L246" s="57">
        <f>SUM($L$247)</f>
        <v>0</v>
      </c>
      <c r="M246" s="18"/>
      <c r="N246" s="22"/>
    </row>
    <row r="247" spans="1:14" outlineLevel="4" x14ac:dyDescent="0.2">
      <c r="A247" s="23"/>
      <c r="B247" s="24" t="s">
        <v>178</v>
      </c>
      <c r="C247" s="25"/>
      <c r="D247" s="25"/>
      <c r="E247" s="26" t="s">
        <v>26</v>
      </c>
      <c r="F247" s="27"/>
      <c r="G247" s="27"/>
      <c r="H247" s="28">
        <v>26</v>
      </c>
      <c r="I247" s="28">
        <v>34</v>
      </c>
      <c r="J247" s="28">
        <f>SUM($G$247:$I$247)</f>
        <v>60</v>
      </c>
      <c r="K247" s="58">
        <f t="array" ref="K247">INDEX(Р[Цена за ед., руб],MATCH(1,IF(($B247=Р[Наименование])*($M247=Р[Примечание]),{1},($B247=Р[Наименование])*($M247=Р[Примечание])),0))</f>
        <v>0</v>
      </c>
      <c r="L247" s="58">
        <f>ROUND($J$247*$K$247,2)</f>
        <v>0</v>
      </c>
      <c r="M247" s="25"/>
      <c r="N247" s="25"/>
    </row>
    <row r="248" spans="1:14" outlineLevel="4" x14ac:dyDescent="0.2">
      <c r="A248" s="20"/>
      <c r="B248" s="14" t="s">
        <v>29</v>
      </c>
      <c r="C248" s="21"/>
      <c r="D248" s="21"/>
      <c r="E248" s="21"/>
      <c r="F248" s="21"/>
      <c r="G248" s="21"/>
      <c r="H248" s="21"/>
      <c r="I248" s="21"/>
      <c r="J248" s="21"/>
      <c r="K248" s="56"/>
      <c r="L248" s="57">
        <f>SUM($L$249)</f>
        <v>0</v>
      </c>
      <c r="M248" s="18"/>
      <c r="N248" s="22"/>
    </row>
    <row r="249" spans="1:14" outlineLevel="4" x14ac:dyDescent="0.2">
      <c r="A249" s="23" t="s">
        <v>30</v>
      </c>
      <c r="B249" s="24" t="s">
        <v>179</v>
      </c>
      <c r="C249" s="25"/>
      <c r="D249" s="25" t="s">
        <v>193</v>
      </c>
      <c r="E249" s="26" t="s">
        <v>26</v>
      </c>
      <c r="F249" s="27"/>
      <c r="G249" s="27"/>
      <c r="H249" s="28">
        <v>26</v>
      </c>
      <c r="I249" s="28">
        <v>34</v>
      </c>
      <c r="J249" s="28">
        <f>SUM($G$249:$I$249)</f>
        <v>60</v>
      </c>
      <c r="K249" s="58">
        <f t="array" ref="K249">INDEX(М[Цена за ед., руб],MATCH(1,IF(($B249=М[Наим.])*($C249=М[Артикул, марка, произв.])*($D249=М[Хар-ка])*($M249=М[Прим.]),{1},($B249=М[Наим.])*($C249=М[Артикул, марка, произв.])*($D249=М[Хар-ка])*($M249=М[Прим.])),0))</f>
        <v>0</v>
      </c>
      <c r="L249" s="58">
        <f>ROUND($J$249*$K$249,2)</f>
        <v>0</v>
      </c>
      <c r="M249" s="25"/>
      <c r="N249" s="25">
        <f t="array" ref="N249">INDEX(М[Форма закупа],MATCH(1,IF(($B249=М[Наим.])*($C249=М[Артикул, марка, произв.])*($D249=М[Хар-ка])*($M249=М[Прим.]),{1},($B249=М[Наим.])*($C249=М[Артикул, марка, произв.])*($D249=М[Хар-ка])*($M249=М[Прим.])),0))</f>
        <v>0</v>
      </c>
    </row>
    <row r="250" spans="1:14" outlineLevel="4" x14ac:dyDescent="0.2">
      <c r="A250" s="20"/>
      <c r="B250" s="14" t="s">
        <v>24</v>
      </c>
      <c r="C250" s="21"/>
      <c r="D250" s="21"/>
      <c r="E250" s="21"/>
      <c r="F250" s="21"/>
      <c r="G250" s="21"/>
      <c r="H250" s="21"/>
      <c r="I250" s="21"/>
      <c r="J250" s="21"/>
      <c r="K250" s="56"/>
      <c r="L250" s="57">
        <f>SUM($L$251)</f>
        <v>0</v>
      </c>
      <c r="M250" s="18"/>
      <c r="N250" s="22"/>
    </row>
    <row r="251" spans="1:14" outlineLevel="4" x14ac:dyDescent="0.2">
      <c r="A251" s="65"/>
      <c r="B251" s="24" t="s">
        <v>134</v>
      </c>
      <c r="C251" s="25"/>
      <c r="D251" s="25"/>
      <c r="E251" s="26" t="s">
        <v>34</v>
      </c>
      <c r="F251" s="27"/>
      <c r="G251" s="27"/>
      <c r="H251" s="28">
        <v>105</v>
      </c>
      <c r="I251" s="28">
        <v>117</v>
      </c>
      <c r="J251" s="28">
        <f>SUM($G$251:$I$251)</f>
        <v>222</v>
      </c>
      <c r="K251" s="58">
        <f t="array" ref="K251">INDEX(Р[Цена за ед., руб],MATCH(1,IF(($B251=Р[Наименование])*($M251=Р[Примечание]),{1},($B251=Р[Наименование])*($M251=Р[Примечание])),0))</f>
        <v>0</v>
      </c>
      <c r="L251" s="58">
        <f>ROUND($J$251*$K$251,2)</f>
        <v>0</v>
      </c>
      <c r="M251" s="25"/>
      <c r="N251" s="25"/>
    </row>
    <row r="252" spans="1:14" outlineLevel="4" x14ac:dyDescent="0.2">
      <c r="A252" s="20"/>
      <c r="B252" s="14" t="s">
        <v>29</v>
      </c>
      <c r="C252" s="21"/>
      <c r="D252" s="21"/>
      <c r="E252" s="21"/>
      <c r="F252" s="21"/>
      <c r="G252" s="21"/>
      <c r="H252" s="21"/>
      <c r="I252" s="21"/>
      <c r="J252" s="21"/>
      <c r="K252" s="56"/>
      <c r="L252" s="57">
        <f>SUM($L$253:$L$255)</f>
        <v>0</v>
      </c>
      <c r="M252" s="18"/>
      <c r="N252" s="22"/>
    </row>
    <row r="253" spans="1:14" ht="45" outlineLevel="4" x14ac:dyDescent="0.2">
      <c r="A253" s="65" t="s">
        <v>30</v>
      </c>
      <c r="B253" s="24" t="s">
        <v>135</v>
      </c>
      <c r="C253" s="25"/>
      <c r="D253" s="25" t="s">
        <v>137</v>
      </c>
      <c r="E253" s="26" t="s">
        <v>34</v>
      </c>
      <c r="F253" s="27"/>
      <c r="G253" s="27"/>
      <c r="H253" s="28">
        <v>10</v>
      </c>
      <c r="I253" s="28">
        <v>10</v>
      </c>
      <c r="J253" s="28">
        <f>SUM($G$253:$I$253)</f>
        <v>20</v>
      </c>
      <c r="K253" s="58">
        <f t="array" ref="K253">INDEX(М[Цена за ед., руб],MATCH(1,IF(($B253=М[Наим.])*($C253=М[Артикул, марка, произв.])*($D253=М[Хар-ка])*($M253=М[Прим.]),{1},($B253=М[Наим.])*($C253=М[Артикул, марка, произв.])*($D253=М[Хар-ка])*($M253=М[Прим.])),0))</f>
        <v>0</v>
      </c>
      <c r="L253" s="58">
        <f>ROUND($J$253*$K$253,2)</f>
        <v>0</v>
      </c>
      <c r="M253" s="25"/>
      <c r="N253" s="25">
        <f t="array" ref="N253">INDEX(М[Форма закупа],MATCH(1,IF(($B253=М[Наим.])*($C253=М[Артикул, марка, произв.])*($D253=М[Хар-ка])*($M253=М[Прим.]),{1},($B253=М[Наим.])*($C253=М[Артикул, марка, произв.])*($D253=М[Хар-ка])*($M253=М[Прим.])),0))</f>
        <v>0</v>
      </c>
    </row>
    <row r="254" spans="1:14" ht="45" outlineLevel="4" x14ac:dyDescent="0.2">
      <c r="A254" s="65" t="s">
        <v>35</v>
      </c>
      <c r="B254" s="24" t="s">
        <v>135</v>
      </c>
      <c r="C254" s="25"/>
      <c r="D254" s="25" t="s">
        <v>138</v>
      </c>
      <c r="E254" s="26" t="s">
        <v>34</v>
      </c>
      <c r="F254" s="27"/>
      <c r="G254" s="27"/>
      <c r="H254" s="28">
        <v>95</v>
      </c>
      <c r="I254" s="27"/>
      <c r="J254" s="28">
        <f>SUM($G$254:$I$254)</f>
        <v>95</v>
      </c>
      <c r="K254" s="58">
        <f t="array" ref="K254">INDEX(М[Цена за ед., руб],MATCH(1,IF(($B254=М[Наим.])*($C254=М[Артикул, марка, произв.])*($D254=М[Хар-ка])*($M254=М[Прим.]),{1},($B254=М[Наим.])*($C254=М[Артикул, марка, произв.])*($D254=М[Хар-ка])*($M254=М[Прим.])),0))</f>
        <v>0</v>
      </c>
      <c r="L254" s="58">
        <f>ROUND($J$254*$K$254,2)</f>
        <v>0</v>
      </c>
      <c r="M254" s="25"/>
      <c r="N254" s="25">
        <f t="array" ref="N254">INDEX(М[Форма закупа],MATCH(1,IF(($B254=М[Наим.])*($C254=М[Артикул, марка, произв.])*($D254=М[Хар-ка])*($M254=М[Прим.]),{1},($B254=М[Наим.])*($C254=М[Артикул, марка, произв.])*($D254=М[Хар-ка])*($M254=М[Прим.])),0))</f>
        <v>0</v>
      </c>
    </row>
    <row r="255" spans="1:14" ht="45" outlineLevel="4" x14ac:dyDescent="0.2">
      <c r="A255" s="65" t="s">
        <v>37</v>
      </c>
      <c r="B255" s="24" t="s">
        <v>135</v>
      </c>
      <c r="C255" s="25"/>
      <c r="D255" s="25" t="s">
        <v>139</v>
      </c>
      <c r="E255" s="26" t="s">
        <v>34</v>
      </c>
      <c r="F255" s="27"/>
      <c r="G255" s="27"/>
      <c r="H255" s="27"/>
      <c r="I255" s="28">
        <v>107</v>
      </c>
      <c r="J255" s="28">
        <f>SUM($G$255:$I$255)</f>
        <v>107</v>
      </c>
      <c r="K255" s="58">
        <f t="array" ref="K255">INDEX(М[Цена за ед., руб],MATCH(1,IF(($B255=М[Наим.])*($C255=М[Артикул, марка, произв.])*($D255=М[Хар-ка])*($M255=М[Прим.]),{1},($B255=М[Наим.])*($C255=М[Артикул, марка, произв.])*($D255=М[Хар-ка])*($M255=М[Прим.])),0))</f>
        <v>0</v>
      </c>
      <c r="L255" s="58">
        <f>ROUND($J$255*$K$255,2)</f>
        <v>0</v>
      </c>
      <c r="M255" s="25"/>
      <c r="N255" s="25">
        <f t="array" ref="N255">INDEX(М[Форма закупа],MATCH(1,IF(($B255=М[Наим.])*($C255=М[Артикул, марка, произв.])*($D255=М[Хар-ка])*($M255=М[Прим.]),{1},($B255=М[Наим.])*($C255=М[Артикул, марка, произв.])*($D255=М[Хар-ка])*($M255=М[Прим.])),0))</f>
        <v>0</v>
      </c>
    </row>
    <row r="256" spans="1:14" outlineLevel="2" x14ac:dyDescent="0.2">
      <c r="A256" s="13" t="s">
        <v>194</v>
      </c>
      <c r="B256" s="14" t="s">
        <v>195</v>
      </c>
      <c r="C256" s="15"/>
      <c r="D256" s="15"/>
      <c r="E256" s="16"/>
      <c r="F256" s="17"/>
      <c r="G256" s="18"/>
      <c r="H256" s="18"/>
      <c r="I256" s="18"/>
      <c r="J256" s="18"/>
      <c r="K256" s="55"/>
      <c r="L256" s="55">
        <f ca="1">SUM($L$257)</f>
        <v>0</v>
      </c>
      <c r="M256" s="19"/>
      <c r="N256" s="19"/>
    </row>
    <row r="257" spans="1:14" outlineLevel="3" x14ac:dyDescent="0.2">
      <c r="A257" s="13" t="s">
        <v>196</v>
      </c>
      <c r="B257" s="14" t="s">
        <v>195</v>
      </c>
      <c r="C257" s="15"/>
      <c r="D257" s="15"/>
      <c r="E257" s="16"/>
      <c r="F257" s="17"/>
      <c r="G257" s="18"/>
      <c r="H257" s="18"/>
      <c r="I257" s="18"/>
      <c r="J257" s="18"/>
      <c r="K257" s="55"/>
      <c r="L257" s="55">
        <f ca="1">SUM($L$260,$L$258,L262,L268)</f>
        <v>0</v>
      </c>
      <c r="M257" s="19"/>
      <c r="N257" s="19"/>
    </row>
    <row r="258" spans="1:14" outlineLevel="4" x14ac:dyDescent="0.2">
      <c r="A258" s="20"/>
      <c r="B258" s="14" t="s">
        <v>24</v>
      </c>
      <c r="C258" s="21"/>
      <c r="D258" s="21"/>
      <c r="E258" s="21"/>
      <c r="F258" s="21"/>
      <c r="G258" s="21"/>
      <c r="H258" s="21"/>
      <c r="I258" s="21"/>
      <c r="J258" s="21"/>
      <c r="K258" s="56"/>
      <c r="L258" s="57">
        <f>SUM($L$259)</f>
        <v>0</v>
      </c>
      <c r="M258" s="18"/>
      <c r="N258" s="22"/>
    </row>
    <row r="259" spans="1:14" outlineLevel="4" x14ac:dyDescent="0.2">
      <c r="A259" s="23"/>
      <c r="B259" s="73" t="s">
        <v>228</v>
      </c>
      <c r="C259" s="25"/>
      <c r="D259" s="25"/>
      <c r="E259" s="26" t="s">
        <v>163</v>
      </c>
      <c r="F259" s="27"/>
      <c r="G259" s="27"/>
      <c r="H259" s="28">
        <v>1</v>
      </c>
      <c r="I259" s="28">
        <v>1</v>
      </c>
      <c r="J259" s="28">
        <f>SUM($G$259:$I$259)</f>
        <v>2</v>
      </c>
      <c r="K259" s="58">
        <f t="array" ref="K259">INDEX(Р[Цена за ед., руб],MATCH(1,IF(($B259=Р[Наименование])*($M259=Р[Примечание]),{1},($B259=Р[Наименование])*($M259=Р[Примечание])),0))</f>
        <v>0</v>
      </c>
      <c r="L259" s="58">
        <f>ROUND($J$259*$K$259,2)</f>
        <v>0</v>
      </c>
      <c r="M259" s="25"/>
      <c r="N259" s="25"/>
    </row>
    <row r="260" spans="1:14" outlineLevel="4" x14ac:dyDescent="0.2">
      <c r="A260" s="20"/>
      <c r="B260" s="14" t="s">
        <v>29</v>
      </c>
      <c r="C260" s="21"/>
      <c r="D260" s="21"/>
      <c r="E260" s="21"/>
      <c r="F260" s="21"/>
      <c r="G260" s="21"/>
      <c r="H260" s="21"/>
      <c r="I260" s="21"/>
      <c r="J260" s="21"/>
      <c r="K260" s="56"/>
      <c r="L260" s="57">
        <f>SUM($L$261)</f>
        <v>0</v>
      </c>
      <c r="M260" s="18"/>
      <c r="N260" s="22"/>
    </row>
    <row r="261" spans="1:14" outlineLevel="4" x14ac:dyDescent="0.2">
      <c r="A261" s="23" t="s">
        <v>30</v>
      </c>
      <c r="B261" s="24" t="s">
        <v>197</v>
      </c>
      <c r="C261" s="25"/>
      <c r="D261" s="25" t="s">
        <v>198</v>
      </c>
      <c r="E261" s="26" t="s">
        <v>199</v>
      </c>
      <c r="F261" s="27"/>
      <c r="G261" s="27"/>
      <c r="H261" s="28">
        <v>25</v>
      </c>
      <c r="I261" s="28">
        <v>60</v>
      </c>
      <c r="J261" s="28">
        <f>SUM($G$261:$I$261)</f>
        <v>85</v>
      </c>
      <c r="K261" s="58">
        <f t="array" ref="K261">INDEX(М[Цена за ед., руб],MATCH(1,IF(($B261=М[Наим.])*($C261=М[Артикул, марка, произв.])*($D261=М[Хар-ка])*($M261=М[Прим.]),{1},($B261=М[Наим.])*($C261=М[Артикул, марка, произв.])*($D261=М[Хар-ка])*($M261=М[Прим.])),0))</f>
        <v>0</v>
      </c>
      <c r="L261" s="58">
        <f>ROUND($J$261*$K$261,2)</f>
        <v>0</v>
      </c>
      <c r="M261" s="25" t="s">
        <v>200</v>
      </c>
      <c r="N261" s="25">
        <f t="array" ref="N261">INDEX(М[Форма закупа],MATCH(1,IF(($B261=М[Наим.])*($C261=М[Артикул, марка, произв.])*($D261=М[Хар-ка])*($M261=М[Прим.]),{1},($B261=М[Наим.])*($C261=М[Артикул, марка, произв.])*($D261=М[Хар-ка])*($M261=М[Прим.])),0))</f>
        <v>0</v>
      </c>
    </row>
    <row r="262" spans="1:14" outlineLevel="4" x14ac:dyDescent="0.2">
      <c r="A262" s="75"/>
      <c r="B262" s="76" t="s">
        <v>29</v>
      </c>
      <c r="C262" s="77"/>
      <c r="D262" s="77"/>
      <c r="E262" s="77"/>
      <c r="F262" s="77"/>
      <c r="G262" s="77"/>
      <c r="H262" s="77"/>
      <c r="I262" s="77"/>
      <c r="J262" s="77"/>
      <c r="K262" s="78"/>
      <c r="L262" s="79">
        <f ca="1">SUM(L263:L267)</f>
        <v>0</v>
      </c>
      <c r="M262" s="18"/>
      <c r="N262" s="22"/>
    </row>
    <row r="263" spans="1:14" ht="22.5" outlineLevel="4" x14ac:dyDescent="0.2">
      <c r="A263" s="80">
        <v>1</v>
      </c>
      <c r="B263" s="61" t="s">
        <v>220</v>
      </c>
      <c r="C263" s="63"/>
      <c r="D263" s="63"/>
      <c r="E263" s="64" t="s">
        <v>158</v>
      </c>
      <c r="F263" s="81"/>
      <c r="G263" s="81"/>
      <c r="H263" s="82"/>
      <c r="I263" s="82"/>
      <c r="J263" s="68">
        <f ca="1">SUMIF(М[[Наим.]:[Сумма, руб]],B263,М[Количество])</f>
        <v>0</v>
      </c>
      <c r="K263" s="83"/>
      <c r="L263" s="84">
        <f ca="1">ROUND(SUM(L105)*J263%,3)</f>
        <v>0</v>
      </c>
      <c r="M263" s="72" t="s">
        <v>240</v>
      </c>
      <c r="N263" s="63">
        <f t="array" ref="N263">INDEX(М[Форма закупа],MATCH(1,IF(($B263=М[Наим.])*($C263=М[Артикул, марка, произв.])*($D263=М[Хар-ка])*($M263=М[Прим.]),{1},($B263=М[Наим.])*($C263=М[Артикул, марка, произв.])*($D263=М[Хар-ка])*($M263=М[Прим.])),0))</f>
        <v>0</v>
      </c>
    </row>
    <row r="264" spans="1:14" ht="22.5" outlineLevel="4" x14ac:dyDescent="0.2">
      <c r="A264" s="80">
        <v>2</v>
      </c>
      <c r="B264" s="61" t="s">
        <v>221</v>
      </c>
      <c r="C264" s="63"/>
      <c r="D264" s="63"/>
      <c r="E264" s="64" t="s">
        <v>158</v>
      </c>
      <c r="F264" s="81"/>
      <c r="G264" s="81"/>
      <c r="H264" s="82"/>
      <c r="I264" s="82"/>
      <c r="J264" s="68">
        <f ca="1">SUMIF(М[[Наим.]:[Сумма, руб]],B264,М[Количество])</f>
        <v>0</v>
      </c>
      <c r="K264" s="83"/>
      <c r="L264" s="84">
        <f ca="1">ROUND(SUM(L114:L119,L176:L179,L220:L223,L253:L255)*J264%,3)</f>
        <v>0</v>
      </c>
      <c r="M264" s="72" t="s">
        <v>240</v>
      </c>
      <c r="N264" s="63">
        <f t="array" ref="N264">INDEX(М[Форма закупа],MATCH(1,IF(($B264=М[Наим.])*($C264=М[Артикул, марка, произв.])*($D264=М[Хар-ка])*($M264=М[Прим.]),{1},($B264=М[Наим.])*($C264=М[Артикул, марка, произв.])*($D264=М[Хар-ка])*($M264=М[Прим.])),0))</f>
        <v>0</v>
      </c>
    </row>
    <row r="265" spans="1:14" ht="22.5" outlineLevel="4" x14ac:dyDescent="0.2">
      <c r="A265" s="80">
        <v>3</v>
      </c>
      <c r="B265" s="61" t="s">
        <v>222</v>
      </c>
      <c r="C265" s="63"/>
      <c r="D265" s="63"/>
      <c r="E265" s="64" t="s">
        <v>158</v>
      </c>
      <c r="F265" s="81"/>
      <c r="G265" s="81"/>
      <c r="H265" s="82"/>
      <c r="I265" s="82"/>
      <c r="J265" s="68">
        <f ca="1">SUMIF(М[[Наим.]:[Сумма, руб]],B265,М[Количество])</f>
        <v>0</v>
      </c>
      <c r="K265" s="83"/>
      <c r="L265" s="84">
        <f ca="1">ROUND(SUM(L123)*J265%,3)</f>
        <v>0</v>
      </c>
      <c r="M265" s="72" t="s">
        <v>240</v>
      </c>
      <c r="N265" s="63">
        <f t="array" ref="N265">INDEX(М[Форма закупа],MATCH(1,IF(($B265=М[Наим.])*($C265=М[Артикул, марка, произв.])*($D265=М[Хар-ка])*($M265=М[Прим.]),{1},($B265=М[Наим.])*($C265=М[Артикул, марка, произв.])*($D265=М[Хар-ка])*($M265=М[Прим.])),0))</f>
        <v>0</v>
      </c>
    </row>
    <row r="266" spans="1:14" ht="22.5" outlineLevel="4" x14ac:dyDescent="0.2">
      <c r="A266" s="80">
        <v>4</v>
      </c>
      <c r="B266" s="61" t="s">
        <v>223</v>
      </c>
      <c r="C266" s="63"/>
      <c r="D266" s="63"/>
      <c r="E266" s="64" t="s">
        <v>158</v>
      </c>
      <c r="F266" s="81"/>
      <c r="G266" s="81"/>
      <c r="H266" s="82"/>
      <c r="I266" s="82"/>
      <c r="J266" s="68">
        <f ca="1">SUMIF(М[[Наим.]:[Сумма, руб]],B266,М[Количество])</f>
        <v>0</v>
      </c>
      <c r="K266" s="83"/>
      <c r="L266" s="84">
        <f ca="1">ROUND(SUM(L127:L129,L133:L138,L183)*J266%,3)</f>
        <v>0</v>
      </c>
      <c r="M266" s="72" t="s">
        <v>240</v>
      </c>
      <c r="N266" s="63">
        <f t="array" ref="N266">INDEX(М[Форма закупа],MATCH(1,IF(($B266=М[Наим.])*($C266=М[Артикул, марка, произв.])*($D266=М[Хар-ка])*($M266=М[Прим.]),{1},($B266=М[Наим.])*($C266=М[Артикул, марка, произв.])*($D266=М[Хар-ка])*($M266=М[Прим.])),0))</f>
        <v>0</v>
      </c>
    </row>
    <row r="267" spans="1:14" ht="22.5" outlineLevel="4" x14ac:dyDescent="0.2">
      <c r="A267" s="85">
        <v>5</v>
      </c>
      <c r="B267" s="62" t="s">
        <v>224</v>
      </c>
      <c r="C267" s="63"/>
      <c r="D267" s="63"/>
      <c r="E267" s="64" t="s">
        <v>158</v>
      </c>
      <c r="F267" s="81"/>
      <c r="G267" s="81"/>
      <c r="H267" s="82"/>
      <c r="I267" s="82"/>
      <c r="J267" s="68">
        <f ca="1">SUMIF(М[[Наим.]:[Сумма, руб]],B267,М[Количество])</f>
        <v>0</v>
      </c>
      <c r="K267" s="83"/>
      <c r="L267" s="84">
        <f ca="1">ROUND(SUM(L17:L27,L31,L35,L39:L41,L45:L50,L54:L60,L64,L68:L78,L82:L87,L91,L95,L99:L101,L105,L109:L110,L114:L119,L123,L127:L129,L133:L138,L143:L146,L154,L158,L162:L164,L168:L170,L176:L179,L183,L190:L192,L196,L200,L204,L208,L212:L214,L220:L223,L230:L232,L236,L240,L244:L245,L249,L253:L255,L261)*J267%,3)</f>
        <v>0</v>
      </c>
      <c r="M267" s="72" t="s">
        <v>240</v>
      </c>
      <c r="N267" s="63">
        <f t="array" ref="N267">INDEX(М[Форма закупа],MATCH(1,IF(($B267=М[Наим.])*($C267=М[Артикул, марка, произв.])*($D267=М[Хар-ка])*($M267=М[Прим.]),{1},($B267=М[Наим.])*($C267=М[Артикул, марка, произв.])*($D267=М[Хар-ка])*($M267=М[Прим.])),0))</f>
        <v>0</v>
      </c>
    </row>
    <row r="268" spans="1:14" outlineLevel="4" x14ac:dyDescent="0.2">
      <c r="A268" s="20"/>
      <c r="B268" s="14" t="s">
        <v>29</v>
      </c>
      <c r="C268" s="21"/>
      <c r="D268" s="21"/>
      <c r="E268" s="21"/>
      <c r="F268" s="21"/>
      <c r="G268" s="21"/>
      <c r="H268" s="21"/>
      <c r="I268" s="21"/>
      <c r="J268" s="21"/>
      <c r="K268" s="56"/>
      <c r="L268" s="57">
        <f>SUM(L269)</f>
        <v>0</v>
      </c>
      <c r="M268" s="18"/>
      <c r="N268" s="22"/>
    </row>
    <row r="269" spans="1:14" outlineLevel="4" x14ac:dyDescent="0.2">
      <c r="A269" s="65" t="s">
        <v>30</v>
      </c>
      <c r="B269" s="24" t="s">
        <v>91</v>
      </c>
      <c r="C269" s="25"/>
      <c r="D269" s="25" t="s">
        <v>92</v>
      </c>
      <c r="E269" s="26" t="s">
        <v>26</v>
      </c>
      <c r="F269" s="27"/>
      <c r="G269" s="27"/>
      <c r="H269" s="28">
        <v>65</v>
      </c>
      <c r="I269" s="28">
        <v>141</v>
      </c>
      <c r="J269" s="28">
        <f>SUM($G$269:$I$269)</f>
        <v>206</v>
      </c>
      <c r="K269" s="58">
        <f t="array" ref="K269">INDEX(М[Цена за ед., руб],MATCH(1,IF(($B269=М[Наим.])*($C269=М[Артикул, марка, произв.])*($D269=М[Хар-ка])*($M269=М[Прим.]),{1},($B269=М[Наим.])*($C269=М[Артикул, марка, произв.])*($D269=М[Хар-ка])*($M269=М[Прим.])),0))</f>
        <v>0</v>
      </c>
      <c r="L269" s="58">
        <f>ROUND($J$269*$K$269,2)</f>
        <v>0</v>
      </c>
      <c r="M269" s="25"/>
      <c r="N269" s="25">
        <f t="array" ref="N269">INDEX(М[Форма закупа],MATCH(1,IF(($B269=М[Наим.])*($C269=М[Артикул, марка, произв.])*($D269=М[Хар-ка])*($M269=М[Прим.]),{1},($B269=М[Наим.])*($C269=М[Артикул, марка, произв.])*($D269=М[Хар-ка])*($M269=М[Прим.])),0))</f>
        <v>0</v>
      </c>
    </row>
    <row r="270" spans="1:14" outlineLevel="2" x14ac:dyDescent="0.2">
      <c r="A270" s="13" t="s">
        <v>164</v>
      </c>
      <c r="B270" s="14" t="s">
        <v>165</v>
      </c>
      <c r="C270" s="15"/>
      <c r="D270" s="15"/>
      <c r="E270" s="16"/>
      <c r="F270" s="17"/>
      <c r="G270" s="18"/>
      <c r="H270" s="18"/>
      <c r="I270" s="18"/>
      <c r="J270" s="18"/>
      <c r="K270" s="55"/>
      <c r="L270" s="55">
        <f>SUM($L$271)</f>
        <v>0</v>
      </c>
      <c r="M270" s="19"/>
      <c r="N270" s="19"/>
    </row>
    <row r="271" spans="1:14" outlineLevel="3" x14ac:dyDescent="0.2">
      <c r="A271" s="13" t="s">
        <v>166</v>
      </c>
      <c r="B271" s="14" t="s">
        <v>165</v>
      </c>
      <c r="C271" s="15"/>
      <c r="D271" s="15"/>
      <c r="E271" s="16"/>
      <c r="F271" s="17"/>
      <c r="G271" s="18"/>
      <c r="H271" s="18"/>
      <c r="I271" s="18"/>
      <c r="J271" s="18"/>
      <c r="K271" s="55"/>
      <c r="L271" s="55">
        <f>SUM($L$272)</f>
        <v>0</v>
      </c>
      <c r="M271" s="19"/>
      <c r="N271" s="19"/>
    </row>
    <row r="272" spans="1:14" outlineLevel="4" x14ac:dyDescent="0.2">
      <c r="A272" s="20"/>
      <c r="B272" s="14" t="s">
        <v>24</v>
      </c>
      <c r="C272" s="21"/>
      <c r="D272" s="21"/>
      <c r="E272" s="21"/>
      <c r="F272" s="21"/>
      <c r="G272" s="21"/>
      <c r="H272" s="21"/>
      <c r="I272" s="21"/>
      <c r="J272" s="21"/>
      <c r="K272" s="56"/>
      <c r="L272" s="57">
        <f>SUM($L$273)</f>
        <v>0</v>
      </c>
      <c r="M272" s="18"/>
      <c r="N272" s="22"/>
    </row>
    <row r="273" spans="1:143" ht="33.75" outlineLevel="4" x14ac:dyDescent="0.2">
      <c r="A273" s="23"/>
      <c r="B273" s="24" t="s">
        <v>167</v>
      </c>
      <c r="C273" s="25"/>
      <c r="D273" s="25"/>
      <c r="E273" s="26" t="s">
        <v>163</v>
      </c>
      <c r="F273" s="27"/>
      <c r="G273" s="28">
        <v>1</v>
      </c>
      <c r="H273" s="28">
        <v>1</v>
      </c>
      <c r="I273" s="28">
        <v>1</v>
      </c>
      <c r="J273" s="28">
        <f>SUM($G$273:$I$273)</f>
        <v>3</v>
      </c>
      <c r="K273" s="58">
        <f t="array" ref="K273">INDEX(Р[Цена за ед., руб],MATCH(1,IF(($B273=Р[Наименование])*($M273=Р[Примечание]),{1},($B273=Р[Наименование])*($M273=Р[Примечание])),0))</f>
        <v>0</v>
      </c>
      <c r="L273" s="58">
        <f>ROUND($J$273*$K$273,2)</f>
        <v>0</v>
      </c>
      <c r="M273" s="25"/>
      <c r="N273" s="25"/>
    </row>
    <row r="274" spans="1:143" x14ac:dyDescent="0.2">
      <c r="A274" s="122" t="s">
        <v>225</v>
      </c>
      <c r="B274" s="123"/>
      <c r="C274" s="123"/>
      <c r="D274" s="123"/>
      <c r="E274" s="123"/>
      <c r="F274" s="123"/>
      <c r="G274" s="123"/>
      <c r="H274" s="123"/>
      <c r="I274" s="123"/>
      <c r="J274" s="123"/>
      <c r="K274" s="124"/>
      <c r="L274" s="59">
        <f ca="1">$L$9</f>
        <v>0</v>
      </c>
      <c r="M274" s="32"/>
      <c r="N274" s="32"/>
    </row>
    <row r="275" spans="1:143" x14ac:dyDescent="0.2">
      <c r="A275" s="125" t="s">
        <v>201</v>
      </c>
      <c r="B275" s="126"/>
      <c r="C275" s="126"/>
      <c r="D275" s="126"/>
      <c r="E275" s="126"/>
      <c r="F275" s="126"/>
      <c r="G275" s="126"/>
      <c r="H275" s="126"/>
      <c r="I275" s="126"/>
      <c r="J275" s="126"/>
      <c r="K275" s="127"/>
      <c r="L275" s="59">
        <f>SUM($L$258,$L$250,$L$246,$L$241,$L$237,$L$233,$L$227,$L$225,$L$217,$L$215,$L$209,$L$205,$L$201,$L$197,$L$193,$L$187,$L$185,$L$180,$L$173,$L$171,$L$165,$L$159,$L$155,$L$151,$L$149,$L$272,$L$140,$L$130,$L$124,$L$120,$L$111,$L$106,$L$102,$L$96,$L$92,$L$88,$L$79,$L$65,$L$61,$L$51,$L$42,$L$36,$L$32,$L$28,$L$14,$L$12)</f>
        <v>0</v>
      </c>
      <c r="M275" s="32"/>
      <c r="N275" s="32"/>
    </row>
    <row r="276" spans="1:143" x14ac:dyDescent="0.2">
      <c r="A276" s="125" t="s">
        <v>202</v>
      </c>
      <c r="B276" s="126"/>
      <c r="C276" s="126"/>
      <c r="D276" s="126"/>
      <c r="E276" s="126"/>
      <c r="F276" s="126"/>
      <c r="G276" s="126"/>
      <c r="H276" s="126"/>
      <c r="I276" s="126"/>
      <c r="J276" s="126"/>
      <c r="K276" s="127"/>
      <c r="L276" s="59">
        <f ca="1">SUM($L$260,$L$252,$L$248,$L$243,$L$239,$L$235,$L$229,$L$219,$L$211,$L$207,$L$203,$L$199,$L$195,$L$189,$L$182,$L$175,$L$167,$L$161,$L$157,$L$153,$L$142,$L$132,$L$126,$L$122,$L$113,$L$108,$L$104,$L$98,$L$94,$L$90,$L$81,$L$67,$L$63,$L$53,$L$44,$L$38,$L$34,$L$30,$L$16,L262,L268)</f>
        <v>0</v>
      </c>
      <c r="M276" s="32"/>
      <c r="N276" s="32"/>
    </row>
    <row r="277" spans="1:143" x14ac:dyDescent="0.2">
      <c r="A277" s="125" t="s">
        <v>226</v>
      </c>
      <c r="B277" s="126"/>
      <c r="C277" s="126"/>
      <c r="D277" s="126"/>
      <c r="E277" s="126"/>
      <c r="F277" s="126"/>
      <c r="G277" s="126"/>
      <c r="H277" s="126"/>
      <c r="I277" s="126"/>
      <c r="J277" s="126"/>
      <c r="K277" s="127"/>
      <c r="L277" s="69"/>
      <c r="M277" s="87" t="s">
        <v>230</v>
      </c>
      <c r="N277" s="32"/>
    </row>
    <row r="278" spans="1:143" x14ac:dyDescent="0.2">
      <c r="A278" s="33"/>
      <c r="B278" s="118" t="s">
        <v>203</v>
      </c>
      <c r="C278" s="118"/>
      <c r="D278" s="118"/>
      <c r="E278" s="118"/>
      <c r="F278" s="118"/>
      <c r="G278" s="118"/>
      <c r="H278" s="118"/>
      <c r="I278" s="118"/>
      <c r="J278" s="118"/>
      <c r="K278" s="119"/>
      <c r="L278" s="119"/>
      <c r="M278" s="118"/>
      <c r="N278" s="33"/>
    </row>
    <row r="279" spans="1:143" x14ac:dyDescent="0.2">
      <c r="B279" s="120"/>
      <c r="C279" s="120"/>
      <c r="D279" s="120"/>
      <c r="E279" s="120"/>
      <c r="F279" s="120"/>
      <c r="G279" s="120"/>
      <c r="H279" s="120"/>
      <c r="I279" s="120"/>
      <c r="J279" s="120"/>
      <c r="K279" s="121"/>
      <c r="L279" s="121"/>
      <c r="M279" s="120"/>
    </row>
    <row r="280" spans="1:143" s="91" customFormat="1" ht="15" x14ac:dyDescent="0.2">
      <c r="A280" s="88"/>
      <c r="B280" s="89" t="s">
        <v>231</v>
      </c>
      <c r="C280" s="90"/>
      <c r="D280" s="90"/>
      <c r="F280" s="92"/>
      <c r="G280" s="92"/>
      <c r="H280" s="92"/>
      <c r="I280" s="92"/>
      <c r="J280" s="92"/>
      <c r="K280" s="92"/>
      <c r="L280" s="93"/>
      <c r="M280" s="94"/>
      <c r="N280" s="94"/>
      <c r="AN280" s="94"/>
      <c r="AO280" s="94"/>
      <c r="AP280" s="94"/>
      <c r="AQ280" s="94"/>
      <c r="AR280" s="94"/>
      <c r="AS280" s="94"/>
      <c r="AT280" s="94"/>
      <c r="AU280" s="94"/>
      <c r="AV280" s="94"/>
      <c r="AW280" s="94"/>
      <c r="AX280" s="94"/>
      <c r="AY280" s="94"/>
      <c r="AZ280" s="94"/>
      <c r="BA280" s="94"/>
      <c r="BB280" s="94"/>
      <c r="BC280" s="94"/>
      <c r="BD280" s="94"/>
      <c r="BE280" s="94"/>
      <c r="BF280" s="94"/>
      <c r="BG280" s="94"/>
      <c r="BH280" s="94"/>
      <c r="BI280" s="94"/>
      <c r="BJ280" s="94"/>
      <c r="BK280" s="94"/>
      <c r="BL280" s="94"/>
      <c r="BM280" s="94"/>
      <c r="BN280" s="94"/>
      <c r="BO280" s="94"/>
      <c r="BP280" s="94"/>
      <c r="BQ280" s="94"/>
      <c r="BR280" s="94"/>
      <c r="BS280" s="94"/>
      <c r="BT280" s="94"/>
      <c r="BU280" s="94"/>
      <c r="BV280" s="94"/>
      <c r="BW280" s="94"/>
      <c r="BX280" s="94"/>
      <c r="BY280" s="94"/>
      <c r="BZ280" s="94"/>
      <c r="CA280" s="94"/>
      <c r="CB280" s="94"/>
      <c r="CC280" s="94"/>
      <c r="CD280" s="94"/>
      <c r="CE280" s="94"/>
      <c r="CF280" s="94"/>
      <c r="CG280" s="94"/>
      <c r="CH280" s="94"/>
      <c r="CI280" s="94"/>
      <c r="CJ280" s="94"/>
      <c r="CK280" s="94"/>
      <c r="CL280" s="94"/>
      <c r="CM280" s="94"/>
      <c r="CN280" s="94"/>
      <c r="CO280" s="94"/>
      <c r="CP280" s="94"/>
      <c r="CQ280" s="94"/>
      <c r="CR280" s="94"/>
    </row>
    <row r="281" spans="1:143" s="91" customFormat="1" ht="15" x14ac:dyDescent="0.2">
      <c r="A281" s="95" t="s">
        <v>232</v>
      </c>
      <c r="B281" s="130" t="s">
        <v>233</v>
      </c>
      <c r="C281" s="130"/>
      <c r="D281" s="130"/>
      <c r="E281" s="130"/>
      <c r="F281" s="130"/>
      <c r="G281" s="130"/>
      <c r="H281" s="130"/>
      <c r="I281" s="130"/>
      <c r="J281" s="130"/>
      <c r="K281" s="130"/>
      <c r="L281" s="130"/>
      <c r="M281" s="130"/>
      <c r="N281" s="130"/>
      <c r="O281" s="130"/>
      <c r="P281" s="130"/>
      <c r="Q281" s="96"/>
      <c r="R281" s="96"/>
      <c r="S281" s="96"/>
      <c r="T281" s="96"/>
      <c r="U281" s="96"/>
      <c r="V281" s="96"/>
      <c r="W281" s="96"/>
      <c r="X281" s="96"/>
      <c r="Y281" s="96"/>
      <c r="Z281" s="96"/>
      <c r="AA281" s="96"/>
      <c r="AB281" s="96"/>
      <c r="AC281" s="96"/>
      <c r="AD281" s="96"/>
      <c r="AE281" s="96"/>
      <c r="AF281" s="96"/>
      <c r="AG281" s="97"/>
      <c r="AH281" s="97"/>
      <c r="AI281" s="97"/>
      <c r="AJ281" s="97"/>
      <c r="AK281" s="97"/>
      <c r="AL281" s="97"/>
      <c r="AM281" s="97"/>
      <c r="AN281" s="98"/>
      <c r="AO281" s="98"/>
      <c r="AP281" s="98"/>
      <c r="AQ281" s="98"/>
      <c r="AR281" s="98"/>
      <c r="AS281" s="98"/>
      <c r="AT281" s="98"/>
      <c r="AU281" s="98"/>
      <c r="AV281" s="98"/>
      <c r="AW281" s="98"/>
      <c r="AX281" s="98"/>
      <c r="AY281" s="98"/>
      <c r="AZ281" s="98"/>
      <c r="BA281" s="98"/>
      <c r="BB281" s="98"/>
      <c r="BC281" s="98"/>
      <c r="BD281" s="98"/>
      <c r="BE281" s="98"/>
      <c r="BF281" s="98"/>
      <c r="BG281" s="98"/>
      <c r="BH281" s="98"/>
      <c r="BI281" s="98"/>
      <c r="BJ281" s="98"/>
      <c r="BK281" s="98"/>
      <c r="BL281" s="98"/>
      <c r="BM281" s="98"/>
      <c r="BN281" s="98"/>
      <c r="BO281" s="98"/>
      <c r="BP281" s="98"/>
      <c r="BQ281" s="98"/>
      <c r="BR281" s="98"/>
      <c r="BS281" s="98"/>
      <c r="BT281" s="98"/>
      <c r="BU281" s="98"/>
      <c r="BV281" s="98"/>
      <c r="BW281" s="98"/>
      <c r="BX281" s="98"/>
      <c r="BY281" s="98"/>
      <c r="BZ281" s="98"/>
      <c r="CA281" s="98"/>
      <c r="CB281" s="98"/>
      <c r="CC281" s="98"/>
      <c r="CD281" s="98"/>
      <c r="CE281" s="98"/>
      <c r="CF281" s="98"/>
      <c r="CG281" s="98"/>
      <c r="CH281" s="98"/>
      <c r="CI281" s="98"/>
      <c r="CJ281" s="98"/>
      <c r="CK281" s="98"/>
      <c r="CL281" s="98"/>
      <c r="CM281" s="98"/>
      <c r="CN281" s="98"/>
      <c r="CO281" s="98"/>
      <c r="CP281" s="98"/>
      <c r="CQ281" s="98"/>
      <c r="CR281" s="98"/>
      <c r="CS281" s="96"/>
      <c r="CT281" s="96"/>
      <c r="CU281" s="96"/>
      <c r="CV281" s="96"/>
      <c r="CW281" s="96"/>
      <c r="CX281" s="96"/>
      <c r="CY281" s="96"/>
      <c r="CZ281" s="96"/>
      <c r="DA281" s="96"/>
      <c r="DB281" s="96"/>
      <c r="DC281" s="96"/>
      <c r="DD281" s="96"/>
      <c r="DE281" s="96"/>
      <c r="DF281" s="96"/>
      <c r="DG281" s="96"/>
      <c r="DH281" s="96"/>
      <c r="DI281" s="96"/>
      <c r="DJ281" s="96"/>
      <c r="DK281" s="96"/>
      <c r="DL281" s="96"/>
      <c r="DM281" s="96"/>
      <c r="DN281" s="96"/>
      <c r="DO281" s="96"/>
      <c r="DP281" s="96"/>
      <c r="DQ281" s="96"/>
      <c r="DR281" s="96"/>
      <c r="DS281" s="96"/>
      <c r="DT281" s="96"/>
      <c r="DU281" s="96"/>
      <c r="DV281" s="96"/>
      <c r="DW281" s="96"/>
      <c r="DX281" s="96"/>
      <c r="DY281" s="96"/>
      <c r="DZ281" s="96"/>
      <c r="EA281" s="96"/>
      <c r="EB281" s="96"/>
      <c r="EC281" s="96"/>
      <c r="ED281" s="96"/>
      <c r="EE281" s="96"/>
      <c r="EF281" s="96"/>
      <c r="EG281" s="96"/>
      <c r="EH281" s="96"/>
      <c r="EI281" s="96"/>
      <c r="EJ281" s="96"/>
      <c r="EK281" s="96"/>
      <c r="EL281" s="96"/>
      <c r="EM281" s="96"/>
    </row>
    <row r="282" spans="1:143" s="101" customFormat="1" ht="15.75" x14ac:dyDescent="0.25">
      <c r="A282" s="99" t="s">
        <v>232</v>
      </c>
      <c r="B282" s="131" t="s">
        <v>234</v>
      </c>
      <c r="C282" s="131"/>
      <c r="D282" s="131"/>
      <c r="E282" s="131"/>
      <c r="F282" s="131"/>
      <c r="G282" s="131"/>
      <c r="H282" s="131"/>
      <c r="I282" s="131"/>
      <c r="J282" s="131"/>
      <c r="K282" s="131"/>
      <c r="L282" s="131"/>
      <c r="M282" s="131"/>
      <c r="N282" s="131"/>
      <c r="O282" s="131"/>
      <c r="P282" s="131"/>
      <c r="Q282" s="100"/>
      <c r="R282" s="100"/>
      <c r="S282" s="100"/>
      <c r="T282" s="100"/>
      <c r="U282" s="100"/>
      <c r="V282" s="100"/>
      <c r="W282" s="100"/>
      <c r="DI282" s="102"/>
    </row>
    <row r="283" spans="1:143" s="91" customFormat="1" ht="15" x14ac:dyDescent="0.2">
      <c r="A283" s="103" t="s">
        <v>232</v>
      </c>
      <c r="B283" s="130" t="s">
        <v>235</v>
      </c>
      <c r="C283" s="130"/>
      <c r="D283" s="130"/>
      <c r="E283" s="130"/>
      <c r="F283" s="130"/>
      <c r="G283" s="130"/>
      <c r="H283" s="130"/>
      <c r="I283" s="130"/>
      <c r="J283" s="130"/>
      <c r="K283" s="130"/>
      <c r="L283" s="130"/>
      <c r="M283" s="130"/>
      <c r="N283" s="130"/>
      <c r="O283" s="130"/>
      <c r="P283" s="130"/>
      <c r="AN283" s="94"/>
      <c r="AO283" s="94"/>
      <c r="AP283" s="94"/>
      <c r="AQ283" s="94"/>
      <c r="AR283" s="94"/>
      <c r="AS283" s="94"/>
      <c r="AT283" s="94"/>
      <c r="AU283" s="94"/>
      <c r="AV283" s="94"/>
      <c r="AW283" s="94"/>
      <c r="AX283" s="94"/>
      <c r="AY283" s="94"/>
      <c r="AZ283" s="94"/>
      <c r="BA283" s="94"/>
      <c r="BB283" s="94"/>
      <c r="BC283" s="94"/>
      <c r="BD283" s="94"/>
      <c r="BE283" s="94"/>
      <c r="BF283" s="94"/>
      <c r="BG283" s="94"/>
      <c r="BH283" s="94"/>
      <c r="BI283" s="94"/>
      <c r="BJ283" s="94"/>
      <c r="BK283" s="94"/>
      <c r="BL283" s="94"/>
      <c r="BM283" s="94"/>
      <c r="BN283" s="94"/>
      <c r="BO283" s="94"/>
      <c r="BP283" s="94"/>
      <c r="BQ283" s="94"/>
      <c r="BR283" s="94"/>
      <c r="BS283" s="94"/>
      <c r="BT283" s="94"/>
      <c r="BU283" s="94"/>
      <c r="BV283" s="94"/>
      <c r="BW283" s="94"/>
      <c r="BX283" s="94"/>
      <c r="BY283" s="94"/>
      <c r="BZ283" s="94"/>
      <c r="CA283" s="94"/>
      <c r="CB283" s="94"/>
      <c r="CC283" s="94"/>
      <c r="CD283" s="94"/>
      <c r="CE283" s="94"/>
      <c r="CF283" s="94"/>
      <c r="CG283" s="94"/>
      <c r="CH283" s="94"/>
      <c r="CI283" s="94"/>
      <c r="CJ283" s="94"/>
      <c r="CK283" s="94"/>
      <c r="CL283" s="94"/>
      <c r="CM283" s="94"/>
      <c r="CN283" s="94"/>
      <c r="CO283" s="94"/>
      <c r="CP283" s="94"/>
      <c r="CQ283" s="94"/>
      <c r="CR283" s="94"/>
    </row>
    <row r="284" spans="1:143" s="91" customFormat="1" ht="15" x14ac:dyDescent="0.2">
      <c r="A284" s="104" t="s">
        <v>232</v>
      </c>
      <c r="B284" s="130" t="s">
        <v>236</v>
      </c>
      <c r="C284" s="130"/>
      <c r="D284" s="130"/>
      <c r="E284" s="130"/>
      <c r="F284" s="130"/>
      <c r="G284" s="130"/>
      <c r="H284" s="130"/>
      <c r="I284" s="130"/>
      <c r="J284" s="130"/>
      <c r="K284" s="130"/>
      <c r="L284" s="130"/>
      <c r="M284" s="130"/>
      <c r="N284" s="130"/>
      <c r="O284" s="130"/>
      <c r="P284" s="130"/>
      <c r="AN284" s="94"/>
      <c r="AO284" s="94"/>
      <c r="AP284" s="94"/>
      <c r="AQ284" s="94"/>
      <c r="AR284" s="94"/>
      <c r="AS284" s="94"/>
      <c r="AT284" s="94"/>
      <c r="AU284" s="94"/>
      <c r="AV284" s="94"/>
      <c r="AW284" s="94"/>
      <c r="AX284" s="94"/>
      <c r="AY284" s="94"/>
      <c r="AZ284" s="94"/>
      <c r="BA284" s="94"/>
      <c r="BB284" s="94"/>
      <c r="BC284" s="94"/>
      <c r="BD284" s="94"/>
      <c r="BE284" s="94"/>
      <c r="BF284" s="94"/>
      <c r="BG284" s="94"/>
      <c r="BH284" s="94"/>
      <c r="BI284" s="94"/>
      <c r="BJ284" s="94"/>
      <c r="BK284" s="94"/>
      <c r="BL284" s="94"/>
      <c r="BM284" s="94"/>
      <c r="BN284" s="94"/>
      <c r="BO284" s="94"/>
      <c r="BP284" s="94"/>
      <c r="BQ284" s="94"/>
      <c r="BR284" s="94"/>
      <c r="BS284" s="94"/>
      <c r="BT284" s="94"/>
      <c r="BU284" s="94"/>
      <c r="BV284" s="94"/>
      <c r="BW284" s="94"/>
      <c r="BX284" s="94"/>
      <c r="BY284" s="94"/>
      <c r="BZ284" s="94"/>
      <c r="CA284" s="94"/>
      <c r="CB284" s="94"/>
      <c r="CC284" s="94"/>
      <c r="CD284" s="94"/>
      <c r="CE284" s="94"/>
      <c r="CF284" s="94"/>
      <c r="CG284" s="94"/>
      <c r="CH284" s="94"/>
      <c r="CI284" s="94"/>
      <c r="CJ284" s="94"/>
      <c r="CK284" s="94"/>
      <c r="CL284" s="94"/>
      <c r="CM284" s="94"/>
      <c r="CN284" s="94"/>
      <c r="CO284" s="94"/>
      <c r="CP284" s="94"/>
      <c r="CQ284" s="94"/>
      <c r="CR284" s="94"/>
    </row>
    <row r="285" spans="1:143" s="91" customFormat="1" ht="15" x14ac:dyDescent="0.2">
      <c r="A285" s="103" t="s">
        <v>232</v>
      </c>
      <c r="B285" s="130" t="s">
        <v>237</v>
      </c>
      <c r="C285" s="130"/>
      <c r="D285" s="130"/>
      <c r="E285" s="130"/>
      <c r="F285" s="130"/>
      <c r="G285" s="130"/>
      <c r="H285" s="130"/>
      <c r="I285" s="130"/>
      <c r="J285" s="130"/>
      <c r="K285" s="130"/>
      <c r="L285" s="130"/>
      <c r="M285" s="130"/>
      <c r="N285" s="130"/>
      <c r="O285" s="130"/>
      <c r="P285" s="130"/>
      <c r="AN285" s="94"/>
      <c r="AO285" s="94"/>
      <c r="AP285" s="94"/>
      <c r="AQ285" s="94"/>
      <c r="AR285" s="94"/>
      <c r="AS285" s="94"/>
      <c r="AT285" s="94"/>
      <c r="AU285" s="94"/>
      <c r="AV285" s="94"/>
      <c r="AW285" s="94"/>
      <c r="AX285" s="94"/>
      <c r="AY285" s="94"/>
      <c r="AZ285" s="94"/>
      <c r="BA285" s="94"/>
      <c r="BB285" s="94"/>
      <c r="BC285" s="94"/>
      <c r="BD285" s="94"/>
      <c r="BE285" s="94"/>
      <c r="BF285" s="94"/>
      <c r="BG285" s="94"/>
      <c r="BH285" s="94"/>
      <c r="BI285" s="94"/>
      <c r="BJ285" s="94"/>
      <c r="BK285" s="94"/>
      <c r="BL285" s="94"/>
      <c r="BM285" s="94"/>
      <c r="BN285" s="94"/>
      <c r="BO285" s="94"/>
      <c r="BP285" s="94"/>
      <c r="BQ285" s="94"/>
      <c r="BR285" s="94"/>
      <c r="BS285" s="94"/>
      <c r="BT285" s="94"/>
      <c r="BU285" s="94"/>
      <c r="BV285" s="94"/>
      <c r="BW285" s="94"/>
      <c r="BX285" s="94"/>
      <c r="BY285" s="94"/>
      <c r="BZ285" s="94"/>
      <c r="CA285" s="94"/>
      <c r="CB285" s="94"/>
      <c r="CC285" s="94"/>
      <c r="CD285" s="94"/>
      <c r="CE285" s="94"/>
      <c r="CF285" s="94"/>
      <c r="CG285" s="94"/>
      <c r="CH285" s="94"/>
      <c r="CI285" s="94"/>
      <c r="CJ285" s="94"/>
      <c r="CK285" s="94"/>
      <c r="CL285" s="94"/>
      <c r="CM285" s="94"/>
      <c r="CN285" s="94"/>
      <c r="CO285" s="94"/>
      <c r="CP285" s="94"/>
      <c r="CQ285" s="94"/>
      <c r="CR285" s="94"/>
    </row>
    <row r="286" spans="1:143" ht="15.75" x14ac:dyDescent="0.2">
      <c r="A286" s="105" t="s">
        <v>232</v>
      </c>
      <c r="B286" s="128" t="s">
        <v>238</v>
      </c>
      <c r="C286" s="128"/>
      <c r="D286" s="128"/>
      <c r="E286" s="128"/>
      <c r="F286" s="128"/>
      <c r="G286" s="128"/>
      <c r="H286" s="128"/>
      <c r="I286" s="128"/>
      <c r="J286" s="128"/>
      <c r="K286" s="128"/>
      <c r="L286" s="128"/>
      <c r="M286" s="128"/>
      <c r="N286" s="128"/>
      <c r="O286" s="128"/>
      <c r="P286" s="128"/>
    </row>
    <row r="287" spans="1:143" ht="15.75" x14ac:dyDescent="0.2">
      <c r="B287" s="129" t="s">
        <v>239</v>
      </c>
      <c r="C287" s="129"/>
      <c r="D287" s="129"/>
      <c r="E287" s="129"/>
      <c r="F287" s="129"/>
      <c r="G287" s="129"/>
      <c r="H287" s="129"/>
      <c r="I287" s="129"/>
      <c r="J287" s="129"/>
      <c r="K287" s="129"/>
      <c r="L287" s="129"/>
      <c r="M287" s="129"/>
      <c r="N287" s="129"/>
      <c r="O287" s="129"/>
      <c r="P287" s="129"/>
      <c r="Q287" s="129"/>
      <c r="R287" s="129"/>
      <c r="S287" s="129"/>
      <c r="T287" s="129"/>
    </row>
    <row r="288" spans="1:143" x14ac:dyDescent="0.2">
      <c r="O288" s="1"/>
      <c r="P288" s="1"/>
    </row>
  </sheetData>
  <autoFilter ref="A7:N278" xr:uid="{00000000-0001-0000-0000-000000000000}"/>
  <mergeCells count="30">
    <mergeCell ref="B286:P286"/>
    <mergeCell ref="B287:T287"/>
    <mergeCell ref="B281:P281"/>
    <mergeCell ref="B282:P282"/>
    <mergeCell ref="B283:P283"/>
    <mergeCell ref="B284:P284"/>
    <mergeCell ref="B285:P285"/>
    <mergeCell ref="B278:M278"/>
    <mergeCell ref="B279:M279"/>
    <mergeCell ref="K6:K7"/>
    <mergeCell ref="L6:L7"/>
    <mergeCell ref="M6:M7"/>
    <mergeCell ref="A274:K274"/>
    <mergeCell ref="A275:K275"/>
    <mergeCell ref="A276:K276"/>
    <mergeCell ref="A277:K277"/>
    <mergeCell ref="A6:A7"/>
    <mergeCell ref="N6:N7"/>
    <mergeCell ref="B2:J2"/>
    <mergeCell ref="B3:J3"/>
    <mergeCell ref="B4:J4"/>
    <mergeCell ref="F6:F7"/>
    <mergeCell ref="G6:G7"/>
    <mergeCell ref="H6:H7"/>
    <mergeCell ref="I6:I7"/>
    <mergeCell ref="J6:J7"/>
    <mergeCell ref="B6:B7"/>
    <mergeCell ref="C6:C7"/>
    <mergeCell ref="D6:D7"/>
    <mergeCell ref="E6:E7"/>
  </mergeCells>
  <conditionalFormatting sqref="DA280:DH281 DA283:DH285">
    <cfRule type="cellIs" dxfId="11" priority="2" operator="lessThan">
      <formula>0</formula>
    </cfRule>
    <cfRule type="cellIs" dxfId="10" priority="3" operator="equal">
      <formula>0</formula>
    </cfRule>
  </conditionalFormatting>
  <conditionalFormatting sqref="DJ282:DY282">
    <cfRule type="cellIs" dxfId="9" priority="1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3"/>
  <sheetViews>
    <sheetView workbookViewId="0">
      <pane ySplit="3" topLeftCell="A4" activePane="bottomLeft" state="frozen"/>
      <selection pane="bottomLeft" activeCell="D4" sqref="D4:D30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32" t="s">
        <v>204</v>
      </c>
      <c r="B1" s="132"/>
      <c r="C1" s="132"/>
      <c r="D1" s="132"/>
      <c r="E1" s="132"/>
      <c r="F1" s="132"/>
    </row>
    <row r="3" spans="1:6" ht="11.1" customHeight="1" x14ac:dyDescent="0.2">
      <c r="A3" s="41" t="s">
        <v>4</v>
      </c>
      <c r="B3" s="2" t="s">
        <v>7</v>
      </c>
      <c r="C3" s="2" t="s">
        <v>12</v>
      </c>
      <c r="D3" s="48" t="s">
        <v>13</v>
      </c>
      <c r="E3" s="48" t="s">
        <v>14</v>
      </c>
      <c r="F3" s="42" t="s">
        <v>15</v>
      </c>
    </row>
    <row r="4" spans="1:6" ht="11.1" customHeight="1" x14ac:dyDescent="0.2">
      <c r="A4" s="39" t="s">
        <v>25</v>
      </c>
      <c r="B4" s="34" t="s">
        <v>26</v>
      </c>
      <c r="C4" s="35">
        <v>24</v>
      </c>
      <c r="D4" s="49"/>
      <c r="E4" s="49">
        <f>ROUND(Р[[#This Row],[Количество]]*Р[[#This Row],[Цена за ед., руб]],2)</f>
        <v>0</v>
      </c>
      <c r="F4" s="40"/>
    </row>
    <row r="5" spans="1:6" ht="11.1" customHeight="1" x14ac:dyDescent="0.2">
      <c r="A5" s="39" t="s">
        <v>27</v>
      </c>
      <c r="B5" s="34" t="s">
        <v>28</v>
      </c>
      <c r="C5" s="37">
        <v>9862</v>
      </c>
      <c r="D5" s="49"/>
      <c r="E5" s="49">
        <f>ROUND(Р[[#This Row],[Количество]]*Р[[#This Row],[Цена за ед., руб]],2)</f>
        <v>0</v>
      </c>
      <c r="F5" s="40"/>
    </row>
    <row r="6" spans="1:6" ht="11.1" customHeight="1" x14ac:dyDescent="0.2">
      <c r="A6" s="39" t="s">
        <v>54</v>
      </c>
      <c r="B6" s="34" t="s">
        <v>26</v>
      </c>
      <c r="C6" s="35">
        <v>24</v>
      </c>
      <c r="D6" s="49"/>
      <c r="E6" s="49">
        <f>ROUND(Р[[#This Row],[Количество]]*Р[[#This Row],[Цена за ед., руб]],2)</f>
        <v>0</v>
      </c>
      <c r="F6" s="40"/>
    </row>
    <row r="7" spans="1:6" ht="11.1" customHeight="1" x14ac:dyDescent="0.2">
      <c r="A7" s="39" t="s">
        <v>58</v>
      </c>
      <c r="B7" s="34" t="s">
        <v>26</v>
      </c>
      <c r="C7" s="35">
        <v>2</v>
      </c>
      <c r="D7" s="49"/>
      <c r="E7" s="49">
        <f>ROUND(Р[[#This Row],[Количество]]*Р[[#This Row],[Цена за ед., руб]],2)</f>
        <v>0</v>
      </c>
      <c r="F7" s="40"/>
    </row>
    <row r="8" spans="1:6" ht="11.1" customHeight="1" x14ac:dyDescent="0.2">
      <c r="A8" s="39" t="s">
        <v>62</v>
      </c>
      <c r="B8" s="34" t="s">
        <v>26</v>
      </c>
      <c r="C8" s="35">
        <v>22</v>
      </c>
      <c r="D8" s="49"/>
      <c r="E8" s="49">
        <f>ROUND(Р[[#This Row],[Количество]]*Р[[#This Row],[Цена за ед., руб]],2)</f>
        <v>0</v>
      </c>
      <c r="F8" s="40"/>
    </row>
    <row r="9" spans="1:6" ht="11.1" customHeight="1" x14ac:dyDescent="0.2">
      <c r="A9" s="39" t="s">
        <v>70</v>
      </c>
      <c r="B9" s="34" t="s">
        <v>26</v>
      </c>
      <c r="C9" s="35">
        <v>11</v>
      </c>
      <c r="D9" s="49"/>
      <c r="E9" s="49">
        <f>ROUND(Р[[#This Row],[Количество]]*Р[[#This Row],[Цена за ед., руб]],2)</f>
        <v>0</v>
      </c>
      <c r="F9" s="40"/>
    </row>
    <row r="10" spans="1:6" ht="11.1" customHeight="1" x14ac:dyDescent="0.2">
      <c r="A10" s="39" t="s">
        <v>77</v>
      </c>
      <c r="B10" s="34" t="s">
        <v>26</v>
      </c>
      <c r="C10" s="35">
        <v>114</v>
      </c>
      <c r="D10" s="49"/>
      <c r="E10" s="49">
        <f>ROUND(Р[[#This Row],[Количество]]*Р[[#This Row],[Цена за ед., руб]],2)</f>
        <v>0</v>
      </c>
      <c r="F10" s="40"/>
    </row>
    <row r="11" spans="1:6" ht="11.1" customHeight="1" x14ac:dyDescent="0.2">
      <c r="A11" s="39" t="s">
        <v>86</v>
      </c>
      <c r="B11" s="34" t="s">
        <v>26</v>
      </c>
      <c r="C11" s="35">
        <v>412</v>
      </c>
      <c r="D11" s="49"/>
      <c r="E11" s="49">
        <f>ROUND(Р[[#This Row],[Количество]]*Р[[#This Row],[Цена за ед., руб]],2)</f>
        <v>0</v>
      </c>
      <c r="F11" s="40"/>
    </row>
    <row r="12" spans="1:6" ht="11.1" customHeight="1" x14ac:dyDescent="0.2">
      <c r="A12" s="39" t="s">
        <v>90</v>
      </c>
      <c r="B12" s="34" t="s">
        <v>26</v>
      </c>
      <c r="C12" s="35">
        <v>399</v>
      </c>
      <c r="D12" s="49"/>
      <c r="E12" s="49">
        <f>ROUND(Р[[#This Row],[Количество]]*Р[[#This Row],[Цена за ед., руб]],2)</f>
        <v>0</v>
      </c>
      <c r="F12" s="40"/>
    </row>
    <row r="13" spans="1:6" ht="11.1" customHeight="1" x14ac:dyDescent="0.2">
      <c r="A13" s="39" t="s">
        <v>104</v>
      </c>
      <c r="B13" s="34" t="s">
        <v>26</v>
      </c>
      <c r="C13" s="35">
        <v>27</v>
      </c>
      <c r="D13" s="49"/>
      <c r="E13" s="49">
        <f>ROUND(Р[[#This Row],[Количество]]*Р[[#This Row],[Цена за ед., руб]],2)</f>
        <v>0</v>
      </c>
      <c r="F13" s="40"/>
    </row>
    <row r="14" spans="1:6" ht="11.1" customHeight="1" x14ac:dyDescent="0.2">
      <c r="A14" s="39" t="s">
        <v>112</v>
      </c>
      <c r="B14" s="34" t="s">
        <v>26</v>
      </c>
      <c r="C14" s="35">
        <v>1</v>
      </c>
      <c r="D14" s="49"/>
      <c r="E14" s="49">
        <f>ROUND(Р[[#This Row],[Количество]]*Р[[#This Row],[Цена за ед., руб]],2)</f>
        <v>0</v>
      </c>
      <c r="F14" s="40"/>
    </row>
    <row r="15" spans="1:6" ht="11.1" customHeight="1" x14ac:dyDescent="0.2">
      <c r="A15" s="39" t="s">
        <v>117</v>
      </c>
      <c r="B15" s="34" t="s">
        <v>26</v>
      </c>
      <c r="C15" s="35">
        <v>2</v>
      </c>
      <c r="D15" s="49"/>
      <c r="E15" s="49">
        <f>ROUND(Р[[#This Row],[Количество]]*Р[[#This Row],[Цена за ед., руб]],2)</f>
        <v>0</v>
      </c>
      <c r="F15" s="40"/>
    </row>
    <row r="16" spans="1:6" ht="11.1" customHeight="1" x14ac:dyDescent="0.2">
      <c r="A16" s="39" t="s">
        <v>120</v>
      </c>
      <c r="B16" s="34" t="s">
        <v>26</v>
      </c>
      <c r="C16" s="35">
        <v>433</v>
      </c>
      <c r="D16" s="49"/>
      <c r="E16" s="49">
        <f>ROUND(Р[[#This Row],[Количество]]*Р[[#This Row],[Цена за ед., руб]],2)</f>
        <v>0</v>
      </c>
      <c r="F16" s="40"/>
    </row>
    <row r="17" spans="1:6" ht="11.1" customHeight="1" x14ac:dyDescent="0.2">
      <c r="A17" s="39" t="s">
        <v>127</v>
      </c>
      <c r="B17" s="34" t="s">
        <v>28</v>
      </c>
      <c r="C17" s="37">
        <v>8528</v>
      </c>
      <c r="D17" s="49"/>
      <c r="E17" s="49">
        <f>ROUND(Р[[#This Row],[Количество]]*Р[[#This Row],[Цена за ед., руб]],2)</f>
        <v>0</v>
      </c>
      <c r="F17" s="40"/>
    </row>
    <row r="18" spans="1:6" ht="11.1" customHeight="1" x14ac:dyDescent="0.2">
      <c r="A18" s="39" t="s">
        <v>131</v>
      </c>
      <c r="B18" s="34" t="s">
        <v>26</v>
      </c>
      <c r="C18" s="35">
        <v>17</v>
      </c>
      <c r="D18" s="49"/>
      <c r="E18" s="49">
        <f>ROUND(Р[[#This Row],[Количество]]*Р[[#This Row],[Цена за ед., руб]],2)</f>
        <v>0</v>
      </c>
      <c r="F18" s="40"/>
    </row>
    <row r="19" spans="1:6" ht="11.1" customHeight="1" x14ac:dyDescent="0.2">
      <c r="A19" s="39" t="s">
        <v>134</v>
      </c>
      <c r="B19" s="34" t="s">
        <v>34</v>
      </c>
      <c r="C19" s="37">
        <v>1604</v>
      </c>
      <c r="D19" s="49"/>
      <c r="E19" s="49">
        <f>ROUND(Р[[#This Row],[Количество]]*Р[[#This Row],[Цена за ед., руб]],2)</f>
        <v>0</v>
      </c>
      <c r="F19" s="40"/>
    </row>
    <row r="20" spans="1:6" ht="11.1" customHeight="1" x14ac:dyDescent="0.2">
      <c r="A20" s="39" t="s">
        <v>142</v>
      </c>
      <c r="B20" s="34" t="s">
        <v>28</v>
      </c>
      <c r="C20" s="35">
        <v>4</v>
      </c>
      <c r="D20" s="49"/>
      <c r="E20" s="49">
        <f>ROUND(Р[[#This Row],[Количество]]*Р[[#This Row],[Цена за ед., руб]],2)</f>
        <v>0</v>
      </c>
      <c r="F20" s="40"/>
    </row>
    <row r="21" spans="1:6" ht="11.1" customHeight="1" x14ac:dyDescent="0.2">
      <c r="A21" s="39" t="s">
        <v>145</v>
      </c>
      <c r="B21" s="34" t="s">
        <v>34</v>
      </c>
      <c r="C21" s="38">
        <v>60.5</v>
      </c>
      <c r="D21" s="49"/>
      <c r="E21" s="49">
        <f>ROUND(Р[[#This Row],[Количество]]*Р[[#This Row],[Цена за ед., руб]],2)</f>
        <v>0</v>
      </c>
      <c r="F21" s="40"/>
    </row>
    <row r="22" spans="1:6" ht="11.1" customHeight="1" x14ac:dyDescent="0.2">
      <c r="A22" s="39" t="s">
        <v>150</v>
      </c>
      <c r="B22" s="34" t="s">
        <v>28</v>
      </c>
      <c r="C22" s="35">
        <v>131</v>
      </c>
      <c r="D22" s="49"/>
      <c r="E22" s="49">
        <f>ROUND(Р[[#This Row],[Количество]]*Р[[#This Row],[Цена за ед., руб]],2)</f>
        <v>0</v>
      </c>
      <c r="F22" s="40"/>
    </row>
    <row r="23" spans="1:6" ht="11.1" customHeight="1" x14ac:dyDescent="0.2">
      <c r="A23" s="39" t="s">
        <v>162</v>
      </c>
      <c r="B23" s="34" t="s">
        <v>163</v>
      </c>
      <c r="C23" s="35">
        <v>2</v>
      </c>
      <c r="D23" s="49"/>
      <c r="E23" s="49">
        <f>ROUND(Р[[#This Row],[Количество]]*Р[[#This Row],[Цена за ед., руб]],2)</f>
        <v>0</v>
      </c>
      <c r="F23" s="40"/>
    </row>
    <row r="24" spans="1:6" ht="23.1" customHeight="1" x14ac:dyDescent="0.2">
      <c r="A24" s="39" t="s">
        <v>167</v>
      </c>
      <c r="B24" s="34" t="s">
        <v>163</v>
      </c>
      <c r="C24" s="35">
        <v>3</v>
      </c>
      <c r="D24" s="49"/>
      <c r="E24" s="49">
        <f>ROUND(Р[[#This Row],[Количество]]*Р[[#This Row],[Цена за ед., руб]],2)</f>
        <v>0</v>
      </c>
      <c r="F24" s="40"/>
    </row>
    <row r="25" spans="1:6" ht="11.1" customHeight="1" x14ac:dyDescent="0.2">
      <c r="A25" s="39" t="s">
        <v>172</v>
      </c>
      <c r="B25" s="34" t="s">
        <v>26</v>
      </c>
      <c r="C25" s="35">
        <v>235</v>
      </c>
      <c r="D25" s="49"/>
      <c r="E25" s="49">
        <f>ROUND(Р[[#This Row],[Количество]]*Р[[#This Row],[Цена за ед., руб]],2)</f>
        <v>0</v>
      </c>
      <c r="F25" s="40"/>
    </row>
    <row r="26" spans="1:6" ht="11.1" customHeight="1" x14ac:dyDescent="0.2">
      <c r="A26" s="39" t="s">
        <v>173</v>
      </c>
      <c r="B26" s="34" t="s">
        <v>174</v>
      </c>
      <c r="C26" s="35">
        <v>18</v>
      </c>
      <c r="D26" s="49"/>
      <c r="E26" s="49">
        <f>ROUND(Р[[#This Row],[Количество]]*Р[[#This Row],[Цена за ед., руб]],2)</f>
        <v>0</v>
      </c>
      <c r="F26" s="40"/>
    </row>
    <row r="27" spans="1:6" ht="11.1" customHeight="1" x14ac:dyDescent="0.2">
      <c r="A27" s="39" t="s">
        <v>178</v>
      </c>
      <c r="B27" s="34" t="s">
        <v>26</v>
      </c>
      <c r="C27" s="35">
        <v>180</v>
      </c>
      <c r="D27" s="49"/>
      <c r="E27" s="49">
        <f>ROUND(Р[[#This Row],[Количество]]*Р[[#This Row],[Цена за ед., руб]],2)</f>
        <v>0</v>
      </c>
      <c r="F27" s="40"/>
    </row>
    <row r="28" spans="1:6" ht="11.1" customHeight="1" x14ac:dyDescent="0.2">
      <c r="A28" s="39" t="s">
        <v>185</v>
      </c>
      <c r="B28" s="34" t="s">
        <v>28</v>
      </c>
      <c r="C28" s="35">
        <v>246</v>
      </c>
      <c r="D28" s="49"/>
      <c r="E28" s="49">
        <f>ROUND(Р[[#This Row],[Количество]]*Р[[#This Row],[Цена за ед., руб]],2)</f>
        <v>0</v>
      </c>
      <c r="F28" s="40"/>
    </row>
    <row r="29" spans="1:6" ht="11.1" customHeight="1" x14ac:dyDescent="0.2">
      <c r="A29" s="39" t="s">
        <v>186</v>
      </c>
      <c r="B29" s="34" t="s">
        <v>26</v>
      </c>
      <c r="C29" s="35">
        <v>300</v>
      </c>
      <c r="D29" s="49"/>
      <c r="E29" s="49">
        <f>ROUND(Р[[#This Row],[Количество]]*Р[[#This Row],[Цена за ед., руб]],2)</f>
        <v>0</v>
      </c>
      <c r="F29" s="40"/>
    </row>
    <row r="30" spans="1:6" ht="11.1" customHeight="1" x14ac:dyDescent="0.2">
      <c r="A30" s="74" t="s">
        <v>228</v>
      </c>
      <c r="B30" s="44" t="s">
        <v>163</v>
      </c>
      <c r="C30" s="45">
        <v>2</v>
      </c>
      <c r="D30" s="49"/>
      <c r="E30" s="50">
        <f>ROUND(Р[[#This Row],[Количество]]*Р[[#This Row],[Цена за ед., руб]],2)</f>
        <v>0</v>
      </c>
      <c r="F30" s="47"/>
    </row>
    <row r="31" spans="1:6" ht="11.45" customHeight="1" x14ac:dyDescent="0.2">
      <c r="A31" s="43" t="s">
        <v>219</v>
      </c>
      <c r="B31" s="44"/>
      <c r="C31" s="46"/>
      <c r="D31" s="50"/>
      <c r="E31" s="50">
        <f>SUBTOTAL(109,Р[Сумма, руб])</f>
        <v>0</v>
      </c>
      <c r="F31" s="47"/>
    </row>
    <row r="33" spans="4:5" ht="11.45" customHeight="1" x14ac:dyDescent="0.2">
      <c r="D33" s="86" t="s">
        <v>229</v>
      </c>
      <c r="E33" s="70">
        <f>ЛСР!L275-Р[[#Totals],[Сумма,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96"/>
  <sheetViews>
    <sheetView workbookViewId="0">
      <pane ySplit="3" topLeftCell="A76" activePane="bottomLeft" state="frozen"/>
      <selection pane="bottomLeft" activeCell="H89" sqref="H89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32" t="s">
        <v>205</v>
      </c>
      <c r="B1" s="132"/>
      <c r="C1" s="132"/>
      <c r="D1" s="132"/>
      <c r="E1" s="132"/>
      <c r="F1" s="132"/>
      <c r="G1" s="132"/>
      <c r="H1" s="132"/>
    </row>
    <row r="2" spans="1:9" ht="11.1" customHeight="1" x14ac:dyDescent="0.2"/>
    <row r="3" spans="1:9" ht="23.1" customHeight="1" x14ac:dyDescent="0.2">
      <c r="A3" s="41" t="s">
        <v>206</v>
      </c>
      <c r="B3" s="51" t="s">
        <v>207</v>
      </c>
      <c r="C3" s="42" t="s">
        <v>208</v>
      </c>
      <c r="D3" s="2" t="s">
        <v>7</v>
      </c>
      <c r="E3" s="2" t="s">
        <v>12</v>
      </c>
      <c r="F3" s="48" t="s">
        <v>13</v>
      </c>
      <c r="G3" s="48" t="s">
        <v>14</v>
      </c>
      <c r="H3" s="2" t="s">
        <v>209</v>
      </c>
      <c r="I3" s="42" t="s">
        <v>210</v>
      </c>
    </row>
    <row r="4" spans="1:9" ht="11.1" customHeight="1" x14ac:dyDescent="0.2">
      <c r="A4" s="39" t="s">
        <v>175</v>
      </c>
      <c r="B4" s="36"/>
      <c r="C4" s="36" t="s">
        <v>176</v>
      </c>
      <c r="D4" s="34" t="s">
        <v>174</v>
      </c>
      <c r="E4" s="35">
        <v>18</v>
      </c>
      <c r="F4" s="49"/>
      <c r="G4" s="71">
        <f>ROUND(М[[#This Row],[Количество]]*М[[#This Row],[Цена за ед., руб]],2)</f>
        <v>0</v>
      </c>
      <c r="H4" s="36" t="s">
        <v>177</v>
      </c>
      <c r="I4" s="40"/>
    </row>
    <row r="5" spans="1:9" ht="11.1" customHeight="1" x14ac:dyDescent="0.2">
      <c r="A5" s="39" t="s">
        <v>146</v>
      </c>
      <c r="B5" s="36"/>
      <c r="C5" s="36" t="s">
        <v>147</v>
      </c>
      <c r="D5" s="34" t="s">
        <v>28</v>
      </c>
      <c r="E5" s="35">
        <v>30</v>
      </c>
      <c r="F5" s="49"/>
      <c r="G5" s="71">
        <f>ROUND(М[[#This Row],[Количество]]*М[[#This Row],[Цена за ед., руб]],2)</f>
        <v>0</v>
      </c>
      <c r="H5" s="36"/>
      <c r="I5" s="40"/>
    </row>
    <row r="6" spans="1:9" ht="11.1" customHeight="1" x14ac:dyDescent="0.2">
      <c r="A6" s="39" t="s">
        <v>146</v>
      </c>
      <c r="B6" s="36"/>
      <c r="C6" s="36" t="s">
        <v>151</v>
      </c>
      <c r="D6" s="34" t="s">
        <v>28</v>
      </c>
      <c r="E6" s="35">
        <v>23</v>
      </c>
      <c r="F6" s="49"/>
      <c r="G6" s="71">
        <f>ROUND(М[[#This Row],[Количество]]*М[[#This Row],[Цена за ед., руб]],2)</f>
        <v>0</v>
      </c>
      <c r="H6" s="36"/>
      <c r="I6" s="40"/>
    </row>
    <row r="7" spans="1:9" ht="11.1" customHeight="1" x14ac:dyDescent="0.2">
      <c r="A7" s="39" t="s">
        <v>146</v>
      </c>
      <c r="B7" s="36"/>
      <c r="C7" s="36" t="s">
        <v>148</v>
      </c>
      <c r="D7" s="34" t="s">
        <v>28</v>
      </c>
      <c r="E7" s="35">
        <v>30</v>
      </c>
      <c r="F7" s="49"/>
      <c r="G7" s="71">
        <f>ROUND(М[[#This Row],[Количество]]*М[[#This Row],[Цена за ед., руб]],2)</f>
        <v>0</v>
      </c>
      <c r="H7" s="36"/>
      <c r="I7" s="40"/>
    </row>
    <row r="8" spans="1:9" ht="11.1" customHeight="1" x14ac:dyDescent="0.2">
      <c r="A8" s="39" t="s">
        <v>146</v>
      </c>
      <c r="B8" s="36"/>
      <c r="C8" s="36" t="s">
        <v>152</v>
      </c>
      <c r="D8" s="34" t="s">
        <v>28</v>
      </c>
      <c r="E8" s="35">
        <v>1</v>
      </c>
      <c r="F8" s="49"/>
      <c r="G8" s="71">
        <f>ROUND(М[[#This Row],[Количество]]*М[[#This Row],[Цена за ед., руб]],2)</f>
        <v>0</v>
      </c>
      <c r="H8" s="36"/>
      <c r="I8" s="40"/>
    </row>
    <row r="9" spans="1:9" ht="11.1" customHeight="1" x14ac:dyDescent="0.2">
      <c r="A9" s="39" t="s">
        <v>146</v>
      </c>
      <c r="B9" s="36"/>
      <c r="C9" s="36" t="s">
        <v>153</v>
      </c>
      <c r="D9" s="34" t="s">
        <v>28</v>
      </c>
      <c r="E9" s="35">
        <v>45</v>
      </c>
      <c r="F9" s="49"/>
      <c r="G9" s="71">
        <f>ROUND(М[[#This Row],[Количество]]*М[[#This Row],[Цена за ед., руб]],2)</f>
        <v>0</v>
      </c>
      <c r="H9" s="36"/>
      <c r="I9" s="40"/>
    </row>
    <row r="10" spans="1:9" ht="11.1" customHeight="1" x14ac:dyDescent="0.2">
      <c r="A10" s="39" t="s">
        <v>146</v>
      </c>
      <c r="B10" s="36"/>
      <c r="C10" s="36" t="s">
        <v>149</v>
      </c>
      <c r="D10" s="34" t="s">
        <v>28</v>
      </c>
      <c r="E10" s="38">
        <v>0.5</v>
      </c>
      <c r="F10" s="49"/>
      <c r="G10" s="71">
        <f>ROUND(М[[#This Row],[Количество]]*М[[#This Row],[Цена за ед., руб]],2)</f>
        <v>0</v>
      </c>
      <c r="H10" s="36"/>
      <c r="I10" s="40"/>
    </row>
    <row r="11" spans="1:9" ht="11.1" customHeight="1" x14ac:dyDescent="0.2">
      <c r="A11" s="39" t="s">
        <v>146</v>
      </c>
      <c r="B11" s="36"/>
      <c r="C11" s="36" t="s">
        <v>154</v>
      </c>
      <c r="D11" s="34" t="s">
        <v>28</v>
      </c>
      <c r="E11" s="35">
        <v>34</v>
      </c>
      <c r="F11" s="49"/>
      <c r="G11" s="71">
        <f>ROUND(М[[#This Row],[Количество]]*М[[#This Row],[Цена за ед., руб]],2)</f>
        <v>0</v>
      </c>
      <c r="H11" s="36"/>
      <c r="I11" s="40"/>
    </row>
    <row r="12" spans="1:9" ht="11.1" customHeight="1" x14ac:dyDescent="0.2">
      <c r="A12" s="39" t="s">
        <v>181</v>
      </c>
      <c r="B12" s="36"/>
      <c r="C12" s="36"/>
      <c r="D12" s="34" t="s">
        <v>163</v>
      </c>
      <c r="E12" s="35">
        <v>432</v>
      </c>
      <c r="F12" s="49"/>
      <c r="G12" s="71">
        <f>ROUND(М[[#This Row],[Количество]]*М[[#This Row],[Цена за ед., руб]],2)</f>
        <v>0</v>
      </c>
      <c r="H12" s="36" t="s">
        <v>182</v>
      </c>
      <c r="I12" s="40"/>
    </row>
    <row r="13" spans="1:9" ht="11.1" customHeight="1" x14ac:dyDescent="0.2">
      <c r="A13" s="39" t="s">
        <v>121</v>
      </c>
      <c r="B13" s="36"/>
      <c r="C13" s="36" t="s">
        <v>122</v>
      </c>
      <c r="D13" s="34" t="s">
        <v>26</v>
      </c>
      <c r="E13" s="35">
        <v>1</v>
      </c>
      <c r="F13" s="49"/>
      <c r="G13" s="71">
        <f>ROUND(М[[#This Row],[Количество]]*М[[#This Row],[Цена за ед., руб]],2)</f>
        <v>0</v>
      </c>
      <c r="H13" s="36"/>
      <c r="I13" s="40"/>
    </row>
    <row r="14" spans="1:9" ht="11.1" customHeight="1" x14ac:dyDescent="0.2">
      <c r="A14" s="39" t="s">
        <v>121</v>
      </c>
      <c r="B14" s="36"/>
      <c r="C14" s="36" t="s">
        <v>183</v>
      </c>
      <c r="D14" s="34" t="s">
        <v>26</v>
      </c>
      <c r="E14" s="35">
        <v>432</v>
      </c>
      <c r="F14" s="49"/>
      <c r="G14" s="71">
        <f>ROUND(М[[#This Row],[Количество]]*М[[#This Row],[Цена за ед., руб]],2)</f>
        <v>0</v>
      </c>
      <c r="H14" s="36"/>
      <c r="I14" s="40"/>
    </row>
    <row r="15" spans="1:9" ht="11.1" customHeight="1" x14ac:dyDescent="0.2">
      <c r="A15" s="39" t="s">
        <v>118</v>
      </c>
      <c r="B15" s="36"/>
      <c r="C15" s="36" t="s">
        <v>119</v>
      </c>
      <c r="D15" s="34" t="s">
        <v>26</v>
      </c>
      <c r="E15" s="35">
        <v>2</v>
      </c>
      <c r="F15" s="49"/>
      <c r="G15" s="71">
        <f>ROUND(М[[#This Row],[Количество]]*М[[#This Row],[Цена за ед., руб]],2)</f>
        <v>0</v>
      </c>
      <c r="H15" s="36"/>
      <c r="I15" s="40"/>
    </row>
    <row r="16" spans="1:9" ht="11.1" customHeight="1" x14ac:dyDescent="0.2">
      <c r="A16" s="39" t="s">
        <v>91</v>
      </c>
      <c r="B16" s="36"/>
      <c r="C16" s="36" t="s">
        <v>92</v>
      </c>
      <c r="D16" s="34" t="s">
        <v>26</v>
      </c>
      <c r="E16" s="35">
        <v>206</v>
      </c>
      <c r="F16" s="49"/>
      <c r="G16" s="71">
        <f>ROUND(М[[#This Row],[Количество]]*М[[#This Row],[Цена за ед., руб]],2)</f>
        <v>0</v>
      </c>
      <c r="H16" s="36"/>
      <c r="I16" s="40"/>
    </row>
    <row r="17" spans="1:9" ht="47.1" customHeight="1" x14ac:dyDescent="0.2">
      <c r="A17" s="39" t="s">
        <v>123</v>
      </c>
      <c r="B17" s="36" t="s">
        <v>124</v>
      </c>
      <c r="C17" s="36" t="s">
        <v>125</v>
      </c>
      <c r="D17" s="34" t="s">
        <v>26</v>
      </c>
      <c r="E17" s="35">
        <v>1</v>
      </c>
      <c r="F17" s="49"/>
      <c r="G17" s="71">
        <f>ROUND(М[[#This Row],[Количество]]*М[[#This Row],[Цена за ед., руб]],2)</f>
        <v>0</v>
      </c>
      <c r="H17" s="36" t="s">
        <v>126</v>
      </c>
      <c r="I17" s="40"/>
    </row>
    <row r="18" spans="1:9" ht="23.1" customHeight="1" x14ac:dyDescent="0.2">
      <c r="A18" s="39" t="s">
        <v>123</v>
      </c>
      <c r="B18" s="36" t="s">
        <v>124</v>
      </c>
      <c r="C18" s="36" t="s">
        <v>184</v>
      </c>
      <c r="D18" s="34" t="s">
        <v>26</v>
      </c>
      <c r="E18" s="35">
        <v>432</v>
      </c>
      <c r="F18" s="49"/>
      <c r="G18" s="71">
        <f>ROUND(М[[#This Row],[Количество]]*М[[#This Row],[Цена за ед., руб]],2)</f>
        <v>0</v>
      </c>
      <c r="H18" s="36"/>
      <c r="I18" s="40"/>
    </row>
    <row r="19" spans="1:9" ht="23.1" customHeight="1" x14ac:dyDescent="0.2">
      <c r="A19" s="39" t="s">
        <v>59</v>
      </c>
      <c r="B19" s="36" t="s">
        <v>60</v>
      </c>
      <c r="C19" s="36" t="s">
        <v>61</v>
      </c>
      <c r="D19" s="34" t="s">
        <v>26</v>
      </c>
      <c r="E19" s="35">
        <v>2</v>
      </c>
      <c r="F19" s="49"/>
      <c r="G19" s="71">
        <f>ROUND(М[[#This Row],[Количество]]*М[[#This Row],[Цена за ед., руб]],2)</f>
        <v>0</v>
      </c>
      <c r="H19" s="36"/>
      <c r="I19" s="40"/>
    </row>
    <row r="20" spans="1:9" ht="23.1" customHeight="1" x14ac:dyDescent="0.2">
      <c r="A20" s="39" t="s">
        <v>135</v>
      </c>
      <c r="B20" s="36"/>
      <c r="C20" s="36" t="s">
        <v>136</v>
      </c>
      <c r="D20" s="34" t="s">
        <v>34</v>
      </c>
      <c r="E20" s="35">
        <v>231</v>
      </c>
      <c r="F20" s="49"/>
      <c r="G20" s="71">
        <f>ROUND(М[[#This Row],[Количество]]*М[[#This Row],[Цена за ед., руб]],2)</f>
        <v>0</v>
      </c>
      <c r="H20" s="36"/>
      <c r="I20" s="40"/>
    </row>
    <row r="21" spans="1:9" ht="23.1" customHeight="1" x14ac:dyDescent="0.2">
      <c r="A21" s="39" t="s">
        <v>135</v>
      </c>
      <c r="B21" s="36"/>
      <c r="C21" s="36" t="s">
        <v>137</v>
      </c>
      <c r="D21" s="34" t="s">
        <v>34</v>
      </c>
      <c r="E21" s="35">
        <v>450</v>
      </c>
      <c r="F21" s="49"/>
      <c r="G21" s="71">
        <f>ROUND(М[[#This Row],[Количество]]*М[[#This Row],[Цена за ед., руб]],2)</f>
        <v>0</v>
      </c>
      <c r="H21" s="36"/>
      <c r="I21" s="40"/>
    </row>
    <row r="22" spans="1:9" ht="23.1" customHeight="1" x14ac:dyDescent="0.2">
      <c r="A22" s="39" t="s">
        <v>135</v>
      </c>
      <c r="B22" s="36"/>
      <c r="C22" s="36" t="s">
        <v>138</v>
      </c>
      <c r="D22" s="34" t="s">
        <v>34</v>
      </c>
      <c r="E22" s="35">
        <v>265</v>
      </c>
      <c r="F22" s="49"/>
      <c r="G22" s="71">
        <f>ROUND(М[[#This Row],[Количество]]*М[[#This Row],[Цена за ед., руб]],2)</f>
        <v>0</v>
      </c>
      <c r="H22" s="36"/>
      <c r="I22" s="40"/>
    </row>
    <row r="23" spans="1:9" ht="23.1" customHeight="1" x14ac:dyDescent="0.2">
      <c r="A23" s="39" t="s">
        <v>135</v>
      </c>
      <c r="B23" s="36"/>
      <c r="C23" s="36" t="s">
        <v>139</v>
      </c>
      <c r="D23" s="34" t="s">
        <v>34</v>
      </c>
      <c r="E23" s="35">
        <v>249</v>
      </c>
      <c r="F23" s="49"/>
      <c r="G23" s="71">
        <f>ROUND(М[[#This Row],[Количество]]*М[[#This Row],[Цена за ед., руб]],2)</f>
        <v>0</v>
      </c>
      <c r="H23" s="36"/>
      <c r="I23" s="40"/>
    </row>
    <row r="24" spans="1:9" ht="23.1" customHeight="1" x14ac:dyDescent="0.2">
      <c r="A24" s="39" t="s">
        <v>135</v>
      </c>
      <c r="B24" s="36"/>
      <c r="C24" s="36" t="s">
        <v>140</v>
      </c>
      <c r="D24" s="34" t="s">
        <v>34</v>
      </c>
      <c r="E24" s="35">
        <v>350</v>
      </c>
      <c r="F24" s="49"/>
      <c r="G24" s="71">
        <f>ROUND(М[[#This Row],[Количество]]*М[[#This Row],[Цена за ед., руб]],2)</f>
        <v>0</v>
      </c>
      <c r="H24" s="36"/>
      <c r="I24" s="40"/>
    </row>
    <row r="25" spans="1:9" ht="23.1" customHeight="1" x14ac:dyDescent="0.2">
      <c r="A25" s="39" t="s">
        <v>135</v>
      </c>
      <c r="B25" s="36"/>
      <c r="C25" s="36" t="s">
        <v>141</v>
      </c>
      <c r="D25" s="34" t="s">
        <v>34</v>
      </c>
      <c r="E25" s="35">
        <v>83</v>
      </c>
      <c r="F25" s="49"/>
      <c r="G25" s="71">
        <f>ROUND(М[[#This Row],[Количество]]*М[[#This Row],[Цена за ед., руб]],2)</f>
        <v>0</v>
      </c>
      <c r="H25" s="36"/>
      <c r="I25" s="40"/>
    </row>
    <row r="26" spans="1:9" ht="11.1" customHeight="1" x14ac:dyDescent="0.2">
      <c r="A26" s="39" t="s">
        <v>155</v>
      </c>
      <c r="B26" s="36"/>
      <c r="C26" s="36" t="s">
        <v>156</v>
      </c>
      <c r="D26" s="34" t="s">
        <v>34</v>
      </c>
      <c r="E26" s="35">
        <v>8</v>
      </c>
      <c r="F26" s="49"/>
      <c r="G26" s="71">
        <f>ROUND(М[[#This Row],[Количество]]*М[[#This Row],[Цена за ед., руб]],2)</f>
        <v>0</v>
      </c>
      <c r="H26" s="36"/>
      <c r="I26" s="40"/>
    </row>
    <row r="27" spans="1:9" ht="11.1" customHeight="1" x14ac:dyDescent="0.2">
      <c r="A27" s="39" t="s">
        <v>155</v>
      </c>
      <c r="B27" s="36"/>
      <c r="C27" s="36" t="s">
        <v>157</v>
      </c>
      <c r="D27" s="34" t="s">
        <v>34</v>
      </c>
      <c r="E27" s="35">
        <v>8</v>
      </c>
      <c r="F27" s="49"/>
      <c r="G27" s="71">
        <f>ROUND(М[[#This Row],[Количество]]*М[[#This Row],[Цена за ед., руб]],2)</f>
        <v>0</v>
      </c>
      <c r="H27" s="36"/>
      <c r="I27" s="40"/>
    </row>
    <row r="28" spans="1:9" ht="11.1" customHeight="1" x14ac:dyDescent="0.2">
      <c r="A28" s="39" t="s">
        <v>155</v>
      </c>
      <c r="B28" s="36"/>
      <c r="C28" s="36" t="s">
        <v>187</v>
      </c>
      <c r="D28" s="34" t="s">
        <v>34</v>
      </c>
      <c r="E28" s="35">
        <v>12</v>
      </c>
      <c r="F28" s="49"/>
      <c r="G28" s="71">
        <f>ROUND(М[[#This Row],[Количество]]*М[[#This Row],[Цена за ед., руб]],2)</f>
        <v>0</v>
      </c>
      <c r="H28" s="36" t="s">
        <v>177</v>
      </c>
      <c r="I28" s="40"/>
    </row>
    <row r="29" spans="1:9" ht="11.1" customHeight="1" x14ac:dyDescent="0.2">
      <c r="A29" s="39" t="s">
        <v>87</v>
      </c>
      <c r="B29" s="36" t="s">
        <v>56</v>
      </c>
      <c r="C29" s="36" t="s">
        <v>93</v>
      </c>
      <c r="D29" s="34" t="s">
        <v>26</v>
      </c>
      <c r="E29" s="35">
        <v>25</v>
      </c>
      <c r="F29" s="49"/>
      <c r="G29" s="71">
        <f>ROUND(М[[#This Row],[Количество]]*М[[#This Row],[Цена за ед., руб]],2)</f>
        <v>0</v>
      </c>
      <c r="H29" s="36"/>
      <c r="I29" s="40"/>
    </row>
    <row r="30" spans="1:9" ht="11.1" customHeight="1" x14ac:dyDescent="0.2">
      <c r="A30" s="39" t="s">
        <v>87</v>
      </c>
      <c r="B30" s="36" t="s">
        <v>56</v>
      </c>
      <c r="C30" s="36" t="s">
        <v>94</v>
      </c>
      <c r="D30" s="34" t="s">
        <v>26</v>
      </c>
      <c r="E30" s="35">
        <v>12</v>
      </c>
      <c r="F30" s="49"/>
      <c r="G30" s="71">
        <f>ROUND(М[[#This Row],[Количество]]*М[[#This Row],[Цена за ед., руб]],2)</f>
        <v>0</v>
      </c>
      <c r="H30" s="36"/>
      <c r="I30" s="40"/>
    </row>
    <row r="31" spans="1:9" ht="11.1" customHeight="1" x14ac:dyDescent="0.2">
      <c r="A31" s="39" t="s">
        <v>87</v>
      </c>
      <c r="B31" s="36" t="s">
        <v>56</v>
      </c>
      <c r="C31" s="36" t="s">
        <v>95</v>
      </c>
      <c r="D31" s="34" t="s">
        <v>26</v>
      </c>
      <c r="E31" s="35">
        <v>8</v>
      </c>
      <c r="F31" s="49"/>
      <c r="G31" s="71">
        <f>ROUND(М[[#This Row],[Количество]]*М[[#This Row],[Цена за ед., руб]],2)</f>
        <v>0</v>
      </c>
      <c r="H31" s="36"/>
      <c r="I31" s="40"/>
    </row>
    <row r="32" spans="1:9" ht="11.1" customHeight="1" x14ac:dyDescent="0.2">
      <c r="A32" s="39" t="s">
        <v>87</v>
      </c>
      <c r="B32" s="36" t="s">
        <v>56</v>
      </c>
      <c r="C32" s="36" t="s">
        <v>96</v>
      </c>
      <c r="D32" s="34" t="s">
        <v>26</v>
      </c>
      <c r="E32" s="35">
        <v>2</v>
      </c>
      <c r="F32" s="49"/>
      <c r="G32" s="71">
        <f>ROUND(М[[#This Row],[Количество]]*М[[#This Row],[Цена за ед., руб]],2)</f>
        <v>0</v>
      </c>
      <c r="H32" s="36"/>
      <c r="I32" s="40"/>
    </row>
    <row r="33" spans="1:9" ht="23.1" customHeight="1" x14ac:dyDescent="0.2">
      <c r="A33" s="39" t="s">
        <v>87</v>
      </c>
      <c r="B33" s="36" t="s">
        <v>88</v>
      </c>
      <c r="C33" s="36" t="s">
        <v>89</v>
      </c>
      <c r="D33" s="34" t="s">
        <v>26</v>
      </c>
      <c r="E33" s="35">
        <v>412</v>
      </c>
      <c r="F33" s="49"/>
      <c r="G33" s="71">
        <f>ROUND(М[[#This Row],[Количество]]*М[[#This Row],[Цена за ед., руб]],2)</f>
        <v>0</v>
      </c>
      <c r="H33" s="36"/>
      <c r="I33" s="40"/>
    </row>
    <row r="34" spans="1:9" ht="11.1" customHeight="1" x14ac:dyDescent="0.2">
      <c r="A34" s="39" t="s">
        <v>87</v>
      </c>
      <c r="B34" s="36" t="s">
        <v>56</v>
      </c>
      <c r="C34" s="36" t="s">
        <v>105</v>
      </c>
      <c r="D34" s="34" t="s">
        <v>26</v>
      </c>
      <c r="E34" s="35">
        <v>8</v>
      </c>
      <c r="F34" s="49"/>
      <c r="G34" s="71">
        <f>ROUND(М[[#This Row],[Количество]]*М[[#This Row],[Цена за ед., руб]],2)</f>
        <v>0</v>
      </c>
      <c r="H34" s="36"/>
      <c r="I34" s="40"/>
    </row>
    <row r="35" spans="1:9" ht="11.1" customHeight="1" x14ac:dyDescent="0.2">
      <c r="A35" s="39" t="s">
        <v>87</v>
      </c>
      <c r="B35" s="36" t="s">
        <v>56</v>
      </c>
      <c r="C35" s="36" t="s">
        <v>97</v>
      </c>
      <c r="D35" s="34" t="s">
        <v>26</v>
      </c>
      <c r="E35" s="35">
        <v>4</v>
      </c>
      <c r="F35" s="49"/>
      <c r="G35" s="71">
        <f>ROUND(М[[#This Row],[Количество]]*М[[#This Row],[Цена за ед., руб]],2)</f>
        <v>0</v>
      </c>
      <c r="H35" s="36"/>
      <c r="I35" s="40"/>
    </row>
    <row r="36" spans="1:9" ht="23.1" customHeight="1" x14ac:dyDescent="0.2">
      <c r="A36" s="39" t="s">
        <v>87</v>
      </c>
      <c r="B36" s="36" t="s">
        <v>106</v>
      </c>
      <c r="C36" s="36" t="s">
        <v>107</v>
      </c>
      <c r="D36" s="34" t="s">
        <v>26</v>
      </c>
      <c r="E36" s="35">
        <v>1</v>
      </c>
      <c r="F36" s="49"/>
      <c r="G36" s="71">
        <f>ROUND(М[[#This Row],[Количество]]*М[[#This Row],[Цена за ед., руб]],2)</f>
        <v>0</v>
      </c>
      <c r="H36" s="36"/>
      <c r="I36" s="40"/>
    </row>
    <row r="37" spans="1:9" ht="23.1" customHeight="1" x14ac:dyDescent="0.2">
      <c r="A37" s="39" t="s">
        <v>87</v>
      </c>
      <c r="B37" s="36" t="s">
        <v>106</v>
      </c>
      <c r="C37" s="36" t="s">
        <v>108</v>
      </c>
      <c r="D37" s="34" t="s">
        <v>26</v>
      </c>
      <c r="E37" s="35">
        <v>3</v>
      </c>
      <c r="F37" s="49"/>
      <c r="G37" s="71">
        <f>ROUND(М[[#This Row],[Количество]]*М[[#This Row],[Цена за ед., руб]],2)</f>
        <v>0</v>
      </c>
      <c r="H37" s="36"/>
      <c r="I37" s="40"/>
    </row>
    <row r="38" spans="1:9" ht="23.1" customHeight="1" x14ac:dyDescent="0.2">
      <c r="A38" s="39" t="s">
        <v>87</v>
      </c>
      <c r="B38" s="36" t="s">
        <v>106</v>
      </c>
      <c r="C38" s="36" t="s">
        <v>109</v>
      </c>
      <c r="D38" s="34" t="s">
        <v>26</v>
      </c>
      <c r="E38" s="35">
        <v>1</v>
      </c>
      <c r="F38" s="49"/>
      <c r="G38" s="71">
        <f>ROUND(М[[#This Row],[Количество]]*М[[#This Row],[Цена за ед., руб]],2)</f>
        <v>0</v>
      </c>
      <c r="H38" s="36"/>
      <c r="I38" s="40"/>
    </row>
    <row r="39" spans="1:9" ht="11.1" customHeight="1" x14ac:dyDescent="0.2">
      <c r="A39" s="39" t="s">
        <v>87</v>
      </c>
      <c r="B39" s="36" t="s">
        <v>56</v>
      </c>
      <c r="C39" s="36" t="s">
        <v>98</v>
      </c>
      <c r="D39" s="34" t="s">
        <v>26</v>
      </c>
      <c r="E39" s="35">
        <v>119</v>
      </c>
      <c r="F39" s="49"/>
      <c r="G39" s="71">
        <f>ROUND(М[[#This Row],[Количество]]*М[[#This Row],[Цена за ед., руб]],2)</f>
        <v>0</v>
      </c>
      <c r="H39" s="36"/>
      <c r="I39" s="40"/>
    </row>
    <row r="40" spans="1:9" ht="11.1" customHeight="1" x14ac:dyDescent="0.2">
      <c r="A40" s="39" t="s">
        <v>87</v>
      </c>
      <c r="B40" s="36" t="s">
        <v>56</v>
      </c>
      <c r="C40" s="36" t="s">
        <v>99</v>
      </c>
      <c r="D40" s="34" t="s">
        <v>26</v>
      </c>
      <c r="E40" s="35">
        <v>4</v>
      </c>
      <c r="F40" s="49"/>
      <c r="G40" s="71">
        <f>ROUND(М[[#This Row],[Количество]]*М[[#This Row],[Цена за ед., руб]],2)</f>
        <v>0</v>
      </c>
      <c r="H40" s="36"/>
      <c r="I40" s="40"/>
    </row>
    <row r="41" spans="1:9" ht="11.1" customHeight="1" x14ac:dyDescent="0.2">
      <c r="A41" s="39" t="s">
        <v>87</v>
      </c>
      <c r="B41" s="36" t="s">
        <v>106</v>
      </c>
      <c r="C41" s="36" t="s">
        <v>110</v>
      </c>
      <c r="D41" s="34" t="s">
        <v>26</v>
      </c>
      <c r="E41" s="35">
        <v>9</v>
      </c>
      <c r="F41" s="49"/>
      <c r="G41" s="71">
        <f>ROUND(М[[#This Row],[Количество]]*М[[#This Row],[Цена за ед., руб]],2)</f>
        <v>0</v>
      </c>
      <c r="H41" s="36"/>
      <c r="I41" s="40"/>
    </row>
    <row r="42" spans="1:9" ht="11.1" customHeight="1" x14ac:dyDescent="0.2">
      <c r="A42" s="39" t="s">
        <v>87</v>
      </c>
      <c r="B42" s="36"/>
      <c r="C42" s="36" t="s">
        <v>100</v>
      </c>
      <c r="D42" s="34" t="s">
        <v>26</v>
      </c>
      <c r="E42" s="35">
        <v>3</v>
      </c>
      <c r="F42" s="49"/>
      <c r="G42" s="71">
        <f>ROUND(М[[#This Row],[Количество]]*М[[#This Row],[Цена за ед., руб]],2)</f>
        <v>0</v>
      </c>
      <c r="H42" s="36" t="s">
        <v>101</v>
      </c>
      <c r="I42" s="40"/>
    </row>
    <row r="43" spans="1:9" ht="11.1" customHeight="1" x14ac:dyDescent="0.2">
      <c r="A43" s="39" t="s">
        <v>87</v>
      </c>
      <c r="B43" s="36" t="s">
        <v>56</v>
      </c>
      <c r="C43" s="36" t="s">
        <v>100</v>
      </c>
      <c r="D43" s="34" t="s">
        <v>26</v>
      </c>
      <c r="E43" s="35">
        <v>203</v>
      </c>
      <c r="F43" s="49"/>
      <c r="G43" s="71">
        <f>ROUND(М[[#This Row],[Количество]]*М[[#This Row],[Цена за ед., руб]],2)</f>
        <v>0</v>
      </c>
      <c r="H43" s="36" t="s">
        <v>101</v>
      </c>
      <c r="I43" s="40"/>
    </row>
    <row r="44" spans="1:9" ht="11.1" customHeight="1" x14ac:dyDescent="0.2">
      <c r="A44" s="39" t="s">
        <v>87</v>
      </c>
      <c r="B44" s="36" t="s">
        <v>56</v>
      </c>
      <c r="C44" s="36" t="s">
        <v>100</v>
      </c>
      <c r="D44" s="34" t="s">
        <v>26</v>
      </c>
      <c r="E44" s="35">
        <v>26</v>
      </c>
      <c r="F44" s="49"/>
      <c r="G44" s="71">
        <f>ROUND(М[[#This Row],[Количество]]*М[[#This Row],[Цена за ед., руб]],2)</f>
        <v>0</v>
      </c>
      <c r="H44" s="36"/>
      <c r="I44" s="40"/>
    </row>
    <row r="45" spans="1:9" ht="11.1" customHeight="1" x14ac:dyDescent="0.2">
      <c r="A45" s="39" t="s">
        <v>87</v>
      </c>
      <c r="B45" s="36" t="s">
        <v>106</v>
      </c>
      <c r="C45" s="36" t="s">
        <v>111</v>
      </c>
      <c r="D45" s="34" t="s">
        <v>26</v>
      </c>
      <c r="E45" s="35">
        <v>5</v>
      </c>
      <c r="F45" s="49"/>
      <c r="G45" s="71">
        <f>ROUND(М[[#This Row],[Количество]]*М[[#This Row],[Цена за ед., руб]],2)</f>
        <v>0</v>
      </c>
      <c r="H45" s="36"/>
      <c r="I45" s="40"/>
    </row>
    <row r="46" spans="1:9" ht="11.1" customHeight="1" x14ac:dyDescent="0.2">
      <c r="A46" s="39" t="s">
        <v>55</v>
      </c>
      <c r="B46" s="36"/>
      <c r="C46" s="36" t="s">
        <v>57</v>
      </c>
      <c r="D46" s="34" t="s">
        <v>26</v>
      </c>
      <c r="E46" s="35">
        <v>4</v>
      </c>
      <c r="F46" s="49"/>
      <c r="G46" s="71">
        <f>ROUND(М[[#This Row],[Количество]]*М[[#This Row],[Цена за ед., руб]],2)</f>
        <v>0</v>
      </c>
      <c r="H46" s="36"/>
      <c r="I46" s="40"/>
    </row>
    <row r="47" spans="1:9" ht="11.1" customHeight="1" x14ac:dyDescent="0.2">
      <c r="A47" s="39" t="s">
        <v>55</v>
      </c>
      <c r="B47" s="36" t="s">
        <v>56</v>
      </c>
      <c r="C47" s="36" t="s">
        <v>57</v>
      </c>
      <c r="D47" s="34" t="s">
        <v>26</v>
      </c>
      <c r="E47" s="35">
        <v>20</v>
      </c>
      <c r="F47" s="49"/>
      <c r="G47" s="71">
        <f>ROUND(М[[#This Row],[Количество]]*М[[#This Row],[Цена за ед., руб]],2)</f>
        <v>0</v>
      </c>
      <c r="H47" s="36"/>
      <c r="I47" s="40"/>
    </row>
    <row r="48" spans="1:9" ht="23.1" customHeight="1" x14ac:dyDescent="0.2">
      <c r="A48" s="39" t="s">
        <v>102</v>
      </c>
      <c r="B48" s="36"/>
      <c r="C48" s="36" t="s">
        <v>103</v>
      </c>
      <c r="D48" s="34" t="s">
        <v>26</v>
      </c>
      <c r="E48" s="35">
        <v>3</v>
      </c>
      <c r="F48" s="49"/>
      <c r="G48" s="71">
        <f>ROUND(М[[#This Row],[Количество]]*М[[#This Row],[Цена за ед., руб]],2)</f>
        <v>0</v>
      </c>
      <c r="H48" s="36"/>
      <c r="I48" s="40"/>
    </row>
    <row r="49" spans="1:9" ht="11.1" customHeight="1" x14ac:dyDescent="0.2">
      <c r="A49" s="39" t="s">
        <v>128</v>
      </c>
      <c r="B49" s="36" t="s">
        <v>129</v>
      </c>
      <c r="C49" s="36" t="s">
        <v>130</v>
      </c>
      <c r="D49" s="34" t="s">
        <v>34</v>
      </c>
      <c r="E49" s="37">
        <v>8528</v>
      </c>
      <c r="F49" s="49"/>
      <c r="G49" s="71">
        <f>ROUND(М[[#This Row],[Количество]]*М[[#This Row],[Цена за ед., руб]],2)</f>
        <v>0</v>
      </c>
      <c r="H49" s="36"/>
      <c r="I49" s="40"/>
    </row>
    <row r="50" spans="1:9" ht="23.1" customHeight="1" x14ac:dyDescent="0.2">
      <c r="A50" s="39" t="s">
        <v>78</v>
      </c>
      <c r="B50" s="36"/>
      <c r="C50" s="36" t="s">
        <v>79</v>
      </c>
      <c r="D50" s="34" t="s">
        <v>26</v>
      </c>
      <c r="E50" s="35">
        <v>48</v>
      </c>
      <c r="F50" s="49"/>
      <c r="G50" s="71">
        <f>ROUND(М[[#This Row],[Количество]]*М[[#This Row],[Цена за ед., руб]],2)</f>
        <v>0</v>
      </c>
      <c r="H50" s="36" t="s">
        <v>80</v>
      </c>
      <c r="I50" s="40"/>
    </row>
    <row r="51" spans="1:9" ht="23.1" customHeight="1" x14ac:dyDescent="0.2">
      <c r="A51" s="39" t="s">
        <v>78</v>
      </c>
      <c r="B51" s="36"/>
      <c r="C51" s="36" t="s">
        <v>81</v>
      </c>
      <c r="D51" s="34" t="s">
        <v>26</v>
      </c>
      <c r="E51" s="35">
        <v>1</v>
      </c>
      <c r="F51" s="49"/>
      <c r="G51" s="71">
        <f>ROUND(М[[#This Row],[Количество]]*М[[#This Row],[Цена за ед., руб]],2)</f>
        <v>0</v>
      </c>
      <c r="H51" s="36" t="s">
        <v>82</v>
      </c>
      <c r="I51" s="40"/>
    </row>
    <row r="52" spans="1:9" ht="23.1" customHeight="1" x14ac:dyDescent="0.2">
      <c r="A52" s="39" t="s">
        <v>78</v>
      </c>
      <c r="B52" s="36"/>
      <c r="C52" s="36" t="s">
        <v>83</v>
      </c>
      <c r="D52" s="34" t="s">
        <v>26</v>
      </c>
      <c r="E52" s="35">
        <v>4</v>
      </c>
      <c r="F52" s="49"/>
      <c r="G52" s="71">
        <f>ROUND(М[[#This Row],[Количество]]*М[[#This Row],[Цена за ед., руб]],2)</f>
        <v>0</v>
      </c>
      <c r="H52" s="36"/>
      <c r="I52" s="40"/>
    </row>
    <row r="53" spans="1:9" ht="23.1" customHeight="1" x14ac:dyDescent="0.2">
      <c r="A53" s="39" t="s">
        <v>78</v>
      </c>
      <c r="B53" s="36"/>
      <c r="C53" s="36" t="s">
        <v>83</v>
      </c>
      <c r="D53" s="34" t="s">
        <v>26</v>
      </c>
      <c r="E53" s="35">
        <v>26</v>
      </c>
      <c r="F53" s="49"/>
      <c r="G53" s="71">
        <f>ROUND(М[[#This Row],[Количество]]*М[[#This Row],[Цена за ед., руб]],2)</f>
        <v>0</v>
      </c>
      <c r="H53" s="36" t="s">
        <v>80</v>
      </c>
      <c r="I53" s="40"/>
    </row>
    <row r="54" spans="1:9" ht="23.1" customHeight="1" x14ac:dyDescent="0.2">
      <c r="A54" s="39" t="s">
        <v>78</v>
      </c>
      <c r="B54" s="36"/>
      <c r="C54" s="36" t="s">
        <v>83</v>
      </c>
      <c r="D54" s="34" t="s">
        <v>26</v>
      </c>
      <c r="E54" s="35">
        <v>1</v>
      </c>
      <c r="F54" s="49"/>
      <c r="G54" s="71">
        <f>ROUND(М[[#This Row],[Количество]]*М[[#This Row],[Цена за ед., руб]],2)</f>
        <v>0</v>
      </c>
      <c r="H54" s="36" t="s">
        <v>82</v>
      </c>
      <c r="I54" s="40"/>
    </row>
    <row r="55" spans="1:9" ht="23.1" customHeight="1" x14ac:dyDescent="0.2">
      <c r="A55" s="39" t="s">
        <v>78</v>
      </c>
      <c r="B55" s="36"/>
      <c r="C55" s="36" t="s">
        <v>84</v>
      </c>
      <c r="D55" s="34" t="s">
        <v>26</v>
      </c>
      <c r="E55" s="35">
        <v>30</v>
      </c>
      <c r="F55" s="49"/>
      <c r="G55" s="71">
        <f>ROUND(М[[#This Row],[Количество]]*М[[#This Row],[Цена за ед., руб]],2)</f>
        <v>0</v>
      </c>
      <c r="H55" s="36" t="s">
        <v>80</v>
      </c>
      <c r="I55" s="40"/>
    </row>
    <row r="56" spans="1:9" ht="23.1" customHeight="1" x14ac:dyDescent="0.2">
      <c r="A56" s="39" t="s">
        <v>78</v>
      </c>
      <c r="B56" s="36"/>
      <c r="C56" s="36" t="s">
        <v>85</v>
      </c>
      <c r="D56" s="34" t="s">
        <v>26</v>
      </c>
      <c r="E56" s="35">
        <v>4</v>
      </c>
      <c r="F56" s="49"/>
      <c r="G56" s="71">
        <f>ROUND(М[[#This Row],[Количество]]*М[[#This Row],[Цена за ед., руб]],2)</f>
        <v>0</v>
      </c>
      <c r="H56" s="36" t="s">
        <v>80</v>
      </c>
      <c r="I56" s="40"/>
    </row>
    <row r="57" spans="1:9" ht="11.1" customHeight="1" x14ac:dyDescent="0.2">
      <c r="A57" s="39" t="s">
        <v>132</v>
      </c>
      <c r="B57" s="36" t="s">
        <v>60</v>
      </c>
      <c r="C57" s="36" t="s">
        <v>111</v>
      </c>
      <c r="D57" s="34" t="s">
        <v>26</v>
      </c>
      <c r="E57" s="35">
        <v>1</v>
      </c>
      <c r="F57" s="49"/>
      <c r="G57" s="71">
        <f>ROUND(М[[#This Row],[Количество]]*М[[#This Row],[Цена за ед., руб]],2)</f>
        <v>0</v>
      </c>
      <c r="H57" s="36"/>
      <c r="I57" s="40"/>
    </row>
    <row r="58" spans="1:9" ht="11.1" customHeight="1" x14ac:dyDescent="0.2">
      <c r="A58" s="39" t="s">
        <v>132</v>
      </c>
      <c r="B58" s="36" t="s">
        <v>56</v>
      </c>
      <c r="C58" s="36" t="s">
        <v>133</v>
      </c>
      <c r="D58" s="34" t="s">
        <v>26</v>
      </c>
      <c r="E58" s="35">
        <v>20</v>
      </c>
      <c r="F58" s="49"/>
      <c r="G58" s="71">
        <f>ROUND(М[[#This Row],[Количество]]*М[[#This Row],[Цена за ед., руб]],2)</f>
        <v>0</v>
      </c>
      <c r="H58" s="36"/>
      <c r="I58" s="40"/>
    </row>
    <row r="59" spans="1:9" ht="35.1" customHeight="1" x14ac:dyDescent="0.2">
      <c r="A59" s="39" t="s">
        <v>113</v>
      </c>
      <c r="B59" s="36" t="s">
        <v>114</v>
      </c>
      <c r="C59" s="36" t="s">
        <v>115</v>
      </c>
      <c r="D59" s="34" t="s">
        <v>26</v>
      </c>
      <c r="E59" s="35">
        <v>1</v>
      </c>
      <c r="F59" s="49"/>
      <c r="G59" s="71">
        <f>ROUND(М[[#This Row],[Количество]]*М[[#This Row],[Цена за ед., руб]],2)</f>
        <v>0</v>
      </c>
      <c r="H59" s="36" t="s">
        <v>116</v>
      </c>
      <c r="I59" s="40"/>
    </row>
    <row r="60" spans="1:9" ht="11.1" customHeight="1" x14ac:dyDescent="0.2">
      <c r="A60" s="39" t="s">
        <v>197</v>
      </c>
      <c r="B60" s="36"/>
      <c r="C60" s="36" t="s">
        <v>198</v>
      </c>
      <c r="D60" s="34" t="s">
        <v>199</v>
      </c>
      <c r="E60" s="35">
        <v>85</v>
      </c>
      <c r="F60" s="49"/>
      <c r="G60" s="71">
        <f>ROUND(М[[#This Row],[Количество]]*М[[#This Row],[Цена за ед., руб]],2)</f>
        <v>0</v>
      </c>
      <c r="H60" s="36" t="s">
        <v>200</v>
      </c>
      <c r="I60" s="40"/>
    </row>
    <row r="61" spans="1:9" ht="11.1" customHeight="1" x14ac:dyDescent="0.2">
      <c r="A61" s="39" t="s">
        <v>63</v>
      </c>
      <c r="B61" s="36" t="s">
        <v>64</v>
      </c>
      <c r="C61" s="36" t="s">
        <v>71</v>
      </c>
      <c r="D61" s="34" t="s">
        <v>26</v>
      </c>
      <c r="E61" s="35">
        <v>1</v>
      </c>
      <c r="F61" s="49"/>
      <c r="G61" s="71">
        <f>ROUND(М[[#This Row],[Количество]]*М[[#This Row],[Цена за ед., руб]],2)</f>
        <v>0</v>
      </c>
      <c r="H61" s="36"/>
      <c r="I61" s="40"/>
    </row>
    <row r="62" spans="1:9" ht="23.1" customHeight="1" x14ac:dyDescent="0.2">
      <c r="A62" s="39" t="s">
        <v>63</v>
      </c>
      <c r="B62" s="36" t="s">
        <v>64</v>
      </c>
      <c r="C62" s="36" t="s">
        <v>72</v>
      </c>
      <c r="D62" s="34" t="s">
        <v>26</v>
      </c>
      <c r="E62" s="35">
        <v>1</v>
      </c>
      <c r="F62" s="49"/>
      <c r="G62" s="71">
        <f>ROUND(М[[#This Row],[Количество]]*М[[#This Row],[Цена за ед., руб]],2)</f>
        <v>0</v>
      </c>
      <c r="H62" s="36"/>
      <c r="I62" s="40"/>
    </row>
    <row r="63" spans="1:9" ht="23.1" customHeight="1" x14ac:dyDescent="0.2">
      <c r="A63" s="39" t="s">
        <v>63</v>
      </c>
      <c r="B63" s="36" t="s">
        <v>64</v>
      </c>
      <c r="C63" s="36" t="s">
        <v>73</v>
      </c>
      <c r="D63" s="34" t="s">
        <v>26</v>
      </c>
      <c r="E63" s="35">
        <v>1</v>
      </c>
      <c r="F63" s="49"/>
      <c r="G63" s="71">
        <f>ROUND(М[[#This Row],[Количество]]*М[[#This Row],[Цена за ед., руб]],2)</f>
        <v>0</v>
      </c>
      <c r="H63" s="36"/>
      <c r="I63" s="40"/>
    </row>
    <row r="64" spans="1:9" ht="11.1" customHeight="1" x14ac:dyDescent="0.2">
      <c r="A64" s="39" t="s">
        <v>63</v>
      </c>
      <c r="B64" s="36" t="s">
        <v>64</v>
      </c>
      <c r="C64" s="36" t="s">
        <v>65</v>
      </c>
      <c r="D64" s="34" t="s">
        <v>26</v>
      </c>
      <c r="E64" s="35">
        <v>4</v>
      </c>
      <c r="F64" s="49"/>
      <c r="G64" s="71">
        <f>ROUND(М[[#This Row],[Количество]]*М[[#This Row],[Цена за ед., руб]],2)</f>
        <v>0</v>
      </c>
      <c r="H64" s="36"/>
      <c r="I64" s="40"/>
    </row>
    <row r="65" spans="1:9" ht="23.1" customHeight="1" x14ac:dyDescent="0.2">
      <c r="A65" s="39" t="s">
        <v>66</v>
      </c>
      <c r="B65" s="36" t="s">
        <v>60</v>
      </c>
      <c r="C65" s="36" t="s">
        <v>74</v>
      </c>
      <c r="D65" s="34" t="s">
        <v>26</v>
      </c>
      <c r="E65" s="35">
        <v>2</v>
      </c>
      <c r="F65" s="49"/>
      <c r="G65" s="71">
        <f>ROUND(М[[#This Row],[Количество]]*М[[#This Row],[Цена за ед., руб]],2)</f>
        <v>0</v>
      </c>
      <c r="H65" s="36"/>
      <c r="I65" s="40"/>
    </row>
    <row r="66" spans="1:9" ht="11.1" customHeight="1" x14ac:dyDescent="0.2">
      <c r="A66" s="39" t="s">
        <v>66</v>
      </c>
      <c r="B66" s="36" t="s">
        <v>56</v>
      </c>
      <c r="C66" s="36" t="s">
        <v>67</v>
      </c>
      <c r="D66" s="34" t="s">
        <v>26</v>
      </c>
      <c r="E66" s="35">
        <v>2</v>
      </c>
      <c r="F66" s="49"/>
      <c r="G66" s="71">
        <f>ROUND(М[[#This Row],[Количество]]*М[[#This Row],[Цена за ед., руб]],2)</f>
        <v>0</v>
      </c>
      <c r="H66" s="36"/>
      <c r="I66" s="40"/>
    </row>
    <row r="67" spans="1:9" ht="11.1" customHeight="1" x14ac:dyDescent="0.2">
      <c r="A67" s="39" t="s">
        <v>66</v>
      </c>
      <c r="B67" s="36" t="s">
        <v>60</v>
      </c>
      <c r="C67" s="36" t="s">
        <v>75</v>
      </c>
      <c r="D67" s="34" t="s">
        <v>26</v>
      </c>
      <c r="E67" s="35">
        <v>4</v>
      </c>
      <c r="F67" s="49"/>
      <c r="G67" s="71">
        <f>ROUND(М[[#This Row],[Количество]]*М[[#This Row],[Цена за ед., руб]],2)</f>
        <v>0</v>
      </c>
      <c r="H67" s="36"/>
      <c r="I67" s="40"/>
    </row>
    <row r="68" spans="1:9" ht="11.1" customHeight="1" x14ac:dyDescent="0.2">
      <c r="A68" s="39" t="s">
        <v>66</v>
      </c>
      <c r="B68" s="36" t="s">
        <v>60</v>
      </c>
      <c r="C68" s="36" t="s">
        <v>76</v>
      </c>
      <c r="D68" s="34" t="s">
        <v>26</v>
      </c>
      <c r="E68" s="35">
        <v>2</v>
      </c>
      <c r="F68" s="49"/>
      <c r="G68" s="71">
        <f>ROUND(М[[#This Row],[Количество]]*М[[#This Row],[Цена за ед., руб]],2)</f>
        <v>0</v>
      </c>
      <c r="H68" s="36"/>
      <c r="I68" s="40"/>
    </row>
    <row r="69" spans="1:9" ht="23.1" customHeight="1" x14ac:dyDescent="0.2">
      <c r="A69" s="39" t="s">
        <v>68</v>
      </c>
      <c r="B69" s="36" t="s">
        <v>56</v>
      </c>
      <c r="C69" s="36" t="s">
        <v>69</v>
      </c>
      <c r="D69" s="34" t="s">
        <v>26</v>
      </c>
      <c r="E69" s="35">
        <v>20</v>
      </c>
      <c r="F69" s="49"/>
      <c r="G69" s="71">
        <f>ROUND(М[[#This Row],[Количество]]*М[[#This Row],[Цена за ед., руб]],2)</f>
        <v>0</v>
      </c>
      <c r="H69" s="36"/>
      <c r="I69" s="40"/>
    </row>
    <row r="70" spans="1:9" ht="11.1" customHeight="1" x14ac:dyDescent="0.2">
      <c r="A70" s="39" t="s">
        <v>143</v>
      </c>
      <c r="B70" s="36"/>
      <c r="C70" s="36" t="s">
        <v>144</v>
      </c>
      <c r="D70" s="34" t="s">
        <v>34</v>
      </c>
      <c r="E70" s="35">
        <v>4</v>
      </c>
      <c r="F70" s="49"/>
      <c r="G70" s="71">
        <f>ROUND(М[[#This Row],[Количество]]*М[[#This Row],[Цена за ед., руб]],2)</f>
        <v>0</v>
      </c>
      <c r="H70" s="36"/>
      <c r="I70" s="40"/>
    </row>
    <row r="71" spans="1:9" ht="11.1" customHeight="1" x14ac:dyDescent="0.2">
      <c r="A71" s="39" t="s">
        <v>179</v>
      </c>
      <c r="B71" s="36"/>
      <c r="C71" s="36" t="s">
        <v>180</v>
      </c>
      <c r="D71" s="34" t="s">
        <v>26</v>
      </c>
      <c r="E71" s="35">
        <v>120</v>
      </c>
      <c r="F71" s="49"/>
      <c r="G71" s="71">
        <f>ROUND(М[[#This Row],[Количество]]*М[[#This Row],[Цена за ед., руб]],2)</f>
        <v>0</v>
      </c>
      <c r="H71" s="36"/>
      <c r="I71" s="40"/>
    </row>
    <row r="72" spans="1:9" ht="11.1" customHeight="1" x14ac:dyDescent="0.2">
      <c r="A72" s="39" t="s">
        <v>179</v>
      </c>
      <c r="B72" s="36"/>
      <c r="C72" s="36" t="s">
        <v>193</v>
      </c>
      <c r="D72" s="34" t="s">
        <v>26</v>
      </c>
      <c r="E72" s="35">
        <v>60</v>
      </c>
      <c r="F72" s="49"/>
      <c r="G72" s="71">
        <f>ROUND(М[[#This Row],[Количество]]*М[[#This Row],[Цена за ед., руб]],2)</f>
        <v>0</v>
      </c>
      <c r="H72" s="36"/>
      <c r="I72" s="40"/>
    </row>
    <row r="73" spans="1:9" ht="23.1" customHeight="1" x14ac:dyDescent="0.2">
      <c r="A73" s="39" t="s">
        <v>31</v>
      </c>
      <c r="B73" s="36" t="s">
        <v>32</v>
      </c>
      <c r="C73" s="36" t="s">
        <v>192</v>
      </c>
      <c r="D73" s="34" t="s">
        <v>34</v>
      </c>
      <c r="E73" s="35">
        <v>95</v>
      </c>
      <c r="F73" s="49"/>
      <c r="G73" s="71">
        <f>ROUND(М[[#This Row],[Количество]]*М[[#This Row],[Цена за ед., руб]],2)</f>
        <v>0</v>
      </c>
      <c r="H73" s="36"/>
      <c r="I73" s="40"/>
    </row>
    <row r="74" spans="1:9" ht="23.1" customHeight="1" x14ac:dyDescent="0.2">
      <c r="A74" s="39" t="s">
        <v>31</v>
      </c>
      <c r="B74" s="36"/>
      <c r="C74" s="36" t="s">
        <v>33</v>
      </c>
      <c r="D74" s="34" t="s">
        <v>34</v>
      </c>
      <c r="E74" s="35">
        <v>116</v>
      </c>
      <c r="F74" s="49"/>
      <c r="G74" s="71">
        <f>ROUND(М[[#This Row],[Количество]]*М[[#This Row],[Цена за ед., руб]],2)</f>
        <v>0</v>
      </c>
      <c r="H74" s="36"/>
      <c r="I74" s="40"/>
    </row>
    <row r="75" spans="1:9" ht="23.1" customHeight="1" x14ac:dyDescent="0.2">
      <c r="A75" s="39" t="s">
        <v>31</v>
      </c>
      <c r="B75" s="36" t="s">
        <v>32</v>
      </c>
      <c r="C75" s="36" t="s">
        <v>33</v>
      </c>
      <c r="D75" s="34" t="s">
        <v>34</v>
      </c>
      <c r="E75" s="35">
        <v>234</v>
      </c>
      <c r="F75" s="49"/>
      <c r="G75" s="71">
        <f>ROUND(М[[#This Row],[Количество]]*М[[#This Row],[Цена за ед., руб]],2)</f>
        <v>0</v>
      </c>
      <c r="H75" s="36"/>
      <c r="I75" s="40"/>
    </row>
    <row r="76" spans="1:9" ht="23.1" customHeight="1" x14ac:dyDescent="0.2">
      <c r="A76" s="39" t="s">
        <v>31</v>
      </c>
      <c r="B76" s="36" t="s">
        <v>32</v>
      </c>
      <c r="C76" s="36" t="s">
        <v>36</v>
      </c>
      <c r="D76" s="34" t="s">
        <v>34</v>
      </c>
      <c r="E76" s="35">
        <v>117</v>
      </c>
      <c r="F76" s="49"/>
      <c r="G76" s="71">
        <f>ROUND(М[[#This Row],[Количество]]*М[[#This Row],[Цена за ед., руб]],2)</f>
        <v>0</v>
      </c>
      <c r="H76" s="36"/>
      <c r="I76" s="40"/>
    </row>
    <row r="77" spans="1:9" ht="23.1" customHeight="1" x14ac:dyDescent="0.2">
      <c r="A77" s="39" t="s">
        <v>31</v>
      </c>
      <c r="B77" s="36" t="s">
        <v>32</v>
      </c>
      <c r="C77" s="36" t="s">
        <v>38</v>
      </c>
      <c r="D77" s="34" t="s">
        <v>34</v>
      </c>
      <c r="E77" s="35">
        <v>20</v>
      </c>
      <c r="F77" s="49"/>
      <c r="G77" s="71">
        <f>ROUND(М[[#This Row],[Количество]]*М[[#This Row],[Цена за ед., руб]],2)</f>
        <v>0</v>
      </c>
      <c r="H77" s="36"/>
      <c r="I77" s="40"/>
    </row>
    <row r="78" spans="1:9" ht="23.1" customHeight="1" x14ac:dyDescent="0.2">
      <c r="A78" s="39" t="s">
        <v>31</v>
      </c>
      <c r="B78" s="36" t="s">
        <v>32</v>
      </c>
      <c r="C78" s="36" t="s">
        <v>40</v>
      </c>
      <c r="D78" s="34" t="s">
        <v>34</v>
      </c>
      <c r="E78" s="35">
        <v>30</v>
      </c>
      <c r="F78" s="49"/>
      <c r="G78" s="71">
        <f>ROUND(М[[#This Row],[Количество]]*М[[#This Row],[Цена за ед., руб]],2)</f>
        <v>0</v>
      </c>
      <c r="H78" s="36"/>
      <c r="I78" s="40"/>
    </row>
    <row r="79" spans="1:9" ht="23.1" customHeight="1" x14ac:dyDescent="0.2">
      <c r="A79" s="39" t="s">
        <v>31</v>
      </c>
      <c r="B79" s="36" t="s">
        <v>32</v>
      </c>
      <c r="C79" s="36" t="s">
        <v>42</v>
      </c>
      <c r="D79" s="34" t="s">
        <v>34</v>
      </c>
      <c r="E79" s="35">
        <v>1</v>
      </c>
      <c r="F79" s="49"/>
      <c r="G79" s="71">
        <f>ROUND(М[[#This Row],[Количество]]*М[[#This Row],[Цена за ед., руб]],2)</f>
        <v>0</v>
      </c>
      <c r="H79" s="36"/>
      <c r="I79" s="40"/>
    </row>
    <row r="80" spans="1:9" ht="23.1" customHeight="1" x14ac:dyDescent="0.2">
      <c r="A80" s="39" t="s">
        <v>31</v>
      </c>
      <c r="B80" s="36"/>
      <c r="C80" s="36" t="s">
        <v>44</v>
      </c>
      <c r="D80" s="34" t="s">
        <v>34</v>
      </c>
      <c r="E80" s="35">
        <v>104</v>
      </c>
      <c r="F80" s="49"/>
      <c r="G80" s="71">
        <f>ROUND(М[[#This Row],[Количество]]*М[[#This Row],[Цена за ед., руб]],2)</f>
        <v>0</v>
      </c>
      <c r="H80" s="36"/>
      <c r="I80" s="40"/>
    </row>
    <row r="81" spans="1:9" ht="23.1" customHeight="1" x14ac:dyDescent="0.2">
      <c r="A81" s="39" t="s">
        <v>31</v>
      </c>
      <c r="B81" s="36" t="s">
        <v>32</v>
      </c>
      <c r="C81" s="36" t="s">
        <v>44</v>
      </c>
      <c r="D81" s="34" t="s">
        <v>34</v>
      </c>
      <c r="E81" s="35">
        <v>127</v>
      </c>
      <c r="F81" s="49"/>
      <c r="G81" s="71">
        <f>ROUND(М[[#This Row],[Количество]]*М[[#This Row],[Цена за ед., руб]],2)</f>
        <v>0</v>
      </c>
      <c r="H81" s="36"/>
      <c r="I81" s="40"/>
    </row>
    <row r="82" spans="1:9" ht="23.1" customHeight="1" x14ac:dyDescent="0.2">
      <c r="A82" s="39" t="s">
        <v>31</v>
      </c>
      <c r="B82" s="36" t="s">
        <v>32</v>
      </c>
      <c r="C82" s="36" t="s">
        <v>46</v>
      </c>
      <c r="D82" s="34" t="s">
        <v>34</v>
      </c>
      <c r="E82" s="35">
        <v>23</v>
      </c>
      <c r="F82" s="49"/>
      <c r="G82" s="49">
        <f>ROUND(М[[#This Row],[Количество]]*М[[#This Row],[Цена за ед., руб]],2)</f>
        <v>0</v>
      </c>
      <c r="H82" s="36"/>
      <c r="I82" s="40"/>
    </row>
    <row r="83" spans="1:9" ht="23.1" customHeight="1" x14ac:dyDescent="0.2">
      <c r="A83" s="39" t="s">
        <v>31</v>
      </c>
      <c r="B83" s="36" t="s">
        <v>32</v>
      </c>
      <c r="C83" s="36" t="s">
        <v>48</v>
      </c>
      <c r="D83" s="34" t="s">
        <v>34</v>
      </c>
      <c r="E83" s="37">
        <v>8528</v>
      </c>
      <c r="F83" s="49"/>
      <c r="G83" s="49">
        <f>ROUND(М[[#This Row],[Количество]]*М[[#This Row],[Цена за ед., руб]],2)</f>
        <v>0</v>
      </c>
      <c r="H83" s="36"/>
      <c r="I83" s="40"/>
    </row>
    <row r="84" spans="1:9" ht="23.1" customHeight="1" x14ac:dyDescent="0.2">
      <c r="A84" s="39" t="s">
        <v>31</v>
      </c>
      <c r="B84" s="36" t="s">
        <v>32</v>
      </c>
      <c r="C84" s="36" t="s">
        <v>50</v>
      </c>
      <c r="D84" s="34" t="s">
        <v>34</v>
      </c>
      <c r="E84" s="35">
        <v>292</v>
      </c>
      <c r="F84" s="49"/>
      <c r="G84" s="49">
        <f>ROUND(М[[#This Row],[Количество]]*М[[#This Row],[Цена за ед., руб]],2)</f>
        <v>0</v>
      </c>
      <c r="H84" s="36"/>
      <c r="I84" s="40"/>
    </row>
    <row r="85" spans="1:9" ht="23.1" customHeight="1" x14ac:dyDescent="0.2">
      <c r="A85" s="39" t="s">
        <v>31</v>
      </c>
      <c r="B85" s="36" t="s">
        <v>32</v>
      </c>
      <c r="C85" s="36" t="s">
        <v>52</v>
      </c>
      <c r="D85" s="34" t="s">
        <v>34</v>
      </c>
      <c r="E85" s="35">
        <v>170</v>
      </c>
      <c r="F85" s="49"/>
      <c r="G85" s="49">
        <f>ROUND(М[[#This Row],[Количество]]*М[[#This Row],[Цена за ед., руб]],2)</f>
        <v>0</v>
      </c>
      <c r="H85" s="36"/>
      <c r="I85" s="40"/>
    </row>
    <row r="86" spans="1:9" ht="23.1" customHeight="1" x14ac:dyDescent="0.2">
      <c r="A86" s="39" t="s">
        <v>31</v>
      </c>
      <c r="B86" s="36"/>
      <c r="C86" s="36" t="s">
        <v>53</v>
      </c>
      <c r="D86" s="34" t="s">
        <v>34</v>
      </c>
      <c r="E86" s="35">
        <v>62</v>
      </c>
      <c r="F86" s="49"/>
      <c r="G86" s="49">
        <f>ROUND(М[[#This Row],[Количество]]*М[[#This Row],[Цена за ед., руб]],2)</f>
        <v>0</v>
      </c>
      <c r="H86" s="36"/>
      <c r="I86" s="40"/>
    </row>
    <row r="87" spans="1:9" ht="23.1" customHeight="1" x14ac:dyDescent="0.2">
      <c r="A87" s="43" t="s">
        <v>31</v>
      </c>
      <c r="B87" s="52" t="s">
        <v>32</v>
      </c>
      <c r="C87" s="52" t="s">
        <v>53</v>
      </c>
      <c r="D87" s="44" t="s">
        <v>34</v>
      </c>
      <c r="E87" s="45">
        <v>189</v>
      </c>
      <c r="F87" s="49"/>
      <c r="G87" s="49">
        <f>ROUND(М[[#This Row],[Количество]]*М[[#This Row],[Цена за ед., руб]],2)</f>
        <v>0</v>
      </c>
      <c r="H87" s="52"/>
      <c r="I87" s="47"/>
    </row>
    <row r="88" spans="1:9" ht="23.1" customHeight="1" x14ac:dyDescent="0.2">
      <c r="A88" s="43" t="s">
        <v>181</v>
      </c>
      <c r="B88" s="52"/>
      <c r="C88" s="52"/>
      <c r="D88" s="44" t="s">
        <v>163</v>
      </c>
      <c r="E88" s="45">
        <v>1</v>
      </c>
      <c r="F88" s="49"/>
      <c r="G88" s="49">
        <f>ROUND(М[[#This Row],[Количество]]*М[[#This Row],[Цена за ед., руб]],2)</f>
        <v>0</v>
      </c>
      <c r="H88" s="52" t="s">
        <v>227</v>
      </c>
      <c r="I88" s="47"/>
    </row>
    <row r="89" spans="1:9" ht="23.1" customHeight="1" x14ac:dyDescent="0.2">
      <c r="A89" s="39" t="s">
        <v>220</v>
      </c>
      <c r="B89" s="52"/>
      <c r="C89" s="52"/>
      <c r="D89" s="66" t="s">
        <v>158</v>
      </c>
      <c r="E89" s="67"/>
      <c r="F89" s="49"/>
      <c r="G89" s="49">
        <f ca="1">SUMIF(ЛСР!$B$6:$M$273,М[[#This Row],[Наим.]],ЛСР!$L$6:$L$273)</f>
        <v>0</v>
      </c>
      <c r="H89" s="52" t="s">
        <v>240</v>
      </c>
      <c r="I89" s="47"/>
    </row>
    <row r="90" spans="1:9" ht="23.1" customHeight="1" x14ac:dyDescent="0.2">
      <c r="A90" s="39" t="s">
        <v>221</v>
      </c>
      <c r="B90" s="52"/>
      <c r="C90" s="52"/>
      <c r="D90" s="66" t="s">
        <v>158</v>
      </c>
      <c r="E90" s="67"/>
      <c r="F90" s="49"/>
      <c r="G90" s="49">
        <f ca="1">SUMIF(ЛСР!$B$6:$M$273,М[[#This Row],[Наим.]],ЛСР!$L$6:$L$273)</f>
        <v>0</v>
      </c>
      <c r="H90" s="52" t="s">
        <v>240</v>
      </c>
      <c r="I90" s="47"/>
    </row>
    <row r="91" spans="1:9" ht="23.1" customHeight="1" x14ac:dyDescent="0.2">
      <c r="A91" s="39" t="s">
        <v>222</v>
      </c>
      <c r="B91" s="52"/>
      <c r="C91" s="52"/>
      <c r="D91" s="66" t="s">
        <v>158</v>
      </c>
      <c r="E91" s="67"/>
      <c r="F91" s="49"/>
      <c r="G91" s="49">
        <f ca="1">SUMIF(ЛСР!$B$6:$M$273,М[[#This Row],[Наим.]],ЛСР!$L$6:$L$273)</f>
        <v>0</v>
      </c>
      <c r="H91" s="52" t="s">
        <v>240</v>
      </c>
      <c r="I91" s="47"/>
    </row>
    <row r="92" spans="1:9" ht="23.1" customHeight="1" x14ac:dyDescent="0.2">
      <c r="A92" s="39" t="s">
        <v>223</v>
      </c>
      <c r="B92" s="52"/>
      <c r="C92" s="52"/>
      <c r="D92" s="66" t="s">
        <v>158</v>
      </c>
      <c r="E92" s="67"/>
      <c r="F92" s="49"/>
      <c r="G92" s="49">
        <f ca="1">SUMIF(ЛСР!$B$6:$M$273,М[[#This Row],[Наим.]],ЛСР!$L$6:$L$273)</f>
        <v>0</v>
      </c>
      <c r="H92" s="52" t="s">
        <v>240</v>
      </c>
      <c r="I92" s="47"/>
    </row>
    <row r="93" spans="1:9" ht="23.1" customHeight="1" x14ac:dyDescent="0.2">
      <c r="A93" s="39" t="s">
        <v>224</v>
      </c>
      <c r="B93" s="52"/>
      <c r="C93" s="52"/>
      <c r="D93" s="66" t="s">
        <v>158</v>
      </c>
      <c r="E93" s="67"/>
      <c r="F93" s="49"/>
      <c r="G93" s="49">
        <f ca="1">SUMIF(ЛСР!$B$6:$M$273,М[[#This Row],[Наим.]],ЛСР!$L$6:$L$273)</f>
        <v>0</v>
      </c>
      <c r="H93" s="52" t="s">
        <v>240</v>
      </c>
      <c r="I93" s="47"/>
    </row>
    <row r="94" spans="1:9" ht="11.45" customHeight="1" x14ac:dyDescent="0.2">
      <c r="A94" s="43" t="s">
        <v>219</v>
      </c>
      <c r="B94" s="52"/>
      <c r="C94" s="52"/>
      <c r="D94" s="44"/>
      <c r="E94" s="46"/>
      <c r="F94" s="50"/>
      <c r="G94" s="50">
        <f ca="1">SUBTOTAL(109,М[Сумма, руб])</f>
        <v>0</v>
      </c>
      <c r="H94" s="52"/>
      <c r="I94" s="47"/>
    </row>
    <row r="95" spans="1:9" ht="11.45" customHeight="1" x14ac:dyDescent="0.2">
      <c r="G95" s="70"/>
    </row>
    <row r="96" spans="1:9" ht="11.45" customHeight="1" x14ac:dyDescent="0.2">
      <c r="F96" s="86" t="s">
        <v>229</v>
      </c>
      <c r="G96" s="70">
        <f ca="1">ЛСР!L276-М[[#Totals],[Сумма,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93" xr:uid="{E3E3C539-DA35-4136-97EE-146EE7B40671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4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211</v>
      </c>
      <c r="B1" s="1" t="s">
        <v>212</v>
      </c>
    </row>
    <row r="2" spans="1:2" ht="11.1" customHeight="1" x14ac:dyDescent="0.2">
      <c r="A2" s="1" t="s">
        <v>213</v>
      </c>
      <c r="B2" s="1" t="s">
        <v>214</v>
      </c>
    </row>
    <row r="3" spans="1:2" ht="11.1" customHeight="1" x14ac:dyDescent="0.2">
      <c r="A3" s="1" t="s">
        <v>215</v>
      </c>
      <c r="B3" s="1" t="s">
        <v>216</v>
      </c>
    </row>
    <row r="4" spans="1:2" ht="11.1" customHeight="1" x14ac:dyDescent="0.2">
      <c r="A4" s="1" t="s">
        <v>217</v>
      </c>
      <c r="B4" s="1" t="s">
        <v>218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2026-07-22T08:39:49Z</dcterms:modified>
</cp:coreProperties>
</file>