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МЫС - ЖК Мириады\2 Очередь (ГП-105, 106, 107)\11 Внутренние сети\11.02-11.04, 11.07 ОВиК\На отправку в тендер\"/>
    </mc:Choice>
  </mc:AlternateContent>
  <xr:revisionPtr revIDLastSave="0" documentId="13_ncr:1_{F7550A66-3051-4365-A885-291453E996B0}" xr6:coauthVersionLast="47" xr6:coauthVersionMax="47" xr10:uidLastSave="{00000000-0000-0000-0000-000000000000}"/>
  <bookViews>
    <workbookView xWindow="285" yWindow="855" windowWidth="29430" windowHeight="18435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definedNames>
    <definedName name="_xlnm._FilterDatabase" localSheetId="0" hidden="1">ЛСР!$A$7:$L$170</definedName>
  </definedNames>
  <calcPr calcId="191029"/>
</workbook>
</file>

<file path=xl/calcChain.xml><?xml version="1.0" encoding="utf-8"?>
<calcChain xmlns="http://schemas.openxmlformats.org/spreadsheetml/2006/main">
  <c r="L64" i="1" l="1" a="1"/>
  <c r="L64" i="1" s="1"/>
  <c r="L63" i="1" a="1"/>
  <c r="L63" i="1" s="1"/>
  <c r="L161" i="1" a="1"/>
  <c r="L161" i="1" s="1"/>
  <c r="L160" i="1" a="1"/>
  <c r="L160" i="1" s="1"/>
  <c r="L159" i="1" a="1"/>
  <c r="L159" i="1" s="1"/>
  <c r="L158" i="1" a="1"/>
  <c r="L158" i="1" s="1"/>
  <c r="G11" i="3"/>
  <c r="G12" i="3"/>
  <c r="I64" i="1" a="1"/>
  <c r="I64" i="1" s="1"/>
  <c r="I63" i="1" a="1"/>
  <c r="I63" i="1" s="1"/>
  <c r="H63" i="1"/>
  <c r="H64" i="1"/>
  <c r="H158" i="1"/>
  <c r="H159" i="1"/>
  <c r="H160" i="1"/>
  <c r="H161" i="1"/>
  <c r="H13" i="1"/>
  <c r="I13" i="1" a="1"/>
  <c r="I13" i="1" s="1"/>
  <c r="J13" i="1" s="1"/>
  <c r="J12" i="1" s="1"/>
  <c r="H15" i="1"/>
  <c r="L15" i="1" a="1"/>
  <c r="L15" i="1" s="1"/>
  <c r="I15" i="1" a="1"/>
  <c r="I15" i="1" s="1"/>
  <c r="J15" i="1" s="1"/>
  <c r="H16" i="1"/>
  <c r="L16" i="1" a="1"/>
  <c r="L16" i="1" s="1"/>
  <c r="I16" i="1" a="1"/>
  <c r="I16" i="1" s="1"/>
  <c r="J16" i="1" s="1"/>
  <c r="H17" i="1"/>
  <c r="L17" i="1" a="1"/>
  <c r="L17" i="1" s="1"/>
  <c r="I17" i="1" a="1"/>
  <c r="I17" i="1" s="1"/>
  <c r="H18" i="1"/>
  <c r="L18" i="1" a="1"/>
  <c r="L18" i="1" s="1"/>
  <c r="I18" i="1" a="1"/>
  <c r="I18" i="1" s="1"/>
  <c r="H19" i="1"/>
  <c r="L19" i="1" a="1"/>
  <c r="L19" i="1" s="1"/>
  <c r="I19" i="1" a="1"/>
  <c r="I19" i="1" s="1"/>
  <c r="H20" i="1"/>
  <c r="L20" i="1" a="1"/>
  <c r="L20" i="1" s="1"/>
  <c r="I20" i="1" a="1"/>
  <c r="I20" i="1" s="1"/>
  <c r="H21" i="1"/>
  <c r="L21" i="1" a="1"/>
  <c r="L21" i="1" s="1"/>
  <c r="I21" i="1" a="1"/>
  <c r="I21" i="1" s="1"/>
  <c r="H22" i="1"/>
  <c r="L22" i="1" a="1"/>
  <c r="L22" i="1" s="1"/>
  <c r="I22" i="1" a="1"/>
  <c r="I22" i="1" s="1"/>
  <c r="J22" i="1" s="1"/>
  <c r="H24" i="1"/>
  <c r="I24" i="1" a="1"/>
  <c r="I24" i="1" s="1"/>
  <c r="J24" i="1" s="1"/>
  <c r="J23" i="1" s="1"/>
  <c r="H26" i="1"/>
  <c r="L26" i="1" a="1"/>
  <c r="L26" i="1" s="1"/>
  <c r="I26" i="1" a="1"/>
  <c r="I26" i="1" s="1"/>
  <c r="J26" i="1" s="1"/>
  <c r="H27" i="1"/>
  <c r="L27" i="1" a="1"/>
  <c r="L27" i="1" s="1"/>
  <c r="I27" i="1" a="1"/>
  <c r="I27" i="1" s="1"/>
  <c r="J27" i="1" s="1"/>
  <c r="H28" i="1"/>
  <c r="L28" i="1" a="1"/>
  <c r="L28" i="1" s="1"/>
  <c r="I28" i="1" a="1"/>
  <c r="I28" i="1" s="1"/>
  <c r="J28" i="1" s="1"/>
  <c r="H30" i="1"/>
  <c r="I30" i="1" a="1"/>
  <c r="I30" i="1" s="1"/>
  <c r="H32" i="1"/>
  <c r="L32" i="1" a="1"/>
  <c r="L32" i="1" s="1"/>
  <c r="I32" i="1" a="1"/>
  <c r="I32" i="1" s="1"/>
  <c r="J32" i="1" s="1"/>
  <c r="J31" i="1" s="1"/>
  <c r="H34" i="1"/>
  <c r="I34" i="1" a="1"/>
  <c r="I34" i="1" s="1"/>
  <c r="H36" i="1"/>
  <c r="L36" i="1" a="1"/>
  <c r="L36" i="1" s="1"/>
  <c r="I36" i="1" a="1"/>
  <c r="I36" i="1" s="1"/>
  <c r="J36" i="1" s="1"/>
  <c r="J35" i="1" s="1"/>
  <c r="H38" i="1"/>
  <c r="I38" i="1" a="1"/>
  <c r="I38" i="1" s="1"/>
  <c r="J38" i="1" s="1"/>
  <c r="J37" i="1" s="1"/>
  <c r="H40" i="1"/>
  <c r="L40" i="1" a="1"/>
  <c r="L40" i="1" s="1"/>
  <c r="I40" i="1" a="1"/>
  <c r="I40" i="1" s="1"/>
  <c r="J40" i="1" s="1"/>
  <c r="H41" i="1"/>
  <c r="L41" i="1" a="1"/>
  <c r="L41" i="1" s="1"/>
  <c r="I41" i="1" a="1"/>
  <c r="I41" i="1" s="1"/>
  <c r="J41" i="1" s="1"/>
  <c r="H42" i="1"/>
  <c r="L42" i="1" a="1"/>
  <c r="L42" i="1" s="1"/>
  <c r="I42" i="1" a="1"/>
  <c r="I42" i="1" s="1"/>
  <c r="J42" i="1" s="1"/>
  <c r="H43" i="1"/>
  <c r="L43" i="1" a="1"/>
  <c r="L43" i="1" s="1"/>
  <c r="I43" i="1" a="1"/>
  <c r="I43" i="1" s="1"/>
  <c r="H44" i="1"/>
  <c r="L44" i="1" a="1"/>
  <c r="L44" i="1" s="1"/>
  <c r="I44" i="1" a="1"/>
  <c r="I44" i="1" s="1"/>
  <c r="J44" i="1" s="1"/>
  <c r="H45" i="1"/>
  <c r="L45" i="1" a="1"/>
  <c r="L45" i="1" s="1"/>
  <c r="I45" i="1" a="1"/>
  <c r="I45" i="1" s="1"/>
  <c r="H47" i="1"/>
  <c r="I47" i="1" a="1"/>
  <c r="I47" i="1" s="1"/>
  <c r="H49" i="1"/>
  <c r="L49" i="1" a="1"/>
  <c r="L49" i="1" s="1"/>
  <c r="I49" i="1" a="1"/>
  <c r="I49" i="1" s="1"/>
  <c r="J49" i="1" s="1"/>
  <c r="J48" i="1" s="1"/>
  <c r="H51" i="1"/>
  <c r="I51" i="1" a="1"/>
  <c r="I51" i="1" s="1"/>
  <c r="H53" i="1"/>
  <c r="L53" i="1" a="1"/>
  <c r="L53" i="1" s="1"/>
  <c r="I53" i="1" a="1"/>
  <c r="I53" i="1" s="1"/>
  <c r="J53" i="1" s="1"/>
  <c r="H54" i="1"/>
  <c r="L54" i="1" a="1"/>
  <c r="L54" i="1" s="1"/>
  <c r="I54" i="1" a="1"/>
  <c r="I54" i="1" s="1"/>
  <c r="J54" i="1" s="1"/>
  <c r="H55" i="1"/>
  <c r="L55" i="1" a="1"/>
  <c r="L55" i="1" s="1"/>
  <c r="I55" i="1" a="1"/>
  <c r="I55" i="1" s="1"/>
  <c r="J55" i="1" s="1"/>
  <c r="H57" i="1"/>
  <c r="I57" i="1" a="1"/>
  <c r="I57" i="1" s="1"/>
  <c r="J57" i="1" s="1"/>
  <c r="J56" i="1" s="1"/>
  <c r="H59" i="1"/>
  <c r="L59" i="1" a="1"/>
  <c r="L59" i="1" s="1"/>
  <c r="I59" i="1" a="1"/>
  <c r="I59" i="1" s="1"/>
  <c r="J59" i="1" s="1"/>
  <c r="J58" i="1" s="1"/>
  <c r="H61" i="1"/>
  <c r="I61" i="1" a="1"/>
  <c r="I61" i="1" s="1"/>
  <c r="J61" i="1" s="1"/>
  <c r="J60" i="1" s="1"/>
  <c r="H65" i="1"/>
  <c r="L65" i="1" a="1"/>
  <c r="L65" i="1" s="1"/>
  <c r="I65" i="1" a="1"/>
  <c r="I65" i="1" s="1"/>
  <c r="J65" i="1" s="1"/>
  <c r="H67" i="1"/>
  <c r="I67" i="1" a="1"/>
  <c r="I67" i="1" s="1"/>
  <c r="J67" i="1" s="1"/>
  <c r="J66" i="1" s="1"/>
  <c r="H69" i="1"/>
  <c r="L69" i="1" a="1"/>
  <c r="L69" i="1" s="1"/>
  <c r="I69" i="1" a="1"/>
  <c r="I69" i="1" s="1"/>
  <c r="H71" i="1"/>
  <c r="I71" i="1" a="1"/>
  <c r="I71" i="1" s="1"/>
  <c r="J71" i="1" s="1"/>
  <c r="J70" i="1" s="1"/>
  <c r="H73" i="1"/>
  <c r="L73" i="1" a="1"/>
  <c r="L73" i="1" s="1"/>
  <c r="I73" i="1" a="1"/>
  <c r="I73" i="1" s="1"/>
  <c r="J73" i="1" s="1"/>
  <c r="H74" i="1"/>
  <c r="L74" i="1" a="1"/>
  <c r="L74" i="1" s="1"/>
  <c r="I74" i="1" a="1"/>
  <c r="I74" i="1" s="1"/>
  <c r="H75" i="1"/>
  <c r="L75" i="1" a="1"/>
  <c r="L75" i="1" s="1"/>
  <c r="I75" i="1" a="1"/>
  <c r="I75" i="1" s="1"/>
  <c r="H76" i="1"/>
  <c r="L76" i="1" a="1"/>
  <c r="L76" i="1" s="1"/>
  <c r="I76" i="1" a="1"/>
  <c r="I76" i="1" s="1"/>
  <c r="H77" i="1"/>
  <c r="L77" i="1" a="1"/>
  <c r="L77" i="1" s="1"/>
  <c r="I77" i="1" a="1"/>
  <c r="I77" i="1" s="1"/>
  <c r="H78" i="1"/>
  <c r="L78" i="1" a="1"/>
  <c r="L78" i="1" s="1"/>
  <c r="I78" i="1" a="1"/>
  <c r="I78" i="1" s="1"/>
  <c r="H79" i="1"/>
  <c r="L79" i="1" a="1"/>
  <c r="L79" i="1" s="1"/>
  <c r="I79" i="1" a="1"/>
  <c r="I79" i="1" s="1"/>
  <c r="J79" i="1" s="1"/>
  <c r="H80" i="1"/>
  <c r="L80" i="1" a="1"/>
  <c r="L80" i="1" s="1"/>
  <c r="I80" i="1" a="1"/>
  <c r="I80" i="1" s="1"/>
  <c r="J80" i="1" s="1"/>
  <c r="H82" i="1"/>
  <c r="I82" i="1" a="1"/>
  <c r="I82" i="1" s="1"/>
  <c r="J82" i="1" s="1"/>
  <c r="J81" i="1" s="1"/>
  <c r="H84" i="1"/>
  <c r="L84" i="1" a="1"/>
  <c r="L84" i="1" s="1"/>
  <c r="I84" i="1" a="1"/>
  <c r="I84" i="1" s="1"/>
  <c r="H86" i="1"/>
  <c r="I86" i="1" a="1"/>
  <c r="I86" i="1" s="1"/>
  <c r="J86" i="1" s="1"/>
  <c r="J85" i="1" s="1"/>
  <c r="H88" i="1"/>
  <c r="L88" i="1" a="1"/>
  <c r="L88" i="1" s="1"/>
  <c r="I88" i="1" a="1"/>
  <c r="I88" i="1" s="1"/>
  <c r="H89" i="1"/>
  <c r="L89" i="1" a="1"/>
  <c r="L89" i="1" s="1"/>
  <c r="I89" i="1" a="1"/>
  <c r="I89" i="1" s="1"/>
  <c r="H90" i="1"/>
  <c r="L90" i="1" a="1"/>
  <c r="L90" i="1" s="1"/>
  <c r="I90" i="1" a="1"/>
  <c r="I90" i="1" s="1"/>
  <c r="H92" i="1"/>
  <c r="I92" i="1" a="1"/>
  <c r="I92" i="1" s="1"/>
  <c r="H94" i="1"/>
  <c r="L94" i="1" a="1"/>
  <c r="L94" i="1" s="1"/>
  <c r="I94" i="1" a="1"/>
  <c r="I94" i="1" s="1"/>
  <c r="H95" i="1"/>
  <c r="L95" i="1" a="1"/>
  <c r="L95" i="1" s="1"/>
  <c r="I95" i="1" a="1"/>
  <c r="I95" i="1" s="1"/>
  <c r="J95" i="1" s="1"/>
  <c r="H96" i="1"/>
  <c r="L96" i="1" a="1"/>
  <c r="L96" i="1" s="1"/>
  <c r="I96" i="1" a="1"/>
  <c r="I96" i="1" s="1"/>
  <c r="J96" i="1" s="1"/>
  <c r="H98" i="1"/>
  <c r="I98" i="1" a="1"/>
  <c r="I98" i="1" s="1"/>
  <c r="J98" i="1" s="1"/>
  <c r="J97" i="1" s="1"/>
  <c r="H100" i="1"/>
  <c r="L100" i="1" a="1"/>
  <c r="L100" i="1" s="1"/>
  <c r="I100" i="1" a="1"/>
  <c r="I100" i="1" s="1"/>
  <c r="J100" i="1" s="1"/>
  <c r="H101" i="1"/>
  <c r="L101" i="1" a="1"/>
  <c r="L101" i="1" s="1"/>
  <c r="I101" i="1" a="1"/>
  <c r="I101" i="1" s="1"/>
  <c r="H165" i="1"/>
  <c r="I165" i="1" a="1"/>
  <c r="I165" i="1" s="1"/>
  <c r="J165" i="1" s="1"/>
  <c r="J164" i="1" s="1"/>
  <c r="J163" i="1" s="1"/>
  <c r="J162" i="1" s="1"/>
  <c r="H105" i="1"/>
  <c r="I105" i="1" a="1"/>
  <c r="I105" i="1" s="1"/>
  <c r="J105" i="1" s="1"/>
  <c r="J104" i="1" s="1"/>
  <c r="H107" i="1"/>
  <c r="I107" i="1" a="1"/>
  <c r="I107" i="1" s="1"/>
  <c r="J107" i="1" s="1"/>
  <c r="J106" i="1" s="1"/>
  <c r="H109" i="1"/>
  <c r="L109" i="1" a="1"/>
  <c r="L109" i="1" s="1"/>
  <c r="I109" i="1" a="1"/>
  <c r="I109" i="1" s="1"/>
  <c r="J109" i="1" s="1"/>
  <c r="H110" i="1"/>
  <c r="L110" i="1" a="1"/>
  <c r="L110" i="1" s="1"/>
  <c r="I110" i="1" a="1"/>
  <c r="I110" i="1" s="1"/>
  <c r="J110" i="1" s="1"/>
  <c r="H112" i="1"/>
  <c r="I112" i="1" a="1"/>
  <c r="I112" i="1" s="1"/>
  <c r="J112" i="1" s="1"/>
  <c r="J111" i="1" s="1"/>
  <c r="H114" i="1"/>
  <c r="L114" i="1" a="1"/>
  <c r="L114" i="1" s="1"/>
  <c r="I114" i="1" a="1"/>
  <c r="I114" i="1" s="1"/>
  <c r="J114" i="1" s="1"/>
  <c r="H115" i="1"/>
  <c r="L115" i="1" a="1"/>
  <c r="L115" i="1" s="1"/>
  <c r="I115" i="1" a="1"/>
  <c r="I115" i="1" s="1"/>
  <c r="H117" i="1"/>
  <c r="I117" i="1" a="1"/>
  <c r="I117" i="1" s="1"/>
  <c r="J117" i="1" s="1"/>
  <c r="J116" i="1" s="1"/>
  <c r="H119" i="1"/>
  <c r="L119" i="1" a="1"/>
  <c r="L119" i="1" s="1"/>
  <c r="I119" i="1" a="1"/>
  <c r="I119" i="1" s="1"/>
  <c r="J119" i="1" s="1"/>
  <c r="H120" i="1"/>
  <c r="L120" i="1" a="1"/>
  <c r="L120" i="1" s="1"/>
  <c r="I120" i="1" a="1"/>
  <c r="I120" i="1" s="1"/>
  <c r="J120" i="1" s="1"/>
  <c r="H123" i="1"/>
  <c r="I123" i="1" a="1"/>
  <c r="I123" i="1" s="1"/>
  <c r="J123" i="1" s="1"/>
  <c r="J122" i="1" s="1"/>
  <c r="H125" i="1"/>
  <c r="I125" i="1" a="1"/>
  <c r="I125" i="1" s="1"/>
  <c r="J125" i="1" s="1"/>
  <c r="J124" i="1" s="1"/>
  <c r="H127" i="1"/>
  <c r="L127" i="1" a="1"/>
  <c r="L127" i="1" s="1"/>
  <c r="I127" i="1" a="1"/>
  <c r="I127" i="1" s="1"/>
  <c r="J127" i="1" s="1"/>
  <c r="H128" i="1"/>
  <c r="L128" i="1" a="1"/>
  <c r="L128" i="1" s="1"/>
  <c r="I128" i="1" a="1"/>
  <c r="I128" i="1" s="1"/>
  <c r="J128" i="1" s="1"/>
  <c r="H130" i="1"/>
  <c r="I130" i="1" a="1"/>
  <c r="I130" i="1" s="1"/>
  <c r="J130" i="1" s="1"/>
  <c r="J129" i="1" s="1"/>
  <c r="H132" i="1"/>
  <c r="L132" i="1" a="1"/>
  <c r="L132" i="1" s="1"/>
  <c r="I132" i="1" a="1"/>
  <c r="I132" i="1" s="1"/>
  <c r="H134" i="1"/>
  <c r="I134" i="1" a="1"/>
  <c r="I134" i="1" s="1"/>
  <c r="J134" i="1" s="1"/>
  <c r="J133" i="1" s="1"/>
  <c r="H136" i="1"/>
  <c r="L136" i="1" a="1"/>
  <c r="L136" i="1" s="1"/>
  <c r="I136" i="1" a="1"/>
  <c r="I136" i="1" s="1"/>
  <c r="H137" i="1"/>
  <c r="L137" i="1" a="1"/>
  <c r="L137" i="1" s="1"/>
  <c r="I137" i="1" a="1"/>
  <c r="I137" i="1" s="1"/>
  <c r="H138" i="1"/>
  <c r="L138" i="1" a="1"/>
  <c r="L138" i="1" s="1"/>
  <c r="I138" i="1" a="1"/>
  <c r="I138" i="1" s="1"/>
  <c r="J138" i="1" s="1"/>
  <c r="H140" i="1"/>
  <c r="I140" i="1" a="1"/>
  <c r="I140" i="1" s="1"/>
  <c r="J140" i="1" s="1"/>
  <c r="J139" i="1" s="1"/>
  <c r="H142" i="1"/>
  <c r="L142" i="1" a="1"/>
  <c r="L142" i="1" s="1"/>
  <c r="I142" i="1" a="1"/>
  <c r="I142" i="1" s="1"/>
  <c r="J142" i="1" s="1"/>
  <c r="H143" i="1"/>
  <c r="L143" i="1" a="1"/>
  <c r="L143" i="1" s="1"/>
  <c r="I143" i="1" a="1"/>
  <c r="I143" i="1" s="1"/>
  <c r="H146" i="1"/>
  <c r="I146" i="1" a="1"/>
  <c r="I146" i="1" s="1"/>
  <c r="J146" i="1" s="1"/>
  <c r="J145" i="1" s="1"/>
  <c r="H148" i="1"/>
  <c r="L148" i="1" a="1"/>
  <c r="L148" i="1" s="1"/>
  <c r="I148" i="1" a="1"/>
  <c r="I148" i="1" s="1"/>
  <c r="H150" i="1"/>
  <c r="I150" i="1" a="1"/>
  <c r="I150" i="1" s="1"/>
  <c r="J150" i="1" s="1"/>
  <c r="J149" i="1" s="1"/>
  <c r="H152" i="1"/>
  <c r="L152" i="1" a="1"/>
  <c r="L152" i="1" s="1"/>
  <c r="I152" i="1" a="1"/>
  <c r="I152" i="1" s="1"/>
  <c r="J152" i="1" s="1"/>
  <c r="J151" i="1" s="1"/>
  <c r="H154" i="1"/>
  <c r="I154" i="1" a="1"/>
  <c r="I154" i="1" s="1"/>
  <c r="J154" i="1" s="1"/>
  <c r="J153" i="1" s="1"/>
  <c r="H156" i="1"/>
  <c r="L156" i="1" a="1"/>
  <c r="L156" i="1" s="1"/>
  <c r="I156" i="1" a="1"/>
  <c r="I156" i="1" s="1"/>
  <c r="J156" i="1" s="1"/>
  <c r="J155" i="1" s="1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0" i="3"/>
  <c r="G9" i="3"/>
  <c r="G8" i="3"/>
  <c r="G7" i="3"/>
  <c r="G6" i="3"/>
  <c r="G5" i="3"/>
  <c r="G4" i="3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22" i="2"/>
  <c r="J148" i="1" l="1"/>
  <c r="J147" i="1" s="1"/>
  <c r="J64" i="1"/>
  <c r="J63" i="1"/>
  <c r="J62" i="1" s="1"/>
  <c r="J30" i="1"/>
  <c r="J29" i="1" s="1"/>
  <c r="J43" i="1"/>
  <c r="J101" i="1"/>
  <c r="J99" i="1" s="1"/>
  <c r="J115" i="1"/>
  <c r="J113" i="1" s="1"/>
  <c r="J84" i="1"/>
  <c r="J143" i="1"/>
  <c r="J141" i="1" s="1"/>
  <c r="J69" i="1"/>
  <c r="J68" i="1" s="1"/>
  <c r="J144" i="1"/>
  <c r="J92" i="1"/>
  <c r="J91" i="1" s="1"/>
  <c r="J45" i="1"/>
  <c r="J94" i="1"/>
  <c r="J93" i="1" s="1"/>
  <c r="J137" i="1"/>
  <c r="J51" i="1"/>
  <c r="J50" i="1" s="1"/>
  <c r="J118" i="1"/>
  <c r="J136" i="1"/>
  <c r="J74" i="1"/>
  <c r="J52" i="1"/>
  <c r="J25" i="1"/>
  <c r="J108" i="1"/>
  <c r="J126" i="1"/>
  <c r="J34" i="1"/>
  <c r="J33" i="1" s="1"/>
  <c r="J75" i="1"/>
  <c r="J76" i="1"/>
  <c r="J17" i="1"/>
  <c r="J19" i="1"/>
  <c r="J47" i="1"/>
  <c r="J46" i="1" s="1"/>
  <c r="J20" i="1"/>
  <c r="J77" i="1"/>
  <c r="J18" i="1"/>
  <c r="J21" i="1"/>
  <c r="J78" i="1"/>
  <c r="J88" i="1"/>
  <c r="J89" i="1"/>
  <c r="J90" i="1"/>
  <c r="J132" i="1"/>
  <c r="J131" i="1" s="1"/>
  <c r="J39" i="1" l="1"/>
  <c r="J83" i="1"/>
  <c r="J159" i="1"/>
  <c r="J167" i="1"/>
  <c r="E24" i="2" s="1"/>
  <c r="J161" i="1"/>
  <c r="J160" i="1"/>
  <c r="J135" i="1"/>
  <c r="J121" i="1" s="1"/>
  <c r="J158" i="1"/>
  <c r="J103" i="1"/>
  <c r="J14" i="1"/>
  <c r="J72" i="1"/>
  <c r="J87" i="1"/>
  <c r="J157" i="1" l="1"/>
  <c r="J168" i="1" s="1"/>
  <c r="J11" i="1"/>
  <c r="J10" i="1" s="1"/>
  <c r="J102" i="1"/>
  <c r="J9" i="1" l="1"/>
  <c r="J166" i="1" l="1"/>
  <c r="G52" i="3"/>
  <c r="G54" i="3"/>
  <c r="G51" i="3"/>
  <c r="G53" i="3"/>
  <c r="G55" i="3" l="1"/>
  <c r="G57" i="3" s="1"/>
</calcChain>
</file>

<file path=xl/sharedStrings.xml><?xml version="1.0" encoding="utf-8"?>
<sst xmlns="http://schemas.openxmlformats.org/spreadsheetml/2006/main" count="642" uniqueCount="165">
  <si>
    <t>Локальный сметный расчет (ЛСР) №10</t>
  </si>
  <si>
    <t>Объект: «Комплексная застройка территории, расположенной в границах улиц: Тобольский тракт - Обход города Тюмени (мкр. Губернаторский). Второй этап». Многоэтажный жилой дом со встроенными и пристроенными помещениями общественного назначения и дошкольным образовательным учреждением на 110 мест ГП-72.110 Секция 2</t>
  </si>
  <si>
    <t>Ведомость объемов работ и расхода материалов по работе: Устройство системы водоснабжения и сопутствующим работам (согласно проекту шифр ВК,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</si>
  <si>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</si>
  <si>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</si>
  <si>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</si>
  <si>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</si>
  <si>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</si>
  <si>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</si>
  <si>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2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</si>
  <si>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</si>
  <si>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</si>
  <si>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</si>
  <si>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</si>
  <si>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</si>
  <si>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11</t>
  </si>
  <si>
    <t>Внутренние инженерные сети</t>
  </si>
  <si>
    <t>11.02</t>
  </si>
  <si>
    <t>Устройство системы водоснабжения</t>
  </si>
  <si>
    <t>11.02.02</t>
  </si>
  <si>
    <t>Устройство водоснабжения (горизонтальная разводка)</t>
  </si>
  <si>
    <t>11.02.02.00</t>
  </si>
  <si>
    <t>Работы:</t>
  </si>
  <si>
    <t>Изоляция трубопровода</t>
  </si>
  <si>
    <t>м</t>
  </si>
  <si>
    <t>Материалы:</t>
  </si>
  <si>
    <t>1</t>
  </si>
  <si>
    <t>Теплоизоляция трубная</t>
  </si>
  <si>
    <t>32х13мм вспененный полиэтилен</t>
  </si>
  <si>
    <t>пог. м</t>
  </si>
  <si>
    <t>2</t>
  </si>
  <si>
    <t>76х13мм вспененный полиэтилен</t>
  </si>
  <si>
    <t>3</t>
  </si>
  <si>
    <t>50х13мм вспененный полиэтилен</t>
  </si>
  <si>
    <t>4</t>
  </si>
  <si>
    <t>92х13мм вспененный полиэтилен</t>
  </si>
  <si>
    <t>5</t>
  </si>
  <si>
    <t>63х13мм вспененный полиэтилен</t>
  </si>
  <si>
    <t>6</t>
  </si>
  <si>
    <t>22х13мм вспененный полиэтилен</t>
  </si>
  <si>
    <t>7</t>
  </si>
  <si>
    <t>28х13мм вспененный полиэтилен</t>
  </si>
  <si>
    <t>8</t>
  </si>
  <si>
    <t>42х13мм вспененный полиэтилен</t>
  </si>
  <si>
    <t>Монтаж затвора</t>
  </si>
  <si>
    <t>шт</t>
  </si>
  <si>
    <t>Затвор поворотный дисковый</t>
  </si>
  <si>
    <t>межфланцевый Ду-80 Py-16bar ручной с контролем положения</t>
  </si>
  <si>
    <t>межфланцевый Ду-100 Py-10bar ручной с контролем положения</t>
  </si>
  <si>
    <t>межфланцевый Ду-50 Py-16bar ручной с контролем положения</t>
  </si>
  <si>
    <t>Монтаж клапана (фланцевые, резьбовые) до 32 мм</t>
  </si>
  <si>
    <t>Клапан обратный</t>
  </si>
  <si>
    <t>муфтовый Ду-25 Ру-16бар</t>
  </si>
  <si>
    <t>Монтаж клапана (фланцевые, резьбовые) от 40 мм</t>
  </si>
  <si>
    <t>Межфланцевый Ду-80 Ру-16бар</t>
  </si>
  <si>
    <t>Монтаж кранов (фланцевые, резьбовые) до 32 мм</t>
  </si>
  <si>
    <t>Кран шаровой</t>
  </si>
  <si>
    <t>Ду-15 полнопроходный с НГ</t>
  </si>
  <si>
    <t>Ду-20 полнопроходный с НГ</t>
  </si>
  <si>
    <t>Ду-25 полнопроходный с НГ</t>
  </si>
  <si>
    <t>В/В Ду-15 полнопроходной</t>
  </si>
  <si>
    <t>В/В Ду-20 полнопроходной</t>
  </si>
  <si>
    <t>Кран трехходовой для манометра</t>
  </si>
  <si>
    <t>Ду-15 Ру-16 G1/2-М20х1,5 латунь</t>
  </si>
  <si>
    <t>Монтаж кранов (фланцевые, резьбовые) от 40 мм</t>
  </si>
  <si>
    <t>полнопроходной c НГ Ду-40</t>
  </si>
  <si>
    <t>Монтаж насосной установки повышения давления</t>
  </si>
  <si>
    <t>Насосная установка повышения давления</t>
  </si>
  <si>
    <t>Q=7.31 м3/час Н=30 м</t>
  </si>
  <si>
    <t>ANTARUS 3 MLH4-4_3-II_GPRS
Q=7,31м3/ч; Н=0,3МПа; N=2,25кВт</t>
  </si>
  <si>
    <t>Виброкомпенсатор</t>
  </si>
  <si>
    <t>фланцевый Ду-50 Ру-16</t>
  </si>
  <si>
    <t>фланцевый Ду-80 Ру-16</t>
  </si>
  <si>
    <t>Монтаж НСПС</t>
  </si>
  <si>
    <t>Неразъемное соединение</t>
  </si>
  <si>
    <t>НСПС ПЭ-100 SDR11,0 Д-110х108</t>
  </si>
  <si>
    <t>Монтаж счетчика</t>
  </si>
  <si>
    <t>Счетчик воды</t>
  </si>
  <si>
    <t>с импульсным выходом Ду-20 Qn- L-</t>
  </si>
  <si>
    <t>Пульсар</t>
  </si>
  <si>
    <t>Монтаж фильтра</t>
  </si>
  <si>
    <t>Фильтр сетчатый</t>
  </si>
  <si>
    <t>муфтовый ВР-ВР Ду-25 латунь</t>
  </si>
  <si>
    <t>Прокладка трубы ППН</t>
  </si>
  <si>
    <t>Труба полипропиленовая</t>
  </si>
  <si>
    <t>PPH PN20 DN90х15 арм.стекловолокно</t>
  </si>
  <si>
    <t>PPH PN25 DN25х4,2 арм.стекловолокно</t>
  </si>
  <si>
    <t>PPH PN20 DN63х8,6 арм.стекловолокно</t>
  </si>
  <si>
    <t>PPH PN20 DN50х6,9 арм.стекловолокно</t>
  </si>
  <si>
    <t>PPH PN20 DN20х3,4 арм.стекловолокно</t>
  </si>
  <si>
    <t>PPH PN20 DN32х5,4 арм.стекловолокно</t>
  </si>
  <si>
    <t>PPH PN20 DN40х6,7 арм.стекловолокно</t>
  </si>
  <si>
    <t>PPH PN20 DN75х12,5 арм.стекловолокно</t>
  </si>
  <si>
    <t>Прокладка трубы ПЭ</t>
  </si>
  <si>
    <t>Труба полиэтиленовая (пог.м.)</t>
  </si>
  <si>
    <t>ПЭ-100 SDR17,0 DN110х6,6</t>
  </si>
  <si>
    <t>Прокладка трубы стальной до 40 мм</t>
  </si>
  <si>
    <t>Труба стальная</t>
  </si>
  <si>
    <t>12Х18Н10Т сварка D-45х3.0</t>
  </si>
  <si>
    <t>12Х18Н10Т сварка D-20х2.5</t>
  </si>
  <si>
    <t>12Х18Н10Т сварка D-32х3,0</t>
  </si>
  <si>
    <t>Прокладка трубы стальной от 57 мм</t>
  </si>
  <si>
    <t>12Х18Н10Т сварка D-108x4.0</t>
  </si>
  <si>
    <t>12Х18Н10Т сварка D-57x3.5</t>
  </si>
  <si>
    <t>12Х18Н10Т сварка D-89х4.0</t>
  </si>
  <si>
    <t>%</t>
  </si>
  <si>
    <t>Клапан балансировочный</t>
  </si>
  <si>
    <t>ручной MVT-R Ду-15 Ру-16бар</t>
  </si>
  <si>
    <t>ручной MVT-R Ду-20 Ру-16бар</t>
  </si>
  <si>
    <t>11.02.03</t>
  </si>
  <si>
    <t>ПНР</t>
  </si>
  <si>
    <t>11.02.03.00</t>
  </si>
  <si>
    <t>Пусконаладочные работы системы водоснабжения: регулировка системы, манометрические испытания</t>
  </si>
  <si>
    <t>компл.</t>
  </si>
  <si>
    <t>11.02.04</t>
  </si>
  <si>
    <t>Устройство стояков для горизонтальной системы водоснабжения</t>
  </si>
  <si>
    <t>11.02.04.01</t>
  </si>
  <si>
    <t>Устройство водоснабжения В-1</t>
  </si>
  <si>
    <t>Бурение отверстий до 80мм</t>
  </si>
  <si>
    <t>Монтаж трубной изоляции</t>
  </si>
  <si>
    <t>11.02.04.02</t>
  </si>
  <si>
    <t>Устройство водоснабжения Т-3</t>
  </si>
  <si>
    <t>Монтаж автоматического воздухоотводчика</t>
  </si>
  <si>
    <t>Воздухоотводчик</t>
  </si>
  <si>
    <t>автоматический Ду-15 10bar</t>
  </si>
  <si>
    <t>Для воздухоотводчика</t>
  </si>
  <si>
    <t>11.02.04.03</t>
  </si>
  <si>
    <t>Устройство водоснабжения Т-4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</si>
  <si>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</si>
  <si>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</si>
  <si>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</si>
  <si>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</si>
  <si>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</si>
  <si>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</si>
  <si>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</si>
  <si>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</si>
  <si>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</si>
  <si>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</si>
  <si>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ЛСР</t>
  </si>
  <si>
    <t>ЛСРГуид</t>
  </si>
  <si>
    <t>ГП-72.110.02.11.02 Секция 2_Устройство системы водоснабжения №1</t>
  </si>
  <si>
    <t>e0954459-0b1d-11f1-9615-c3a03c77643a</t>
  </si>
  <si>
    <t>Итог</t>
  </si>
  <si>
    <t>Фитинги для ППН трубы</t>
  </si>
  <si>
    <t>Фитинги для ПЭ трубы</t>
  </si>
  <si>
    <t>Фитинги для стальной трубы</t>
  </si>
  <si>
    <t>Прочие материалы</t>
  </si>
  <si>
    <t>ИТОГО по сметному расчету, в тч НДС:</t>
  </si>
  <si>
    <t>в тч НДС ____%</t>
  </si>
  <si>
    <t>Присоединители для счетчика</t>
  </si>
  <si>
    <t>Вставка ремонтная</t>
  </si>
  <si>
    <t>для счетчика Ду20 мм</t>
  </si>
  <si>
    <t xml:space="preserve"> ответные фланцы+ прокладки</t>
  </si>
  <si>
    <t>указать %</t>
  </si>
  <si>
    <t>Примечание:</t>
  </si>
  <si>
    <t>-</t>
  </si>
  <si>
    <t>В стоимость пусконоладочных работ входит: ПНР Насосной станции ХП, Атоматизация (узлов учета воды, повысительной НУ) с учетом материалов</t>
  </si>
  <si>
    <t>Учитывать, что подрядчику необходимо предоставить Акт на инструментальный контроль противопожарного водопровода</t>
  </si>
  <si>
    <t>В случае, если один из перечисленных прочих/фасонных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</si>
  <si>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</si>
  <si>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</si>
  <si>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</t>
  </si>
  <si>
    <t>Стоимость Работ по настоящему Договору является твердой и включает в себя все виды работ, необходимые для выполнения полного комплекса работ (в случае необходимости закрытия объема больше, чем предусмотрено ЛСР, расценки на работы подлежат корректировке в меньшую сторону с сохранением твердой стоимости работ)</t>
  </si>
  <si>
    <t>Проверка:</t>
  </si>
  <si>
    <t>для всех разделов, расчитывается от стоимости материалов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</si>
</sst>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0\ _₽"/>
  </numFmts>
  <fonts count="17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color rgb="FFFF0000"/>
      <name val="Arial"/>
      <family val="2"/>
      <charset val="204"/>
    </font>
    <font>
      <sz val="8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name val="Times New Roman"/>
      <family val="1"/>
      <charset val="204"/>
    </font>
    <font>
      <b/>
      <i/>
      <u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2"/>
      <charset val="204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C00000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5">
    <xf numFmtId="0" fontId="0" fillId="0" borderId="0"/>
    <xf numFmtId="0" fontId="11" fillId="0" borderId="0"/>
    <xf numFmtId="0" fontId="1" fillId="0" borderId="0"/>
    <xf numFmtId="0" fontId="12" fillId="0" borderId="0"/>
    <xf numFmtId="0" fontId="1" fillId="0" borderId="0"/>
  </cellStyleXfs>
  <cellXfs count="123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left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horizontal="right"/>
    </xf>
    <xf numFmtId="0" fontId="0" fillId="7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3" fillId="4" borderId="0" xfId="0" applyNumberFormat="1" applyFont="1" applyFill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4" fontId="3" fillId="6" borderId="5" xfId="0" applyNumberFormat="1" applyFont="1" applyFill="1" applyBorder="1" applyAlignment="1">
      <alignment horizontal="right" vertical="center"/>
    </xf>
    <xf numFmtId="0" fontId="5" fillId="5" borderId="5" xfId="0" applyFont="1" applyFill="1" applyBorder="1" applyAlignment="1">
      <alignment horizontal="left" wrapText="1"/>
    </xf>
    <xf numFmtId="0" fontId="5" fillId="5" borderId="5" xfId="0" applyFont="1" applyFill="1" applyBorder="1" applyAlignment="1">
      <alignment horizontal="left" vertical="center" wrapText="1"/>
    </xf>
    <xf numFmtId="1" fontId="5" fillId="8" borderId="5" xfId="0" applyNumberFormat="1" applyFont="1" applyFill="1" applyBorder="1" applyAlignment="1">
      <alignment horizontal="right" vertical="center"/>
    </xf>
    <xf numFmtId="4" fontId="3" fillId="6" borderId="7" xfId="0" applyNumberFormat="1" applyFont="1" applyFill="1" applyBorder="1" applyAlignment="1">
      <alignment horizontal="right" vertical="center"/>
    </xf>
    <xf numFmtId="0" fontId="5" fillId="5" borderId="5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1" fontId="0" fillId="8" borderId="5" xfId="0" applyNumberFormat="1" applyFill="1" applyBorder="1" applyAlignment="1">
      <alignment horizontal="right" vertical="center"/>
    </xf>
    <xf numFmtId="0" fontId="0" fillId="0" borderId="5" xfId="0" applyBorder="1" applyAlignment="1">
      <alignment horizontal="center"/>
    </xf>
    <xf numFmtId="0" fontId="7" fillId="4" borderId="5" xfId="0" applyFont="1" applyFill="1" applyBorder="1" applyAlignment="1">
      <alignment horizontal="left" wrapText="1"/>
    </xf>
    <xf numFmtId="0" fontId="5" fillId="4" borderId="5" xfId="0" applyFont="1" applyFill="1" applyBorder="1" applyAlignment="1">
      <alignment horizontal="center" vertical="center"/>
    </xf>
    <xf numFmtId="4" fontId="5" fillId="4" borderId="5" xfId="0" applyNumberFormat="1" applyFont="1" applyFill="1" applyBorder="1" applyAlignment="1">
      <alignment horizontal="center" vertical="center"/>
    </xf>
    <xf numFmtId="4" fontId="7" fillId="4" borderId="0" xfId="0" applyNumberFormat="1" applyFont="1" applyFill="1" applyAlignment="1">
      <alignment horizontal="right" vertical="center"/>
    </xf>
    <xf numFmtId="0" fontId="5" fillId="5" borderId="5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right" vertical="center"/>
    </xf>
    <xf numFmtId="1" fontId="5" fillId="5" borderId="5" xfId="0" applyNumberFormat="1" applyFont="1" applyFill="1" applyBorder="1" applyAlignment="1">
      <alignment horizontal="right" vertical="center"/>
    </xf>
    <xf numFmtId="4" fontId="5" fillId="5" borderId="5" xfId="0" applyNumberFormat="1" applyFont="1" applyFill="1" applyBorder="1" applyAlignment="1">
      <alignment horizontal="right" vertical="center"/>
    </xf>
    <xf numFmtId="0" fontId="5" fillId="6" borderId="7" xfId="0" applyFont="1" applyFill="1" applyBorder="1" applyAlignment="1">
      <alignment horizontal="center"/>
    </xf>
    <xf numFmtId="1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165" fontId="10" fillId="0" borderId="0" xfId="0" applyNumberFormat="1" applyFont="1" applyAlignment="1">
      <alignment horizontal="center" vertical="center"/>
    </xf>
    <xf numFmtId="4" fontId="8" fillId="0" borderId="0" xfId="0" applyNumberFormat="1" applyFont="1" applyAlignment="1">
      <alignment horizontal="center" vertical="center"/>
    </xf>
    <xf numFmtId="1" fontId="8" fillId="0" borderId="0" xfId="1" applyNumberFormat="1" applyFont="1" applyAlignment="1">
      <alignment horizontal="center" vertical="center"/>
    </xf>
    <xf numFmtId="0" fontId="12" fillId="0" borderId="0" xfId="3" applyAlignment="1">
      <alignment vertical="center"/>
    </xf>
    <xf numFmtId="0" fontId="13" fillId="0" borderId="0" xfId="3" applyFont="1" applyAlignment="1">
      <alignment vertical="center"/>
    </xf>
    <xf numFmtId="4" fontId="13" fillId="0" borderId="0" xfId="3" applyNumberFormat="1" applyFont="1" applyAlignment="1">
      <alignment vertical="center"/>
    </xf>
    <xf numFmtId="0" fontId="14" fillId="0" borderId="0" xfId="1" applyFont="1" applyAlignment="1">
      <alignment horizontal="center" vertical="center"/>
    </xf>
    <xf numFmtId="0" fontId="8" fillId="0" borderId="0" xfId="3" applyFont="1"/>
    <xf numFmtId="0" fontId="14" fillId="0" borderId="0" xfId="3" applyFont="1"/>
    <xf numFmtId="4" fontId="14" fillId="0" borderId="0" xfId="3" applyNumberFormat="1" applyFont="1"/>
    <xf numFmtId="49" fontId="8" fillId="0" borderId="0" xfId="1" applyNumberFormat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5" fillId="0" borderId="0" xfId="0" applyFont="1" applyAlignment="1">
      <alignment horizontal="right" vertical="center"/>
    </xf>
    <xf numFmtId="4" fontId="0" fillId="0" borderId="0" xfId="0" applyNumberFormat="1" applyAlignment="1">
      <alignment horizontal="left"/>
    </xf>
    <xf numFmtId="0" fontId="15" fillId="0" borderId="0" xfId="0" applyFont="1" applyAlignment="1">
      <alignment horizontal="left" vertical="center" wrapText="1"/>
    </xf>
    <xf numFmtId="0" fontId="16" fillId="9" borderId="0" xfId="0" applyFont="1" applyFill="1" applyAlignment="1">
      <alignment horizontal="left" vertical="center" wrapText="1"/>
    </xf>
    <xf numFmtId="0" fontId="8" fillId="0" borderId="0" xfId="2" applyFont="1" applyAlignment="1">
      <alignment horizontal="left" vertical="center" wrapText="1"/>
    </xf>
    <xf numFmtId="0" fontId="14" fillId="0" borderId="0" xfId="4" applyFont="1" applyAlignment="1">
      <alignment horizontal="left" vertical="center" wrapText="1"/>
    </xf>
    <xf numFmtId="0" fontId="3" fillId="7" borderId="7" xfId="0" applyFont="1" applyFill="1" applyBorder="1" applyAlignment="1">
      <alignment horizontal="center" vertical="center" wrapText="1"/>
    </xf>
    <xf numFmtId="4" fontId="3" fillId="7" borderId="7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 wrapText="1"/>
    </xf>
    <xf numFmtId="4" fontId="3" fillId="0" borderId="8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4" fillId="6" borderId="9" xfId="0" applyNumberFormat="1" applyFont="1" applyFill="1" applyBorder="1" applyAlignment="1">
      <alignment horizontal="right"/>
    </xf>
    <xf numFmtId="4" fontId="4" fillId="6" borderId="6" xfId="0" applyNumberFormat="1" applyFont="1" applyFill="1" applyBorder="1" applyAlignment="1">
      <alignment horizontal="right"/>
    </xf>
    <xf numFmtId="4" fontId="4" fillId="6" borderId="7" xfId="0" applyNumberFormat="1" applyFont="1" applyFill="1" applyBorder="1" applyAlignment="1">
      <alignment horizontal="right"/>
    </xf>
    <xf numFmtId="0" fontId="3" fillId="6" borderId="9" xfId="0" applyFont="1" applyFill="1" applyBorder="1" applyAlignment="1">
      <alignment horizontal="right"/>
    </xf>
    <xf numFmtId="0" fontId="3" fillId="6" borderId="6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4" fillId="6" borderId="9" xfId="0" applyFont="1" applyFill="1" applyBorder="1" applyAlignment="1">
      <alignment horizontal="right"/>
    </xf>
    <xf numFmtId="0" fontId="4" fillId="6" borderId="6" xfId="0" applyFont="1" applyFill="1" applyBorder="1" applyAlignment="1">
      <alignment horizontal="right"/>
    </xf>
    <xf numFmtId="0" fontId="4" fillId="6" borderId="7" xfId="0" applyFont="1" applyFill="1" applyBorder="1" applyAlignment="1">
      <alignment horizontal="right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5">
    <cellStyle name="Обычный" xfId="0" builtinId="0"/>
    <cellStyle name="Обычный 2" xfId="3" xr:uid="{2A47269F-54E5-4EE6-9C10-83AACD7D5C00}"/>
    <cellStyle name="Обычный 3 2 2 4" xfId="2" xr:uid="{8BBF0216-7730-48D4-BBD9-7E70518DCF94}"/>
    <cellStyle name="Обычный 3 2 2 4 2" xfId="4" xr:uid="{B3E4D2B8-C424-4B77-801B-3837734D6B8C}"/>
    <cellStyle name="Обычный 5" xfId="1" xr:uid="{BA316957-360F-4148-B928-64D42D595740}"/>
  </cellStyles>
  <dxfs count="41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23E1CB2-E353-4120-8C2B-0A7E4BC73BD4}" name="Р" displayName="Р" ref="A3:F22" totalsRowCount="1" headerRowDxfId="40" headerRowBorderDxfId="39" tableBorderDxfId="38" totalsRowBorderDxfId="37">
  <autoFilter ref="A3:F21" xr:uid="{F23E1CB2-E353-4120-8C2B-0A7E4BC73BD4}"/>
  <tableColumns count="6">
    <tableColumn id="1" xr3:uid="{3B9D817B-64CD-4546-BDA5-E972BD86F8FD}" name="Наименование" totalsRowLabel="Итог" dataDxfId="36" totalsRowDxfId="35"/>
    <tableColumn id="2" xr3:uid="{5C883F80-3933-4667-BC8E-3BC25FEFF86C}" name="Ед. изм." dataDxfId="34" totalsRowDxfId="33"/>
    <tableColumn id="3" xr3:uid="{E31DCE2A-2345-4C90-8170-F66482573BCA}" name="Количество" dataDxfId="32" totalsRowDxfId="31"/>
    <tableColumn id="4" xr3:uid="{0C3D5380-FC95-47BC-A4E6-02E5E9B99C64}" name="Цена за ед., руб" dataDxfId="30" totalsRowDxfId="29"/>
    <tableColumn id="5" xr3:uid="{31E1793D-8E6E-4F7F-9E39-440DF99A71FE}" name="Сумма, руб" totalsRowFunction="sum" dataDxfId="28" totalsRowDxfId="27">
      <calculatedColumnFormula>ROUND(Р[[#This Row],[Количество]]*Р[[#This Row],[Цена за ед., руб]],2)</calculatedColumnFormula>
    </tableColumn>
    <tableColumn id="6" xr3:uid="{17338E2C-BF24-4FD3-9E14-26491522FB50}" name="Примечание" dataDxfId="26" totalsRowDxfId="25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F208A87-F25D-4FC1-B430-1DCFBB5CB5CE}" name="М" displayName="М" ref="A3:I55" totalsRowCount="1" headerRowDxfId="24" headerRowBorderDxfId="23" tableBorderDxfId="22" totalsRowBorderDxfId="21">
  <autoFilter ref="A3:I54" xr:uid="{9F208A87-F25D-4FC1-B430-1DCFBB5CB5CE}"/>
  <tableColumns count="9">
    <tableColumn id="1" xr3:uid="{146FFC81-3B0C-4429-89D2-0AC88AA87CD1}" name="Наим." totalsRowLabel="Итог" dataDxfId="20" totalsRowDxfId="8"/>
    <tableColumn id="2" xr3:uid="{451999F0-FB61-476A-B6B7-B26185C60B40}" name="Артикул, марка, произв." dataDxfId="19" totalsRowDxfId="7"/>
    <tableColumn id="3" xr3:uid="{3CAD244F-EF8F-4811-AFF1-A6FC72B315DF}" name="Хар-ка" dataDxfId="18" totalsRowDxfId="6"/>
    <tableColumn id="4" xr3:uid="{0671B3FB-6458-4E28-BE34-FBAA5629841C}" name="Ед. изм." dataDxfId="17" totalsRowDxfId="5"/>
    <tableColumn id="5" xr3:uid="{00AA8F97-7B86-4D9F-AEAE-E1AA12105010}" name="Количество" dataDxfId="16" totalsRowDxfId="4"/>
    <tableColumn id="6" xr3:uid="{ABF825AE-21CA-43EF-B9E6-18C96AD6E1A1}" name="Цена за ед., руб" dataDxfId="15" totalsRowDxfId="3"/>
    <tableColumn id="7" xr3:uid="{F301FB75-76B4-4372-A13F-81FB9FD53CFE}" name="Сумма, руб" totalsRowFunction="sum" dataDxfId="14" totalsRowDxfId="2">
      <calculatedColumnFormula>ROUND(М[[#This Row],[Количество]]*М[[#This Row],[Цена за ед., руб]],2)</calculatedColumnFormula>
    </tableColumn>
    <tableColumn id="8" xr3:uid="{FC25B68B-1702-4228-B972-5DE7E0843091}" name="Прим." dataDxfId="13" totalsRowDxfId="1"/>
    <tableColumn id="9" xr3:uid="{068CF4A0-A44B-46D7-92B4-B540E79866CB}" name="Форма закупа" dataDxfId="12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2:EM179"/>
  <sheetViews>
    <sheetView tabSelected="1" workbookViewId="0">
      <pane ySplit="7" topLeftCell="A41" activePane="bottomLeft" state="frozen"/>
      <selection pane="bottomLeft" activeCell="L63" sqref="L63:L64"/>
    </sheetView>
  </sheetViews>
  <sheetFormatPr defaultColWidth="10.5" defaultRowHeight="11.25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7" width="10.5" style="1" customWidth="1"/>
    <col min="8" max="8" width="14.6640625" style="1" customWidth="1"/>
    <col min="9" max="9" width="16" style="1" customWidth="1"/>
    <col min="10" max="10" width="17" style="1" customWidth="1"/>
    <col min="11" max="11" width="35" style="1" customWidth="1"/>
    <col min="12" max="12" width="23.33203125" style="1" customWidth="1"/>
  </cols>
  <sheetData>
    <row r="2" spans="1:12" x14ac:dyDescent="0.2">
      <c r="B2" s="114" t="s">
        <v>0</v>
      </c>
      <c r="C2" s="114"/>
      <c r="D2" s="114"/>
      <c r="E2" s="114"/>
      <c r="F2" s="114"/>
      <c r="G2" s="114"/>
      <c r="H2" s="114"/>
      <c r="I2" s="114"/>
      <c r="J2" s="114"/>
    </row>
    <row r="3" spans="1:12" x14ac:dyDescent="0.2">
      <c r="B3" s="115" t="s">
        <v>1</v>
      </c>
      <c r="C3" s="115"/>
      <c r="D3" s="115"/>
      <c r="E3" s="115"/>
      <c r="F3" s="115"/>
      <c r="G3" s="115"/>
      <c r="H3" s="115"/>
      <c r="I3" s="115"/>
      <c r="J3" s="115"/>
    </row>
    <row r="4" spans="1:12" x14ac:dyDescent="0.2">
      <c r="B4" s="115" t="s">
        <v>2</v>
      </c>
      <c r="C4" s="115"/>
      <c r="D4" s="115"/>
      <c r="E4" s="115"/>
      <c r="F4" s="115"/>
      <c r="G4" s="115"/>
      <c r="H4" s="115"/>
      <c r="I4" s="115"/>
      <c r="J4" s="115"/>
    </row>
    <row r="6" spans="1:12" x14ac:dyDescent="0.2">
      <c r="A6" s="101" t="s">
        <v>3</v>
      </c>
      <c r="B6" s="101" t="s">
        <v>4</v>
      </c>
      <c r="C6" s="116" t="s">
        <v>5</v>
      </c>
      <c r="D6" s="118" t="s">
        <v>6</v>
      </c>
      <c r="E6" s="101" t="s">
        <v>7</v>
      </c>
      <c r="F6" s="103" t="s">
        <v>8</v>
      </c>
      <c r="G6" s="120" t="s">
        <v>9</v>
      </c>
      <c r="H6" s="101" t="s">
        <v>10</v>
      </c>
      <c r="I6" s="103" t="s">
        <v>11</v>
      </c>
      <c r="J6" s="103" t="s">
        <v>12</v>
      </c>
      <c r="K6" s="101" t="s">
        <v>13</v>
      </c>
      <c r="L6" s="103" t="s">
        <v>14</v>
      </c>
    </row>
    <row r="7" spans="1:12" x14ac:dyDescent="0.2">
      <c r="A7" s="102"/>
      <c r="B7" s="102"/>
      <c r="C7" s="117"/>
      <c r="D7" s="119"/>
      <c r="E7" s="102"/>
      <c r="F7" s="104"/>
      <c r="G7" s="121"/>
      <c r="H7" s="102"/>
      <c r="I7" s="104"/>
      <c r="J7" s="104"/>
      <c r="K7" s="102"/>
      <c r="L7" s="104"/>
    </row>
    <row r="8" spans="1:12" x14ac:dyDescent="0.2">
      <c r="A8" s="3" t="s">
        <v>15</v>
      </c>
      <c r="B8" s="4" t="s">
        <v>16</v>
      </c>
      <c r="C8" s="5"/>
      <c r="D8" s="5"/>
      <c r="E8" s="6"/>
      <c r="F8" s="7"/>
      <c r="G8" s="7"/>
      <c r="H8" s="7"/>
      <c r="I8" s="49"/>
      <c r="J8" s="49"/>
      <c r="K8" s="5"/>
      <c r="L8" s="5"/>
    </row>
    <row r="9" spans="1:12" outlineLevel="1" x14ac:dyDescent="0.2">
      <c r="A9" s="8" t="s">
        <v>17</v>
      </c>
      <c r="B9" s="9" t="s">
        <v>18</v>
      </c>
      <c r="C9" s="10"/>
      <c r="D9" s="10"/>
      <c r="E9" s="11"/>
      <c r="F9" s="12"/>
      <c r="G9" s="12"/>
      <c r="H9" s="12"/>
      <c r="I9" s="50"/>
      <c r="J9" s="50">
        <f ca="1">SUM($J$102,$J$162,$J$10,J157)</f>
        <v>0</v>
      </c>
      <c r="K9" s="10"/>
      <c r="L9" s="10"/>
    </row>
    <row r="10" spans="1:12" ht="22.5" outlineLevel="2" x14ac:dyDescent="0.2">
      <c r="A10" s="13" t="s">
        <v>19</v>
      </c>
      <c r="B10" s="14" t="s">
        <v>20</v>
      </c>
      <c r="C10" s="15"/>
      <c r="D10" s="15"/>
      <c r="E10" s="16"/>
      <c r="F10" s="17"/>
      <c r="G10" s="18"/>
      <c r="H10" s="18"/>
      <c r="I10" s="51"/>
      <c r="J10" s="51">
        <f>SUM($J$11)</f>
        <v>0</v>
      </c>
      <c r="K10" s="19"/>
      <c r="L10" s="19"/>
    </row>
    <row r="11" spans="1:12" ht="22.5" outlineLevel="3" x14ac:dyDescent="0.2">
      <c r="A11" s="13" t="s">
        <v>21</v>
      </c>
      <c r="B11" s="14" t="s">
        <v>20</v>
      </c>
      <c r="C11" s="15"/>
      <c r="D11" s="15"/>
      <c r="E11" s="16"/>
      <c r="F11" s="17"/>
      <c r="G11" s="18"/>
      <c r="H11" s="18"/>
      <c r="I11" s="51"/>
      <c r="J11" s="51">
        <f>SUM($J$99,$J$97,$J$93,$J$91,$J$87,$J$85,$J$83,$J$81,$J$72,$J$70,$J$68,$J$66,$J$62,$J$60,$J$58,$J$56,$J$52,$J$50,$J$48,$J$46,$J$39,$J$37,$J$35,$J$33,$J$31,$J$29,$J$25,$J$23,$J$14,$J$12)</f>
        <v>0</v>
      </c>
      <c r="K11" s="19"/>
      <c r="L11" s="19"/>
    </row>
    <row r="12" spans="1:12" outlineLevel="4" x14ac:dyDescent="0.2">
      <c r="A12" s="20"/>
      <c r="B12" s="14" t="s">
        <v>22</v>
      </c>
      <c r="C12" s="21"/>
      <c r="D12" s="21"/>
      <c r="E12" s="21"/>
      <c r="F12" s="21"/>
      <c r="G12" s="21"/>
      <c r="H12" s="21"/>
      <c r="I12" s="52"/>
      <c r="J12" s="53">
        <f>SUM($J$13)</f>
        <v>0</v>
      </c>
      <c r="K12" s="18"/>
      <c r="L12" s="22"/>
    </row>
    <row r="13" spans="1:12" outlineLevel="4" x14ac:dyDescent="0.2">
      <c r="A13" s="23"/>
      <c r="B13" s="24" t="s">
        <v>23</v>
      </c>
      <c r="C13" s="25"/>
      <c r="D13" s="25"/>
      <c r="E13" s="26" t="s">
        <v>24</v>
      </c>
      <c r="F13" s="27"/>
      <c r="G13" s="28">
        <v>194</v>
      </c>
      <c r="H13" s="28">
        <f>SUM($G$13:$G$13)</f>
        <v>194</v>
      </c>
      <c r="I13" s="54">
        <f t="array" ref="I13">INDEX(Р[Цена за ед., руб],MATCH(1,IF(($B13=Р[Наименование])*($K13=Р[Примечание]),{1},($B13=Р[Наименование])*($K13=Р[Примечание])),0))</f>
        <v>0</v>
      </c>
      <c r="J13" s="54">
        <f>ROUND($H$13*$I$13,2)</f>
        <v>0</v>
      </c>
      <c r="K13" s="25"/>
      <c r="L13" s="25"/>
    </row>
    <row r="14" spans="1:12" outlineLevel="4" x14ac:dyDescent="0.2">
      <c r="A14" s="20"/>
      <c r="B14" s="14" t="s">
        <v>25</v>
      </c>
      <c r="C14" s="21"/>
      <c r="D14" s="21"/>
      <c r="E14" s="21"/>
      <c r="F14" s="21"/>
      <c r="G14" s="21"/>
      <c r="H14" s="21"/>
      <c r="I14" s="52"/>
      <c r="J14" s="53">
        <f>SUM($J$15:$J$22)</f>
        <v>0</v>
      </c>
      <c r="K14" s="18"/>
      <c r="L14" s="22"/>
    </row>
    <row r="15" spans="1:12" ht="33.75" outlineLevel="4" x14ac:dyDescent="0.2">
      <c r="A15" s="23" t="s">
        <v>26</v>
      </c>
      <c r="B15" s="24" t="s">
        <v>27</v>
      </c>
      <c r="C15" s="25"/>
      <c r="D15" s="25" t="s">
        <v>28</v>
      </c>
      <c r="E15" s="26" t="s">
        <v>29</v>
      </c>
      <c r="F15" s="27"/>
      <c r="G15" s="28">
        <v>26</v>
      </c>
      <c r="H15" s="28">
        <f>SUM($G$15:$G$15)</f>
        <v>26</v>
      </c>
      <c r="I15" s="54">
        <f t="array" ref="I15">INDEX(М[Цена за ед., руб],MATCH(1,IF(($B15=М[Наим.])*($C15=М[Артикул, марка, произв.])*($D15=М[Хар-ка])*($K15=М[Прим.]),{1},($B15=М[Наим.])*($C15=М[Артикул, марка, произв.])*($D15=М[Хар-ка])*($K15=М[Прим.])),0))</f>
        <v>0</v>
      </c>
      <c r="J15" s="54">
        <f>ROUND($H$15*$I$15,2)</f>
        <v>0</v>
      </c>
      <c r="K15" s="25"/>
      <c r="L15" s="25">
        <f t="array" ref="L15">INDEX(М[Форма закупа],MATCH(1,IF(($B15=М[Наим.])*($C15=М[Артикул, марка, произв.])*($D15=М[Хар-ка])*($K15=М[Прим.]),{1},($B15=М[Наим.])*($C15=М[Артикул, марка, произв.])*($D15=М[Хар-ка])*($K15=М[Прим.])),0))</f>
        <v>0</v>
      </c>
    </row>
    <row r="16" spans="1:12" ht="33.75" outlineLevel="4" x14ac:dyDescent="0.2">
      <c r="A16" s="23" t="s">
        <v>30</v>
      </c>
      <c r="B16" s="24" t="s">
        <v>27</v>
      </c>
      <c r="C16" s="25"/>
      <c r="D16" s="25" t="s">
        <v>31</v>
      </c>
      <c r="E16" s="26" t="s">
        <v>29</v>
      </c>
      <c r="F16" s="27"/>
      <c r="G16" s="28">
        <v>6</v>
      </c>
      <c r="H16" s="28">
        <f>SUM($G$16:$G$16)</f>
        <v>6</v>
      </c>
      <c r="I16" s="54">
        <f t="array" ref="I16">INDEX(М[Цена за ед., руб],MATCH(1,IF(($B16=М[Наим.])*($C16=М[Артикул, марка, произв.])*($D16=М[Хар-ка])*($K16=М[Прим.]),{1},($B16=М[Наим.])*($C16=М[Артикул, марка, произв.])*($D16=М[Хар-ка])*($K16=М[Прим.])),0))</f>
        <v>0</v>
      </c>
      <c r="J16" s="54">
        <f>ROUND($H$16*$I$16,2)</f>
        <v>0</v>
      </c>
      <c r="K16" s="25"/>
      <c r="L16" s="25">
        <f t="array" ref="L16">INDEX(М[Форма закупа],MATCH(1,IF(($B16=М[Наим.])*($C16=М[Артикул, марка, произв.])*($D16=М[Хар-ка])*($K16=М[Прим.]),{1},($B16=М[Наим.])*($C16=М[Артикул, марка, произв.])*($D16=М[Хар-ка])*($K16=М[Прим.])),0))</f>
        <v>0</v>
      </c>
    </row>
    <row r="17" spans="1:12" ht="33.75" outlineLevel="4" x14ac:dyDescent="0.2">
      <c r="A17" s="23" t="s">
        <v>32</v>
      </c>
      <c r="B17" s="24" t="s">
        <v>27</v>
      </c>
      <c r="C17" s="25"/>
      <c r="D17" s="25" t="s">
        <v>33</v>
      </c>
      <c r="E17" s="26" t="s">
        <v>29</v>
      </c>
      <c r="F17" s="27"/>
      <c r="G17" s="28">
        <v>20</v>
      </c>
      <c r="H17" s="28">
        <f>SUM($G$17:$G$17)</f>
        <v>20</v>
      </c>
      <c r="I17" s="54">
        <f t="array" ref="I17">INDEX(М[Цена за ед., руб],MATCH(1,IF(($B17=М[Наим.])*($C17=М[Артикул, марка, произв.])*($D17=М[Хар-ка])*($K17=М[Прим.]),{1},($B17=М[Наим.])*($C17=М[Артикул, марка, произв.])*($D17=М[Хар-ка])*($K17=М[Прим.])),0))</f>
        <v>0</v>
      </c>
      <c r="J17" s="54">
        <f>ROUND($H$17*$I$17,2)</f>
        <v>0</v>
      </c>
      <c r="K17" s="25"/>
      <c r="L17" s="25">
        <f t="array" ref="L17">INDEX(М[Форма закупа],MATCH(1,IF(($B17=М[Наим.])*($C17=М[Артикул, марка, произв.])*($D17=М[Хар-ка])*($K17=М[Прим.]),{1},($B17=М[Наим.])*($C17=М[Артикул, марка, произв.])*($D17=М[Хар-ка])*($K17=М[Прим.])),0))</f>
        <v>0</v>
      </c>
    </row>
    <row r="18" spans="1:12" ht="33.75" outlineLevel="4" x14ac:dyDescent="0.2">
      <c r="A18" s="23" t="s">
        <v>34</v>
      </c>
      <c r="B18" s="24" t="s">
        <v>27</v>
      </c>
      <c r="C18" s="25"/>
      <c r="D18" s="25" t="s">
        <v>35</v>
      </c>
      <c r="E18" s="26" t="s">
        <v>29</v>
      </c>
      <c r="F18" s="27"/>
      <c r="G18" s="28">
        <v>1</v>
      </c>
      <c r="H18" s="28">
        <f>SUM($G$18:$G$18)</f>
        <v>1</v>
      </c>
      <c r="I18" s="54">
        <f t="array" ref="I18">INDEX(М[Цена за ед., руб],MATCH(1,IF(($B18=М[Наим.])*($C18=М[Артикул, марка, произв.])*($D18=М[Хар-ка])*($K18=М[Прим.]),{1},($B18=М[Наим.])*($C18=М[Артикул, марка, произв.])*($D18=М[Хар-ка])*($K18=М[Прим.])),0))</f>
        <v>0</v>
      </c>
      <c r="J18" s="54">
        <f>ROUND($H$18*$I$18,2)</f>
        <v>0</v>
      </c>
      <c r="K18" s="25"/>
      <c r="L18" s="25">
        <f t="array" ref="L18">INDEX(М[Форма закупа],MATCH(1,IF(($B18=М[Наим.])*($C18=М[Артикул, марка, произв.])*($D18=М[Хар-ка])*($K18=М[Прим.]),{1},($B18=М[Наим.])*($C18=М[Артикул, марка, произв.])*($D18=М[Хар-ка])*($K18=М[Прим.])),0))</f>
        <v>0</v>
      </c>
    </row>
    <row r="19" spans="1:12" ht="33.75" outlineLevel="4" x14ac:dyDescent="0.2">
      <c r="A19" s="23" t="s">
        <v>36</v>
      </c>
      <c r="B19" s="24" t="s">
        <v>27</v>
      </c>
      <c r="C19" s="25"/>
      <c r="D19" s="25" t="s">
        <v>37</v>
      </c>
      <c r="E19" s="26" t="s">
        <v>29</v>
      </c>
      <c r="F19" s="27"/>
      <c r="G19" s="28">
        <v>15</v>
      </c>
      <c r="H19" s="28">
        <f>SUM($G$19:$G$19)</f>
        <v>15</v>
      </c>
      <c r="I19" s="54">
        <f t="array" ref="I19">INDEX(М[Цена за ед., руб],MATCH(1,IF(($B19=М[Наим.])*($C19=М[Артикул, марка, произв.])*($D19=М[Хар-ка])*($K19=М[Прим.]),{1},($B19=М[Наим.])*($C19=М[Артикул, марка, произв.])*($D19=М[Хар-ка])*($K19=М[Прим.])),0))</f>
        <v>0</v>
      </c>
      <c r="J19" s="54">
        <f>ROUND($H$19*$I$19,2)</f>
        <v>0</v>
      </c>
      <c r="K19" s="25"/>
      <c r="L19" s="25">
        <f t="array" ref="L19">INDEX(М[Форма закупа],MATCH(1,IF(($B19=М[Наим.])*($C19=М[Артикул, марка, произв.])*($D19=М[Хар-ка])*($K19=М[Прим.]),{1},($B19=М[Наим.])*($C19=М[Артикул, марка, произв.])*($D19=М[Хар-ка])*($K19=М[Прим.])),0))</f>
        <v>0</v>
      </c>
    </row>
    <row r="20" spans="1:12" ht="33.75" outlineLevel="4" x14ac:dyDescent="0.2">
      <c r="A20" s="23" t="s">
        <v>38</v>
      </c>
      <c r="B20" s="24" t="s">
        <v>27</v>
      </c>
      <c r="C20" s="25"/>
      <c r="D20" s="25" t="s">
        <v>39</v>
      </c>
      <c r="E20" s="26" t="s">
        <v>29</v>
      </c>
      <c r="F20" s="27"/>
      <c r="G20" s="28">
        <v>82</v>
      </c>
      <c r="H20" s="28">
        <f>SUM($G$20:$G$20)</f>
        <v>82</v>
      </c>
      <c r="I20" s="54">
        <f t="array" ref="I20">INDEX(М[Цена за ед., руб],MATCH(1,IF(($B20=М[Наим.])*($C20=М[Артикул, марка, произв.])*($D20=М[Хар-ка])*($K20=М[Прим.]),{1},($B20=М[Наим.])*($C20=М[Артикул, марка, произв.])*($D20=М[Хар-ка])*($K20=М[Прим.])),0))</f>
        <v>0</v>
      </c>
      <c r="J20" s="54">
        <f>ROUND($H$20*$I$20,2)</f>
        <v>0</v>
      </c>
      <c r="K20" s="25"/>
      <c r="L20" s="25">
        <f t="array" ref="L20">INDEX(М[Форма закупа],MATCH(1,IF(($B20=М[Наим.])*($C20=М[Артикул, марка, произв.])*($D20=М[Хар-ка])*($K20=М[Прим.]),{1},($B20=М[Наим.])*($C20=М[Артикул, марка, произв.])*($D20=М[Хар-ка])*($K20=М[Прим.])),0))</f>
        <v>0</v>
      </c>
    </row>
    <row r="21" spans="1:12" ht="33.75" outlineLevel="4" x14ac:dyDescent="0.2">
      <c r="A21" s="23" t="s">
        <v>40</v>
      </c>
      <c r="B21" s="24" t="s">
        <v>27</v>
      </c>
      <c r="C21" s="25"/>
      <c r="D21" s="25" t="s">
        <v>41</v>
      </c>
      <c r="E21" s="26" t="s">
        <v>29</v>
      </c>
      <c r="F21" s="27"/>
      <c r="G21" s="28">
        <v>36</v>
      </c>
      <c r="H21" s="28">
        <f>SUM($G$21:$G$21)</f>
        <v>36</v>
      </c>
      <c r="I21" s="54">
        <f t="array" ref="I21">INDEX(М[Цена за ед., руб],MATCH(1,IF(($B21=М[Наим.])*($C21=М[Артикул, марка, произв.])*($D21=М[Хар-ка])*($K21=М[Прим.]),{1},($B21=М[Наим.])*($C21=М[Артикул, марка, произв.])*($D21=М[Хар-ка])*($K21=М[Прим.])),0))</f>
        <v>0</v>
      </c>
      <c r="J21" s="54">
        <f>ROUND($H$21*$I$21,2)</f>
        <v>0</v>
      </c>
      <c r="K21" s="25"/>
      <c r="L21" s="25">
        <f t="array" ref="L21">INDEX(М[Форма закупа],MATCH(1,IF(($B21=М[Наим.])*($C21=М[Артикул, марка, произв.])*($D21=М[Хар-ка])*($K21=М[Прим.]),{1},($B21=М[Наим.])*($C21=М[Артикул, марка, произв.])*($D21=М[Хар-ка])*($K21=М[Прим.])),0))</f>
        <v>0</v>
      </c>
    </row>
    <row r="22" spans="1:12" ht="33.75" outlineLevel="4" x14ac:dyDescent="0.2">
      <c r="A22" s="23" t="s">
        <v>42</v>
      </c>
      <c r="B22" s="24" t="s">
        <v>27</v>
      </c>
      <c r="C22" s="25"/>
      <c r="D22" s="25" t="s">
        <v>43</v>
      </c>
      <c r="E22" s="26" t="s">
        <v>29</v>
      </c>
      <c r="F22" s="27"/>
      <c r="G22" s="28">
        <v>8</v>
      </c>
      <c r="H22" s="28">
        <f>SUM($G$22:$G$22)</f>
        <v>8</v>
      </c>
      <c r="I22" s="54">
        <f t="array" ref="I22">INDEX(М[Цена за ед., руб],MATCH(1,IF(($B22=М[Наим.])*($C22=М[Артикул, марка, произв.])*($D22=М[Хар-ка])*($K22=М[Прим.]),{1},($B22=М[Наим.])*($C22=М[Артикул, марка, произв.])*($D22=М[Хар-ка])*($K22=М[Прим.])),0))</f>
        <v>0</v>
      </c>
      <c r="J22" s="54">
        <f>ROUND($H$22*$I$22,2)</f>
        <v>0</v>
      </c>
      <c r="K22" s="25"/>
      <c r="L22" s="25">
        <f t="array" ref="L22">INDEX(М[Форма закупа],MATCH(1,IF(($B22=М[Наим.])*($C22=М[Артикул, марка, произв.])*($D22=М[Хар-ка])*($K22=М[Прим.]),{1},($B22=М[Наим.])*($C22=М[Артикул, марка, произв.])*($D22=М[Хар-ка])*($K22=М[Прим.])),0))</f>
        <v>0</v>
      </c>
    </row>
    <row r="23" spans="1:12" outlineLevel="4" x14ac:dyDescent="0.2">
      <c r="A23" s="20"/>
      <c r="B23" s="14" t="s">
        <v>22</v>
      </c>
      <c r="C23" s="21"/>
      <c r="D23" s="21"/>
      <c r="E23" s="21"/>
      <c r="F23" s="21"/>
      <c r="G23" s="21"/>
      <c r="H23" s="21"/>
      <c r="I23" s="52"/>
      <c r="J23" s="53">
        <f>SUM($J$24)</f>
        <v>0</v>
      </c>
      <c r="K23" s="18"/>
      <c r="L23" s="22"/>
    </row>
    <row r="24" spans="1:12" outlineLevel="4" x14ac:dyDescent="0.2">
      <c r="A24" s="23"/>
      <c r="B24" s="24" t="s">
        <v>44</v>
      </c>
      <c r="C24" s="25"/>
      <c r="D24" s="25"/>
      <c r="E24" s="26" t="s">
        <v>45</v>
      </c>
      <c r="F24" s="27"/>
      <c r="G24" s="28">
        <v>4</v>
      </c>
      <c r="H24" s="28">
        <f>SUM($G$24:$G$24)</f>
        <v>4</v>
      </c>
      <c r="I24" s="54">
        <f t="array" ref="I24">INDEX(Р[Цена за ед., руб],MATCH(1,IF(($B24=Р[Наименование])*($K24=Р[Примечание]),{1},($B24=Р[Наименование])*($K24=Р[Примечание])),0))</f>
        <v>0</v>
      </c>
      <c r="J24" s="54">
        <f>ROUND($H$24*$I$24,2)</f>
        <v>0</v>
      </c>
      <c r="K24" s="25"/>
      <c r="L24" s="25"/>
    </row>
    <row r="25" spans="1:12" outlineLevel="4" x14ac:dyDescent="0.2">
      <c r="A25" s="20"/>
      <c r="B25" s="14" t="s">
        <v>25</v>
      </c>
      <c r="C25" s="21"/>
      <c r="D25" s="21"/>
      <c r="E25" s="21"/>
      <c r="F25" s="21"/>
      <c r="G25" s="21"/>
      <c r="H25" s="21"/>
      <c r="I25" s="52"/>
      <c r="J25" s="53">
        <f>SUM($J$26:$J$28)</f>
        <v>0</v>
      </c>
      <c r="K25" s="18"/>
      <c r="L25" s="22"/>
    </row>
    <row r="26" spans="1:12" ht="56.25" outlineLevel="4" x14ac:dyDescent="0.2">
      <c r="A26" s="23" t="s">
        <v>26</v>
      </c>
      <c r="B26" s="24" t="s">
        <v>46</v>
      </c>
      <c r="C26" s="25"/>
      <c r="D26" s="25" t="s">
        <v>47</v>
      </c>
      <c r="E26" s="26" t="s">
        <v>45</v>
      </c>
      <c r="F26" s="27"/>
      <c r="G26" s="28">
        <v>1</v>
      </c>
      <c r="H26" s="28">
        <f>SUM($G$26:$G$26)</f>
        <v>1</v>
      </c>
      <c r="I26" s="54">
        <f t="array" ref="I26">INDEX(М[Цена за ед., руб],MATCH(1,IF(($B26=М[Наим.])*($C26=М[Артикул, марка, произв.])*($D26=М[Хар-ка])*($K26=М[Прим.]),{1},($B26=М[Наим.])*($C26=М[Артикул, марка, произв.])*($D26=М[Хар-ка])*($K26=М[Прим.])),0))</f>
        <v>0</v>
      </c>
      <c r="J26" s="54">
        <f>ROUND($H$26*$I$26,2)</f>
        <v>0</v>
      </c>
      <c r="K26" s="25"/>
      <c r="L26" s="25">
        <f t="array" ref="L26">INDEX(М[Форма закупа],MATCH(1,IF(($B26=М[Наим.])*($C26=М[Артикул, марка, произв.])*($D26=М[Хар-ка])*($K26=М[Прим.]),{1},($B26=М[Наим.])*($C26=М[Артикул, марка, произв.])*($D26=М[Хар-ка])*($K26=М[Прим.])),0))</f>
        <v>0</v>
      </c>
    </row>
    <row r="27" spans="1:12" ht="56.25" outlineLevel="4" x14ac:dyDescent="0.2">
      <c r="A27" s="23" t="s">
        <v>30</v>
      </c>
      <c r="B27" s="24" t="s">
        <v>46</v>
      </c>
      <c r="C27" s="25"/>
      <c r="D27" s="25" t="s">
        <v>48</v>
      </c>
      <c r="E27" s="26" t="s">
        <v>45</v>
      </c>
      <c r="F27" s="27"/>
      <c r="G27" s="28">
        <v>1</v>
      </c>
      <c r="H27" s="28">
        <f>SUM($G$27:$G$27)</f>
        <v>1</v>
      </c>
      <c r="I27" s="54">
        <f t="array" ref="I27">INDEX(М[Цена за ед., руб],MATCH(1,IF(($B27=М[Наим.])*($C27=М[Артикул, марка, произв.])*($D27=М[Хар-ка])*($K27=М[Прим.]),{1},($B27=М[Наим.])*($C27=М[Артикул, марка, произв.])*($D27=М[Хар-ка])*($K27=М[Прим.])),0))</f>
        <v>0</v>
      </c>
      <c r="J27" s="54">
        <f>ROUND($H$27*$I$27,2)</f>
        <v>0</v>
      </c>
      <c r="K27" s="25"/>
      <c r="L27" s="25">
        <f t="array" ref="L27">INDEX(М[Форма закупа],MATCH(1,IF(($B27=М[Наим.])*($C27=М[Артикул, марка, произв.])*($D27=М[Хар-ка])*($K27=М[Прим.]),{1},($B27=М[Наим.])*($C27=М[Артикул, марка, произв.])*($D27=М[Хар-ка])*($K27=М[Прим.])),0))</f>
        <v>0</v>
      </c>
    </row>
    <row r="28" spans="1:12" ht="56.25" outlineLevel="4" x14ac:dyDescent="0.2">
      <c r="A28" s="23" t="s">
        <v>32</v>
      </c>
      <c r="B28" s="24" t="s">
        <v>46</v>
      </c>
      <c r="C28" s="25"/>
      <c r="D28" s="25" t="s">
        <v>49</v>
      </c>
      <c r="E28" s="26" t="s">
        <v>45</v>
      </c>
      <c r="F28" s="27"/>
      <c r="G28" s="28">
        <v>2</v>
      </c>
      <c r="H28" s="28">
        <f>SUM($G$28:$G$28)</f>
        <v>2</v>
      </c>
      <c r="I28" s="54">
        <f t="array" ref="I28">INDEX(М[Цена за ед., руб],MATCH(1,IF(($B28=М[Наим.])*($C28=М[Артикул, марка, произв.])*($D28=М[Хар-ка])*($K28=М[Прим.]),{1},($B28=М[Наим.])*($C28=М[Артикул, марка, произв.])*($D28=М[Хар-ка])*($K28=М[Прим.])),0))</f>
        <v>0</v>
      </c>
      <c r="J28" s="54">
        <f>ROUND($H$28*$I$28,2)</f>
        <v>0</v>
      </c>
      <c r="K28" s="25"/>
      <c r="L28" s="25">
        <f t="array" ref="L28">INDEX(М[Форма закупа],MATCH(1,IF(($B28=М[Наим.])*($C28=М[Артикул, марка, произв.])*($D28=М[Хар-ка])*($K28=М[Прим.]),{1},($B28=М[Наим.])*($C28=М[Артикул, марка, произв.])*($D28=М[Хар-ка])*($K28=М[Прим.])),0))</f>
        <v>0</v>
      </c>
    </row>
    <row r="29" spans="1:12" outlineLevel="4" x14ac:dyDescent="0.2">
      <c r="A29" s="20"/>
      <c r="B29" s="14" t="s">
        <v>22</v>
      </c>
      <c r="C29" s="21"/>
      <c r="D29" s="21"/>
      <c r="E29" s="21"/>
      <c r="F29" s="21"/>
      <c r="G29" s="21"/>
      <c r="H29" s="21"/>
      <c r="I29" s="52"/>
      <c r="J29" s="53">
        <f>SUM($J$30)</f>
        <v>0</v>
      </c>
      <c r="K29" s="18"/>
      <c r="L29" s="22"/>
    </row>
    <row r="30" spans="1:12" ht="22.5" outlineLevel="4" x14ac:dyDescent="0.2">
      <c r="A30" s="23"/>
      <c r="B30" s="24" t="s">
        <v>50</v>
      </c>
      <c r="C30" s="25"/>
      <c r="D30" s="25"/>
      <c r="E30" s="26" t="s">
        <v>45</v>
      </c>
      <c r="F30" s="27"/>
      <c r="G30" s="28">
        <v>1</v>
      </c>
      <c r="H30" s="28">
        <f>SUM($G$30:$G$30)</f>
        <v>1</v>
      </c>
      <c r="I30" s="54">
        <f t="array" ref="I30">INDEX(Р[Цена за ед., руб],MATCH(1,IF(($B30=Р[Наименование])*($K30=Р[Примечание]),{1},($B30=Р[Наименование])*($K30=Р[Примечание])),0))</f>
        <v>0</v>
      </c>
      <c r="J30" s="54">
        <f>ROUND($H$30*$I$30,2)</f>
        <v>0</v>
      </c>
      <c r="K30" s="25"/>
      <c r="L30" s="25"/>
    </row>
    <row r="31" spans="1:12" outlineLevel="4" x14ac:dyDescent="0.2">
      <c r="A31" s="20"/>
      <c r="B31" s="14" t="s">
        <v>25</v>
      </c>
      <c r="C31" s="21"/>
      <c r="D31" s="21"/>
      <c r="E31" s="21"/>
      <c r="F31" s="21"/>
      <c r="G31" s="21"/>
      <c r="H31" s="21"/>
      <c r="I31" s="52"/>
      <c r="J31" s="53">
        <f>SUM($J$32)</f>
        <v>0</v>
      </c>
      <c r="K31" s="18"/>
      <c r="L31" s="22"/>
    </row>
    <row r="32" spans="1:12" ht="22.5" outlineLevel="4" x14ac:dyDescent="0.2">
      <c r="A32" s="23" t="s">
        <v>26</v>
      </c>
      <c r="B32" s="24" t="s">
        <v>51</v>
      </c>
      <c r="C32" s="25"/>
      <c r="D32" s="25" t="s">
        <v>52</v>
      </c>
      <c r="E32" s="26" t="s">
        <v>45</v>
      </c>
      <c r="F32" s="27"/>
      <c r="G32" s="28">
        <v>1</v>
      </c>
      <c r="H32" s="28">
        <f>SUM($G$32:$G$32)</f>
        <v>1</v>
      </c>
      <c r="I32" s="54">
        <f t="array" ref="I32">INDEX(М[Цена за ед., руб],MATCH(1,IF(($B32=М[Наим.])*($C32=М[Артикул, марка, произв.])*($D32=М[Хар-ка])*($K32=М[Прим.]),{1},($B32=М[Наим.])*($C32=М[Артикул, марка, произв.])*($D32=М[Хар-ка])*($K32=М[Прим.])),0))</f>
        <v>0</v>
      </c>
      <c r="J32" s="54">
        <f>ROUND($H$32*$I$32,2)</f>
        <v>0</v>
      </c>
      <c r="K32" s="25"/>
      <c r="L32" s="25">
        <f t="array" ref="L32">INDEX(М[Форма закупа],MATCH(1,IF(($B32=М[Наим.])*($C32=М[Артикул, марка, произв.])*($D32=М[Хар-ка])*($K32=М[Прим.]),{1},($B32=М[Наим.])*($C32=М[Артикул, марка, произв.])*($D32=М[Хар-ка])*($K32=М[Прим.])),0))</f>
        <v>0</v>
      </c>
    </row>
    <row r="33" spans="1:12" outlineLevel="4" x14ac:dyDescent="0.2">
      <c r="A33" s="20"/>
      <c r="B33" s="14" t="s">
        <v>22</v>
      </c>
      <c r="C33" s="21"/>
      <c r="D33" s="21"/>
      <c r="E33" s="21"/>
      <c r="F33" s="21"/>
      <c r="G33" s="21"/>
      <c r="H33" s="21"/>
      <c r="I33" s="52"/>
      <c r="J33" s="53">
        <f>SUM($J$34)</f>
        <v>0</v>
      </c>
      <c r="K33" s="18"/>
      <c r="L33" s="22"/>
    </row>
    <row r="34" spans="1:12" ht="22.5" outlineLevel="4" x14ac:dyDescent="0.2">
      <c r="A34" s="23"/>
      <c r="B34" s="24" t="s">
        <v>53</v>
      </c>
      <c r="C34" s="25"/>
      <c r="D34" s="25"/>
      <c r="E34" s="26" t="s">
        <v>45</v>
      </c>
      <c r="F34" s="27"/>
      <c r="G34" s="28">
        <v>1</v>
      </c>
      <c r="H34" s="28">
        <f>SUM($G$34:$G$34)</f>
        <v>1</v>
      </c>
      <c r="I34" s="54">
        <f t="array" ref="I34">INDEX(Р[Цена за ед., руб],MATCH(1,IF(($B34=Р[Наименование])*($K34=Р[Примечание]),{1},($B34=Р[Наименование])*($K34=Р[Примечание])),0))</f>
        <v>0</v>
      </c>
      <c r="J34" s="54">
        <f>ROUND($H$34*$I$34,2)</f>
        <v>0</v>
      </c>
      <c r="K34" s="25"/>
      <c r="L34" s="25"/>
    </row>
    <row r="35" spans="1:12" outlineLevel="4" x14ac:dyDescent="0.2">
      <c r="A35" s="20"/>
      <c r="B35" s="14" t="s">
        <v>25</v>
      </c>
      <c r="C35" s="21"/>
      <c r="D35" s="21"/>
      <c r="E35" s="21"/>
      <c r="F35" s="21"/>
      <c r="G35" s="21"/>
      <c r="H35" s="21"/>
      <c r="I35" s="52"/>
      <c r="J35" s="53">
        <f>SUM($J$36)</f>
        <v>0</v>
      </c>
      <c r="K35" s="18"/>
      <c r="L35" s="22"/>
    </row>
    <row r="36" spans="1:12" ht="22.5" outlineLevel="4" x14ac:dyDescent="0.2">
      <c r="A36" s="23" t="s">
        <v>26</v>
      </c>
      <c r="B36" s="24" t="s">
        <v>51</v>
      </c>
      <c r="C36" s="25"/>
      <c r="D36" s="25" t="s">
        <v>54</v>
      </c>
      <c r="E36" s="26" t="s">
        <v>45</v>
      </c>
      <c r="F36" s="27"/>
      <c r="G36" s="28">
        <v>1</v>
      </c>
      <c r="H36" s="28">
        <f>SUM($G$36:$G$36)</f>
        <v>1</v>
      </c>
      <c r="I36" s="54">
        <f t="array" ref="I36">INDEX(М[Цена за ед., руб],MATCH(1,IF(($B36=М[Наим.])*($C36=М[Артикул, марка, произв.])*($D36=М[Хар-ка])*($K36=М[Прим.]),{1},($B36=М[Наим.])*($C36=М[Артикул, марка, произв.])*($D36=М[Хар-ка])*($K36=М[Прим.])),0))</f>
        <v>0</v>
      </c>
      <c r="J36" s="54">
        <f>ROUND($H$36*$I$36,2)</f>
        <v>0</v>
      </c>
      <c r="K36" s="25"/>
      <c r="L36" s="25">
        <f t="array" ref="L36">INDEX(М[Форма закупа],MATCH(1,IF(($B36=М[Наим.])*($C36=М[Артикул, марка, произв.])*($D36=М[Хар-ка])*($K36=М[Прим.]),{1},($B36=М[Наим.])*($C36=М[Артикул, марка, произв.])*($D36=М[Хар-ка])*($K36=М[Прим.])),0))</f>
        <v>0</v>
      </c>
    </row>
    <row r="37" spans="1:12" outlineLevel="4" x14ac:dyDescent="0.2">
      <c r="A37" s="20"/>
      <c r="B37" s="14" t="s">
        <v>22</v>
      </c>
      <c r="C37" s="21"/>
      <c r="D37" s="21"/>
      <c r="E37" s="21"/>
      <c r="F37" s="21"/>
      <c r="G37" s="21"/>
      <c r="H37" s="21"/>
      <c r="I37" s="52"/>
      <c r="J37" s="53">
        <f>SUM($J$38)</f>
        <v>0</v>
      </c>
      <c r="K37" s="18"/>
      <c r="L37" s="22"/>
    </row>
    <row r="38" spans="1:12" ht="22.5" outlineLevel="4" x14ac:dyDescent="0.2">
      <c r="A38" s="23"/>
      <c r="B38" s="24" t="s">
        <v>55</v>
      </c>
      <c r="C38" s="25"/>
      <c r="D38" s="25"/>
      <c r="E38" s="26" t="s">
        <v>45</v>
      </c>
      <c r="F38" s="27"/>
      <c r="G38" s="28">
        <v>84</v>
      </c>
      <c r="H38" s="28">
        <f>SUM($G$38:$G$38)</f>
        <v>84</v>
      </c>
      <c r="I38" s="54">
        <f t="array" ref="I38">INDEX(Р[Цена за ед., руб],MATCH(1,IF(($B38=Р[Наименование])*($K38=Р[Примечание]),{1},($B38=Р[Наименование])*($K38=Р[Примечание])),0))</f>
        <v>0</v>
      </c>
      <c r="J38" s="54">
        <f>ROUND($H$38*$I$38,2)</f>
        <v>0</v>
      </c>
      <c r="K38" s="25"/>
      <c r="L38" s="25"/>
    </row>
    <row r="39" spans="1:12" outlineLevel="4" x14ac:dyDescent="0.2">
      <c r="A39" s="20"/>
      <c r="B39" s="14" t="s">
        <v>25</v>
      </c>
      <c r="C39" s="21"/>
      <c r="D39" s="21"/>
      <c r="E39" s="21"/>
      <c r="F39" s="21"/>
      <c r="G39" s="21"/>
      <c r="H39" s="21"/>
      <c r="I39" s="52"/>
      <c r="J39" s="53">
        <f>SUM($J$40:$J$45)</f>
        <v>0</v>
      </c>
      <c r="K39" s="18"/>
      <c r="L39" s="22"/>
    </row>
    <row r="40" spans="1:12" ht="33.75" outlineLevel="4" x14ac:dyDescent="0.2">
      <c r="A40" s="23" t="s">
        <v>26</v>
      </c>
      <c r="B40" s="24" t="s">
        <v>56</v>
      </c>
      <c r="C40" s="25"/>
      <c r="D40" s="25" t="s">
        <v>57</v>
      </c>
      <c r="E40" s="26" t="s">
        <v>45</v>
      </c>
      <c r="F40" s="27"/>
      <c r="G40" s="28">
        <v>36</v>
      </c>
      <c r="H40" s="28">
        <f>SUM($G$40:$G$40)</f>
        <v>36</v>
      </c>
      <c r="I40" s="54">
        <f t="array" ref="I40">INDEX(М[Цена за ед., руб],MATCH(1,IF(($B40=М[Наим.])*($C40=М[Артикул, марка, произв.])*($D40=М[Хар-ка])*($K40=М[Прим.]),{1},($B40=М[Наим.])*($C40=М[Артикул, марка, произв.])*($D40=М[Хар-ка])*($K40=М[Прим.])),0))</f>
        <v>0</v>
      </c>
      <c r="J40" s="54">
        <f>ROUND($H$40*$I$40,2)</f>
        <v>0</v>
      </c>
      <c r="K40" s="25"/>
      <c r="L40" s="25">
        <f t="array" ref="L40">INDEX(М[Форма закупа],MATCH(1,IF(($B40=М[Наим.])*($C40=М[Артикул, марка, произв.])*($D40=М[Хар-ка])*($K40=М[Прим.]),{1},($B40=М[Наим.])*($C40=М[Артикул, марка, произв.])*($D40=М[Хар-ка])*($K40=М[Прим.])),0))</f>
        <v>0</v>
      </c>
    </row>
    <row r="41" spans="1:12" ht="33.75" outlineLevel="4" x14ac:dyDescent="0.2">
      <c r="A41" s="23" t="s">
        <v>30</v>
      </c>
      <c r="B41" s="24" t="s">
        <v>56</v>
      </c>
      <c r="C41" s="25"/>
      <c r="D41" s="25" t="s">
        <v>58</v>
      </c>
      <c r="E41" s="26" t="s">
        <v>45</v>
      </c>
      <c r="F41" s="27"/>
      <c r="G41" s="28">
        <v>6</v>
      </c>
      <c r="H41" s="28">
        <f>SUM($G$41:$G$41)</f>
        <v>6</v>
      </c>
      <c r="I41" s="54">
        <f t="array" ref="I41">INDEX(М[Цена за ед., руб],MATCH(1,IF(($B41=М[Наим.])*($C41=М[Артикул, марка, произв.])*($D41=М[Хар-ка])*($K41=М[Прим.]),{1},($B41=М[Наим.])*($C41=М[Артикул, марка, произв.])*($D41=М[Хар-ка])*($K41=М[Прим.])),0))</f>
        <v>0</v>
      </c>
      <c r="J41" s="54">
        <f>ROUND($H$41*$I$41,2)</f>
        <v>0</v>
      </c>
      <c r="K41" s="25"/>
      <c r="L41" s="25">
        <f t="array" ref="L41">INDEX(М[Форма закупа],MATCH(1,IF(($B41=М[Наим.])*($C41=М[Артикул, марка, произв.])*($D41=М[Хар-ка])*($K41=М[Прим.]),{1},($B41=М[Наим.])*($C41=М[Артикул, марка, произв.])*($D41=М[Хар-ка])*($K41=М[Прим.])),0))</f>
        <v>0</v>
      </c>
    </row>
    <row r="42" spans="1:12" ht="33.75" outlineLevel="4" x14ac:dyDescent="0.2">
      <c r="A42" s="23" t="s">
        <v>32</v>
      </c>
      <c r="B42" s="24" t="s">
        <v>56</v>
      </c>
      <c r="C42" s="25"/>
      <c r="D42" s="25" t="s">
        <v>59</v>
      </c>
      <c r="E42" s="26" t="s">
        <v>45</v>
      </c>
      <c r="F42" s="27"/>
      <c r="G42" s="28">
        <v>2</v>
      </c>
      <c r="H42" s="28">
        <f>SUM($G$42:$G$42)</f>
        <v>2</v>
      </c>
      <c r="I42" s="54">
        <f t="array" ref="I42">INDEX(М[Цена за ед., руб],MATCH(1,IF(($B42=М[Наим.])*($C42=М[Артикул, марка, произв.])*($D42=М[Хар-ка])*($K42=М[Прим.]),{1},($B42=М[Наим.])*($C42=М[Артикул, марка, произв.])*($D42=М[Хар-ка])*($K42=М[Прим.])),0))</f>
        <v>0</v>
      </c>
      <c r="J42" s="54">
        <f>ROUND($H$42*$I$42,2)</f>
        <v>0</v>
      </c>
      <c r="K42" s="25"/>
      <c r="L42" s="25">
        <f t="array" ref="L42">INDEX(М[Форма закупа],MATCH(1,IF(($B42=М[Наим.])*($C42=М[Артикул, марка, произв.])*($D42=М[Хар-ка])*($K42=М[Прим.]),{1},($B42=М[Наим.])*($C42=М[Артикул, марка, произв.])*($D42=М[Хар-ка])*($K42=М[Прим.])),0))</f>
        <v>0</v>
      </c>
    </row>
    <row r="43" spans="1:12" ht="22.5" outlineLevel="4" x14ac:dyDescent="0.2">
      <c r="A43" s="23" t="s">
        <v>34</v>
      </c>
      <c r="B43" s="24" t="s">
        <v>56</v>
      </c>
      <c r="C43" s="25"/>
      <c r="D43" s="25" t="s">
        <v>60</v>
      </c>
      <c r="E43" s="26" t="s">
        <v>45</v>
      </c>
      <c r="F43" s="27"/>
      <c r="G43" s="28">
        <v>35</v>
      </c>
      <c r="H43" s="28">
        <f>SUM($G$43:$G$43)</f>
        <v>35</v>
      </c>
      <c r="I43" s="54">
        <f t="array" ref="I43">INDEX(М[Цена за ед., руб],MATCH(1,IF(($B43=М[Наим.])*($C43=М[Артикул, марка, произв.])*($D43=М[Хар-ка])*($K43=М[Прим.]),{1},($B43=М[Наим.])*($C43=М[Артикул, марка, произв.])*($D43=М[Хар-ка])*($K43=М[Прим.])),0))</f>
        <v>0</v>
      </c>
      <c r="J43" s="54">
        <f>ROUND($H$43*$I$43,2)</f>
        <v>0</v>
      </c>
      <c r="K43" s="25"/>
      <c r="L43" s="25">
        <f t="array" ref="L43">INDEX(М[Форма закупа],MATCH(1,IF(($B43=М[Наим.])*($C43=М[Артикул, марка, произв.])*($D43=М[Хар-ка])*($K43=М[Прим.]),{1},($B43=М[Наим.])*($C43=М[Артикул, марка, произв.])*($D43=М[Хар-ка])*($K43=М[Прим.])),0))</f>
        <v>0</v>
      </c>
    </row>
    <row r="44" spans="1:12" ht="22.5" outlineLevel="4" x14ac:dyDescent="0.2">
      <c r="A44" s="23" t="s">
        <v>36</v>
      </c>
      <c r="B44" s="24" t="s">
        <v>56</v>
      </c>
      <c r="C44" s="25"/>
      <c r="D44" s="25" t="s">
        <v>61</v>
      </c>
      <c r="E44" s="26" t="s">
        <v>45</v>
      </c>
      <c r="F44" s="27"/>
      <c r="G44" s="28">
        <v>4</v>
      </c>
      <c r="H44" s="28">
        <f>SUM($G$44:$G$44)</f>
        <v>4</v>
      </c>
      <c r="I44" s="54">
        <f t="array" ref="I44">INDEX(М[Цена за ед., руб],MATCH(1,IF(($B44=М[Наим.])*($C44=М[Артикул, марка, произв.])*($D44=М[Хар-ка])*($K44=М[Прим.]),{1},($B44=М[Наим.])*($C44=М[Артикул, марка, произв.])*($D44=М[Хар-ка])*($K44=М[Прим.])),0))</f>
        <v>0</v>
      </c>
      <c r="J44" s="54">
        <f>ROUND($H$44*$I$44,2)</f>
        <v>0</v>
      </c>
      <c r="K44" s="25"/>
      <c r="L44" s="25">
        <f t="array" ref="L44">INDEX(М[Форма закупа],MATCH(1,IF(($B44=М[Наим.])*($C44=М[Артикул, марка, произв.])*($D44=М[Хар-ка])*($K44=М[Прим.]),{1},($B44=М[Наим.])*($C44=М[Артикул, марка, произв.])*($D44=М[Хар-ка])*($K44=М[Прим.])),0))</f>
        <v>0</v>
      </c>
    </row>
    <row r="45" spans="1:12" ht="22.5" outlineLevel="4" x14ac:dyDescent="0.2">
      <c r="A45" s="23" t="s">
        <v>38</v>
      </c>
      <c r="B45" s="24" t="s">
        <v>62</v>
      </c>
      <c r="C45" s="25"/>
      <c r="D45" s="25" t="s">
        <v>63</v>
      </c>
      <c r="E45" s="26" t="s">
        <v>45</v>
      </c>
      <c r="F45" s="27"/>
      <c r="G45" s="28">
        <v>1</v>
      </c>
      <c r="H45" s="28">
        <f>SUM($G$45:$G$45)</f>
        <v>1</v>
      </c>
      <c r="I45" s="54">
        <f t="array" ref="I45">INDEX(М[Цена за ед., руб],MATCH(1,IF(($B45=М[Наим.])*($C45=М[Артикул, марка, произв.])*($D45=М[Хар-ка])*($K45=М[Прим.]),{1},($B45=М[Наим.])*($C45=М[Артикул, марка, произв.])*($D45=М[Хар-ка])*($K45=М[Прим.])),0))</f>
        <v>0</v>
      </c>
      <c r="J45" s="54">
        <f>ROUND($H$45*$I$45,2)</f>
        <v>0</v>
      </c>
      <c r="K45" s="25"/>
      <c r="L45" s="25">
        <f t="array" ref="L45">INDEX(М[Форма закупа],MATCH(1,IF(($B45=М[Наим.])*($C45=М[Артикул, марка, произв.])*($D45=М[Хар-ка])*($K45=М[Прим.]),{1},($B45=М[Наим.])*($C45=М[Артикул, марка, произв.])*($D45=М[Хар-ка])*($K45=М[Прим.])),0))</f>
        <v>0</v>
      </c>
    </row>
    <row r="46" spans="1:12" outlineLevel="4" x14ac:dyDescent="0.2">
      <c r="A46" s="20"/>
      <c r="B46" s="14" t="s">
        <v>22</v>
      </c>
      <c r="C46" s="21"/>
      <c r="D46" s="21"/>
      <c r="E46" s="21"/>
      <c r="F46" s="21"/>
      <c r="G46" s="21"/>
      <c r="H46" s="21"/>
      <c r="I46" s="52"/>
      <c r="J46" s="53">
        <f>SUM($J$47)</f>
        <v>0</v>
      </c>
      <c r="K46" s="18"/>
      <c r="L46" s="22"/>
    </row>
    <row r="47" spans="1:12" ht="22.5" outlineLevel="4" x14ac:dyDescent="0.2">
      <c r="A47" s="23"/>
      <c r="B47" s="24" t="s">
        <v>64</v>
      </c>
      <c r="C47" s="25"/>
      <c r="D47" s="25"/>
      <c r="E47" s="26" t="s">
        <v>45</v>
      </c>
      <c r="F47" s="27"/>
      <c r="G47" s="28">
        <v>2</v>
      </c>
      <c r="H47" s="28">
        <f>SUM($G$47:$G$47)</f>
        <v>2</v>
      </c>
      <c r="I47" s="54">
        <f t="array" ref="I47">INDEX(Р[Цена за ед., руб],MATCH(1,IF(($B47=Р[Наименование])*($K47=Р[Примечание]),{1},($B47=Р[Наименование])*($K47=Р[Примечание])),0))</f>
        <v>0</v>
      </c>
      <c r="J47" s="54">
        <f>ROUND($H$47*$I$47,2)</f>
        <v>0</v>
      </c>
      <c r="K47" s="25"/>
      <c r="L47" s="25"/>
    </row>
    <row r="48" spans="1:12" outlineLevel="4" x14ac:dyDescent="0.2">
      <c r="A48" s="20"/>
      <c r="B48" s="14" t="s">
        <v>25</v>
      </c>
      <c r="C48" s="21"/>
      <c r="D48" s="21"/>
      <c r="E48" s="21"/>
      <c r="F48" s="21"/>
      <c r="G48" s="21"/>
      <c r="H48" s="21"/>
      <c r="I48" s="52"/>
      <c r="J48" s="53">
        <f>SUM($J$49)</f>
        <v>0</v>
      </c>
      <c r="K48" s="18"/>
      <c r="L48" s="22"/>
    </row>
    <row r="49" spans="1:12" ht="22.5" outlineLevel="4" x14ac:dyDescent="0.2">
      <c r="A49" s="23" t="s">
        <v>26</v>
      </c>
      <c r="B49" s="24" t="s">
        <v>56</v>
      </c>
      <c r="C49" s="25"/>
      <c r="D49" s="25" t="s">
        <v>65</v>
      </c>
      <c r="E49" s="26" t="s">
        <v>45</v>
      </c>
      <c r="F49" s="27"/>
      <c r="G49" s="28">
        <v>2</v>
      </c>
      <c r="H49" s="28">
        <f>SUM($G$49:$G$49)</f>
        <v>2</v>
      </c>
      <c r="I49" s="54">
        <f t="array" ref="I49">INDEX(М[Цена за ед., руб],MATCH(1,IF(($B49=М[Наим.])*($C49=М[Артикул, марка, произв.])*($D49=М[Хар-ка])*($K49=М[Прим.]),{1},($B49=М[Наим.])*($C49=М[Артикул, марка, произв.])*($D49=М[Хар-ка])*($K49=М[Прим.])),0))</f>
        <v>0</v>
      </c>
      <c r="J49" s="54">
        <f>ROUND($H$49*$I$49,2)</f>
        <v>0</v>
      </c>
      <c r="K49" s="25"/>
      <c r="L49" s="25">
        <f t="array" ref="L49">INDEX(М[Форма закупа],MATCH(1,IF(($B49=М[Наим.])*($C49=М[Артикул, марка, произв.])*($D49=М[Хар-ка])*($K49=М[Прим.]),{1},($B49=М[Наим.])*($C49=М[Артикул, марка, произв.])*($D49=М[Хар-ка])*($K49=М[Прим.])),0))</f>
        <v>0</v>
      </c>
    </row>
    <row r="50" spans="1:12" outlineLevel="4" x14ac:dyDescent="0.2">
      <c r="A50" s="20"/>
      <c r="B50" s="14" t="s">
        <v>22</v>
      </c>
      <c r="C50" s="21"/>
      <c r="D50" s="21"/>
      <c r="E50" s="21"/>
      <c r="F50" s="21"/>
      <c r="G50" s="21"/>
      <c r="H50" s="21"/>
      <c r="I50" s="52"/>
      <c r="J50" s="53">
        <f>SUM($J$51)</f>
        <v>0</v>
      </c>
      <c r="K50" s="18"/>
      <c r="L50" s="22"/>
    </row>
    <row r="51" spans="1:12" ht="22.5" outlineLevel="4" x14ac:dyDescent="0.2">
      <c r="A51" s="23"/>
      <c r="B51" s="24" t="s">
        <v>66</v>
      </c>
      <c r="C51" s="25"/>
      <c r="D51" s="25"/>
      <c r="E51" s="26" t="s">
        <v>45</v>
      </c>
      <c r="F51" s="27"/>
      <c r="G51" s="28">
        <v>1</v>
      </c>
      <c r="H51" s="28">
        <f>SUM($G$51:$G$51)</f>
        <v>1</v>
      </c>
      <c r="I51" s="54">
        <f t="array" ref="I51">INDEX(Р[Цена за ед., руб],MATCH(1,IF(($B51=Р[Наименование])*($K51=Р[Примечание]),{1},($B51=Р[Наименование])*($K51=Р[Примечание])),0))</f>
        <v>0</v>
      </c>
      <c r="J51" s="54">
        <f>ROUND($H$51*$I$51,2)</f>
        <v>0</v>
      </c>
      <c r="K51" s="25"/>
      <c r="L51" s="25"/>
    </row>
    <row r="52" spans="1:12" outlineLevel="4" x14ac:dyDescent="0.2">
      <c r="A52" s="20"/>
      <c r="B52" s="14" t="s">
        <v>25</v>
      </c>
      <c r="C52" s="21"/>
      <c r="D52" s="21"/>
      <c r="E52" s="21"/>
      <c r="F52" s="21"/>
      <c r="G52" s="21"/>
      <c r="H52" s="21"/>
      <c r="I52" s="52"/>
      <c r="J52" s="53">
        <f>SUM($J$53:$J$55)</f>
        <v>0</v>
      </c>
      <c r="K52" s="18"/>
      <c r="L52" s="22"/>
    </row>
    <row r="53" spans="1:12" ht="22.5" outlineLevel="4" x14ac:dyDescent="0.2">
      <c r="A53" s="23" t="s">
        <v>26</v>
      </c>
      <c r="B53" s="24" t="s">
        <v>67</v>
      </c>
      <c r="C53" s="25"/>
      <c r="D53" s="25" t="s">
        <v>68</v>
      </c>
      <c r="E53" s="26" t="s">
        <v>45</v>
      </c>
      <c r="F53" s="29">
        <v>1</v>
      </c>
      <c r="G53" s="28">
        <v>1</v>
      </c>
      <c r="H53" s="28">
        <f>SUM($G$53:$G$53)</f>
        <v>1</v>
      </c>
      <c r="I53" s="54">
        <f t="array" ref="I53">INDEX(М[Цена за ед., руб],MATCH(1,IF(($B53=М[Наим.])*($C53=М[Артикул, марка, произв.])*($D53=М[Хар-ка])*($K53=М[Прим.]),{1},($B53=М[Наим.])*($C53=М[Артикул, марка, произв.])*($D53=М[Хар-ка])*($K53=М[Прим.])),0))</f>
        <v>0</v>
      </c>
      <c r="J53" s="54">
        <f>ROUND($H$53*$I$53,2)</f>
        <v>0</v>
      </c>
      <c r="K53" s="25" t="s">
        <v>69</v>
      </c>
      <c r="L53" s="25">
        <f t="array" ref="L53">INDEX(М[Форма закупа],MATCH(1,IF(($B53=М[Наим.])*($C53=М[Артикул, марка, произв.])*($D53=М[Хар-ка])*($K53=М[Прим.]),{1},($B53=М[Наим.])*($C53=М[Артикул, марка, произв.])*($D53=М[Хар-ка])*($K53=М[Прим.])),0))</f>
        <v>0</v>
      </c>
    </row>
    <row r="54" spans="1:12" ht="22.5" outlineLevel="4" x14ac:dyDescent="0.2">
      <c r="A54" s="23" t="s">
        <v>30</v>
      </c>
      <c r="B54" s="24" t="s">
        <v>70</v>
      </c>
      <c r="C54" s="25"/>
      <c r="D54" s="25" t="s">
        <v>71</v>
      </c>
      <c r="E54" s="26" t="s">
        <v>45</v>
      </c>
      <c r="F54" s="27"/>
      <c r="G54" s="28">
        <v>1</v>
      </c>
      <c r="H54" s="28">
        <f>SUM($G$54:$G$54)</f>
        <v>1</v>
      </c>
      <c r="I54" s="54">
        <f t="array" ref="I54">INDEX(М[Цена за ед., руб],MATCH(1,IF(($B54=М[Наим.])*($C54=М[Артикул, марка, произв.])*($D54=М[Хар-ка])*($K54=М[Прим.]),{1},($B54=М[Наим.])*($C54=М[Артикул, марка, произв.])*($D54=М[Хар-ка])*($K54=М[Прим.])),0))</f>
        <v>0</v>
      </c>
      <c r="J54" s="54">
        <f>ROUND($H$54*$I$54,2)</f>
        <v>0</v>
      </c>
      <c r="K54" s="25"/>
      <c r="L54" s="25">
        <f t="array" ref="L54">INDEX(М[Форма закупа],MATCH(1,IF(($B54=М[Наим.])*($C54=М[Артикул, марка, произв.])*($D54=М[Хар-ка])*($K54=М[Прим.]),{1},($B54=М[Наим.])*($C54=М[Артикул, марка, произв.])*($D54=М[Хар-ка])*($K54=М[Прим.])),0))</f>
        <v>0</v>
      </c>
    </row>
    <row r="55" spans="1:12" ht="22.5" outlineLevel="4" x14ac:dyDescent="0.2">
      <c r="A55" s="23" t="s">
        <v>32</v>
      </c>
      <c r="B55" s="24" t="s">
        <v>70</v>
      </c>
      <c r="C55" s="25"/>
      <c r="D55" s="25" t="s">
        <v>72</v>
      </c>
      <c r="E55" s="26" t="s">
        <v>45</v>
      </c>
      <c r="F55" s="27"/>
      <c r="G55" s="28">
        <v>1</v>
      </c>
      <c r="H55" s="28">
        <f>SUM($G$55:$G$55)</f>
        <v>1</v>
      </c>
      <c r="I55" s="54">
        <f t="array" ref="I55">INDEX(М[Цена за ед., руб],MATCH(1,IF(($B55=М[Наим.])*($C55=М[Артикул, марка, произв.])*($D55=М[Хар-ка])*($K55=М[Прим.]),{1},($B55=М[Наим.])*($C55=М[Артикул, марка, произв.])*($D55=М[Хар-ка])*($K55=М[Прим.])),0))</f>
        <v>0</v>
      </c>
      <c r="J55" s="54">
        <f>ROUND($H$55*$I$55,2)</f>
        <v>0</v>
      </c>
      <c r="K55" s="25"/>
      <c r="L55" s="25">
        <f t="array" ref="L55">INDEX(М[Форма закупа],MATCH(1,IF(($B55=М[Наим.])*($C55=М[Артикул, марка, произв.])*($D55=М[Хар-ка])*($K55=М[Прим.]),{1},($B55=М[Наим.])*($C55=М[Артикул, марка, произв.])*($D55=М[Хар-ка])*($K55=М[Прим.])),0))</f>
        <v>0</v>
      </c>
    </row>
    <row r="56" spans="1:12" outlineLevel="4" x14ac:dyDescent="0.2">
      <c r="A56" s="20"/>
      <c r="B56" s="14" t="s">
        <v>22</v>
      </c>
      <c r="C56" s="21"/>
      <c r="D56" s="21"/>
      <c r="E56" s="21"/>
      <c r="F56" s="21"/>
      <c r="G56" s="21"/>
      <c r="H56" s="21"/>
      <c r="I56" s="52"/>
      <c r="J56" s="53">
        <f>SUM($J$57)</f>
        <v>0</v>
      </c>
      <c r="K56" s="18"/>
      <c r="L56" s="22"/>
    </row>
    <row r="57" spans="1:12" outlineLevel="4" x14ac:dyDescent="0.2">
      <c r="A57" s="23"/>
      <c r="B57" s="24" t="s">
        <v>73</v>
      </c>
      <c r="C57" s="25"/>
      <c r="D57" s="25"/>
      <c r="E57" s="26" t="s">
        <v>45</v>
      </c>
      <c r="F57" s="27"/>
      <c r="G57" s="28">
        <v>1</v>
      </c>
      <c r="H57" s="28">
        <f>SUM($G$57:$G$57)</f>
        <v>1</v>
      </c>
      <c r="I57" s="54">
        <f t="array" ref="I57">INDEX(Р[Цена за ед., руб],MATCH(1,IF(($B57=Р[Наименование])*($K57=Р[Примечание]),{1},($B57=Р[Наименование])*($K57=Р[Примечание])),0))</f>
        <v>0</v>
      </c>
      <c r="J57" s="54">
        <f>ROUND($H$57*$I$57,2)</f>
        <v>0</v>
      </c>
      <c r="K57" s="25"/>
      <c r="L57" s="25"/>
    </row>
    <row r="58" spans="1:12" outlineLevel="4" x14ac:dyDescent="0.2">
      <c r="A58" s="20"/>
      <c r="B58" s="14" t="s">
        <v>25</v>
      </c>
      <c r="C58" s="21"/>
      <c r="D58" s="21"/>
      <c r="E58" s="21"/>
      <c r="F58" s="21"/>
      <c r="G58" s="21"/>
      <c r="H58" s="21"/>
      <c r="I58" s="52"/>
      <c r="J58" s="53">
        <f>SUM($J$59)</f>
        <v>0</v>
      </c>
      <c r="K58" s="18"/>
      <c r="L58" s="22"/>
    </row>
    <row r="59" spans="1:12" ht="33.75" outlineLevel="4" x14ac:dyDescent="0.2">
      <c r="A59" s="23" t="s">
        <v>26</v>
      </c>
      <c r="B59" s="24" t="s">
        <v>74</v>
      </c>
      <c r="C59" s="25"/>
      <c r="D59" s="25" t="s">
        <v>75</v>
      </c>
      <c r="E59" s="26" t="s">
        <v>45</v>
      </c>
      <c r="F59" s="27"/>
      <c r="G59" s="28">
        <v>1</v>
      </c>
      <c r="H59" s="28">
        <f>SUM($G$59:$G$59)</f>
        <v>1</v>
      </c>
      <c r="I59" s="54">
        <f t="array" ref="I59">INDEX(М[Цена за ед., руб],MATCH(1,IF(($B59=М[Наим.])*($C59=М[Артикул, марка, произв.])*($D59=М[Хар-ка])*($K59=М[Прим.]),{1},($B59=М[Наим.])*($C59=М[Артикул, марка, произв.])*($D59=М[Хар-ка])*($K59=М[Прим.])),0))</f>
        <v>0</v>
      </c>
      <c r="J59" s="54">
        <f>ROUND($H$59*$I$59,2)</f>
        <v>0</v>
      </c>
      <c r="K59" s="25"/>
      <c r="L59" s="25">
        <f t="array" ref="L59">INDEX(М[Форма закупа],MATCH(1,IF(($B59=М[Наим.])*($C59=М[Артикул, марка, произв.])*($D59=М[Хар-ка])*($K59=М[Прим.]),{1},($B59=М[Наим.])*($C59=М[Артикул, марка, произв.])*($D59=М[Хар-ка])*($K59=М[Прим.])),0))</f>
        <v>0</v>
      </c>
    </row>
    <row r="60" spans="1:12" outlineLevel="4" x14ac:dyDescent="0.2">
      <c r="A60" s="20"/>
      <c r="B60" s="14" t="s">
        <v>22</v>
      </c>
      <c r="C60" s="21"/>
      <c r="D60" s="21"/>
      <c r="E60" s="21"/>
      <c r="F60" s="21"/>
      <c r="G60" s="21"/>
      <c r="H60" s="21"/>
      <c r="I60" s="52"/>
      <c r="J60" s="53">
        <f>SUM($J$61)</f>
        <v>0</v>
      </c>
      <c r="K60" s="18"/>
      <c r="L60" s="22"/>
    </row>
    <row r="61" spans="1:12" outlineLevel="4" x14ac:dyDescent="0.2">
      <c r="A61" s="23"/>
      <c r="B61" s="24" t="s">
        <v>76</v>
      </c>
      <c r="C61" s="25"/>
      <c r="D61" s="25"/>
      <c r="E61" s="26" t="s">
        <v>45</v>
      </c>
      <c r="F61" s="27"/>
      <c r="G61" s="28">
        <v>1</v>
      </c>
      <c r="H61" s="28">
        <f>SUM($G$61:$G$61)</f>
        <v>1</v>
      </c>
      <c r="I61" s="54">
        <f t="array" ref="I61">INDEX(Р[Цена за ед., руб],MATCH(1,IF(($B61=Р[Наименование])*($K61=Р[Примечание]),{1},($B61=Р[Наименование])*($K61=Р[Примечание])),0))</f>
        <v>0</v>
      </c>
      <c r="J61" s="54">
        <f>ROUND($H$61*$I$61,2)</f>
        <v>0</v>
      </c>
      <c r="K61" s="25"/>
      <c r="L61" s="25"/>
    </row>
    <row r="62" spans="1:12" outlineLevel="4" x14ac:dyDescent="0.2">
      <c r="A62" s="20"/>
      <c r="B62" s="14" t="s">
        <v>25</v>
      </c>
      <c r="C62" s="21"/>
      <c r="D62" s="21"/>
      <c r="E62" s="21"/>
      <c r="F62" s="21"/>
      <c r="G62" s="21"/>
      <c r="H62" s="21"/>
      <c r="I62" s="52"/>
      <c r="J62" s="53">
        <f>SUM($J$63:$J$65)</f>
        <v>0</v>
      </c>
      <c r="K62" s="18"/>
      <c r="L62" s="22"/>
    </row>
    <row r="63" spans="1:12" outlineLevel="4" x14ac:dyDescent="0.2">
      <c r="A63" s="23">
        <v>1</v>
      </c>
      <c r="B63" s="24" t="s">
        <v>149</v>
      </c>
      <c r="C63" s="25"/>
      <c r="D63" s="25"/>
      <c r="E63" s="26" t="s">
        <v>113</v>
      </c>
      <c r="F63" s="27"/>
      <c r="G63" s="28">
        <v>1</v>
      </c>
      <c r="H63" s="28">
        <f>SUM(G63)</f>
        <v>1</v>
      </c>
      <c r="I63" s="54">
        <f t="array" ref="I63">INDEX(М[Цена за ед., руб],MATCH(1,IF(($B63=М[Наим.])*($C63=М[Артикул, марка, произв.])*($D63=М[Хар-ка])*($K63=М[Прим.]),{1},($B63=М[Наим.])*($C63=М[Артикул, марка, произв.])*($D63=М[Хар-ка])*($K63=М[Прим.])),0))</f>
        <v>0</v>
      </c>
      <c r="J63" s="54">
        <f>ROUND(H63*I63,2)</f>
        <v>0</v>
      </c>
      <c r="K63" s="25" t="s">
        <v>152</v>
      </c>
      <c r="L63" s="25">
        <f t="array" ref="L63">INDEX(М[Форма закупа],MATCH(1,IF(($B63=М[Наим.])*($C63=М[Артикул, марка, произв.])*($D63=М[Хар-ка])*($K63=М[Прим.]),{1},($B63=М[Наим.])*($C63=М[Артикул, марка, произв.])*($D63=М[Хар-ка])*($K63=М[Прим.])),0))</f>
        <v>0</v>
      </c>
    </row>
    <row r="64" spans="1:12" ht="22.5" outlineLevel="4" x14ac:dyDescent="0.2">
      <c r="A64" s="23">
        <v>2</v>
      </c>
      <c r="B64" s="24" t="s">
        <v>150</v>
      </c>
      <c r="C64" s="25"/>
      <c r="D64" s="25" t="s">
        <v>151</v>
      </c>
      <c r="E64" s="26" t="s">
        <v>45</v>
      </c>
      <c r="F64" s="27"/>
      <c r="G64" s="28">
        <v>1</v>
      </c>
      <c r="H64" s="28">
        <f>SUM(G64)</f>
        <v>1</v>
      </c>
      <c r="I64" s="54">
        <f t="array" ref="I64">INDEX(М[Цена за ед., руб],MATCH(1,IF(($B64=М[Наим.])*($C64=М[Артикул, марка, произв.])*($D64=М[Хар-ка])*($K64=М[Прим.]),{1},($B64=М[Наим.])*($C64=М[Артикул, марка, произв.])*($D64=М[Хар-ка])*($K64=М[Прим.])),0))</f>
        <v>0</v>
      </c>
      <c r="J64" s="54">
        <f>ROUND(H64*I64,2)</f>
        <v>0</v>
      </c>
      <c r="K64" s="25"/>
      <c r="L64" s="25">
        <f t="array" ref="L64">INDEX(М[Форма закупа],MATCH(1,IF(($B64=М[Наим.])*($C64=М[Артикул, марка, произв.])*($D64=М[Хар-ка])*($K64=М[Прим.]),{1},($B64=М[Наим.])*($C64=М[Артикул, марка, произв.])*($D64=М[Хар-ка])*($K64=М[Прим.])),0))</f>
        <v>0</v>
      </c>
    </row>
    <row r="65" spans="1:12" ht="33.75" outlineLevel="4" x14ac:dyDescent="0.2">
      <c r="A65" s="23">
        <v>3</v>
      </c>
      <c r="B65" s="24" t="s">
        <v>77</v>
      </c>
      <c r="C65" s="25"/>
      <c r="D65" s="25" t="s">
        <v>78</v>
      </c>
      <c r="E65" s="26" t="s">
        <v>45</v>
      </c>
      <c r="F65" s="27"/>
      <c r="G65" s="28">
        <v>1</v>
      </c>
      <c r="H65" s="28">
        <f>SUM($G$65:$G$65)</f>
        <v>1</v>
      </c>
      <c r="I65" s="54">
        <f t="array" ref="I65">INDEX(М[Цена за ед., руб],MATCH(1,IF(($B65=М[Наим.])*($C65=М[Артикул, марка, произв.])*($D65=М[Хар-ка])*($K65=М[Прим.]),{1},($B65=М[Наим.])*($C65=М[Артикул, марка, произв.])*($D65=М[Хар-ка])*($K65=М[Прим.])),0))</f>
        <v>0</v>
      </c>
      <c r="J65" s="54">
        <f>ROUND($H$65*$I$65,2)</f>
        <v>0</v>
      </c>
      <c r="K65" s="25" t="s">
        <v>79</v>
      </c>
      <c r="L65" s="25">
        <f t="array" ref="L65">INDEX(М[Форма закупа],MATCH(1,IF(($B65=М[Наим.])*($C65=М[Артикул, марка, произв.])*($D65=М[Хар-ка])*($K65=М[Прим.]),{1},($B65=М[Наим.])*($C65=М[Артикул, марка, произв.])*($D65=М[Хар-ка])*($K65=М[Прим.])),0))</f>
        <v>0</v>
      </c>
    </row>
    <row r="66" spans="1:12" outlineLevel="4" x14ac:dyDescent="0.2">
      <c r="A66" s="20"/>
      <c r="B66" s="14" t="s">
        <v>22</v>
      </c>
      <c r="C66" s="21"/>
      <c r="D66" s="21"/>
      <c r="E66" s="21"/>
      <c r="F66" s="21"/>
      <c r="G66" s="21"/>
      <c r="H66" s="21"/>
      <c r="I66" s="52"/>
      <c r="J66" s="53">
        <f>SUM($J$67)</f>
        <v>0</v>
      </c>
      <c r="K66" s="18"/>
      <c r="L66" s="22"/>
    </row>
    <row r="67" spans="1:12" outlineLevel="4" x14ac:dyDescent="0.2">
      <c r="A67" s="23"/>
      <c r="B67" s="24" t="s">
        <v>80</v>
      </c>
      <c r="C67" s="25"/>
      <c r="D67" s="25"/>
      <c r="E67" s="26" t="s">
        <v>45</v>
      </c>
      <c r="F67" s="27"/>
      <c r="G67" s="28">
        <v>1</v>
      </c>
      <c r="H67" s="28">
        <f>SUM($G$67:$G$67)</f>
        <v>1</v>
      </c>
      <c r="I67" s="54">
        <f t="array" ref="I67">INDEX(Р[Цена за ед., руб],MATCH(1,IF(($B67=Р[Наименование])*($K67=Р[Примечание]),{1},($B67=Р[Наименование])*($K67=Р[Примечание])),0))</f>
        <v>0</v>
      </c>
      <c r="J67" s="54">
        <f>ROUND($H$67*$I$67,2)</f>
        <v>0</v>
      </c>
      <c r="K67" s="25"/>
      <c r="L67" s="25"/>
    </row>
    <row r="68" spans="1:12" outlineLevel="4" x14ac:dyDescent="0.2">
      <c r="A68" s="20"/>
      <c r="B68" s="14" t="s">
        <v>25</v>
      </c>
      <c r="C68" s="21"/>
      <c r="D68" s="21"/>
      <c r="E68" s="21"/>
      <c r="F68" s="21"/>
      <c r="G68" s="21"/>
      <c r="H68" s="21"/>
      <c r="I68" s="52"/>
      <c r="J68" s="53">
        <f>SUM($J$69)</f>
        <v>0</v>
      </c>
      <c r="K68" s="18"/>
      <c r="L68" s="22"/>
    </row>
    <row r="69" spans="1:12" ht="22.5" outlineLevel="4" x14ac:dyDescent="0.2">
      <c r="A69" s="23" t="s">
        <v>26</v>
      </c>
      <c r="B69" s="24" t="s">
        <v>81</v>
      </c>
      <c r="C69" s="25"/>
      <c r="D69" s="25" t="s">
        <v>82</v>
      </c>
      <c r="E69" s="26" t="s">
        <v>45</v>
      </c>
      <c r="F69" s="27"/>
      <c r="G69" s="28">
        <v>1</v>
      </c>
      <c r="H69" s="28">
        <f>SUM($G$69:$G$69)</f>
        <v>1</v>
      </c>
      <c r="I69" s="54">
        <f t="array" ref="I69">INDEX(М[Цена за ед., руб],MATCH(1,IF(($B69=М[Наим.])*($C69=М[Артикул, марка, произв.])*($D69=М[Хар-ка])*($K69=М[Прим.]),{1},($B69=М[Наим.])*($C69=М[Артикул, марка, произв.])*($D69=М[Хар-ка])*($K69=М[Прим.])),0))</f>
        <v>0</v>
      </c>
      <c r="J69" s="54">
        <f>ROUND($H$69*$I$69,2)</f>
        <v>0</v>
      </c>
      <c r="K69" s="25"/>
      <c r="L69" s="25">
        <f t="array" ref="L69">INDEX(М[Форма закупа],MATCH(1,IF(($B69=М[Наим.])*($C69=М[Артикул, марка, произв.])*($D69=М[Хар-ка])*($K69=М[Прим.]),{1},($B69=М[Наим.])*($C69=М[Артикул, марка, произв.])*($D69=М[Хар-ка])*($K69=М[Прим.])),0))</f>
        <v>0</v>
      </c>
    </row>
    <row r="70" spans="1:12" outlineLevel="4" x14ac:dyDescent="0.2">
      <c r="A70" s="20"/>
      <c r="B70" s="14" t="s">
        <v>22</v>
      </c>
      <c r="C70" s="21"/>
      <c r="D70" s="21"/>
      <c r="E70" s="21"/>
      <c r="F70" s="21"/>
      <c r="G70" s="21"/>
      <c r="H70" s="21"/>
      <c r="I70" s="52"/>
      <c r="J70" s="53">
        <f>SUM($J$71)</f>
        <v>0</v>
      </c>
      <c r="K70" s="18"/>
      <c r="L70" s="22"/>
    </row>
    <row r="71" spans="1:12" outlineLevel="4" x14ac:dyDescent="0.2">
      <c r="A71" s="23"/>
      <c r="B71" s="24" t="s">
        <v>83</v>
      </c>
      <c r="C71" s="25"/>
      <c r="D71" s="25"/>
      <c r="E71" s="26" t="s">
        <v>29</v>
      </c>
      <c r="F71" s="27"/>
      <c r="G71" s="28">
        <v>194</v>
      </c>
      <c r="H71" s="28">
        <f>SUM($G$71:$G$71)</f>
        <v>194</v>
      </c>
      <c r="I71" s="54">
        <f t="array" ref="I71">INDEX(Р[Цена за ед., руб],MATCH(1,IF(($B71=Р[Наименование])*($K71=Р[Примечание]),{1},($B71=Р[Наименование])*($K71=Р[Примечание])),0))</f>
        <v>0</v>
      </c>
      <c r="J71" s="54">
        <f>ROUND($H$71*$I$71,2)</f>
        <v>0</v>
      </c>
      <c r="K71" s="25"/>
      <c r="L71" s="25"/>
    </row>
    <row r="72" spans="1:12" outlineLevel="4" x14ac:dyDescent="0.2">
      <c r="A72" s="20"/>
      <c r="B72" s="14" t="s">
        <v>25</v>
      </c>
      <c r="C72" s="21"/>
      <c r="D72" s="21"/>
      <c r="E72" s="21"/>
      <c r="F72" s="21"/>
      <c r="G72" s="21"/>
      <c r="H72" s="21"/>
      <c r="I72" s="52"/>
      <c r="J72" s="53">
        <f>SUM($J$73:$J$80)</f>
        <v>0</v>
      </c>
      <c r="K72" s="18"/>
      <c r="L72" s="22"/>
    </row>
    <row r="73" spans="1:12" ht="33.75" outlineLevel="4" x14ac:dyDescent="0.2">
      <c r="A73" s="64" t="s">
        <v>26</v>
      </c>
      <c r="B73" s="24" t="s">
        <v>84</v>
      </c>
      <c r="C73" s="25"/>
      <c r="D73" s="25" t="s">
        <v>85</v>
      </c>
      <c r="E73" s="26" t="s">
        <v>29</v>
      </c>
      <c r="F73" s="27"/>
      <c r="G73" s="28">
        <v>1</v>
      </c>
      <c r="H73" s="28">
        <f>SUM($G$73:$G$73)</f>
        <v>1</v>
      </c>
      <c r="I73" s="54">
        <f t="array" ref="I73">INDEX(М[Цена за ед., руб],MATCH(1,IF(($B73=М[Наим.])*($C73=М[Артикул, марка, произв.])*($D73=М[Хар-ка])*($K73=М[Прим.]),{1},($B73=М[Наим.])*($C73=М[Артикул, марка, произв.])*($D73=М[Хар-ка])*($K73=М[Прим.])),0))</f>
        <v>0</v>
      </c>
      <c r="J73" s="54">
        <f>ROUND($H$73*$I$73,2)</f>
        <v>0</v>
      </c>
      <c r="K73" s="25"/>
      <c r="L73" s="25">
        <f t="array" ref="L73">INDEX(М[Форма закупа],MATCH(1,IF(($B73=М[Наим.])*($C73=М[Артикул, марка, произв.])*($D73=М[Хар-ка])*($K73=М[Прим.]),{1},($B73=М[Наим.])*($C73=М[Артикул, марка, произв.])*($D73=М[Хар-ка])*($K73=М[Прим.])),0))</f>
        <v>0</v>
      </c>
    </row>
    <row r="74" spans="1:12" ht="45" outlineLevel="4" x14ac:dyDescent="0.2">
      <c r="A74" s="64" t="s">
        <v>30</v>
      </c>
      <c r="B74" s="24" t="s">
        <v>84</v>
      </c>
      <c r="C74" s="25"/>
      <c r="D74" s="25" t="s">
        <v>86</v>
      </c>
      <c r="E74" s="26" t="s">
        <v>29</v>
      </c>
      <c r="F74" s="27"/>
      <c r="G74" s="28">
        <v>36</v>
      </c>
      <c r="H74" s="28">
        <f>SUM($G$74:$G$74)</f>
        <v>36</v>
      </c>
      <c r="I74" s="54">
        <f t="array" ref="I74">INDEX(М[Цена за ед., руб],MATCH(1,IF(($B74=М[Наим.])*($C74=М[Артикул, марка, произв.])*($D74=М[Хар-ка])*($K74=М[Прим.]),{1},($B74=М[Наим.])*($C74=М[Артикул, марка, произв.])*($D74=М[Хар-ка])*($K74=М[Прим.])),0))</f>
        <v>0</v>
      </c>
      <c r="J74" s="54">
        <f>ROUND($H$74*$I$74,2)</f>
        <v>0</v>
      </c>
      <c r="K74" s="25"/>
      <c r="L74" s="25">
        <f t="array" ref="L74">INDEX(М[Форма закупа],MATCH(1,IF(($B74=М[Наим.])*($C74=М[Артикул, марка, произв.])*($D74=М[Хар-ка])*($K74=М[Прим.]),{1},($B74=М[Наим.])*($C74=М[Артикул, марка, произв.])*($D74=М[Хар-ка])*($K74=М[Прим.])),0))</f>
        <v>0</v>
      </c>
    </row>
    <row r="75" spans="1:12" ht="45" outlineLevel="4" x14ac:dyDescent="0.2">
      <c r="A75" s="64" t="s">
        <v>32</v>
      </c>
      <c r="B75" s="24" t="s">
        <v>84</v>
      </c>
      <c r="C75" s="25"/>
      <c r="D75" s="25" t="s">
        <v>87</v>
      </c>
      <c r="E75" s="26" t="s">
        <v>29</v>
      </c>
      <c r="F75" s="27"/>
      <c r="G75" s="28">
        <v>15</v>
      </c>
      <c r="H75" s="28">
        <f>SUM($G$75:$G$75)</f>
        <v>15</v>
      </c>
      <c r="I75" s="54">
        <f t="array" ref="I75">INDEX(М[Цена за ед., руб],MATCH(1,IF(($B75=М[Наим.])*($C75=М[Артикул, марка, произв.])*($D75=М[Хар-ка])*($K75=М[Прим.]),{1},($B75=М[Наим.])*($C75=М[Артикул, марка, произв.])*($D75=М[Хар-ка])*($K75=М[Прим.])),0))</f>
        <v>0</v>
      </c>
      <c r="J75" s="54">
        <f>ROUND($H$75*$I$75,2)</f>
        <v>0</v>
      </c>
      <c r="K75" s="25"/>
      <c r="L75" s="25">
        <f t="array" ref="L75">INDEX(М[Форма закупа],MATCH(1,IF(($B75=М[Наим.])*($C75=М[Артикул, марка, произв.])*($D75=М[Хар-ка])*($K75=М[Прим.]),{1},($B75=М[Наим.])*($C75=М[Артикул, марка, произв.])*($D75=М[Хар-ка])*($K75=М[Прим.])),0))</f>
        <v>0</v>
      </c>
    </row>
    <row r="76" spans="1:12" ht="45" outlineLevel="4" x14ac:dyDescent="0.2">
      <c r="A76" s="64" t="s">
        <v>34</v>
      </c>
      <c r="B76" s="24" t="s">
        <v>84</v>
      </c>
      <c r="C76" s="25"/>
      <c r="D76" s="25" t="s">
        <v>88</v>
      </c>
      <c r="E76" s="26" t="s">
        <v>29</v>
      </c>
      <c r="F76" s="27"/>
      <c r="G76" s="28">
        <v>20</v>
      </c>
      <c r="H76" s="28">
        <f>SUM($G$76:$G$76)</f>
        <v>20</v>
      </c>
      <c r="I76" s="54">
        <f t="array" ref="I76">INDEX(М[Цена за ед., руб],MATCH(1,IF(($B76=М[Наим.])*($C76=М[Артикул, марка, произв.])*($D76=М[Хар-ка])*($K76=М[Прим.]),{1},($B76=М[Наим.])*($C76=М[Артикул, марка, произв.])*($D76=М[Хар-ка])*($K76=М[Прим.])),0))</f>
        <v>0</v>
      </c>
      <c r="J76" s="54">
        <f>ROUND($H$76*$I$76,2)</f>
        <v>0</v>
      </c>
      <c r="K76" s="25"/>
      <c r="L76" s="25">
        <f t="array" ref="L76">INDEX(М[Форма закупа],MATCH(1,IF(($B76=М[Наим.])*($C76=М[Артикул, марка, произв.])*($D76=М[Хар-ка])*($K76=М[Прим.]),{1},($B76=М[Наим.])*($C76=М[Артикул, марка, произв.])*($D76=М[Хар-ка])*($K76=М[Прим.])),0))</f>
        <v>0</v>
      </c>
    </row>
    <row r="77" spans="1:12" ht="45" outlineLevel="4" x14ac:dyDescent="0.2">
      <c r="A77" s="64" t="s">
        <v>36</v>
      </c>
      <c r="B77" s="24" t="s">
        <v>84</v>
      </c>
      <c r="C77" s="25"/>
      <c r="D77" s="25" t="s">
        <v>89</v>
      </c>
      <c r="E77" s="26" t="s">
        <v>29</v>
      </c>
      <c r="F77" s="27"/>
      <c r="G77" s="28">
        <v>82</v>
      </c>
      <c r="H77" s="28">
        <f>SUM($G$77:$G$77)</f>
        <v>82</v>
      </c>
      <c r="I77" s="54">
        <f t="array" ref="I77">INDEX(М[Цена за ед., руб],MATCH(1,IF(($B77=М[Наим.])*($C77=М[Артикул, марка, произв.])*($D77=М[Хар-ка])*($K77=М[Прим.]),{1},($B77=М[Наим.])*($C77=М[Артикул, марка, произв.])*($D77=М[Хар-ка])*($K77=М[Прим.])),0))</f>
        <v>0</v>
      </c>
      <c r="J77" s="54">
        <f>ROUND($H$77*$I$77,2)</f>
        <v>0</v>
      </c>
      <c r="K77" s="25"/>
      <c r="L77" s="25">
        <f t="array" ref="L77">INDEX(М[Форма закупа],MATCH(1,IF(($B77=М[Наим.])*($C77=М[Артикул, марка, произв.])*($D77=М[Хар-ка])*($K77=М[Прим.]),{1},($B77=М[Наим.])*($C77=М[Артикул, марка, произв.])*($D77=М[Хар-ка])*($K77=М[Прим.])),0))</f>
        <v>0</v>
      </c>
    </row>
    <row r="78" spans="1:12" ht="45" outlineLevel="4" x14ac:dyDescent="0.2">
      <c r="A78" s="64" t="s">
        <v>38</v>
      </c>
      <c r="B78" s="24" t="s">
        <v>84</v>
      </c>
      <c r="C78" s="25"/>
      <c r="D78" s="25" t="s">
        <v>90</v>
      </c>
      <c r="E78" s="26" t="s">
        <v>29</v>
      </c>
      <c r="F78" s="27"/>
      <c r="G78" s="28">
        <v>26</v>
      </c>
      <c r="H78" s="28">
        <f>SUM($G$78:$G$78)</f>
        <v>26</v>
      </c>
      <c r="I78" s="54">
        <f t="array" ref="I78">INDEX(М[Цена за ед., руб],MATCH(1,IF(($B78=М[Наим.])*($C78=М[Артикул, марка, произв.])*($D78=М[Хар-ка])*($K78=М[Прим.]),{1},($B78=М[Наим.])*($C78=М[Артикул, марка, произв.])*($D78=М[Хар-ка])*($K78=М[Прим.])),0))</f>
        <v>0</v>
      </c>
      <c r="J78" s="54">
        <f>ROUND($H$78*$I$78,2)</f>
        <v>0</v>
      </c>
      <c r="K78" s="25"/>
      <c r="L78" s="25">
        <f t="array" ref="L78">INDEX(М[Форма закупа],MATCH(1,IF(($B78=М[Наим.])*($C78=М[Артикул, марка, произв.])*($D78=М[Хар-ка])*($K78=М[Прим.]),{1},($B78=М[Наим.])*($C78=М[Артикул, марка, произв.])*($D78=М[Хар-ка])*($K78=М[Прим.])),0))</f>
        <v>0</v>
      </c>
    </row>
    <row r="79" spans="1:12" ht="45" outlineLevel="4" x14ac:dyDescent="0.2">
      <c r="A79" s="64" t="s">
        <v>40</v>
      </c>
      <c r="B79" s="24" t="s">
        <v>84</v>
      </c>
      <c r="C79" s="25"/>
      <c r="D79" s="25" t="s">
        <v>91</v>
      </c>
      <c r="E79" s="26" t="s">
        <v>29</v>
      </c>
      <c r="F79" s="27"/>
      <c r="G79" s="28">
        <v>8</v>
      </c>
      <c r="H79" s="28">
        <f>SUM($G$79:$G$79)</f>
        <v>8</v>
      </c>
      <c r="I79" s="54">
        <f t="array" ref="I79">INDEX(М[Цена за ед., руб],MATCH(1,IF(($B79=М[Наим.])*($C79=М[Артикул, марка, произв.])*($D79=М[Хар-ка])*($K79=М[Прим.]),{1},($B79=М[Наим.])*($C79=М[Артикул, марка, произв.])*($D79=М[Хар-ка])*($K79=М[Прим.])),0))</f>
        <v>0</v>
      </c>
      <c r="J79" s="54">
        <f>ROUND($H$79*$I$79,2)</f>
        <v>0</v>
      </c>
      <c r="K79" s="25"/>
      <c r="L79" s="25">
        <f t="array" ref="L79">INDEX(М[Форма закупа],MATCH(1,IF(($B79=М[Наим.])*($C79=М[Артикул, марка, произв.])*($D79=М[Хар-ка])*($K79=М[Прим.]),{1},($B79=М[Наим.])*($C79=М[Артикул, марка, произв.])*($D79=М[Хар-ка])*($K79=М[Прим.])),0))</f>
        <v>0</v>
      </c>
    </row>
    <row r="80" spans="1:12" ht="45" outlineLevel="4" x14ac:dyDescent="0.2">
      <c r="A80" s="64" t="s">
        <v>42</v>
      </c>
      <c r="B80" s="24" t="s">
        <v>84</v>
      </c>
      <c r="C80" s="25"/>
      <c r="D80" s="25" t="s">
        <v>92</v>
      </c>
      <c r="E80" s="26" t="s">
        <v>29</v>
      </c>
      <c r="F80" s="27"/>
      <c r="G80" s="28">
        <v>6</v>
      </c>
      <c r="H80" s="28">
        <f>SUM($G$80:$G$80)</f>
        <v>6</v>
      </c>
      <c r="I80" s="54">
        <f t="array" ref="I80">INDEX(М[Цена за ед., руб],MATCH(1,IF(($B80=М[Наим.])*($C80=М[Артикул, марка, произв.])*($D80=М[Хар-ка])*($K80=М[Прим.]),{1},($B80=М[Наим.])*($C80=М[Артикул, марка, произв.])*($D80=М[Хар-ка])*($K80=М[Прим.])),0))</f>
        <v>0</v>
      </c>
      <c r="J80" s="54">
        <f>ROUND($H$80*$I$80,2)</f>
        <v>0</v>
      </c>
      <c r="K80" s="25"/>
      <c r="L80" s="25">
        <f t="array" ref="L80">INDEX(М[Форма закупа],MATCH(1,IF(($B80=М[Наим.])*($C80=М[Артикул, марка, произв.])*($D80=М[Хар-ка])*($K80=М[Прим.]),{1},($B80=М[Наим.])*($C80=М[Артикул, марка, произв.])*($D80=М[Хар-ка])*($K80=М[Прим.])),0))</f>
        <v>0</v>
      </c>
    </row>
    <row r="81" spans="1:12" outlineLevel="4" x14ac:dyDescent="0.2">
      <c r="A81" s="20"/>
      <c r="B81" s="14" t="s">
        <v>22</v>
      </c>
      <c r="C81" s="21"/>
      <c r="D81" s="21"/>
      <c r="E81" s="21"/>
      <c r="F81" s="21"/>
      <c r="G81" s="21"/>
      <c r="H81" s="21"/>
      <c r="I81" s="52"/>
      <c r="J81" s="53">
        <f>SUM($J$82)</f>
        <v>0</v>
      </c>
      <c r="K81" s="18"/>
      <c r="L81" s="22"/>
    </row>
    <row r="82" spans="1:12" outlineLevel="4" x14ac:dyDescent="0.2">
      <c r="A82" s="23"/>
      <c r="B82" s="24" t="s">
        <v>93</v>
      </c>
      <c r="C82" s="25"/>
      <c r="D82" s="25"/>
      <c r="E82" s="26" t="s">
        <v>24</v>
      </c>
      <c r="F82" s="27"/>
      <c r="G82" s="28">
        <v>1</v>
      </c>
      <c r="H82" s="28">
        <f>SUM($G$82:$G$82)</f>
        <v>1</v>
      </c>
      <c r="I82" s="54">
        <f t="array" ref="I82">INDEX(Р[Цена за ед., руб],MATCH(1,IF(($B82=Р[Наименование])*($K82=Р[Примечание]),{1},($B82=Р[Наименование])*($K82=Р[Примечание])),0))</f>
        <v>0</v>
      </c>
      <c r="J82" s="54">
        <f>ROUND($H$82*$I$82,2)</f>
        <v>0</v>
      </c>
      <c r="K82" s="25"/>
      <c r="L82" s="25"/>
    </row>
    <row r="83" spans="1:12" outlineLevel="4" x14ac:dyDescent="0.2">
      <c r="A83" s="20"/>
      <c r="B83" s="14" t="s">
        <v>25</v>
      </c>
      <c r="C83" s="21"/>
      <c r="D83" s="21"/>
      <c r="E83" s="21"/>
      <c r="F83" s="21"/>
      <c r="G83" s="21"/>
      <c r="H83" s="21"/>
      <c r="I83" s="52"/>
      <c r="J83" s="53">
        <f>SUM($J$84)</f>
        <v>0</v>
      </c>
      <c r="K83" s="18"/>
      <c r="L83" s="22"/>
    </row>
    <row r="84" spans="1:12" ht="22.5" outlineLevel="4" x14ac:dyDescent="0.2">
      <c r="A84" s="64" t="s">
        <v>26</v>
      </c>
      <c r="B84" s="24" t="s">
        <v>94</v>
      </c>
      <c r="C84" s="25"/>
      <c r="D84" s="25" t="s">
        <v>95</v>
      </c>
      <c r="E84" s="26" t="s">
        <v>29</v>
      </c>
      <c r="F84" s="27"/>
      <c r="G84" s="28">
        <v>1</v>
      </c>
      <c r="H84" s="28">
        <f>SUM($G$84:$G$84)</f>
        <v>1</v>
      </c>
      <c r="I84" s="54">
        <f t="array" ref="I84">INDEX(М[Цена за ед., руб],MATCH(1,IF(($B84=М[Наим.])*($C84=М[Артикул, марка, произв.])*($D84=М[Хар-ка])*($K84=М[Прим.]),{1},($B84=М[Наим.])*($C84=М[Артикул, марка, произв.])*($D84=М[Хар-ка])*($K84=М[Прим.])),0))</f>
        <v>0</v>
      </c>
      <c r="J84" s="54">
        <f>ROUND($H$84*$I$84,2)</f>
        <v>0</v>
      </c>
      <c r="K84" s="25"/>
      <c r="L84" s="25">
        <f t="array" ref="L84">INDEX(М[Форма закупа],MATCH(1,IF(($B84=М[Наим.])*($C84=М[Артикул, марка, произв.])*($D84=М[Хар-ка])*($K84=М[Прим.]),{1},($B84=М[Наим.])*($C84=М[Артикул, марка, произв.])*($D84=М[Хар-ка])*($K84=М[Прим.])),0))</f>
        <v>0</v>
      </c>
    </row>
    <row r="85" spans="1:12" outlineLevel="4" x14ac:dyDescent="0.2">
      <c r="A85" s="20"/>
      <c r="B85" s="14" t="s">
        <v>22</v>
      </c>
      <c r="C85" s="21"/>
      <c r="D85" s="21"/>
      <c r="E85" s="21"/>
      <c r="F85" s="21"/>
      <c r="G85" s="21"/>
      <c r="H85" s="21"/>
      <c r="I85" s="52"/>
      <c r="J85" s="53">
        <f>SUM($J$86)</f>
        <v>0</v>
      </c>
      <c r="K85" s="18"/>
      <c r="L85" s="22"/>
    </row>
    <row r="86" spans="1:12" outlineLevel="4" x14ac:dyDescent="0.2">
      <c r="A86" s="23"/>
      <c r="B86" s="24" t="s">
        <v>96</v>
      </c>
      <c r="C86" s="25"/>
      <c r="D86" s="25"/>
      <c r="E86" s="26" t="s">
        <v>29</v>
      </c>
      <c r="F86" s="27"/>
      <c r="G86" s="28">
        <v>25</v>
      </c>
      <c r="H86" s="28">
        <f>SUM($G$86:$G$86)</f>
        <v>25</v>
      </c>
      <c r="I86" s="54">
        <f t="array" ref="I86">INDEX(Р[Цена за ед., руб],MATCH(1,IF(($B86=Р[Наименование])*($K86=Р[Примечание]),{1},($B86=Р[Наименование])*($K86=Р[Примечание])),0))</f>
        <v>0</v>
      </c>
      <c r="J86" s="54">
        <f>ROUND($H$86*$I$86,2)</f>
        <v>0</v>
      </c>
      <c r="K86" s="25"/>
      <c r="L86" s="25"/>
    </row>
    <row r="87" spans="1:12" outlineLevel="4" x14ac:dyDescent="0.2">
      <c r="A87" s="20"/>
      <c r="B87" s="14" t="s">
        <v>25</v>
      </c>
      <c r="C87" s="21"/>
      <c r="D87" s="21"/>
      <c r="E87" s="21"/>
      <c r="F87" s="21"/>
      <c r="G87" s="21"/>
      <c r="H87" s="21"/>
      <c r="I87" s="52"/>
      <c r="J87" s="53">
        <f>SUM($J$88:$J$90)</f>
        <v>0</v>
      </c>
      <c r="K87" s="18"/>
      <c r="L87" s="22"/>
    </row>
    <row r="88" spans="1:12" ht="22.5" outlineLevel="4" x14ac:dyDescent="0.2">
      <c r="A88" s="64" t="s">
        <v>26</v>
      </c>
      <c r="B88" s="24" t="s">
        <v>97</v>
      </c>
      <c r="C88" s="25"/>
      <c r="D88" s="25" t="s">
        <v>98</v>
      </c>
      <c r="E88" s="26" t="s">
        <v>24</v>
      </c>
      <c r="F88" s="27"/>
      <c r="G88" s="28">
        <v>4</v>
      </c>
      <c r="H88" s="28">
        <f>SUM($G$88:$G$88)</f>
        <v>4</v>
      </c>
      <c r="I88" s="54">
        <f t="array" ref="I88">INDEX(М[Цена за ед., руб],MATCH(1,IF(($B88=М[Наим.])*($C88=М[Артикул, марка, произв.])*($D88=М[Хар-ка])*($K88=М[Прим.]),{1},($B88=М[Наим.])*($C88=М[Артикул, марка, произв.])*($D88=М[Хар-ка])*($K88=М[Прим.])),0))</f>
        <v>0</v>
      </c>
      <c r="J88" s="54">
        <f>ROUND($H$88*$I$88,2)</f>
        <v>0</v>
      </c>
      <c r="K88" s="25"/>
      <c r="L88" s="25">
        <f t="array" ref="L88">INDEX(М[Форма закупа],MATCH(1,IF(($B88=М[Наим.])*($C88=М[Артикул, марка, произв.])*($D88=М[Хар-ка])*($K88=М[Прим.]),{1},($B88=М[Наим.])*($C88=М[Артикул, марка, произв.])*($D88=М[Хар-ка])*($K88=М[Прим.])),0))</f>
        <v>0</v>
      </c>
    </row>
    <row r="89" spans="1:12" ht="22.5" outlineLevel="4" x14ac:dyDescent="0.2">
      <c r="A89" s="64" t="s">
        <v>30</v>
      </c>
      <c r="B89" s="24" t="s">
        <v>97</v>
      </c>
      <c r="C89" s="25"/>
      <c r="D89" s="25" t="s">
        <v>99</v>
      </c>
      <c r="E89" s="26" t="s">
        <v>24</v>
      </c>
      <c r="F89" s="27"/>
      <c r="G89" s="28">
        <v>20</v>
      </c>
      <c r="H89" s="28">
        <f>SUM($G$89:$G$89)</f>
        <v>20</v>
      </c>
      <c r="I89" s="54">
        <f t="array" ref="I89">INDEX(М[Цена за ед., руб],MATCH(1,IF(($B89=М[Наим.])*($C89=М[Артикул, марка, произв.])*($D89=М[Хар-ка])*($K89=М[Прим.]),{1},($B89=М[Наим.])*($C89=М[Артикул, марка, произв.])*($D89=М[Хар-ка])*($K89=М[Прим.])),0))</f>
        <v>0</v>
      </c>
      <c r="J89" s="54">
        <f>ROUND($H$89*$I$89,2)</f>
        <v>0</v>
      </c>
      <c r="K89" s="25"/>
      <c r="L89" s="25">
        <f t="array" ref="L89">INDEX(М[Форма закупа],MATCH(1,IF(($B89=М[Наим.])*($C89=М[Артикул, марка, произв.])*($D89=М[Хар-ка])*($K89=М[Прим.]),{1},($B89=М[Наим.])*($C89=М[Артикул, марка, произв.])*($D89=М[Хар-ка])*($K89=М[Прим.])),0))</f>
        <v>0</v>
      </c>
    </row>
    <row r="90" spans="1:12" ht="22.5" outlineLevel="4" x14ac:dyDescent="0.2">
      <c r="A90" s="64" t="s">
        <v>32</v>
      </c>
      <c r="B90" s="24" t="s">
        <v>97</v>
      </c>
      <c r="C90" s="25"/>
      <c r="D90" s="25" t="s">
        <v>100</v>
      </c>
      <c r="E90" s="26" t="s">
        <v>24</v>
      </c>
      <c r="F90" s="27"/>
      <c r="G90" s="28">
        <v>1</v>
      </c>
      <c r="H90" s="28">
        <f>SUM($G$90:$G$90)</f>
        <v>1</v>
      </c>
      <c r="I90" s="54">
        <f t="array" ref="I90">INDEX(М[Цена за ед., руб],MATCH(1,IF(($B90=М[Наим.])*($C90=М[Артикул, марка, произв.])*($D90=М[Хар-ка])*($K90=М[Прим.]),{1},($B90=М[Наим.])*($C90=М[Артикул, марка, произв.])*($D90=М[Хар-ка])*($K90=М[Прим.])),0))</f>
        <v>0</v>
      </c>
      <c r="J90" s="54">
        <f>ROUND($H$90*$I$90,2)</f>
        <v>0</v>
      </c>
      <c r="K90" s="25"/>
      <c r="L90" s="25">
        <f t="array" ref="L90">INDEX(М[Форма закупа],MATCH(1,IF(($B90=М[Наим.])*($C90=М[Артикул, марка, произв.])*($D90=М[Хар-ка])*($K90=М[Прим.]),{1},($B90=М[Наим.])*($C90=М[Артикул, марка, произв.])*($D90=М[Хар-ка])*($K90=М[Прим.])),0))</f>
        <v>0</v>
      </c>
    </row>
    <row r="91" spans="1:12" outlineLevel="4" x14ac:dyDescent="0.2">
      <c r="A91" s="20"/>
      <c r="B91" s="14" t="s">
        <v>22</v>
      </c>
      <c r="C91" s="21"/>
      <c r="D91" s="21"/>
      <c r="E91" s="21"/>
      <c r="F91" s="21"/>
      <c r="G91" s="21"/>
      <c r="H91" s="21"/>
      <c r="I91" s="52"/>
      <c r="J91" s="53">
        <f>SUM($J$92)</f>
        <v>0</v>
      </c>
      <c r="K91" s="18"/>
      <c r="L91" s="22"/>
    </row>
    <row r="92" spans="1:12" outlineLevel="4" x14ac:dyDescent="0.2">
      <c r="A92" s="23"/>
      <c r="B92" s="24" t="s">
        <v>101</v>
      </c>
      <c r="C92" s="25"/>
      <c r="D92" s="25"/>
      <c r="E92" s="26" t="s">
        <v>24</v>
      </c>
      <c r="F92" s="27"/>
      <c r="G92" s="28">
        <v>19</v>
      </c>
      <c r="H92" s="28">
        <f>SUM($G$92:$G$92)</f>
        <v>19</v>
      </c>
      <c r="I92" s="54">
        <f t="array" ref="I92">INDEX(Р[Цена за ед., руб],MATCH(1,IF(($B92=Р[Наименование])*($K92=Р[Примечание]),{1},($B92=Р[Наименование])*($K92=Р[Примечание])),0))</f>
        <v>0</v>
      </c>
      <c r="J92" s="54">
        <f>ROUND($H$92*$I$92,2)</f>
        <v>0</v>
      </c>
      <c r="K92" s="25"/>
      <c r="L92" s="25"/>
    </row>
    <row r="93" spans="1:12" outlineLevel="4" x14ac:dyDescent="0.2">
      <c r="A93" s="20"/>
      <c r="B93" s="14" t="s">
        <v>25</v>
      </c>
      <c r="C93" s="21"/>
      <c r="D93" s="21"/>
      <c r="E93" s="21"/>
      <c r="F93" s="21"/>
      <c r="G93" s="21"/>
      <c r="H93" s="21"/>
      <c r="I93" s="52"/>
      <c r="J93" s="53">
        <f>SUM($J$94:$J$96)</f>
        <v>0</v>
      </c>
      <c r="K93" s="18"/>
      <c r="L93" s="22"/>
    </row>
    <row r="94" spans="1:12" ht="22.5" outlineLevel="4" x14ac:dyDescent="0.2">
      <c r="A94" s="64" t="s">
        <v>26</v>
      </c>
      <c r="B94" s="24" t="s">
        <v>97</v>
      </c>
      <c r="C94" s="25"/>
      <c r="D94" s="25" t="s">
        <v>102</v>
      </c>
      <c r="E94" s="26" t="s">
        <v>24</v>
      </c>
      <c r="F94" s="27"/>
      <c r="G94" s="28">
        <v>4</v>
      </c>
      <c r="H94" s="28">
        <f>SUM($G$94:$G$94)</f>
        <v>4</v>
      </c>
      <c r="I94" s="54">
        <f t="array" ref="I94">INDEX(М[Цена за ед., руб],MATCH(1,IF(($B94=М[Наим.])*($C94=М[Артикул, марка, произв.])*($D94=М[Хар-ка])*($K94=М[Прим.]),{1},($B94=М[Наим.])*($C94=М[Артикул, марка, произв.])*($D94=М[Хар-ка])*($K94=М[Прим.])),0))</f>
        <v>0</v>
      </c>
      <c r="J94" s="54">
        <f>ROUND($H$94*$I$94,2)</f>
        <v>0</v>
      </c>
      <c r="K94" s="25"/>
      <c r="L94" s="25">
        <f t="array" ref="L94">INDEX(М[Форма закупа],MATCH(1,IF(($B94=М[Наим.])*($C94=М[Артикул, марка, произв.])*($D94=М[Хар-ка])*($K94=М[Прим.]),{1},($B94=М[Наим.])*($C94=М[Артикул, марка, произв.])*($D94=М[Хар-ка])*($K94=М[Прим.])),0))</f>
        <v>0</v>
      </c>
    </row>
    <row r="95" spans="1:12" ht="22.5" outlineLevel="4" x14ac:dyDescent="0.2">
      <c r="A95" s="64" t="s">
        <v>30</v>
      </c>
      <c r="B95" s="24" t="s">
        <v>97</v>
      </c>
      <c r="C95" s="25"/>
      <c r="D95" s="25" t="s">
        <v>103</v>
      </c>
      <c r="E95" s="26" t="s">
        <v>24</v>
      </c>
      <c r="F95" s="27"/>
      <c r="G95" s="28">
        <v>3</v>
      </c>
      <c r="H95" s="28">
        <f>SUM($G$95:$G$95)</f>
        <v>3</v>
      </c>
      <c r="I95" s="54">
        <f t="array" ref="I95">INDEX(М[Цена за ед., руб],MATCH(1,IF(($B95=М[Наим.])*($C95=М[Артикул, марка, произв.])*($D95=М[Хар-ка])*($K95=М[Прим.]),{1},($B95=М[Наим.])*($C95=М[Артикул, марка, произв.])*($D95=М[Хар-ка])*($K95=М[Прим.])),0))</f>
        <v>0</v>
      </c>
      <c r="J95" s="54">
        <f>ROUND($H$95*$I$95,2)</f>
        <v>0</v>
      </c>
      <c r="K95" s="25"/>
      <c r="L95" s="25">
        <f t="array" ref="L95">INDEX(М[Форма закупа],MATCH(1,IF(($B95=М[Наим.])*($C95=М[Артикул, марка, произв.])*($D95=М[Хар-ка])*($K95=М[Прим.]),{1},($B95=М[Наим.])*($C95=М[Артикул, марка, произв.])*($D95=М[Хар-ка])*($K95=М[Прим.])),0))</f>
        <v>0</v>
      </c>
    </row>
    <row r="96" spans="1:12" ht="22.5" outlineLevel="4" x14ac:dyDescent="0.2">
      <c r="A96" s="64" t="s">
        <v>32</v>
      </c>
      <c r="B96" s="24" t="s">
        <v>97</v>
      </c>
      <c r="C96" s="25"/>
      <c r="D96" s="25" t="s">
        <v>104</v>
      </c>
      <c r="E96" s="26" t="s">
        <v>24</v>
      </c>
      <c r="F96" s="27"/>
      <c r="G96" s="28">
        <v>12</v>
      </c>
      <c r="H96" s="28">
        <f>SUM($G$96:$G$96)</f>
        <v>12</v>
      </c>
      <c r="I96" s="54">
        <f t="array" ref="I96">INDEX(М[Цена за ед., руб],MATCH(1,IF(($B96=М[Наим.])*($C96=М[Артикул, марка, произв.])*($D96=М[Хар-ка])*($K96=М[Прим.]),{1},($B96=М[Наим.])*($C96=М[Артикул, марка, произв.])*($D96=М[Хар-ка])*($K96=М[Прим.])),0))</f>
        <v>0</v>
      </c>
      <c r="J96" s="54">
        <f>ROUND($H$96*$I$96,2)</f>
        <v>0</v>
      </c>
      <c r="K96" s="25"/>
      <c r="L96" s="25">
        <f t="array" ref="L96">INDEX(М[Форма закупа],MATCH(1,IF(($B96=М[Наим.])*($C96=М[Артикул, марка, произв.])*($D96=М[Хар-ка])*($K96=М[Прим.]),{1},($B96=М[Наим.])*($C96=М[Артикул, марка, произв.])*($D96=М[Хар-ка])*($K96=М[Прим.])),0))</f>
        <v>0</v>
      </c>
    </row>
    <row r="97" spans="1:12" outlineLevel="4" x14ac:dyDescent="0.2">
      <c r="A97" s="20"/>
      <c r="B97" s="14" t="s">
        <v>22</v>
      </c>
      <c r="C97" s="21"/>
      <c r="D97" s="21"/>
      <c r="E97" s="21"/>
      <c r="F97" s="21"/>
      <c r="G97" s="21"/>
      <c r="H97" s="21"/>
      <c r="I97" s="52"/>
      <c r="J97" s="53">
        <f>SUM($J$98)</f>
        <v>0</v>
      </c>
      <c r="K97" s="18"/>
      <c r="L97" s="22"/>
    </row>
    <row r="98" spans="1:12" ht="22.5" outlineLevel="4" x14ac:dyDescent="0.2">
      <c r="A98" s="23"/>
      <c r="B98" s="24" t="s">
        <v>50</v>
      </c>
      <c r="C98" s="25"/>
      <c r="D98" s="25"/>
      <c r="E98" s="26" t="s">
        <v>45</v>
      </c>
      <c r="F98" s="27"/>
      <c r="G98" s="28">
        <v>7</v>
      </c>
      <c r="H98" s="28">
        <f>SUM($G$98:$G$98)</f>
        <v>7</v>
      </c>
      <c r="I98" s="54">
        <f t="array" ref="I98">INDEX(Р[Цена за ед., руб],MATCH(1,IF(($B98=Р[Наименование])*($K98=Р[Примечание]),{1},($B98=Р[Наименование])*($K98=Р[Примечание])),0))</f>
        <v>0</v>
      </c>
      <c r="J98" s="54">
        <f>ROUND($H$98*$I$98,2)</f>
        <v>0</v>
      </c>
      <c r="K98" s="25"/>
      <c r="L98" s="25"/>
    </row>
    <row r="99" spans="1:12" outlineLevel="4" x14ac:dyDescent="0.2">
      <c r="A99" s="20"/>
      <c r="B99" s="14" t="s">
        <v>25</v>
      </c>
      <c r="C99" s="21"/>
      <c r="D99" s="21"/>
      <c r="E99" s="21"/>
      <c r="F99" s="21"/>
      <c r="G99" s="21"/>
      <c r="H99" s="21"/>
      <c r="I99" s="52"/>
      <c r="J99" s="53">
        <f>SUM($J$100:$J$101)</f>
        <v>0</v>
      </c>
      <c r="K99" s="18"/>
      <c r="L99" s="22"/>
    </row>
    <row r="100" spans="1:12" ht="22.5" outlineLevel="4" x14ac:dyDescent="0.2">
      <c r="A100" s="23" t="s">
        <v>26</v>
      </c>
      <c r="B100" s="24" t="s">
        <v>106</v>
      </c>
      <c r="C100" s="25"/>
      <c r="D100" s="25" t="s">
        <v>107</v>
      </c>
      <c r="E100" s="26" t="s">
        <v>45</v>
      </c>
      <c r="F100" s="27"/>
      <c r="G100" s="28">
        <v>5</v>
      </c>
      <c r="H100" s="28">
        <f>SUM($G$100:$G$100)</f>
        <v>5</v>
      </c>
      <c r="I100" s="54">
        <f t="array" ref="I100">INDEX(М[Цена за ед., руб],MATCH(1,IF(($B100=М[Наим.])*($C100=М[Артикул, марка, произв.])*($D100=М[Хар-ка])*($K100=М[Прим.]),{1},($B100=М[Наим.])*($C100=М[Артикул, марка, произв.])*($D100=М[Хар-ка])*($K100=М[Прим.])),0))</f>
        <v>0</v>
      </c>
      <c r="J100" s="54">
        <f>ROUND($H$100*$I$100,2)</f>
        <v>0</v>
      </c>
      <c r="K100" s="25"/>
      <c r="L100" s="25">
        <f t="array" ref="L100">INDEX(М[Форма закупа],MATCH(1,IF(($B100=М[Наим.])*($C100=М[Артикул, марка, произв.])*($D100=М[Хар-ка])*($K100=М[Прим.]),{1},($B100=М[Наим.])*($C100=М[Артикул, марка, произв.])*($D100=М[Хар-ка])*($K100=М[Прим.])),0))</f>
        <v>0</v>
      </c>
    </row>
    <row r="101" spans="1:12" ht="22.5" outlineLevel="4" x14ac:dyDescent="0.2">
      <c r="A101" s="23" t="s">
        <v>30</v>
      </c>
      <c r="B101" s="24" t="s">
        <v>106</v>
      </c>
      <c r="C101" s="25"/>
      <c r="D101" s="25" t="s">
        <v>108</v>
      </c>
      <c r="E101" s="26" t="s">
        <v>45</v>
      </c>
      <c r="F101" s="27"/>
      <c r="G101" s="28">
        <v>2</v>
      </c>
      <c r="H101" s="28">
        <f>SUM($G$101:$G$101)</f>
        <v>2</v>
      </c>
      <c r="I101" s="54">
        <f t="array" ref="I101">INDEX(М[Цена за ед., руб],MATCH(1,IF(($B101=М[Наим.])*($C101=М[Артикул, марка, произв.])*($D101=М[Хар-ка])*($K101=М[Прим.]),{1},($B101=М[Наим.])*($C101=М[Артикул, марка, произв.])*($D101=М[Хар-ка])*($K101=М[Прим.])),0))</f>
        <v>0</v>
      </c>
      <c r="J101" s="54">
        <f>ROUND($H$101*$I$101,2)</f>
        <v>0</v>
      </c>
      <c r="K101" s="25"/>
      <c r="L101" s="25">
        <f t="array" ref="L101">INDEX(М[Форма закупа],MATCH(1,IF(($B101=М[Наим.])*($C101=М[Артикул, марка, произв.])*($D101=М[Хар-ка])*($K101=М[Прим.]),{1},($B101=М[Наим.])*($C101=М[Артикул, марка, произв.])*($D101=М[Хар-ка])*($K101=М[Прим.])),0))</f>
        <v>0</v>
      </c>
    </row>
    <row r="102" spans="1:12" ht="33.75" outlineLevel="2" x14ac:dyDescent="0.2">
      <c r="A102" s="13" t="s">
        <v>114</v>
      </c>
      <c r="B102" s="14" t="s">
        <v>115</v>
      </c>
      <c r="C102" s="15"/>
      <c r="D102" s="15"/>
      <c r="E102" s="16"/>
      <c r="F102" s="17"/>
      <c r="G102" s="18"/>
      <c r="H102" s="18"/>
      <c r="I102" s="51"/>
      <c r="J102" s="51">
        <f>SUM($J$144,$J$121,$J$103)</f>
        <v>0</v>
      </c>
      <c r="K102" s="19"/>
      <c r="L102" s="19"/>
    </row>
    <row r="103" spans="1:12" outlineLevel="3" x14ac:dyDescent="0.2">
      <c r="A103" s="13" t="s">
        <v>116</v>
      </c>
      <c r="B103" s="14" t="s">
        <v>117</v>
      </c>
      <c r="C103" s="15"/>
      <c r="D103" s="15"/>
      <c r="E103" s="16"/>
      <c r="F103" s="17"/>
      <c r="G103" s="18"/>
      <c r="H103" s="18"/>
      <c r="I103" s="51"/>
      <c r="J103" s="51">
        <f>SUM($J$118,$J$116,$J$113,$J$111,$J$108,$J$106,$J$104)</f>
        <v>0</v>
      </c>
      <c r="K103" s="19"/>
      <c r="L103" s="19"/>
    </row>
    <row r="104" spans="1:12" outlineLevel="4" x14ac:dyDescent="0.2">
      <c r="A104" s="20"/>
      <c r="B104" s="14" t="s">
        <v>22</v>
      </c>
      <c r="C104" s="21"/>
      <c r="D104" s="21"/>
      <c r="E104" s="21"/>
      <c r="F104" s="21"/>
      <c r="G104" s="21"/>
      <c r="H104" s="21"/>
      <c r="I104" s="52"/>
      <c r="J104" s="53">
        <f>SUM($J$105)</f>
        <v>0</v>
      </c>
      <c r="K104" s="18"/>
      <c r="L104" s="22"/>
    </row>
    <row r="105" spans="1:12" outlineLevel="4" x14ac:dyDescent="0.2">
      <c r="A105" s="23"/>
      <c r="B105" s="24" t="s">
        <v>118</v>
      </c>
      <c r="C105" s="25"/>
      <c r="D105" s="25"/>
      <c r="E105" s="26" t="s">
        <v>45</v>
      </c>
      <c r="F105" s="27"/>
      <c r="G105" s="28">
        <v>26</v>
      </c>
      <c r="H105" s="28">
        <f>SUM($G$105:$G$105)</f>
        <v>26</v>
      </c>
      <c r="I105" s="54">
        <f t="array" ref="I105">INDEX(Р[Цена за ед., руб],MATCH(1,IF(($B105=Р[Наименование])*($K105=Р[Примечание]),{1},($B105=Р[Наименование])*($K105=Р[Примечание])),0))</f>
        <v>0</v>
      </c>
      <c r="J105" s="54">
        <f>ROUND($H$105*$I$105,2)</f>
        <v>0</v>
      </c>
      <c r="K105" s="25"/>
      <c r="L105" s="25"/>
    </row>
    <row r="106" spans="1:12" outlineLevel="4" x14ac:dyDescent="0.2">
      <c r="A106" s="20"/>
      <c r="B106" s="14" t="s">
        <v>22</v>
      </c>
      <c r="C106" s="21"/>
      <c r="D106" s="21"/>
      <c r="E106" s="21"/>
      <c r="F106" s="21"/>
      <c r="G106" s="21"/>
      <c r="H106" s="21"/>
      <c r="I106" s="52"/>
      <c r="J106" s="53">
        <f>SUM($J$107)</f>
        <v>0</v>
      </c>
      <c r="K106" s="18"/>
      <c r="L106" s="22"/>
    </row>
    <row r="107" spans="1:12" ht="22.5" outlineLevel="4" x14ac:dyDescent="0.2">
      <c r="A107" s="23"/>
      <c r="B107" s="24" t="s">
        <v>55</v>
      </c>
      <c r="C107" s="25"/>
      <c r="D107" s="25"/>
      <c r="E107" s="26" t="s">
        <v>45</v>
      </c>
      <c r="F107" s="27"/>
      <c r="G107" s="28">
        <v>24</v>
      </c>
      <c r="H107" s="28">
        <f>SUM($G$107:$G$107)</f>
        <v>24</v>
      </c>
      <c r="I107" s="54">
        <f t="array" ref="I107">INDEX(Р[Цена за ед., руб],MATCH(1,IF(($B107=Р[Наименование])*($K107=Р[Примечание]),{1},($B107=Р[Наименование])*($K107=Р[Примечание])),0))</f>
        <v>0</v>
      </c>
      <c r="J107" s="54">
        <f>ROUND($H$107*$I$107,2)</f>
        <v>0</v>
      </c>
      <c r="K107" s="25"/>
      <c r="L107" s="25"/>
    </row>
    <row r="108" spans="1:12" outlineLevel="4" x14ac:dyDescent="0.2">
      <c r="A108" s="20"/>
      <c r="B108" s="14" t="s">
        <v>25</v>
      </c>
      <c r="C108" s="21"/>
      <c r="D108" s="21"/>
      <c r="E108" s="21"/>
      <c r="F108" s="21"/>
      <c r="G108" s="21"/>
      <c r="H108" s="21"/>
      <c r="I108" s="52"/>
      <c r="J108" s="53">
        <f>SUM($J$109:$J$110)</f>
        <v>0</v>
      </c>
      <c r="K108" s="18"/>
      <c r="L108" s="22"/>
    </row>
    <row r="109" spans="1:12" ht="33.75" outlineLevel="4" x14ac:dyDescent="0.2">
      <c r="A109" s="23" t="s">
        <v>26</v>
      </c>
      <c r="B109" s="24" t="s">
        <v>56</v>
      </c>
      <c r="C109" s="25"/>
      <c r="D109" s="25" t="s">
        <v>57</v>
      </c>
      <c r="E109" s="26" t="s">
        <v>45</v>
      </c>
      <c r="F109" s="27"/>
      <c r="G109" s="28">
        <v>19</v>
      </c>
      <c r="H109" s="28">
        <f>SUM($G$109:$G$109)</f>
        <v>19</v>
      </c>
      <c r="I109" s="54">
        <f t="array" ref="I109">INDEX(М[Цена за ед., руб],MATCH(1,IF(($B109=М[Наим.])*($C109=М[Артикул, марка, произв.])*($D109=М[Хар-ка])*($K109=М[Прим.]),{1},($B109=М[Наим.])*($C109=М[Артикул, марка, произв.])*($D109=М[Хар-ка])*($K109=М[Прим.])),0))</f>
        <v>0</v>
      </c>
      <c r="J109" s="54">
        <f>ROUND($H$109*$I$109,2)</f>
        <v>0</v>
      </c>
      <c r="K109" s="25"/>
      <c r="L109" s="25">
        <f t="array" ref="L109">INDEX(М[Форма закупа],MATCH(1,IF(($B109=М[Наим.])*($C109=М[Артикул, марка, произв.])*($D109=М[Хар-ка])*($K109=М[Прим.]),{1},($B109=М[Наим.])*($C109=М[Артикул, марка, произв.])*($D109=М[Хар-ка])*($K109=М[Прим.])),0))</f>
        <v>0</v>
      </c>
    </row>
    <row r="110" spans="1:12" ht="33.75" outlineLevel="4" x14ac:dyDescent="0.2">
      <c r="A110" s="23" t="s">
        <v>30</v>
      </c>
      <c r="B110" s="24" t="s">
        <v>56</v>
      </c>
      <c r="C110" s="25"/>
      <c r="D110" s="25" t="s">
        <v>58</v>
      </c>
      <c r="E110" s="26" t="s">
        <v>45</v>
      </c>
      <c r="F110" s="27"/>
      <c r="G110" s="28">
        <v>5</v>
      </c>
      <c r="H110" s="28">
        <f>SUM($G$110:$G$110)</f>
        <v>5</v>
      </c>
      <c r="I110" s="54">
        <f t="array" ref="I110">INDEX(М[Цена за ед., руб],MATCH(1,IF(($B110=М[Наим.])*($C110=М[Артикул, марка, произв.])*($D110=М[Хар-ка])*($K110=М[Прим.]),{1},($B110=М[Наим.])*($C110=М[Артикул, марка, произв.])*($D110=М[Хар-ка])*($K110=М[Прим.])),0))</f>
        <v>0</v>
      </c>
      <c r="J110" s="54">
        <f>ROUND($H$110*$I$110,2)</f>
        <v>0</v>
      </c>
      <c r="K110" s="25"/>
      <c r="L110" s="25">
        <f t="array" ref="L110">INDEX(М[Форма закупа],MATCH(1,IF(($B110=М[Наим.])*($C110=М[Артикул, марка, произв.])*($D110=М[Хар-ка])*($K110=М[Прим.]),{1},($B110=М[Наим.])*($C110=М[Артикул, марка, произв.])*($D110=М[Хар-ка])*($K110=М[Прим.])),0))</f>
        <v>0</v>
      </c>
    </row>
    <row r="111" spans="1:12" outlineLevel="4" x14ac:dyDescent="0.2">
      <c r="A111" s="20"/>
      <c r="B111" s="14" t="s">
        <v>22</v>
      </c>
      <c r="C111" s="21"/>
      <c r="D111" s="21"/>
      <c r="E111" s="21"/>
      <c r="F111" s="21"/>
      <c r="G111" s="21"/>
      <c r="H111" s="21"/>
      <c r="I111" s="52"/>
      <c r="J111" s="53">
        <f>SUM($J$112)</f>
        <v>0</v>
      </c>
      <c r="K111" s="18"/>
      <c r="L111" s="22"/>
    </row>
    <row r="112" spans="1:12" outlineLevel="4" x14ac:dyDescent="0.2">
      <c r="A112" s="23"/>
      <c r="B112" s="24" t="s">
        <v>119</v>
      </c>
      <c r="C112" s="25"/>
      <c r="D112" s="25"/>
      <c r="E112" s="26" t="s">
        <v>24</v>
      </c>
      <c r="F112" s="27"/>
      <c r="G112" s="28">
        <v>75</v>
      </c>
      <c r="H112" s="28">
        <f>SUM($G$112:$G$112)</f>
        <v>75</v>
      </c>
      <c r="I112" s="54">
        <f t="array" ref="I112">INDEX(Р[Цена за ед., руб],MATCH(1,IF(($B112=Р[Наименование])*($K112=Р[Примечание]),{1},($B112=Р[Наименование])*($K112=Р[Примечание])),0))</f>
        <v>0</v>
      </c>
      <c r="J112" s="54">
        <f>ROUND($H$112*$I$112,2)</f>
        <v>0</v>
      </c>
      <c r="K112" s="25"/>
      <c r="L112" s="25"/>
    </row>
    <row r="113" spans="1:12" outlineLevel="4" x14ac:dyDescent="0.2">
      <c r="A113" s="20"/>
      <c r="B113" s="14" t="s">
        <v>25</v>
      </c>
      <c r="C113" s="21"/>
      <c r="D113" s="21"/>
      <c r="E113" s="21"/>
      <c r="F113" s="21"/>
      <c r="G113" s="21"/>
      <c r="H113" s="21"/>
      <c r="I113" s="52"/>
      <c r="J113" s="53">
        <f>SUM($J$114:$J$115)</f>
        <v>0</v>
      </c>
      <c r="K113" s="18"/>
      <c r="L113" s="22"/>
    </row>
    <row r="114" spans="1:12" ht="33.75" outlineLevel="4" x14ac:dyDescent="0.2">
      <c r="A114" s="23" t="s">
        <v>26</v>
      </c>
      <c r="B114" s="24" t="s">
        <v>27</v>
      </c>
      <c r="C114" s="25"/>
      <c r="D114" s="25" t="s">
        <v>39</v>
      </c>
      <c r="E114" s="26" t="s">
        <v>29</v>
      </c>
      <c r="F114" s="27"/>
      <c r="G114" s="28">
        <v>60</v>
      </c>
      <c r="H114" s="28">
        <f>SUM($G$114:$G$114)</f>
        <v>60</v>
      </c>
      <c r="I114" s="54">
        <f t="array" ref="I114">INDEX(М[Цена за ед., руб],MATCH(1,IF(($B114=М[Наим.])*($C114=М[Артикул, марка, произв.])*($D114=М[Хар-ка])*($K114=М[Прим.]),{1},($B114=М[Наим.])*($C114=М[Артикул, марка, произв.])*($D114=М[Хар-ка])*($K114=М[Прим.])),0))</f>
        <v>0</v>
      </c>
      <c r="J114" s="54">
        <f>ROUND($H$114*$I$114,2)</f>
        <v>0</v>
      </c>
      <c r="K114" s="25"/>
      <c r="L114" s="25">
        <f t="array" ref="L114">INDEX(М[Форма закупа],MATCH(1,IF(($B114=М[Наим.])*($C114=М[Артикул, марка, произв.])*($D114=М[Хар-ка])*($K114=М[Прим.]),{1},($B114=М[Наим.])*($C114=М[Артикул, марка, произв.])*($D114=М[Хар-ка])*($K114=М[Прим.])),0))</f>
        <v>0</v>
      </c>
    </row>
    <row r="115" spans="1:12" ht="33.75" outlineLevel="4" x14ac:dyDescent="0.2">
      <c r="A115" s="23" t="s">
        <v>30</v>
      </c>
      <c r="B115" s="24" t="s">
        <v>27</v>
      </c>
      <c r="C115" s="25"/>
      <c r="D115" s="25" t="s">
        <v>41</v>
      </c>
      <c r="E115" s="26" t="s">
        <v>29</v>
      </c>
      <c r="F115" s="27"/>
      <c r="G115" s="28">
        <v>15</v>
      </c>
      <c r="H115" s="28">
        <f>SUM($G$115:$G$115)</f>
        <v>15</v>
      </c>
      <c r="I115" s="54">
        <f t="array" ref="I115">INDEX(М[Цена за ед., руб],MATCH(1,IF(($B115=М[Наим.])*($C115=М[Артикул, марка, произв.])*($D115=М[Хар-ка])*($K115=М[Прим.]),{1},($B115=М[Наим.])*($C115=М[Артикул, марка, произв.])*($D115=М[Хар-ка])*($K115=М[Прим.])),0))</f>
        <v>0</v>
      </c>
      <c r="J115" s="54">
        <f>ROUND($H$115*$I$115,2)</f>
        <v>0</v>
      </c>
      <c r="K115" s="25"/>
      <c r="L115" s="25">
        <f t="array" ref="L115">INDEX(М[Форма закупа],MATCH(1,IF(($B115=М[Наим.])*($C115=М[Артикул, марка, произв.])*($D115=М[Хар-ка])*($K115=М[Прим.]),{1},($B115=М[Наим.])*($C115=М[Артикул, марка, произв.])*($D115=М[Хар-ка])*($K115=М[Прим.])),0))</f>
        <v>0</v>
      </c>
    </row>
    <row r="116" spans="1:12" outlineLevel="4" x14ac:dyDescent="0.2">
      <c r="A116" s="20"/>
      <c r="B116" s="14" t="s">
        <v>22</v>
      </c>
      <c r="C116" s="21"/>
      <c r="D116" s="21"/>
      <c r="E116" s="21"/>
      <c r="F116" s="21"/>
      <c r="G116" s="21"/>
      <c r="H116" s="21"/>
      <c r="I116" s="52"/>
      <c r="J116" s="53">
        <f>SUM($J$117)</f>
        <v>0</v>
      </c>
      <c r="K116" s="18"/>
      <c r="L116" s="22"/>
    </row>
    <row r="117" spans="1:12" outlineLevel="4" x14ac:dyDescent="0.2">
      <c r="A117" s="23"/>
      <c r="B117" s="24" t="s">
        <v>83</v>
      </c>
      <c r="C117" s="25"/>
      <c r="D117" s="25"/>
      <c r="E117" s="26" t="s">
        <v>29</v>
      </c>
      <c r="F117" s="27"/>
      <c r="G117" s="28">
        <v>75</v>
      </c>
      <c r="H117" s="28">
        <f>SUM($G$117:$G$117)</f>
        <v>75</v>
      </c>
      <c r="I117" s="54">
        <f t="array" ref="I117">INDEX(Р[Цена за ед., руб],MATCH(1,IF(($B117=Р[Наименование])*($K117=Р[Примечание]),{1},($B117=Р[Наименование])*($K117=Р[Примечание])),0))</f>
        <v>0</v>
      </c>
      <c r="J117" s="54">
        <f>ROUND($H$117*$I$117,2)</f>
        <v>0</v>
      </c>
      <c r="K117" s="25"/>
      <c r="L117" s="25"/>
    </row>
    <row r="118" spans="1:12" outlineLevel="4" x14ac:dyDescent="0.2">
      <c r="A118" s="20"/>
      <c r="B118" s="14" t="s">
        <v>25</v>
      </c>
      <c r="C118" s="21"/>
      <c r="D118" s="21"/>
      <c r="E118" s="21"/>
      <c r="F118" s="21"/>
      <c r="G118" s="21"/>
      <c r="H118" s="21"/>
      <c r="I118" s="52"/>
      <c r="J118" s="53">
        <f>SUM($J$119:$J$120)</f>
        <v>0</v>
      </c>
      <c r="K118" s="18"/>
      <c r="L118" s="22"/>
    </row>
    <row r="119" spans="1:12" ht="45" outlineLevel="4" x14ac:dyDescent="0.2">
      <c r="A119" s="64" t="s">
        <v>26</v>
      </c>
      <c r="B119" s="24" t="s">
        <v>84</v>
      </c>
      <c r="C119" s="25"/>
      <c r="D119" s="25" t="s">
        <v>86</v>
      </c>
      <c r="E119" s="26" t="s">
        <v>29</v>
      </c>
      <c r="F119" s="27"/>
      <c r="G119" s="28">
        <v>15</v>
      </c>
      <c r="H119" s="28">
        <f>SUM($G$119:$G$119)</f>
        <v>15</v>
      </c>
      <c r="I119" s="54">
        <f t="array" ref="I119">INDEX(М[Цена за ед., руб],MATCH(1,IF(($B119=М[Наим.])*($C119=М[Артикул, марка, произв.])*($D119=М[Хар-ка])*($K119=М[Прим.]),{1},($B119=М[Наим.])*($C119=М[Артикул, марка, произв.])*($D119=М[Хар-ка])*($K119=М[Прим.])),0))</f>
        <v>0</v>
      </c>
      <c r="J119" s="54">
        <f>ROUND($H$119*$I$119,2)</f>
        <v>0</v>
      </c>
      <c r="K119" s="25"/>
      <c r="L119" s="25">
        <f t="array" ref="L119">INDEX(М[Форма закупа],MATCH(1,IF(($B119=М[Наим.])*($C119=М[Артикул, марка, произв.])*($D119=М[Хар-ка])*($K119=М[Прим.]),{1},($B119=М[Наим.])*($C119=М[Артикул, марка, произв.])*($D119=М[Хар-ка])*($K119=М[Прим.])),0))</f>
        <v>0</v>
      </c>
    </row>
    <row r="120" spans="1:12" ht="45" outlineLevel="4" x14ac:dyDescent="0.2">
      <c r="A120" s="64" t="s">
        <v>30</v>
      </c>
      <c r="B120" s="24" t="s">
        <v>84</v>
      </c>
      <c r="C120" s="25"/>
      <c r="D120" s="25" t="s">
        <v>89</v>
      </c>
      <c r="E120" s="26" t="s">
        <v>29</v>
      </c>
      <c r="F120" s="27"/>
      <c r="G120" s="28">
        <v>60</v>
      </c>
      <c r="H120" s="28">
        <f>SUM($G$120:$G$120)</f>
        <v>60</v>
      </c>
      <c r="I120" s="54">
        <f t="array" ref="I120">INDEX(М[Цена за ед., руб],MATCH(1,IF(($B120=М[Наим.])*($C120=М[Артикул, марка, произв.])*($D120=М[Хар-ка])*($K120=М[Прим.]),{1},($B120=М[Наим.])*($C120=М[Артикул, марка, произв.])*($D120=М[Хар-ка])*($K120=М[Прим.])),0))</f>
        <v>0</v>
      </c>
      <c r="J120" s="54">
        <f>ROUND($H$120*$I$120,2)</f>
        <v>0</v>
      </c>
      <c r="K120" s="25"/>
      <c r="L120" s="25">
        <f t="array" ref="L120">INDEX(М[Форма закупа],MATCH(1,IF(($B120=М[Наим.])*($C120=М[Артикул, марка, произв.])*($D120=М[Хар-ка])*($K120=М[Прим.]),{1},($B120=М[Наим.])*($C120=М[Артикул, марка, произв.])*($D120=М[Хар-ка])*($K120=М[Прим.])),0))</f>
        <v>0</v>
      </c>
    </row>
    <row r="121" spans="1:12" outlineLevel="3" x14ac:dyDescent="0.2">
      <c r="A121" s="13" t="s">
        <v>120</v>
      </c>
      <c r="B121" s="14" t="s">
        <v>121</v>
      </c>
      <c r="C121" s="15"/>
      <c r="D121" s="15"/>
      <c r="E121" s="16"/>
      <c r="F121" s="17"/>
      <c r="G121" s="18"/>
      <c r="H121" s="18"/>
      <c r="I121" s="51"/>
      <c r="J121" s="51">
        <f>SUM($J$141,$J$139,$J$135,$J$133,$J$131,$J$129,$J$126,$J$124,$J$122)</f>
        <v>0</v>
      </c>
      <c r="K121" s="19"/>
      <c r="L121" s="19"/>
    </row>
    <row r="122" spans="1:12" outlineLevel="4" x14ac:dyDescent="0.2">
      <c r="A122" s="20"/>
      <c r="B122" s="14" t="s">
        <v>22</v>
      </c>
      <c r="C122" s="21"/>
      <c r="D122" s="21"/>
      <c r="E122" s="21"/>
      <c r="F122" s="21"/>
      <c r="G122" s="21"/>
      <c r="H122" s="21"/>
      <c r="I122" s="52"/>
      <c r="J122" s="53">
        <f>SUM($J$123)</f>
        <v>0</v>
      </c>
      <c r="K122" s="18"/>
      <c r="L122" s="22"/>
    </row>
    <row r="123" spans="1:12" outlineLevel="4" x14ac:dyDescent="0.2">
      <c r="A123" s="23"/>
      <c r="B123" s="24" t="s">
        <v>118</v>
      </c>
      <c r="C123" s="25"/>
      <c r="D123" s="25"/>
      <c r="E123" s="26" t="s">
        <v>45</v>
      </c>
      <c r="F123" s="27"/>
      <c r="G123" s="28">
        <v>26</v>
      </c>
      <c r="H123" s="28">
        <f>SUM($G$123:$G$123)</f>
        <v>26</v>
      </c>
      <c r="I123" s="54">
        <f t="array" ref="I123">INDEX(Р[Цена за ед., руб],MATCH(1,IF(($B123=Р[Наименование])*($K123=Р[Примечание]),{1},($B123=Р[Наименование])*($K123=Р[Примечание])),0))</f>
        <v>0</v>
      </c>
      <c r="J123" s="54">
        <f>ROUND($H$123*$I$123,2)</f>
        <v>0</v>
      </c>
      <c r="K123" s="25"/>
      <c r="L123" s="25"/>
    </row>
    <row r="124" spans="1:12" outlineLevel="4" x14ac:dyDescent="0.2">
      <c r="A124" s="20"/>
      <c r="B124" s="14" t="s">
        <v>22</v>
      </c>
      <c r="C124" s="21"/>
      <c r="D124" s="21"/>
      <c r="E124" s="21"/>
      <c r="F124" s="21"/>
      <c r="G124" s="21"/>
      <c r="H124" s="21"/>
      <c r="I124" s="52"/>
      <c r="J124" s="53">
        <f>SUM($J$125)</f>
        <v>0</v>
      </c>
      <c r="K124" s="18"/>
      <c r="L124" s="22"/>
    </row>
    <row r="125" spans="1:12" outlineLevel="4" x14ac:dyDescent="0.2">
      <c r="A125" s="23"/>
      <c r="B125" s="24" t="s">
        <v>23</v>
      </c>
      <c r="C125" s="25"/>
      <c r="D125" s="25"/>
      <c r="E125" s="26" t="s">
        <v>24</v>
      </c>
      <c r="F125" s="27"/>
      <c r="G125" s="28">
        <v>115</v>
      </c>
      <c r="H125" s="28">
        <f>SUM($G$125:$G$125)</f>
        <v>115</v>
      </c>
      <c r="I125" s="54">
        <f t="array" ref="I125">INDEX(Р[Цена за ед., руб],MATCH(1,IF(($B125=Р[Наименование])*($K125=Р[Примечание]),{1},($B125=Р[Наименование])*($K125=Р[Примечание])),0))</f>
        <v>0</v>
      </c>
      <c r="J125" s="54">
        <f>ROUND($H$125*$I$125,2)</f>
        <v>0</v>
      </c>
      <c r="K125" s="25"/>
      <c r="L125" s="25"/>
    </row>
    <row r="126" spans="1:12" outlineLevel="4" x14ac:dyDescent="0.2">
      <c r="A126" s="20"/>
      <c r="B126" s="14" t="s">
        <v>25</v>
      </c>
      <c r="C126" s="21"/>
      <c r="D126" s="21"/>
      <c r="E126" s="21"/>
      <c r="F126" s="21"/>
      <c r="G126" s="21"/>
      <c r="H126" s="21"/>
      <c r="I126" s="52"/>
      <c r="J126" s="53">
        <f>SUM($J$127:$J$128)</f>
        <v>0</v>
      </c>
      <c r="K126" s="18"/>
      <c r="L126" s="22"/>
    </row>
    <row r="127" spans="1:12" ht="33.75" outlineLevel="4" x14ac:dyDescent="0.2">
      <c r="A127" s="23" t="s">
        <v>26</v>
      </c>
      <c r="B127" s="24" t="s">
        <v>27</v>
      </c>
      <c r="C127" s="25"/>
      <c r="D127" s="25" t="s">
        <v>39</v>
      </c>
      <c r="E127" s="26" t="s">
        <v>29</v>
      </c>
      <c r="F127" s="27"/>
      <c r="G127" s="28">
        <v>90</v>
      </c>
      <c r="H127" s="28">
        <f>SUM($G$127:$G$127)</f>
        <v>90</v>
      </c>
      <c r="I127" s="54">
        <f t="array" ref="I127">INDEX(М[Цена за ед., руб],MATCH(1,IF(($B127=М[Наим.])*($C127=М[Артикул, марка, произв.])*($D127=М[Хар-ка])*($K127=М[Прим.]),{1},($B127=М[Наим.])*($C127=М[Артикул, марка, произв.])*($D127=М[Хар-ка])*($K127=М[Прим.])),0))</f>
        <v>0</v>
      </c>
      <c r="J127" s="54">
        <f>ROUND($H$127*$I$127,2)</f>
        <v>0</v>
      </c>
      <c r="K127" s="25"/>
      <c r="L127" s="25">
        <f t="array" ref="L127">INDEX(М[Форма закупа],MATCH(1,IF(($B127=М[Наим.])*($C127=М[Артикул, марка, произв.])*($D127=М[Хар-ка])*($K127=М[Прим.]),{1},($B127=М[Наим.])*($C127=М[Артикул, марка, произв.])*($D127=М[Хар-ка])*($K127=М[Прим.])),0))</f>
        <v>0</v>
      </c>
    </row>
    <row r="128" spans="1:12" ht="33.75" outlineLevel="4" x14ac:dyDescent="0.2">
      <c r="A128" s="23" t="s">
        <v>30</v>
      </c>
      <c r="B128" s="24" t="s">
        <v>27</v>
      </c>
      <c r="C128" s="25"/>
      <c r="D128" s="25" t="s">
        <v>41</v>
      </c>
      <c r="E128" s="26" t="s">
        <v>29</v>
      </c>
      <c r="F128" s="27"/>
      <c r="G128" s="28">
        <v>25</v>
      </c>
      <c r="H128" s="28">
        <f>SUM($G$128:$G$128)</f>
        <v>25</v>
      </c>
      <c r="I128" s="54">
        <f t="array" ref="I128">INDEX(М[Цена за ед., руб],MATCH(1,IF(($B128=М[Наим.])*($C128=М[Артикул, марка, произв.])*($D128=М[Хар-ка])*($K128=М[Прим.]),{1},($B128=М[Наим.])*($C128=М[Артикул, марка, произв.])*($D128=М[Хар-ка])*($K128=М[Прим.])),0))</f>
        <v>0</v>
      </c>
      <c r="J128" s="54">
        <f>ROUND($H$128*$I$128,2)</f>
        <v>0</v>
      </c>
      <c r="K128" s="25"/>
      <c r="L128" s="25">
        <f t="array" ref="L128">INDEX(М[Форма закупа],MATCH(1,IF(($B128=М[Наим.])*($C128=М[Артикул, марка, произв.])*($D128=М[Хар-ка])*($K128=М[Прим.]),{1},($B128=М[Наим.])*($C128=М[Артикул, марка, произв.])*($D128=М[Хар-ка])*($K128=М[Прим.])),0))</f>
        <v>0</v>
      </c>
    </row>
    <row r="129" spans="1:12" outlineLevel="4" x14ac:dyDescent="0.2">
      <c r="A129" s="20"/>
      <c r="B129" s="14" t="s">
        <v>22</v>
      </c>
      <c r="C129" s="21"/>
      <c r="D129" s="21"/>
      <c r="E129" s="21"/>
      <c r="F129" s="21"/>
      <c r="G129" s="21"/>
      <c r="H129" s="21"/>
      <c r="I129" s="52"/>
      <c r="J129" s="53">
        <f>SUM($J$130)</f>
        <v>0</v>
      </c>
      <c r="K129" s="18"/>
      <c r="L129" s="22"/>
    </row>
    <row r="130" spans="1:12" ht="22.5" outlineLevel="4" x14ac:dyDescent="0.2">
      <c r="A130" s="23"/>
      <c r="B130" s="24" t="s">
        <v>122</v>
      </c>
      <c r="C130" s="25"/>
      <c r="D130" s="25"/>
      <c r="E130" s="26" t="s">
        <v>45</v>
      </c>
      <c r="F130" s="27"/>
      <c r="G130" s="28">
        <v>7</v>
      </c>
      <c r="H130" s="28">
        <f>SUM($G$130:$G$130)</f>
        <v>7</v>
      </c>
      <c r="I130" s="54">
        <f t="array" ref="I130">INDEX(Р[Цена за ед., руб],MATCH(1,IF(($B130=Р[Наименование])*($K130=Р[Примечание]),{1},($B130=Р[Наименование])*($K130=Р[Примечание])),0))</f>
        <v>0</v>
      </c>
      <c r="J130" s="54">
        <f>ROUND($H$130*$I$130,2)</f>
        <v>0</v>
      </c>
      <c r="K130" s="25"/>
      <c r="L130" s="25"/>
    </row>
    <row r="131" spans="1:12" outlineLevel="4" x14ac:dyDescent="0.2">
      <c r="A131" s="20"/>
      <c r="B131" s="14" t="s">
        <v>25</v>
      </c>
      <c r="C131" s="21"/>
      <c r="D131" s="21"/>
      <c r="E131" s="21"/>
      <c r="F131" s="21"/>
      <c r="G131" s="21"/>
      <c r="H131" s="21"/>
      <c r="I131" s="52"/>
      <c r="J131" s="53">
        <f>SUM($J$132)</f>
        <v>0</v>
      </c>
      <c r="K131" s="18"/>
      <c r="L131" s="22"/>
    </row>
    <row r="132" spans="1:12" ht="22.5" outlineLevel="4" x14ac:dyDescent="0.2">
      <c r="A132" s="23" t="s">
        <v>26</v>
      </c>
      <c r="B132" s="24" t="s">
        <v>123</v>
      </c>
      <c r="C132" s="25"/>
      <c r="D132" s="25" t="s">
        <v>124</v>
      </c>
      <c r="E132" s="26" t="s">
        <v>45</v>
      </c>
      <c r="F132" s="27"/>
      <c r="G132" s="28">
        <v>7</v>
      </c>
      <c r="H132" s="28">
        <f>SUM($G$132:$G$132)</f>
        <v>7</v>
      </c>
      <c r="I132" s="54">
        <f t="array" ref="I132">INDEX(М[Цена за ед., руб],MATCH(1,IF(($B132=М[Наим.])*($C132=М[Артикул, марка, произв.])*($D132=М[Хар-ка])*($K132=М[Прим.]),{1},($B132=М[Наим.])*($C132=М[Артикул, марка, произв.])*($D132=М[Хар-ка])*($K132=М[Прим.])),0))</f>
        <v>0</v>
      </c>
      <c r="J132" s="54">
        <f>ROUND($H$132*$I$132,2)</f>
        <v>0</v>
      </c>
      <c r="K132" s="25"/>
      <c r="L132" s="25">
        <f t="array" ref="L132">INDEX(М[Форма закупа],MATCH(1,IF(($B132=М[Наим.])*($C132=М[Артикул, марка, произв.])*($D132=М[Хар-ка])*($K132=М[Прим.]),{1},($B132=М[Наим.])*($C132=М[Артикул, марка, произв.])*($D132=М[Хар-ка])*($K132=М[Прим.])),0))</f>
        <v>0</v>
      </c>
    </row>
    <row r="133" spans="1:12" outlineLevel="4" x14ac:dyDescent="0.2">
      <c r="A133" s="20"/>
      <c r="B133" s="14" t="s">
        <v>22</v>
      </c>
      <c r="C133" s="21"/>
      <c r="D133" s="21"/>
      <c r="E133" s="21"/>
      <c r="F133" s="21"/>
      <c r="G133" s="21"/>
      <c r="H133" s="21"/>
      <c r="I133" s="52"/>
      <c r="J133" s="53">
        <f>SUM($J$134)</f>
        <v>0</v>
      </c>
      <c r="K133" s="18"/>
      <c r="L133" s="22"/>
    </row>
    <row r="134" spans="1:12" ht="22.5" outlineLevel="4" x14ac:dyDescent="0.2">
      <c r="A134" s="23"/>
      <c r="B134" s="24" t="s">
        <v>55</v>
      </c>
      <c r="C134" s="25"/>
      <c r="D134" s="25"/>
      <c r="E134" s="26" t="s">
        <v>45</v>
      </c>
      <c r="F134" s="27"/>
      <c r="G134" s="28">
        <v>31</v>
      </c>
      <c r="H134" s="28">
        <f>SUM($G$134:$G$134)</f>
        <v>31</v>
      </c>
      <c r="I134" s="54">
        <f t="array" ref="I134">INDEX(Р[Цена за ед., руб],MATCH(1,IF(($B134=Р[Наименование])*($K134=Р[Примечание]),{1},($B134=Р[Наименование])*($K134=Р[Примечание])),0))</f>
        <v>0</v>
      </c>
      <c r="J134" s="54">
        <f>ROUND($H$134*$I$134,2)</f>
        <v>0</v>
      </c>
      <c r="K134" s="25"/>
      <c r="L134" s="25"/>
    </row>
    <row r="135" spans="1:12" outlineLevel="4" x14ac:dyDescent="0.2">
      <c r="A135" s="20"/>
      <c r="B135" s="14" t="s">
        <v>25</v>
      </c>
      <c r="C135" s="21"/>
      <c r="D135" s="21"/>
      <c r="E135" s="21"/>
      <c r="F135" s="21"/>
      <c r="G135" s="21"/>
      <c r="H135" s="21"/>
      <c r="I135" s="52"/>
      <c r="J135" s="53">
        <f>SUM($J$136:$J$138)</f>
        <v>0</v>
      </c>
      <c r="K135" s="18"/>
      <c r="L135" s="22"/>
    </row>
    <row r="136" spans="1:12" ht="33.75" outlineLevel="4" x14ac:dyDescent="0.2">
      <c r="A136" s="23" t="s">
        <v>26</v>
      </c>
      <c r="B136" s="24" t="s">
        <v>56</v>
      </c>
      <c r="C136" s="25"/>
      <c r="D136" s="25" t="s">
        <v>57</v>
      </c>
      <c r="E136" s="26" t="s">
        <v>45</v>
      </c>
      <c r="F136" s="27"/>
      <c r="G136" s="28">
        <v>19</v>
      </c>
      <c r="H136" s="28">
        <f>SUM($G$136:$G$136)</f>
        <v>19</v>
      </c>
      <c r="I136" s="54">
        <f t="array" ref="I136">INDEX(М[Цена за ед., руб],MATCH(1,IF(($B136=М[Наим.])*($C136=М[Артикул, марка, произв.])*($D136=М[Хар-ка])*($K136=М[Прим.]),{1},($B136=М[Наим.])*($C136=М[Артикул, марка, произв.])*($D136=М[Хар-ка])*($K136=М[Прим.])),0))</f>
        <v>0</v>
      </c>
      <c r="J136" s="54">
        <f>ROUND($H$136*$I$136,2)</f>
        <v>0</v>
      </c>
      <c r="K136" s="25"/>
      <c r="L136" s="25">
        <f t="array" ref="L136">INDEX(М[Форма закупа],MATCH(1,IF(($B136=М[Наим.])*($C136=М[Артикул, марка, произв.])*($D136=М[Хар-ка])*($K136=М[Прим.]),{1},($B136=М[Наим.])*($C136=М[Артикул, марка, произв.])*($D136=М[Хар-ка])*($K136=М[Прим.])),0))</f>
        <v>0</v>
      </c>
    </row>
    <row r="137" spans="1:12" ht="33.75" outlineLevel="4" x14ac:dyDescent="0.2">
      <c r="A137" s="23" t="s">
        <v>30</v>
      </c>
      <c r="B137" s="24" t="s">
        <v>56</v>
      </c>
      <c r="C137" s="25"/>
      <c r="D137" s="25" t="s">
        <v>58</v>
      </c>
      <c r="E137" s="26" t="s">
        <v>45</v>
      </c>
      <c r="F137" s="27"/>
      <c r="G137" s="28">
        <v>5</v>
      </c>
      <c r="H137" s="28">
        <f>SUM($G$137:$G$137)</f>
        <v>5</v>
      </c>
      <c r="I137" s="54">
        <f t="array" ref="I137">INDEX(М[Цена за ед., руб],MATCH(1,IF(($B137=М[Наим.])*($C137=М[Артикул, марка, произв.])*($D137=М[Хар-ка])*($K137=М[Прим.]),{1},($B137=М[Наим.])*($C137=М[Артикул, марка, произв.])*($D137=М[Хар-ка])*($K137=М[Прим.])),0))</f>
        <v>0</v>
      </c>
      <c r="J137" s="54">
        <f>ROUND($H$137*$I$137,2)</f>
        <v>0</v>
      </c>
      <c r="K137" s="25"/>
      <c r="L137" s="25">
        <f t="array" ref="L137">INDEX(М[Форма закупа],MATCH(1,IF(($B137=М[Наим.])*($C137=М[Артикул, марка, произв.])*($D137=М[Хар-ка])*($K137=М[Прим.]),{1},($B137=М[Наим.])*($C137=М[Артикул, марка, произв.])*($D137=М[Хар-ка])*($K137=М[Прим.])),0))</f>
        <v>0</v>
      </c>
    </row>
    <row r="138" spans="1:12" ht="22.5" outlineLevel="4" x14ac:dyDescent="0.2">
      <c r="A138" s="23" t="s">
        <v>32</v>
      </c>
      <c r="B138" s="24" t="s">
        <v>56</v>
      </c>
      <c r="C138" s="25"/>
      <c r="D138" s="25" t="s">
        <v>60</v>
      </c>
      <c r="E138" s="26" t="s">
        <v>45</v>
      </c>
      <c r="F138" s="27"/>
      <c r="G138" s="28">
        <v>7</v>
      </c>
      <c r="H138" s="28">
        <f>SUM($G$138:$G$138)</f>
        <v>7</v>
      </c>
      <c r="I138" s="54">
        <f t="array" ref="I138">INDEX(М[Цена за ед., руб],MATCH(1,IF(($B138=М[Наим.])*($C138=М[Артикул, марка, произв.])*($D138=М[Хар-ка])*($K138=М[Прим.]),{1},($B138=М[Наим.])*($C138=М[Артикул, марка, произв.])*($D138=М[Хар-ка])*($K138=М[Прим.])),0))</f>
        <v>0</v>
      </c>
      <c r="J138" s="54">
        <f>ROUND($H$138*$I$138,2)</f>
        <v>0</v>
      </c>
      <c r="K138" s="25" t="s">
        <v>125</v>
      </c>
      <c r="L138" s="25">
        <f t="array" ref="L138">INDEX(М[Форма закупа],MATCH(1,IF(($B138=М[Наим.])*($C138=М[Артикул, марка, произв.])*($D138=М[Хар-ка])*($K138=М[Прим.]),{1},($B138=М[Наим.])*($C138=М[Артикул, марка, произв.])*($D138=М[Хар-ка])*($K138=М[Прим.])),0))</f>
        <v>0</v>
      </c>
    </row>
    <row r="139" spans="1:12" outlineLevel="4" x14ac:dyDescent="0.2">
      <c r="A139" s="20"/>
      <c r="B139" s="14" t="s">
        <v>22</v>
      </c>
      <c r="C139" s="21"/>
      <c r="D139" s="21"/>
      <c r="E139" s="21"/>
      <c r="F139" s="21"/>
      <c r="G139" s="21"/>
      <c r="H139" s="21"/>
      <c r="I139" s="52"/>
      <c r="J139" s="53">
        <f>SUM($J$140)</f>
        <v>0</v>
      </c>
      <c r="K139" s="18"/>
      <c r="L139" s="22"/>
    </row>
    <row r="140" spans="1:12" outlineLevel="4" x14ac:dyDescent="0.2">
      <c r="A140" s="23"/>
      <c r="B140" s="24" t="s">
        <v>83</v>
      </c>
      <c r="C140" s="25"/>
      <c r="D140" s="25"/>
      <c r="E140" s="26" t="s">
        <v>29</v>
      </c>
      <c r="F140" s="27"/>
      <c r="G140" s="28">
        <v>115</v>
      </c>
      <c r="H140" s="28">
        <f>SUM($G$140:$G$140)</f>
        <v>115</v>
      </c>
      <c r="I140" s="54">
        <f t="array" ref="I140">INDEX(Р[Цена за ед., руб],MATCH(1,IF(($B140=Р[Наименование])*($K140=Р[Примечание]),{1},($B140=Р[Наименование])*($K140=Р[Примечание])),0))</f>
        <v>0</v>
      </c>
      <c r="J140" s="54">
        <f>ROUND($H$140*$I$140,2)</f>
        <v>0</v>
      </c>
      <c r="K140" s="25"/>
      <c r="L140" s="25"/>
    </row>
    <row r="141" spans="1:12" outlineLevel="4" x14ac:dyDescent="0.2">
      <c r="A141" s="20"/>
      <c r="B141" s="14" t="s">
        <v>25</v>
      </c>
      <c r="C141" s="21"/>
      <c r="D141" s="21"/>
      <c r="E141" s="21"/>
      <c r="F141" s="21"/>
      <c r="G141" s="21"/>
      <c r="H141" s="21"/>
      <c r="I141" s="52"/>
      <c r="J141" s="53">
        <f>SUM($J$142:$J$143)</f>
        <v>0</v>
      </c>
      <c r="K141" s="18"/>
      <c r="L141" s="22"/>
    </row>
    <row r="142" spans="1:12" ht="45" outlineLevel="4" x14ac:dyDescent="0.2">
      <c r="A142" s="64" t="s">
        <v>26</v>
      </c>
      <c r="B142" s="24" t="s">
        <v>84</v>
      </c>
      <c r="C142" s="25"/>
      <c r="D142" s="25" t="s">
        <v>86</v>
      </c>
      <c r="E142" s="26" t="s">
        <v>29</v>
      </c>
      <c r="F142" s="27"/>
      <c r="G142" s="28">
        <v>25</v>
      </c>
      <c r="H142" s="28">
        <f>SUM($G$142:$G$142)</f>
        <v>25</v>
      </c>
      <c r="I142" s="54">
        <f t="array" ref="I142">INDEX(М[Цена за ед., руб],MATCH(1,IF(($B142=М[Наим.])*($C142=М[Артикул, марка, произв.])*($D142=М[Хар-ка])*($K142=М[Прим.]),{1},($B142=М[Наим.])*($C142=М[Артикул, марка, произв.])*($D142=М[Хар-ка])*($K142=М[Прим.])),0))</f>
        <v>0</v>
      </c>
      <c r="J142" s="54">
        <f>ROUND($H$142*$I$142,2)</f>
        <v>0</v>
      </c>
      <c r="K142" s="25"/>
      <c r="L142" s="25">
        <f t="array" ref="L142">INDEX(М[Форма закупа],MATCH(1,IF(($B142=М[Наим.])*($C142=М[Артикул, марка, произв.])*($D142=М[Хар-ка])*($K142=М[Прим.]),{1},($B142=М[Наим.])*($C142=М[Артикул, марка, произв.])*($D142=М[Хар-ка])*($K142=М[Прим.])),0))</f>
        <v>0</v>
      </c>
    </row>
    <row r="143" spans="1:12" ht="45" outlineLevel="4" x14ac:dyDescent="0.2">
      <c r="A143" s="64" t="s">
        <v>30</v>
      </c>
      <c r="B143" s="24" t="s">
        <v>84</v>
      </c>
      <c r="C143" s="25"/>
      <c r="D143" s="25" t="s">
        <v>89</v>
      </c>
      <c r="E143" s="26" t="s">
        <v>29</v>
      </c>
      <c r="F143" s="27"/>
      <c r="G143" s="28">
        <v>90</v>
      </c>
      <c r="H143" s="28">
        <f>SUM($G$143:$G$143)</f>
        <v>90</v>
      </c>
      <c r="I143" s="54">
        <f t="array" ref="I143">INDEX(М[Цена за ед., руб],MATCH(1,IF(($B143=М[Наим.])*($C143=М[Артикул, марка, произв.])*($D143=М[Хар-ка])*($K143=М[Прим.]),{1},($B143=М[Наим.])*($C143=М[Артикул, марка, произв.])*($D143=М[Хар-ка])*($K143=М[Прим.])),0))</f>
        <v>0</v>
      </c>
      <c r="J143" s="54">
        <f>ROUND($H$143*$I$143,2)</f>
        <v>0</v>
      </c>
      <c r="K143" s="25"/>
      <c r="L143" s="25">
        <f t="array" ref="L143">INDEX(М[Форма закупа],MATCH(1,IF(($B143=М[Наим.])*($C143=М[Артикул, марка, произв.])*($D143=М[Хар-ка])*($K143=М[Прим.]),{1},($B143=М[Наим.])*($C143=М[Артикул, марка, произв.])*($D143=М[Хар-ка])*($K143=М[Прим.])),0))</f>
        <v>0</v>
      </c>
    </row>
    <row r="144" spans="1:12" outlineLevel="3" x14ac:dyDescent="0.2">
      <c r="A144" s="13" t="s">
        <v>126</v>
      </c>
      <c r="B144" s="14" t="s">
        <v>127</v>
      </c>
      <c r="C144" s="15"/>
      <c r="D144" s="15"/>
      <c r="E144" s="16"/>
      <c r="F144" s="17"/>
      <c r="G144" s="18"/>
      <c r="H144" s="18"/>
      <c r="I144" s="51"/>
      <c r="J144" s="51">
        <f>SUM($J$155,$J$153,$J$151,$J$149,$J$147,$J$145)</f>
        <v>0</v>
      </c>
      <c r="K144" s="19"/>
      <c r="L144" s="19"/>
    </row>
    <row r="145" spans="1:12" outlineLevel="4" x14ac:dyDescent="0.2">
      <c r="A145" s="20"/>
      <c r="B145" s="14" t="s">
        <v>22</v>
      </c>
      <c r="C145" s="21"/>
      <c r="D145" s="21"/>
      <c r="E145" s="21"/>
      <c r="F145" s="21"/>
      <c r="G145" s="21"/>
      <c r="H145" s="21"/>
      <c r="I145" s="52"/>
      <c r="J145" s="53">
        <f>SUM($J$146)</f>
        <v>0</v>
      </c>
      <c r="K145" s="18"/>
      <c r="L145" s="22"/>
    </row>
    <row r="146" spans="1:12" outlineLevel="4" x14ac:dyDescent="0.2">
      <c r="A146" s="23"/>
      <c r="B146" s="24" t="s">
        <v>23</v>
      </c>
      <c r="C146" s="25"/>
      <c r="D146" s="25"/>
      <c r="E146" s="26" t="s">
        <v>24</v>
      </c>
      <c r="F146" s="27"/>
      <c r="G146" s="28">
        <v>90</v>
      </c>
      <c r="H146" s="28">
        <f>SUM($G$146:$G$146)</f>
        <v>90</v>
      </c>
      <c r="I146" s="54">
        <f t="array" ref="I146">INDEX(Р[Цена за ед., руб],MATCH(1,IF(($B146=Р[Наименование])*($K146=Р[Примечание]),{1},($B146=Р[Наименование])*($K146=Р[Примечание])),0))</f>
        <v>0</v>
      </c>
      <c r="J146" s="54">
        <f>ROUND($H$146*$I$146,2)</f>
        <v>0</v>
      </c>
      <c r="K146" s="25"/>
      <c r="L146" s="25"/>
    </row>
    <row r="147" spans="1:12" outlineLevel="4" x14ac:dyDescent="0.2">
      <c r="A147" s="20"/>
      <c r="B147" s="14" t="s">
        <v>25</v>
      </c>
      <c r="C147" s="21"/>
      <c r="D147" s="21"/>
      <c r="E147" s="21"/>
      <c r="F147" s="21"/>
      <c r="G147" s="21"/>
      <c r="H147" s="21"/>
      <c r="I147" s="52"/>
      <c r="J147" s="53">
        <f>SUM($J$148)</f>
        <v>0</v>
      </c>
      <c r="K147" s="18"/>
      <c r="L147" s="22"/>
    </row>
    <row r="148" spans="1:12" ht="33.75" outlineLevel="4" x14ac:dyDescent="0.2">
      <c r="A148" s="23" t="s">
        <v>26</v>
      </c>
      <c r="B148" s="24" t="s">
        <v>27</v>
      </c>
      <c r="C148" s="25"/>
      <c r="D148" s="25" t="s">
        <v>39</v>
      </c>
      <c r="E148" s="26" t="s">
        <v>29</v>
      </c>
      <c r="F148" s="27"/>
      <c r="G148" s="28">
        <v>90</v>
      </c>
      <c r="H148" s="28">
        <f>SUM($G$148:$G$148)</f>
        <v>90</v>
      </c>
      <c r="I148" s="54">
        <f t="array" ref="I148">INDEX(М[Цена за ед., руб],MATCH(1,IF(($B148=М[Наим.])*($C148=М[Артикул, марка, произв.])*($D148=М[Хар-ка])*($K148=М[Прим.]),{1},($B148=М[Наим.])*($C148=М[Артикул, марка, произв.])*($D148=М[Хар-ка])*($K148=М[Прим.])),0))</f>
        <v>0</v>
      </c>
      <c r="J148" s="54">
        <f>ROUND($H$148*$I$148,2)</f>
        <v>0</v>
      </c>
      <c r="K148" s="25"/>
      <c r="L148" s="25">
        <f t="array" ref="L148">INDEX(М[Форма закупа],MATCH(1,IF(($B148=М[Наим.])*($C148=М[Артикул, марка, произв.])*($D148=М[Хар-ка])*($K148=М[Прим.]),{1},($B148=М[Наим.])*($C148=М[Артикул, марка, произв.])*($D148=М[Хар-ка])*($K148=М[Прим.])),0))</f>
        <v>0</v>
      </c>
    </row>
    <row r="149" spans="1:12" outlineLevel="4" x14ac:dyDescent="0.2">
      <c r="A149" s="20"/>
      <c r="B149" s="14" t="s">
        <v>22</v>
      </c>
      <c r="C149" s="21"/>
      <c r="D149" s="21"/>
      <c r="E149" s="21"/>
      <c r="F149" s="21"/>
      <c r="G149" s="21"/>
      <c r="H149" s="21"/>
      <c r="I149" s="52"/>
      <c r="J149" s="53">
        <f>SUM($J$150)</f>
        <v>0</v>
      </c>
      <c r="K149" s="18"/>
      <c r="L149" s="22"/>
    </row>
    <row r="150" spans="1:12" ht="22.5" outlineLevel="4" x14ac:dyDescent="0.2">
      <c r="A150" s="23"/>
      <c r="B150" s="24" t="s">
        <v>55</v>
      </c>
      <c r="C150" s="25"/>
      <c r="D150" s="25"/>
      <c r="E150" s="26" t="s">
        <v>45</v>
      </c>
      <c r="F150" s="27"/>
      <c r="G150" s="28">
        <v>7</v>
      </c>
      <c r="H150" s="28">
        <f>SUM($G$150:$G$150)</f>
        <v>7</v>
      </c>
      <c r="I150" s="54">
        <f t="array" ref="I150">INDEX(Р[Цена за ед., руб],MATCH(1,IF(($B150=Р[Наименование])*($K150=Р[Примечание]),{1},($B150=Р[Наименование])*($K150=Р[Примечание])),0))</f>
        <v>0</v>
      </c>
      <c r="J150" s="54">
        <f>ROUND($H$150*$I$150,2)</f>
        <v>0</v>
      </c>
      <c r="K150" s="25"/>
      <c r="L150" s="25"/>
    </row>
    <row r="151" spans="1:12" outlineLevel="4" x14ac:dyDescent="0.2">
      <c r="A151" s="20"/>
      <c r="B151" s="14" t="s">
        <v>25</v>
      </c>
      <c r="C151" s="21"/>
      <c r="D151" s="21"/>
      <c r="E151" s="21"/>
      <c r="F151" s="21"/>
      <c r="G151" s="21"/>
      <c r="H151" s="21"/>
      <c r="I151" s="52"/>
      <c r="J151" s="53">
        <f>SUM($J$152)</f>
        <v>0</v>
      </c>
      <c r="K151" s="18"/>
      <c r="L151" s="22"/>
    </row>
    <row r="152" spans="1:12" ht="22.5" outlineLevel="4" x14ac:dyDescent="0.2">
      <c r="A152" s="23" t="s">
        <v>26</v>
      </c>
      <c r="B152" s="24" t="s">
        <v>56</v>
      </c>
      <c r="C152" s="25"/>
      <c r="D152" s="25" t="s">
        <v>60</v>
      </c>
      <c r="E152" s="26" t="s">
        <v>45</v>
      </c>
      <c r="F152" s="27"/>
      <c r="G152" s="28">
        <v>7</v>
      </c>
      <c r="H152" s="28">
        <f>SUM($G$152:$G$152)</f>
        <v>7</v>
      </c>
      <c r="I152" s="54">
        <f t="array" ref="I152">INDEX(М[Цена за ед., руб],MATCH(1,IF(($B152=М[Наим.])*($C152=М[Артикул, марка, произв.])*($D152=М[Хар-ка])*($K152=М[Прим.]),{1},($B152=М[Наим.])*($C152=М[Артикул, марка, произв.])*($D152=М[Хар-ка])*($K152=М[Прим.])),0))</f>
        <v>0</v>
      </c>
      <c r="J152" s="54">
        <f>ROUND($H$152*$I$152,2)</f>
        <v>0</v>
      </c>
      <c r="K152" s="25"/>
      <c r="L152" s="25">
        <f t="array" ref="L152">INDEX(М[Форма закупа],MATCH(1,IF(($B152=М[Наим.])*($C152=М[Артикул, марка, произв.])*($D152=М[Хар-ка])*($K152=М[Прим.]),{1},($B152=М[Наим.])*($C152=М[Артикул, марка, произв.])*($D152=М[Хар-ка])*($K152=М[Прим.])),0))</f>
        <v>0</v>
      </c>
    </row>
    <row r="153" spans="1:12" outlineLevel="4" x14ac:dyDescent="0.2">
      <c r="A153" s="20"/>
      <c r="B153" s="14" t="s">
        <v>22</v>
      </c>
      <c r="C153" s="21"/>
      <c r="D153" s="21"/>
      <c r="E153" s="21"/>
      <c r="F153" s="21"/>
      <c r="G153" s="21"/>
      <c r="H153" s="21"/>
      <c r="I153" s="52"/>
      <c r="J153" s="53">
        <f>SUM($J$154)</f>
        <v>0</v>
      </c>
      <c r="K153" s="18"/>
      <c r="L153" s="22"/>
    </row>
    <row r="154" spans="1:12" outlineLevel="4" x14ac:dyDescent="0.2">
      <c r="A154" s="23"/>
      <c r="B154" s="24" t="s">
        <v>83</v>
      </c>
      <c r="C154" s="25"/>
      <c r="D154" s="25"/>
      <c r="E154" s="26" t="s">
        <v>29</v>
      </c>
      <c r="F154" s="27"/>
      <c r="G154" s="28">
        <v>90</v>
      </c>
      <c r="H154" s="28">
        <f>SUM($G$154:$G$154)</f>
        <v>90</v>
      </c>
      <c r="I154" s="54">
        <f t="array" ref="I154">INDEX(Р[Цена за ед., руб],MATCH(1,IF(($B154=Р[Наименование])*($K154=Р[Примечание]),{1},($B154=Р[Наименование])*($K154=Р[Примечание])),0))</f>
        <v>0</v>
      </c>
      <c r="J154" s="54">
        <f>ROUND($H$154*$I$154,2)</f>
        <v>0</v>
      </c>
      <c r="K154" s="25"/>
      <c r="L154" s="25"/>
    </row>
    <row r="155" spans="1:12" outlineLevel="4" x14ac:dyDescent="0.2">
      <c r="A155" s="20"/>
      <c r="B155" s="14" t="s">
        <v>25</v>
      </c>
      <c r="C155" s="21"/>
      <c r="D155" s="21"/>
      <c r="E155" s="21"/>
      <c r="F155" s="21"/>
      <c r="G155" s="21"/>
      <c r="H155" s="21"/>
      <c r="I155" s="52"/>
      <c r="J155" s="53">
        <f>SUM($J$156)</f>
        <v>0</v>
      </c>
      <c r="K155" s="18"/>
      <c r="L155" s="22"/>
    </row>
    <row r="156" spans="1:12" ht="45" outlineLevel="4" x14ac:dyDescent="0.2">
      <c r="A156" s="64" t="s">
        <v>26</v>
      </c>
      <c r="B156" s="24" t="s">
        <v>84</v>
      </c>
      <c r="C156" s="25"/>
      <c r="D156" s="25" t="s">
        <v>89</v>
      </c>
      <c r="E156" s="26" t="s">
        <v>29</v>
      </c>
      <c r="F156" s="27"/>
      <c r="G156" s="28">
        <v>90</v>
      </c>
      <c r="H156" s="28">
        <f>SUM($G$156:$G$156)</f>
        <v>90</v>
      </c>
      <c r="I156" s="54">
        <f t="array" ref="I156">INDEX(М[Цена за ед., руб],MATCH(1,IF(($B156=М[Наим.])*($C156=М[Артикул, марка, произв.])*($D156=М[Хар-ка])*($K156=М[Прим.]),{1},($B156=М[Наим.])*($C156=М[Артикул, марка, произв.])*($D156=М[Хар-ка])*($K156=М[Прим.])),0))</f>
        <v>0</v>
      </c>
      <c r="J156" s="54">
        <f>ROUND($H$156*$I$156,2)</f>
        <v>0</v>
      </c>
      <c r="K156" s="25"/>
      <c r="L156" s="25">
        <f t="array" ref="L156">INDEX(М[Форма закупа],MATCH(1,IF(($B156=М[Наим.])*($C156=М[Артикул, марка, произв.])*($D156=М[Хар-ка])*($K156=М[Прим.]),{1},($B156=М[Наим.])*($C156=М[Артикул, марка, произв.])*($D156=М[Хар-ка])*($K156=М[Прим.])),0))</f>
        <v>0</v>
      </c>
    </row>
    <row r="157" spans="1:12" outlineLevel="4" x14ac:dyDescent="0.2">
      <c r="A157" s="20"/>
      <c r="B157" s="65" t="s">
        <v>25</v>
      </c>
      <c r="C157" s="66"/>
      <c r="D157" s="66"/>
      <c r="E157" s="66"/>
      <c r="F157" s="66"/>
      <c r="G157" s="66"/>
      <c r="H157" s="66"/>
      <c r="I157" s="67"/>
      <c r="J157" s="68">
        <f ca="1">SUM(J158:J161)</f>
        <v>0</v>
      </c>
      <c r="K157" s="18"/>
      <c r="L157" s="22"/>
    </row>
    <row r="158" spans="1:12" ht="22.5" outlineLevel="4" x14ac:dyDescent="0.2">
      <c r="A158" s="64">
        <v>1</v>
      </c>
      <c r="B158" s="56" t="s">
        <v>143</v>
      </c>
      <c r="C158" s="69"/>
      <c r="D158" s="69"/>
      <c r="E158" s="60" t="s">
        <v>105</v>
      </c>
      <c r="F158" s="70"/>
      <c r="G158" s="71"/>
      <c r="H158" s="58">
        <f ca="1">SUMIF(М[[Наим.]:[Сумма, руб]],B158,М[Количество])</f>
        <v>0</v>
      </c>
      <c r="I158" s="72"/>
      <c r="J158" s="72">
        <f ca="1">ROUND(SUM(J73:J80,J119:J120,J142:J143,J156)*H158%,3)</f>
        <v>0</v>
      </c>
      <c r="K158" s="61" t="s">
        <v>164</v>
      </c>
      <c r="L158" s="69">
        <f t="array" ref="L158">INDEX(М[Форма закупа],MATCH(1,IF(($B158=М[Наим.])*($C158=М[Артикул, марка, произв.])*($D158=М[Хар-ка])*($K158=М[Прим.]),{1},($B158=М[Наим.])*($C158=М[Артикул, марка, произв.])*($D158=М[Хар-ка])*($K158=М[Прим.])),0))</f>
        <v>0</v>
      </c>
    </row>
    <row r="159" spans="1:12" ht="22.5" outlineLevel="4" x14ac:dyDescent="0.2">
      <c r="A159" s="64">
        <v>2</v>
      </c>
      <c r="B159" s="56" t="s">
        <v>144</v>
      </c>
      <c r="C159" s="69"/>
      <c r="D159" s="69"/>
      <c r="E159" s="60" t="s">
        <v>105</v>
      </c>
      <c r="F159" s="70"/>
      <c r="G159" s="71"/>
      <c r="H159" s="58">
        <f ca="1">SUMIF(М[[Наим.]:[Сумма, руб]],B159,М[Количество])</f>
        <v>0</v>
      </c>
      <c r="I159" s="72"/>
      <c r="J159" s="72">
        <f ca="1">ROUND(SUM(J84)*H159%,3)</f>
        <v>0</v>
      </c>
      <c r="K159" s="61" t="s">
        <v>164</v>
      </c>
      <c r="L159" s="69">
        <f t="array" ref="L159">INDEX(М[Форма закупа],MATCH(1,IF(($B159=М[Наим.])*($C159=М[Артикул, марка, произв.])*($D159=М[Хар-ка])*($K159=М[Прим.]),{1},($B159=М[Наим.])*($C159=М[Артикул, марка, произв.])*($D159=М[Хар-ка])*($K159=М[Прим.])),0))</f>
        <v>0</v>
      </c>
    </row>
    <row r="160" spans="1:12" ht="22.5" outlineLevel="4" x14ac:dyDescent="0.2">
      <c r="A160" s="64">
        <v>3</v>
      </c>
      <c r="B160" s="56" t="s">
        <v>145</v>
      </c>
      <c r="C160" s="69"/>
      <c r="D160" s="69"/>
      <c r="E160" s="60" t="s">
        <v>105</v>
      </c>
      <c r="F160" s="70"/>
      <c r="G160" s="71"/>
      <c r="H160" s="58">
        <f ca="1">SUMIF(М[[Наим.]:[Сумма, руб]],B160,М[Количество])</f>
        <v>0</v>
      </c>
      <c r="I160" s="72"/>
      <c r="J160" s="72">
        <f ca="1">ROUND(SUM(J88:J90,J94:J96)*H160%,3)</f>
        <v>0</v>
      </c>
      <c r="K160" s="61" t="s">
        <v>164</v>
      </c>
      <c r="L160" s="69">
        <f t="array" ref="L160">INDEX(М[Форма закупа],MATCH(1,IF(($B160=М[Наим.])*($C160=М[Артикул, марка, произв.])*($D160=М[Хар-ка])*($K160=М[Прим.]),{1},($B160=М[Наим.])*($C160=М[Артикул, марка, произв.])*($D160=М[Хар-ка])*($K160=М[Прим.])),0))</f>
        <v>0</v>
      </c>
    </row>
    <row r="161" spans="1:143" ht="22.5" outlineLevel="4" x14ac:dyDescent="0.2">
      <c r="A161" s="23">
        <v>4</v>
      </c>
      <c r="B161" s="57" t="s">
        <v>146</v>
      </c>
      <c r="C161" s="69"/>
      <c r="D161" s="69"/>
      <c r="E161" s="60" t="s">
        <v>105</v>
      </c>
      <c r="F161" s="70"/>
      <c r="G161" s="71"/>
      <c r="H161" s="58">
        <f ca="1">SUMIF(М[[Наим.]:[Сумма, руб]],B161,М[Количество])</f>
        <v>0</v>
      </c>
      <c r="I161" s="72"/>
      <c r="J161" s="72">
        <f ca="1">ROUND(SUM(J15:J22,J26:J28,J32,J36,J40:J45,J49,J53:J55,J59,J63:J65,J69,J73:J80,J84,J88:J90,J94:J96,J100:J101,J109:J110,J114:J115,J119:J120,J127:J128,J132,J136:J138,J142:J143,J148,J152,J156)*H161%,3)</f>
        <v>0</v>
      </c>
      <c r="K161" s="61" t="s">
        <v>164</v>
      </c>
      <c r="L161" s="69">
        <f t="array" ref="L161">INDEX(М[Форма закупа],MATCH(1,IF(($B161=М[Наим.])*($C161=М[Артикул, марка, произв.])*($D161=М[Хар-ка])*($K161=М[Прим.]),{1},($B161=М[Наим.])*($C161=М[Артикул, марка, произв.])*($D161=М[Хар-ка])*($K161=М[Прим.])),0))</f>
        <v>0</v>
      </c>
    </row>
    <row r="162" spans="1:143" outlineLevel="2" x14ac:dyDescent="0.2">
      <c r="A162" s="13" t="s">
        <v>109</v>
      </c>
      <c r="B162" s="14" t="s">
        <v>110</v>
      </c>
      <c r="C162" s="15"/>
      <c r="D162" s="15"/>
      <c r="E162" s="16"/>
      <c r="F162" s="17"/>
      <c r="G162" s="18"/>
      <c r="H162" s="18"/>
      <c r="I162" s="51"/>
      <c r="J162" s="51">
        <f>SUM($J$163)</f>
        <v>0</v>
      </c>
      <c r="K162" s="19"/>
      <c r="L162" s="19"/>
    </row>
    <row r="163" spans="1:143" outlineLevel="3" x14ac:dyDescent="0.2">
      <c r="A163" s="13" t="s">
        <v>111</v>
      </c>
      <c r="B163" s="14" t="s">
        <v>110</v>
      </c>
      <c r="C163" s="15"/>
      <c r="D163" s="15"/>
      <c r="E163" s="16"/>
      <c r="F163" s="17"/>
      <c r="G163" s="18"/>
      <c r="H163" s="18"/>
      <c r="I163" s="51"/>
      <c r="J163" s="51">
        <f>SUM($J$164)</f>
        <v>0</v>
      </c>
      <c r="K163" s="19"/>
      <c r="L163" s="19"/>
    </row>
    <row r="164" spans="1:143" outlineLevel="4" x14ac:dyDescent="0.2">
      <c r="A164" s="20"/>
      <c r="B164" s="14" t="s">
        <v>22</v>
      </c>
      <c r="C164" s="21"/>
      <c r="D164" s="21"/>
      <c r="E164" s="21"/>
      <c r="F164" s="21"/>
      <c r="G164" s="21"/>
      <c r="H164" s="21"/>
      <c r="I164" s="52"/>
      <c r="J164" s="53">
        <f>SUM($J$165)</f>
        <v>0</v>
      </c>
      <c r="K164" s="18"/>
      <c r="L164" s="22"/>
    </row>
    <row r="165" spans="1:143" ht="33.75" outlineLevel="4" x14ac:dyDescent="0.2">
      <c r="A165" s="23"/>
      <c r="B165" s="24" t="s">
        <v>112</v>
      </c>
      <c r="C165" s="25"/>
      <c r="D165" s="25"/>
      <c r="E165" s="26" t="s">
        <v>113</v>
      </c>
      <c r="F165" s="27"/>
      <c r="G165" s="28">
        <v>1</v>
      </c>
      <c r="H165" s="28">
        <f>SUM($G$165:$G$165)</f>
        <v>1</v>
      </c>
      <c r="I165" s="54">
        <f t="array" ref="I165">INDEX(Р[Цена за ед., руб],MATCH(1,IF(($B165=Р[Наименование])*($K165=Р[Примечание]),{1},($B165=Р[Наименование])*($K165=Р[Примечание])),0))</f>
        <v>0</v>
      </c>
      <c r="J165" s="54">
        <f>ROUND($H$165*$I$165,2)</f>
        <v>0</v>
      </c>
      <c r="K165" s="25"/>
      <c r="L165" s="25"/>
    </row>
    <row r="166" spans="1:143" x14ac:dyDescent="0.2">
      <c r="A166" s="108" t="s">
        <v>147</v>
      </c>
      <c r="B166" s="109"/>
      <c r="C166" s="109"/>
      <c r="D166" s="109"/>
      <c r="E166" s="109"/>
      <c r="F166" s="109"/>
      <c r="G166" s="109"/>
      <c r="H166" s="109"/>
      <c r="I166" s="110"/>
      <c r="J166" s="55">
        <f ca="1">$J$9</f>
        <v>0</v>
      </c>
      <c r="K166" s="30"/>
      <c r="L166" s="30"/>
    </row>
    <row r="167" spans="1:143" x14ac:dyDescent="0.2">
      <c r="A167" s="111" t="s">
        <v>128</v>
      </c>
      <c r="B167" s="112"/>
      <c r="C167" s="112"/>
      <c r="D167" s="112"/>
      <c r="E167" s="112"/>
      <c r="F167" s="112"/>
      <c r="G167" s="112"/>
      <c r="H167" s="112"/>
      <c r="I167" s="113"/>
      <c r="J167" s="55">
        <f>SUM($J$153,$J$149,$J$145,$J$139,$J$133,$J$129,$J$124,$J$122,$J$116,$J$111,$J$106,$J$104,$J$164,$J$97,$J$91,$J$85,$J$81,$J$70,$J$66,$J$60,$J$56,$J$50,$J$46,$J$37,$J$33,$J$29,$J$23,$J$12)</f>
        <v>0</v>
      </c>
      <c r="K167" s="30"/>
      <c r="L167" s="30"/>
    </row>
    <row r="168" spans="1:143" x14ac:dyDescent="0.2">
      <c r="A168" s="111" t="s">
        <v>129</v>
      </c>
      <c r="B168" s="112"/>
      <c r="C168" s="112"/>
      <c r="D168" s="112"/>
      <c r="E168" s="112"/>
      <c r="F168" s="112"/>
      <c r="G168" s="112"/>
      <c r="H168" s="112"/>
      <c r="I168" s="113"/>
      <c r="J168" s="55">
        <f ca="1">SUM($J$155,$J$151,$J$147,$J$141,$J$135,$J$131,$J$126,$J$118,$J$113,$J$108,$J$99,$J$93,$J$87,$J$83,$J$72,$J$68,$J$62,$J$58,$J$52,$J$48,$J$39,$J$35,$J$31,$J$25,$J$14,J157)</f>
        <v>0</v>
      </c>
      <c r="K168" s="30"/>
      <c r="L168" s="30"/>
    </row>
    <row r="169" spans="1:143" x14ac:dyDescent="0.2">
      <c r="A169" s="105" t="s">
        <v>148</v>
      </c>
      <c r="B169" s="106"/>
      <c r="C169" s="106"/>
      <c r="D169" s="106"/>
      <c r="E169" s="106"/>
      <c r="F169" s="106"/>
      <c r="G169" s="106"/>
      <c r="H169" s="106"/>
      <c r="I169" s="107"/>
      <c r="J169" s="59"/>
      <c r="K169" s="73" t="s">
        <v>153</v>
      </c>
      <c r="L169" s="30"/>
    </row>
    <row r="170" spans="1:143" x14ac:dyDescent="0.2">
      <c r="A170" s="31"/>
      <c r="B170" s="97" t="s">
        <v>130</v>
      </c>
      <c r="C170" s="97"/>
      <c r="D170" s="97"/>
      <c r="E170" s="97"/>
      <c r="F170" s="97"/>
      <c r="G170" s="97"/>
      <c r="H170" s="97"/>
      <c r="I170" s="98"/>
      <c r="J170" s="98"/>
      <c r="K170" s="97"/>
      <c r="L170" s="31"/>
    </row>
    <row r="171" spans="1:143" x14ac:dyDescent="0.2">
      <c r="B171" s="99"/>
      <c r="C171" s="99"/>
      <c r="D171" s="99"/>
      <c r="E171" s="99"/>
      <c r="F171" s="99"/>
      <c r="G171" s="99"/>
      <c r="H171" s="99"/>
      <c r="I171" s="100"/>
      <c r="J171" s="100"/>
      <c r="K171" s="99"/>
    </row>
    <row r="172" spans="1:143" s="77" customFormat="1" ht="15" x14ac:dyDescent="0.2">
      <c r="A172" s="74"/>
      <c r="B172" s="75" t="s">
        <v>154</v>
      </c>
      <c r="C172" s="76"/>
      <c r="D172" s="76"/>
      <c r="F172" s="78"/>
      <c r="G172" s="78"/>
      <c r="H172" s="78"/>
      <c r="I172" s="78"/>
      <c r="J172" s="78"/>
      <c r="K172" s="78"/>
      <c r="L172" s="79"/>
      <c r="M172" s="80"/>
      <c r="N172" s="80"/>
      <c r="AN172" s="80"/>
      <c r="AO172" s="80"/>
      <c r="AP172" s="80"/>
      <c r="AQ172" s="80"/>
      <c r="AR172" s="80"/>
      <c r="AS172" s="80"/>
      <c r="AT172" s="80"/>
      <c r="AU172" s="80"/>
      <c r="AV172" s="80"/>
      <c r="AW172" s="80"/>
      <c r="AX172" s="80"/>
      <c r="AY172" s="80"/>
      <c r="AZ172" s="80"/>
      <c r="BA172" s="80"/>
      <c r="BB172" s="80"/>
      <c r="BC172" s="80"/>
      <c r="BD172" s="80"/>
      <c r="BE172" s="80"/>
      <c r="BF172" s="80"/>
      <c r="BG172" s="80"/>
      <c r="BH172" s="80"/>
      <c r="BI172" s="80"/>
      <c r="BJ172" s="80"/>
      <c r="BK172" s="80"/>
      <c r="BL172" s="80"/>
      <c r="BM172" s="80"/>
      <c r="BN172" s="80"/>
      <c r="BO172" s="80"/>
      <c r="BP172" s="80"/>
      <c r="BQ172" s="80"/>
      <c r="BR172" s="80"/>
      <c r="BS172" s="80"/>
      <c r="BT172" s="80"/>
      <c r="BU172" s="80"/>
      <c r="BV172" s="80"/>
      <c r="BW172" s="80"/>
      <c r="BX172" s="80"/>
      <c r="BY172" s="80"/>
      <c r="BZ172" s="80"/>
      <c r="CA172" s="80"/>
      <c r="CB172" s="80"/>
      <c r="CC172" s="80"/>
      <c r="CD172" s="80"/>
      <c r="CE172" s="80"/>
      <c r="CF172" s="80"/>
      <c r="CG172" s="80"/>
      <c r="CH172" s="80"/>
      <c r="CI172" s="80"/>
      <c r="CJ172" s="80"/>
      <c r="CK172" s="80"/>
      <c r="CL172" s="80"/>
      <c r="CM172" s="80"/>
      <c r="CN172" s="80"/>
      <c r="CO172" s="80"/>
      <c r="CP172" s="80"/>
      <c r="CQ172" s="80"/>
      <c r="CR172" s="80"/>
    </row>
    <row r="173" spans="1:143" s="77" customFormat="1" ht="15" x14ac:dyDescent="0.2">
      <c r="A173" s="81" t="s">
        <v>155</v>
      </c>
      <c r="B173" s="95" t="s">
        <v>156</v>
      </c>
      <c r="C173" s="95"/>
      <c r="D173" s="95"/>
      <c r="E173" s="95"/>
      <c r="F173" s="95"/>
      <c r="G173" s="95"/>
      <c r="H173" s="95"/>
      <c r="I173" s="95"/>
      <c r="J173" s="95"/>
      <c r="K173" s="95"/>
      <c r="L173" s="95"/>
      <c r="M173" s="95"/>
      <c r="N173" s="95"/>
      <c r="O173" s="95"/>
      <c r="P173" s="95"/>
      <c r="Q173" s="82"/>
      <c r="R173" s="82"/>
      <c r="S173" s="82"/>
      <c r="T173" s="82"/>
      <c r="U173" s="82"/>
      <c r="V173" s="82"/>
      <c r="W173" s="82"/>
      <c r="X173" s="82"/>
      <c r="Y173" s="82"/>
      <c r="Z173" s="82"/>
      <c r="AA173" s="82"/>
      <c r="AB173" s="82"/>
      <c r="AC173" s="82"/>
      <c r="AD173" s="82"/>
      <c r="AE173" s="82"/>
      <c r="AF173" s="82"/>
      <c r="AG173" s="83"/>
      <c r="AH173" s="83"/>
      <c r="AI173" s="83"/>
      <c r="AJ173" s="83"/>
      <c r="AK173" s="83"/>
      <c r="AL173" s="83"/>
      <c r="AM173" s="83"/>
      <c r="AN173" s="84"/>
      <c r="AO173" s="84"/>
      <c r="AP173" s="84"/>
      <c r="AQ173" s="84"/>
      <c r="AR173" s="84"/>
      <c r="AS173" s="84"/>
      <c r="AT173" s="84"/>
      <c r="AU173" s="84"/>
      <c r="AV173" s="84"/>
      <c r="AW173" s="84"/>
      <c r="AX173" s="84"/>
      <c r="AY173" s="84"/>
      <c r="AZ173" s="84"/>
      <c r="BA173" s="84"/>
      <c r="BB173" s="84"/>
      <c r="BC173" s="84"/>
      <c r="BD173" s="84"/>
      <c r="BE173" s="84"/>
      <c r="BF173" s="84"/>
      <c r="BG173" s="84"/>
      <c r="BH173" s="84"/>
      <c r="BI173" s="84"/>
      <c r="BJ173" s="84"/>
      <c r="BK173" s="84"/>
      <c r="BL173" s="84"/>
      <c r="BM173" s="84"/>
      <c r="BN173" s="84"/>
      <c r="BO173" s="84"/>
      <c r="BP173" s="84"/>
      <c r="BQ173" s="84"/>
      <c r="BR173" s="84"/>
      <c r="BS173" s="84"/>
      <c r="BT173" s="84"/>
      <c r="BU173" s="84"/>
      <c r="BV173" s="84"/>
      <c r="BW173" s="84"/>
      <c r="BX173" s="84"/>
      <c r="BY173" s="84"/>
      <c r="BZ173" s="84"/>
      <c r="CA173" s="84"/>
      <c r="CB173" s="84"/>
      <c r="CC173" s="84"/>
      <c r="CD173" s="84"/>
      <c r="CE173" s="84"/>
      <c r="CF173" s="84"/>
      <c r="CG173" s="84"/>
      <c r="CH173" s="84"/>
      <c r="CI173" s="84"/>
      <c r="CJ173" s="84"/>
      <c r="CK173" s="84"/>
      <c r="CL173" s="84"/>
      <c r="CM173" s="84"/>
      <c r="CN173" s="84"/>
      <c r="CO173" s="84"/>
      <c r="CP173" s="84"/>
      <c r="CQ173" s="84"/>
      <c r="CR173" s="84"/>
      <c r="CS173" s="82"/>
      <c r="CT173" s="82"/>
      <c r="CU173" s="82"/>
      <c r="CV173" s="82"/>
      <c r="CW173" s="82"/>
      <c r="CX173" s="82"/>
      <c r="CY173" s="82"/>
      <c r="CZ173" s="82"/>
      <c r="DA173" s="82"/>
      <c r="DB173" s="82"/>
      <c r="DC173" s="82"/>
      <c r="DD173" s="82"/>
      <c r="DE173" s="82"/>
      <c r="DF173" s="82"/>
      <c r="DG173" s="82"/>
      <c r="DH173" s="82"/>
      <c r="DI173" s="82"/>
      <c r="DJ173" s="82"/>
      <c r="DK173" s="82"/>
      <c r="DL173" s="82"/>
      <c r="DM173" s="82"/>
      <c r="DN173" s="82"/>
      <c r="DO173" s="82"/>
      <c r="DP173" s="82"/>
      <c r="DQ173" s="82"/>
      <c r="DR173" s="82"/>
      <c r="DS173" s="82"/>
      <c r="DT173" s="82"/>
      <c r="DU173" s="82"/>
      <c r="DV173" s="82"/>
      <c r="DW173" s="82"/>
      <c r="DX173" s="82"/>
      <c r="DY173" s="82"/>
      <c r="DZ173" s="82"/>
      <c r="EA173" s="82"/>
      <c r="EB173" s="82"/>
      <c r="EC173" s="82"/>
      <c r="ED173" s="82"/>
      <c r="EE173" s="82"/>
      <c r="EF173" s="82"/>
      <c r="EG173" s="82"/>
      <c r="EH173" s="82"/>
      <c r="EI173" s="82"/>
      <c r="EJ173" s="82"/>
      <c r="EK173" s="82"/>
      <c r="EL173" s="82"/>
      <c r="EM173" s="82"/>
    </row>
    <row r="174" spans="1:143" s="87" customFormat="1" ht="24" customHeight="1" x14ac:dyDescent="0.25">
      <c r="A174" s="85" t="s">
        <v>155</v>
      </c>
      <c r="B174" s="96" t="s">
        <v>157</v>
      </c>
      <c r="C174" s="96"/>
      <c r="D174" s="96"/>
      <c r="E174" s="96"/>
      <c r="F174" s="96"/>
      <c r="G174" s="96"/>
      <c r="H174" s="96"/>
      <c r="I174" s="96"/>
      <c r="J174" s="96"/>
      <c r="K174" s="96"/>
      <c r="L174" s="96"/>
      <c r="M174" s="96"/>
      <c r="N174" s="96"/>
      <c r="O174" s="96"/>
      <c r="P174" s="96"/>
      <c r="Q174" s="86"/>
      <c r="R174" s="86"/>
      <c r="S174" s="86"/>
      <c r="T174" s="86"/>
      <c r="U174" s="86"/>
      <c r="V174" s="86"/>
      <c r="W174" s="86"/>
      <c r="DI174" s="88"/>
    </row>
    <row r="175" spans="1:143" s="77" customFormat="1" ht="33" customHeight="1" x14ac:dyDescent="0.2">
      <c r="A175" s="89" t="s">
        <v>155</v>
      </c>
      <c r="B175" s="95" t="s">
        <v>158</v>
      </c>
      <c r="C175" s="95"/>
      <c r="D175" s="95"/>
      <c r="E175" s="95"/>
      <c r="F175" s="95"/>
      <c r="G175" s="95"/>
      <c r="H175" s="95"/>
      <c r="I175" s="95"/>
      <c r="J175" s="95"/>
      <c r="K175" s="95"/>
      <c r="L175" s="95"/>
      <c r="M175" s="95"/>
      <c r="N175" s="95"/>
      <c r="O175" s="95"/>
      <c r="P175" s="95"/>
      <c r="AN175" s="80"/>
      <c r="AO175" s="80"/>
      <c r="AP175" s="80"/>
      <c r="AQ175" s="80"/>
      <c r="AR175" s="80"/>
      <c r="AS175" s="80"/>
      <c r="AT175" s="80"/>
      <c r="AU175" s="80"/>
      <c r="AV175" s="80"/>
      <c r="AW175" s="80"/>
      <c r="AX175" s="80"/>
      <c r="AY175" s="80"/>
      <c r="AZ175" s="80"/>
      <c r="BA175" s="80"/>
      <c r="BB175" s="80"/>
      <c r="BC175" s="80"/>
      <c r="BD175" s="80"/>
      <c r="BE175" s="80"/>
      <c r="BF175" s="80"/>
      <c r="BG175" s="80"/>
      <c r="BH175" s="80"/>
      <c r="BI175" s="80"/>
      <c r="BJ175" s="80"/>
      <c r="BK175" s="80"/>
      <c r="BL175" s="80"/>
      <c r="BM175" s="80"/>
      <c r="BN175" s="80"/>
      <c r="BO175" s="80"/>
      <c r="BP175" s="80"/>
      <c r="BQ175" s="80"/>
      <c r="BR175" s="80"/>
      <c r="BS175" s="80"/>
      <c r="BT175" s="80"/>
      <c r="BU175" s="80"/>
      <c r="BV175" s="80"/>
      <c r="BW175" s="80"/>
      <c r="BX175" s="80"/>
      <c r="BY175" s="80"/>
      <c r="BZ175" s="80"/>
      <c r="CA175" s="80"/>
      <c r="CB175" s="80"/>
      <c r="CC175" s="80"/>
      <c r="CD175" s="80"/>
      <c r="CE175" s="80"/>
      <c r="CF175" s="80"/>
      <c r="CG175" s="80"/>
      <c r="CH175" s="80"/>
      <c r="CI175" s="80"/>
      <c r="CJ175" s="80"/>
      <c r="CK175" s="80"/>
      <c r="CL175" s="80"/>
      <c r="CM175" s="80"/>
      <c r="CN175" s="80"/>
      <c r="CO175" s="80"/>
      <c r="CP175" s="80"/>
      <c r="CQ175" s="80"/>
      <c r="CR175" s="80"/>
    </row>
    <row r="176" spans="1:143" s="77" customFormat="1" ht="58.5" customHeight="1" x14ac:dyDescent="0.2">
      <c r="A176" s="90" t="s">
        <v>155</v>
      </c>
      <c r="B176" s="95" t="s">
        <v>159</v>
      </c>
      <c r="C176" s="95"/>
      <c r="D176" s="95"/>
      <c r="E176" s="95"/>
      <c r="F176" s="95"/>
      <c r="G176" s="95"/>
      <c r="H176" s="95"/>
      <c r="I176" s="95"/>
      <c r="J176" s="95"/>
      <c r="K176" s="95"/>
      <c r="L176" s="95"/>
      <c r="M176" s="95"/>
      <c r="N176" s="95"/>
      <c r="O176" s="95"/>
      <c r="P176" s="95"/>
      <c r="AN176" s="80"/>
      <c r="AO176" s="80"/>
      <c r="AP176" s="80"/>
      <c r="AQ176" s="80"/>
      <c r="AR176" s="80"/>
      <c r="AS176" s="80"/>
      <c r="AT176" s="80"/>
      <c r="AU176" s="80"/>
      <c r="AV176" s="80"/>
      <c r="AW176" s="80"/>
      <c r="AX176" s="80"/>
      <c r="AY176" s="80"/>
      <c r="AZ176" s="80"/>
      <c r="BA176" s="80"/>
      <c r="BB176" s="80"/>
      <c r="BC176" s="80"/>
      <c r="BD176" s="80"/>
      <c r="BE176" s="80"/>
      <c r="BF176" s="80"/>
      <c r="BG176" s="80"/>
      <c r="BH176" s="80"/>
      <c r="BI176" s="80"/>
      <c r="BJ176" s="80"/>
      <c r="BK176" s="80"/>
      <c r="BL176" s="80"/>
      <c r="BM176" s="80"/>
      <c r="BN176" s="80"/>
      <c r="BO176" s="80"/>
      <c r="BP176" s="80"/>
      <c r="BQ176" s="80"/>
      <c r="BR176" s="80"/>
      <c r="BS176" s="80"/>
      <c r="BT176" s="80"/>
      <c r="BU176" s="80"/>
      <c r="BV176" s="80"/>
      <c r="BW176" s="80"/>
      <c r="BX176" s="80"/>
      <c r="BY176" s="80"/>
      <c r="BZ176" s="80"/>
      <c r="CA176" s="80"/>
      <c r="CB176" s="80"/>
      <c r="CC176" s="80"/>
      <c r="CD176" s="80"/>
      <c r="CE176" s="80"/>
      <c r="CF176" s="80"/>
      <c r="CG176" s="80"/>
      <c r="CH176" s="80"/>
      <c r="CI176" s="80"/>
      <c r="CJ176" s="80"/>
      <c r="CK176" s="80"/>
      <c r="CL176" s="80"/>
      <c r="CM176" s="80"/>
      <c r="CN176" s="80"/>
      <c r="CO176" s="80"/>
      <c r="CP176" s="80"/>
      <c r="CQ176" s="80"/>
      <c r="CR176" s="80"/>
    </row>
    <row r="177" spans="1:96" s="77" customFormat="1" ht="23.25" customHeight="1" x14ac:dyDescent="0.2">
      <c r="A177" s="89" t="s">
        <v>155</v>
      </c>
      <c r="B177" s="95" t="s">
        <v>160</v>
      </c>
      <c r="C177" s="95"/>
      <c r="D177" s="95"/>
      <c r="E177" s="95"/>
      <c r="F177" s="95"/>
      <c r="G177" s="95"/>
      <c r="H177" s="95"/>
      <c r="I177" s="95"/>
      <c r="J177" s="95"/>
      <c r="K177" s="95"/>
      <c r="L177" s="95"/>
      <c r="M177" s="95"/>
      <c r="N177" s="95"/>
      <c r="O177" s="95"/>
      <c r="P177" s="95"/>
      <c r="AN177" s="80"/>
      <c r="AO177" s="80"/>
      <c r="AP177" s="80"/>
      <c r="AQ177" s="80"/>
      <c r="AR177" s="80"/>
      <c r="AS177" s="80"/>
      <c r="AT177" s="80"/>
      <c r="AU177" s="80"/>
      <c r="AV177" s="80"/>
      <c r="AW177" s="80"/>
      <c r="AX177" s="80"/>
      <c r="AY177" s="80"/>
      <c r="AZ177" s="80"/>
      <c r="BA177" s="80"/>
      <c r="BB177" s="80"/>
      <c r="BC177" s="80"/>
      <c r="BD177" s="80"/>
      <c r="BE177" s="80"/>
      <c r="BF177" s="80"/>
      <c r="BG177" s="80"/>
      <c r="BH177" s="80"/>
      <c r="BI177" s="80"/>
      <c r="BJ177" s="80"/>
      <c r="BK177" s="80"/>
      <c r="BL177" s="80"/>
      <c r="BM177" s="80"/>
      <c r="BN177" s="80"/>
      <c r="BO177" s="80"/>
      <c r="BP177" s="80"/>
      <c r="BQ177" s="80"/>
      <c r="BR177" s="80"/>
      <c r="BS177" s="80"/>
      <c r="BT177" s="80"/>
      <c r="BU177" s="80"/>
      <c r="BV177" s="80"/>
      <c r="BW177" s="80"/>
      <c r="BX177" s="80"/>
      <c r="BY177" s="80"/>
      <c r="BZ177" s="80"/>
      <c r="CA177" s="80"/>
      <c r="CB177" s="80"/>
      <c r="CC177" s="80"/>
      <c r="CD177" s="80"/>
      <c r="CE177" s="80"/>
      <c r="CF177" s="80"/>
      <c r="CG177" s="80"/>
      <c r="CH177" s="80"/>
      <c r="CI177" s="80"/>
      <c r="CJ177" s="80"/>
      <c r="CK177" s="80"/>
      <c r="CL177" s="80"/>
      <c r="CM177" s="80"/>
      <c r="CN177" s="80"/>
      <c r="CO177" s="80"/>
      <c r="CP177" s="80"/>
      <c r="CQ177" s="80"/>
      <c r="CR177" s="80"/>
    </row>
    <row r="178" spans="1:96" ht="27" customHeight="1" x14ac:dyDescent="0.2">
      <c r="A178" s="91" t="s">
        <v>155</v>
      </c>
      <c r="B178" s="93" t="s">
        <v>161</v>
      </c>
      <c r="C178" s="93"/>
      <c r="D178" s="93"/>
      <c r="E178" s="93"/>
      <c r="F178" s="93"/>
      <c r="G178" s="93"/>
      <c r="H178" s="93"/>
      <c r="I178" s="93"/>
      <c r="J178" s="93"/>
      <c r="K178" s="93"/>
      <c r="L178" s="93"/>
      <c r="M178" s="93"/>
      <c r="N178" s="93"/>
      <c r="O178" s="93"/>
      <c r="P178" s="93"/>
    </row>
    <row r="179" spans="1:96" ht="15.75" x14ac:dyDescent="0.2">
      <c r="B179" s="94" t="s">
        <v>162</v>
      </c>
      <c r="C179" s="94"/>
      <c r="D179" s="94"/>
      <c r="E179" s="94"/>
      <c r="F179" s="94"/>
      <c r="G179" s="94"/>
      <c r="H179" s="94"/>
      <c r="I179" s="94"/>
      <c r="J179" s="94"/>
      <c r="K179" s="94"/>
      <c r="L179" s="94"/>
      <c r="M179" s="94"/>
      <c r="N179" s="94"/>
      <c r="O179" s="94"/>
      <c r="P179" s="94"/>
      <c r="Q179" s="94"/>
      <c r="R179" s="94"/>
      <c r="S179" s="94"/>
      <c r="T179" s="94"/>
    </row>
  </sheetData>
  <autoFilter ref="A7:L170" xr:uid="{00000000-0001-0000-0000-000000000000}"/>
  <mergeCells count="28">
    <mergeCell ref="B2:J2"/>
    <mergeCell ref="B3:J3"/>
    <mergeCell ref="B4:J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B170:K170"/>
    <mergeCell ref="B171:K171"/>
    <mergeCell ref="K6:K7"/>
    <mergeCell ref="L6:L7"/>
    <mergeCell ref="A169:I169"/>
    <mergeCell ref="A166:I166"/>
    <mergeCell ref="A167:I167"/>
    <mergeCell ref="A168:I168"/>
    <mergeCell ref="B178:P178"/>
    <mergeCell ref="B179:T179"/>
    <mergeCell ref="B173:P173"/>
    <mergeCell ref="B174:P174"/>
    <mergeCell ref="B175:P175"/>
    <mergeCell ref="B176:P176"/>
    <mergeCell ref="B177:P177"/>
  </mergeCells>
  <conditionalFormatting sqref="DA172:DH173 DA175:DH177">
    <cfRule type="cellIs" dxfId="11" priority="2" operator="lessThan">
      <formula>0</formula>
    </cfRule>
    <cfRule type="cellIs" dxfId="10" priority="3" operator="equal">
      <formula>0</formula>
    </cfRule>
  </conditionalFormatting>
  <conditionalFormatting sqref="DJ174:DY174">
    <cfRule type="cellIs" dxfId="9" priority="1" operator="lessThan">
      <formula>0</formula>
    </cfRule>
  </conditionalFormatting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24"/>
  <sheetViews>
    <sheetView workbookViewId="0">
      <pane ySplit="3" topLeftCell="A4" activePane="bottomLeft" state="frozen"/>
      <selection pane="bottomLeft" activeCell="D4" sqref="D4:D21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122" t="s">
        <v>131</v>
      </c>
      <c r="B1" s="122"/>
      <c r="C1" s="122"/>
      <c r="D1" s="122"/>
      <c r="E1" s="122"/>
      <c r="F1" s="122"/>
    </row>
    <row r="3" spans="1:6" ht="11.1" customHeight="1" x14ac:dyDescent="0.2">
      <c r="A3" s="37" t="s">
        <v>4</v>
      </c>
      <c r="B3" s="2" t="s">
        <v>7</v>
      </c>
      <c r="C3" s="2" t="s">
        <v>10</v>
      </c>
      <c r="D3" s="44" t="s">
        <v>11</v>
      </c>
      <c r="E3" s="44" t="s">
        <v>12</v>
      </c>
      <c r="F3" s="38" t="s">
        <v>13</v>
      </c>
    </row>
    <row r="4" spans="1:6" ht="11.1" customHeight="1" x14ac:dyDescent="0.2">
      <c r="A4" s="35" t="s">
        <v>23</v>
      </c>
      <c r="B4" s="32" t="s">
        <v>24</v>
      </c>
      <c r="C4" s="33">
        <v>399</v>
      </c>
      <c r="D4" s="45"/>
      <c r="E4" s="45">
        <f>ROUND(Р[[#This Row],[Количество]]*Р[[#This Row],[Цена за ед., руб]],2)</f>
        <v>0</v>
      </c>
      <c r="F4" s="36"/>
    </row>
    <row r="5" spans="1:6" ht="11.1" customHeight="1" x14ac:dyDescent="0.2">
      <c r="A5" s="35" t="s">
        <v>44</v>
      </c>
      <c r="B5" s="32" t="s">
        <v>45</v>
      </c>
      <c r="C5" s="33">
        <v>4</v>
      </c>
      <c r="D5" s="45"/>
      <c r="E5" s="45">
        <f>ROUND(Р[[#This Row],[Количество]]*Р[[#This Row],[Цена за ед., руб]],2)</f>
        <v>0</v>
      </c>
      <c r="F5" s="36"/>
    </row>
    <row r="6" spans="1:6" ht="11.1" customHeight="1" x14ac:dyDescent="0.2">
      <c r="A6" s="35" t="s">
        <v>50</v>
      </c>
      <c r="B6" s="32" t="s">
        <v>45</v>
      </c>
      <c r="C6" s="33">
        <v>8</v>
      </c>
      <c r="D6" s="45"/>
      <c r="E6" s="45">
        <f>ROUND(Р[[#This Row],[Количество]]*Р[[#This Row],[Цена за ед., руб]],2)</f>
        <v>0</v>
      </c>
      <c r="F6" s="36"/>
    </row>
    <row r="7" spans="1:6" ht="11.1" customHeight="1" x14ac:dyDescent="0.2">
      <c r="A7" s="35" t="s">
        <v>53</v>
      </c>
      <c r="B7" s="32" t="s">
        <v>45</v>
      </c>
      <c r="C7" s="33">
        <v>1</v>
      </c>
      <c r="D7" s="45"/>
      <c r="E7" s="45">
        <f>ROUND(Р[[#This Row],[Количество]]*Р[[#This Row],[Цена за ед., руб]],2)</f>
        <v>0</v>
      </c>
      <c r="F7" s="36"/>
    </row>
    <row r="8" spans="1:6" ht="11.1" customHeight="1" x14ac:dyDescent="0.2">
      <c r="A8" s="35" t="s">
        <v>55</v>
      </c>
      <c r="B8" s="32" t="s">
        <v>45</v>
      </c>
      <c r="C8" s="33">
        <v>146</v>
      </c>
      <c r="D8" s="45"/>
      <c r="E8" s="45">
        <f>ROUND(Р[[#This Row],[Количество]]*Р[[#This Row],[Цена за ед., руб]],2)</f>
        <v>0</v>
      </c>
      <c r="F8" s="36"/>
    </row>
    <row r="9" spans="1:6" ht="11.1" customHeight="1" x14ac:dyDescent="0.2">
      <c r="A9" s="35" t="s">
        <v>64</v>
      </c>
      <c r="B9" s="32" t="s">
        <v>45</v>
      </c>
      <c r="C9" s="33">
        <v>2</v>
      </c>
      <c r="D9" s="45"/>
      <c r="E9" s="45">
        <f>ROUND(Р[[#This Row],[Количество]]*Р[[#This Row],[Цена за ед., руб]],2)</f>
        <v>0</v>
      </c>
      <c r="F9" s="36"/>
    </row>
    <row r="10" spans="1:6" ht="11.1" customHeight="1" x14ac:dyDescent="0.2">
      <c r="A10" s="35" t="s">
        <v>66</v>
      </c>
      <c r="B10" s="32" t="s">
        <v>45</v>
      </c>
      <c r="C10" s="33">
        <v>1</v>
      </c>
      <c r="D10" s="45"/>
      <c r="E10" s="45">
        <f>ROUND(Р[[#This Row],[Количество]]*Р[[#This Row],[Цена за ед., руб]],2)</f>
        <v>0</v>
      </c>
      <c r="F10" s="36"/>
    </row>
    <row r="11" spans="1:6" ht="11.1" customHeight="1" x14ac:dyDescent="0.2">
      <c r="A11" s="35" t="s">
        <v>73</v>
      </c>
      <c r="B11" s="32" t="s">
        <v>45</v>
      </c>
      <c r="C11" s="33">
        <v>1</v>
      </c>
      <c r="D11" s="45"/>
      <c r="E11" s="45">
        <f>ROUND(Р[[#This Row],[Количество]]*Р[[#This Row],[Цена за ед., руб]],2)</f>
        <v>0</v>
      </c>
      <c r="F11" s="36"/>
    </row>
    <row r="12" spans="1:6" ht="11.1" customHeight="1" x14ac:dyDescent="0.2">
      <c r="A12" s="35" t="s">
        <v>76</v>
      </c>
      <c r="B12" s="32" t="s">
        <v>45</v>
      </c>
      <c r="C12" s="33">
        <v>1</v>
      </c>
      <c r="D12" s="45"/>
      <c r="E12" s="45">
        <f>ROUND(Р[[#This Row],[Количество]]*Р[[#This Row],[Цена за ед., руб]],2)</f>
        <v>0</v>
      </c>
      <c r="F12" s="36"/>
    </row>
    <row r="13" spans="1:6" ht="11.1" customHeight="1" x14ac:dyDescent="0.2">
      <c r="A13" s="35" t="s">
        <v>80</v>
      </c>
      <c r="B13" s="32" t="s">
        <v>45</v>
      </c>
      <c r="C13" s="33">
        <v>1</v>
      </c>
      <c r="D13" s="45"/>
      <c r="E13" s="45">
        <f>ROUND(Р[[#This Row],[Количество]]*Р[[#This Row],[Цена за ед., руб]],2)</f>
        <v>0</v>
      </c>
      <c r="F13" s="36"/>
    </row>
    <row r="14" spans="1:6" ht="11.1" customHeight="1" x14ac:dyDescent="0.2">
      <c r="A14" s="35" t="s">
        <v>83</v>
      </c>
      <c r="B14" s="32" t="s">
        <v>29</v>
      </c>
      <c r="C14" s="33">
        <v>474</v>
      </c>
      <c r="D14" s="45"/>
      <c r="E14" s="45">
        <f>ROUND(Р[[#This Row],[Количество]]*Р[[#This Row],[Цена за ед., руб]],2)</f>
        <v>0</v>
      </c>
      <c r="F14" s="36"/>
    </row>
    <row r="15" spans="1:6" ht="11.1" customHeight="1" x14ac:dyDescent="0.2">
      <c r="A15" s="35" t="s">
        <v>93</v>
      </c>
      <c r="B15" s="32" t="s">
        <v>24</v>
      </c>
      <c r="C15" s="33">
        <v>1</v>
      </c>
      <c r="D15" s="45"/>
      <c r="E15" s="45">
        <f>ROUND(Р[[#This Row],[Количество]]*Р[[#This Row],[Цена за ед., руб]],2)</f>
        <v>0</v>
      </c>
      <c r="F15" s="36"/>
    </row>
    <row r="16" spans="1:6" ht="11.1" customHeight="1" x14ac:dyDescent="0.2">
      <c r="A16" s="35" t="s">
        <v>96</v>
      </c>
      <c r="B16" s="32" t="s">
        <v>29</v>
      </c>
      <c r="C16" s="33">
        <v>25</v>
      </c>
      <c r="D16" s="45"/>
      <c r="E16" s="45">
        <f>ROUND(Р[[#This Row],[Количество]]*Р[[#This Row],[Цена за ед., руб]],2)</f>
        <v>0</v>
      </c>
      <c r="F16" s="36"/>
    </row>
    <row r="17" spans="1:6" ht="11.1" customHeight="1" x14ac:dyDescent="0.2">
      <c r="A17" s="35" t="s">
        <v>101</v>
      </c>
      <c r="B17" s="32" t="s">
        <v>24</v>
      </c>
      <c r="C17" s="33">
        <v>19</v>
      </c>
      <c r="D17" s="45"/>
      <c r="E17" s="45">
        <f>ROUND(Р[[#This Row],[Количество]]*Р[[#This Row],[Цена за ед., руб]],2)</f>
        <v>0</v>
      </c>
      <c r="F17" s="36"/>
    </row>
    <row r="18" spans="1:6" ht="23.1" customHeight="1" x14ac:dyDescent="0.2">
      <c r="A18" s="35" t="s">
        <v>112</v>
      </c>
      <c r="B18" s="32" t="s">
        <v>113</v>
      </c>
      <c r="C18" s="33">
        <v>1</v>
      </c>
      <c r="D18" s="45"/>
      <c r="E18" s="45">
        <f>ROUND(Р[[#This Row],[Количество]]*Р[[#This Row],[Цена за ед., руб]],2)</f>
        <v>0</v>
      </c>
      <c r="F18" s="36"/>
    </row>
    <row r="19" spans="1:6" ht="11.1" customHeight="1" x14ac:dyDescent="0.2">
      <c r="A19" s="35" t="s">
        <v>118</v>
      </c>
      <c r="B19" s="32" t="s">
        <v>45</v>
      </c>
      <c r="C19" s="33">
        <v>52</v>
      </c>
      <c r="D19" s="45"/>
      <c r="E19" s="45">
        <f>ROUND(Р[[#This Row],[Количество]]*Р[[#This Row],[Цена за ед., руб]],2)</f>
        <v>0</v>
      </c>
      <c r="F19" s="36"/>
    </row>
    <row r="20" spans="1:6" ht="11.1" customHeight="1" x14ac:dyDescent="0.2">
      <c r="A20" s="35" t="s">
        <v>119</v>
      </c>
      <c r="B20" s="32" t="s">
        <v>24</v>
      </c>
      <c r="C20" s="33">
        <v>75</v>
      </c>
      <c r="D20" s="45"/>
      <c r="E20" s="45">
        <f>ROUND(Р[[#This Row],[Количество]]*Р[[#This Row],[Цена за ед., руб]],2)</f>
        <v>0</v>
      </c>
      <c r="F20" s="36"/>
    </row>
    <row r="21" spans="1:6" ht="11.1" customHeight="1" x14ac:dyDescent="0.2">
      <c r="A21" s="35" t="s">
        <v>122</v>
      </c>
      <c r="B21" s="32" t="s">
        <v>45</v>
      </c>
      <c r="C21" s="33">
        <v>7</v>
      </c>
      <c r="D21" s="45"/>
      <c r="E21" s="45">
        <f>ROUND(Р[[#This Row],[Количество]]*Р[[#This Row],[Цена за ед., руб]],2)</f>
        <v>0</v>
      </c>
      <c r="F21" s="36"/>
    </row>
    <row r="22" spans="1:6" ht="11.45" customHeight="1" x14ac:dyDescent="0.2">
      <c r="A22" s="39" t="s">
        <v>142</v>
      </c>
      <c r="B22" s="40"/>
      <c r="C22" s="42"/>
      <c r="D22" s="46"/>
      <c r="E22" s="46">
        <f>SUBTOTAL(109,Р[Сумма, руб])</f>
        <v>0</v>
      </c>
      <c r="F22" s="43"/>
    </row>
    <row r="24" spans="1:6" ht="11.45" customHeight="1" x14ac:dyDescent="0.2">
      <c r="D24" s="1" t="s">
        <v>163</v>
      </c>
      <c r="E24" s="92">
        <f>ЛСР!J167-Р[[#Totals],[Сумма, руб]]</f>
        <v>0</v>
      </c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57"/>
  <sheetViews>
    <sheetView workbookViewId="0">
      <pane ySplit="3" topLeftCell="A19" activePane="bottomLeft" state="frozen"/>
      <selection pane="bottomLeft" activeCell="H51" sqref="H51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122" t="s">
        <v>132</v>
      </c>
      <c r="B1" s="122"/>
      <c r="C1" s="122"/>
      <c r="D1" s="122"/>
      <c r="E1" s="122"/>
      <c r="F1" s="122"/>
      <c r="G1" s="122"/>
      <c r="H1" s="122"/>
    </row>
    <row r="2" spans="1:9" ht="11.1" customHeight="1" x14ac:dyDescent="0.2"/>
    <row r="3" spans="1:9" ht="23.1" customHeight="1" x14ac:dyDescent="0.2">
      <c r="A3" s="37" t="s">
        <v>133</v>
      </c>
      <c r="B3" s="47" t="s">
        <v>134</v>
      </c>
      <c r="C3" s="38" t="s">
        <v>135</v>
      </c>
      <c r="D3" s="2" t="s">
        <v>7</v>
      </c>
      <c r="E3" s="2" t="s">
        <v>10</v>
      </c>
      <c r="F3" s="44" t="s">
        <v>11</v>
      </c>
      <c r="G3" s="44" t="s">
        <v>12</v>
      </c>
      <c r="H3" s="2" t="s">
        <v>136</v>
      </c>
      <c r="I3" s="38" t="s">
        <v>137</v>
      </c>
    </row>
    <row r="4" spans="1:9" ht="11.1" customHeight="1" x14ac:dyDescent="0.2">
      <c r="A4" s="35" t="s">
        <v>97</v>
      </c>
      <c r="B4" s="34"/>
      <c r="C4" s="34" t="s">
        <v>102</v>
      </c>
      <c r="D4" s="32" t="s">
        <v>24</v>
      </c>
      <c r="E4" s="33">
        <v>4</v>
      </c>
      <c r="F4" s="45"/>
      <c r="G4" s="45">
        <f>ROUND(М[[#This Row],[Количество]]*М[[#This Row],[Цена за ед., руб]],2)</f>
        <v>0</v>
      </c>
      <c r="H4" s="34"/>
      <c r="I4" s="36"/>
    </row>
    <row r="5" spans="1:9" ht="11.1" customHeight="1" x14ac:dyDescent="0.2">
      <c r="A5" s="35" t="s">
        <v>97</v>
      </c>
      <c r="B5" s="34"/>
      <c r="C5" s="34" t="s">
        <v>103</v>
      </c>
      <c r="D5" s="32" t="s">
        <v>24</v>
      </c>
      <c r="E5" s="33">
        <v>3</v>
      </c>
      <c r="F5" s="45"/>
      <c r="G5" s="45">
        <f>ROUND(М[[#This Row],[Количество]]*М[[#This Row],[Цена за ед., руб]],2)</f>
        <v>0</v>
      </c>
      <c r="H5" s="34"/>
      <c r="I5" s="36"/>
    </row>
    <row r="6" spans="1:9" ht="11.1" customHeight="1" x14ac:dyDescent="0.2">
      <c r="A6" s="35" t="s">
        <v>97</v>
      </c>
      <c r="B6" s="34"/>
      <c r="C6" s="34" t="s">
        <v>104</v>
      </c>
      <c r="D6" s="32" t="s">
        <v>24</v>
      </c>
      <c r="E6" s="33">
        <v>12</v>
      </c>
      <c r="F6" s="45"/>
      <c r="G6" s="45">
        <f>ROUND(М[[#This Row],[Количество]]*М[[#This Row],[Цена за ед., руб]],2)</f>
        <v>0</v>
      </c>
      <c r="H6" s="34"/>
      <c r="I6" s="36"/>
    </row>
    <row r="7" spans="1:9" ht="11.1" customHeight="1" x14ac:dyDescent="0.2">
      <c r="A7" s="35" t="s">
        <v>97</v>
      </c>
      <c r="B7" s="34"/>
      <c r="C7" s="34" t="s">
        <v>98</v>
      </c>
      <c r="D7" s="32" t="s">
        <v>24</v>
      </c>
      <c r="E7" s="33">
        <v>4</v>
      </c>
      <c r="F7" s="45"/>
      <c r="G7" s="45">
        <f>ROUND(М[[#This Row],[Количество]]*М[[#This Row],[Цена за ед., руб]],2)</f>
        <v>0</v>
      </c>
      <c r="H7" s="34"/>
      <c r="I7" s="36"/>
    </row>
    <row r="8" spans="1:9" ht="11.1" customHeight="1" x14ac:dyDescent="0.2">
      <c r="A8" s="35" t="s">
        <v>97</v>
      </c>
      <c r="B8" s="34"/>
      <c r="C8" s="34" t="s">
        <v>99</v>
      </c>
      <c r="D8" s="32" t="s">
        <v>24</v>
      </c>
      <c r="E8" s="33">
        <v>20</v>
      </c>
      <c r="F8" s="45"/>
      <c r="G8" s="45">
        <f>ROUND(М[[#This Row],[Количество]]*М[[#This Row],[Цена за ед., руб]],2)</f>
        <v>0</v>
      </c>
      <c r="H8" s="34"/>
      <c r="I8" s="36"/>
    </row>
    <row r="9" spans="1:9" ht="11.1" customHeight="1" x14ac:dyDescent="0.2">
      <c r="A9" s="35" t="s">
        <v>97</v>
      </c>
      <c r="B9" s="34"/>
      <c r="C9" s="34" t="s">
        <v>100</v>
      </c>
      <c r="D9" s="32" t="s">
        <v>24</v>
      </c>
      <c r="E9" s="33">
        <v>1</v>
      </c>
      <c r="F9" s="45"/>
      <c r="G9" s="45">
        <f>ROUND(М[[#This Row],[Количество]]*М[[#This Row],[Цена за ед., руб]],2)</f>
        <v>0</v>
      </c>
      <c r="H9" s="34"/>
      <c r="I9" s="36"/>
    </row>
    <row r="10" spans="1:9" ht="23.1" customHeight="1" x14ac:dyDescent="0.2">
      <c r="A10" s="35" t="s">
        <v>77</v>
      </c>
      <c r="B10" s="34"/>
      <c r="C10" s="34" t="s">
        <v>78</v>
      </c>
      <c r="D10" s="32" t="s">
        <v>45</v>
      </c>
      <c r="E10" s="33">
        <v>1</v>
      </c>
      <c r="F10" s="45"/>
      <c r="G10" s="45">
        <f>ROUND(М[[#This Row],[Количество]]*М[[#This Row],[Цена за ед., руб]],2)</f>
        <v>0</v>
      </c>
      <c r="H10" s="34" t="s">
        <v>79</v>
      </c>
      <c r="I10" s="36"/>
    </row>
    <row r="11" spans="1:9" ht="23.1" customHeight="1" x14ac:dyDescent="0.2">
      <c r="A11" s="35" t="s">
        <v>149</v>
      </c>
      <c r="B11" s="34"/>
      <c r="C11" s="34"/>
      <c r="D11" s="32" t="s">
        <v>113</v>
      </c>
      <c r="E11" s="33">
        <v>1</v>
      </c>
      <c r="F11" s="45"/>
      <c r="G11" s="45">
        <f>ROUND(М[[#This Row],[Количество]]*М[[#This Row],[Цена за ед., руб]],2)</f>
        <v>0</v>
      </c>
      <c r="H11" s="34" t="s">
        <v>152</v>
      </c>
      <c r="I11" s="36"/>
    </row>
    <row r="12" spans="1:9" ht="23.1" customHeight="1" x14ac:dyDescent="0.2">
      <c r="A12" s="35" t="s">
        <v>150</v>
      </c>
      <c r="B12" s="34"/>
      <c r="C12" s="34" t="s">
        <v>151</v>
      </c>
      <c r="D12" s="32" t="s">
        <v>45</v>
      </c>
      <c r="E12" s="33">
        <v>1</v>
      </c>
      <c r="F12" s="45"/>
      <c r="G12" s="45">
        <f>ROUND(М[[#This Row],[Количество]]*М[[#This Row],[Цена за ед., руб]],2)</f>
        <v>0</v>
      </c>
      <c r="H12" s="34"/>
      <c r="I12" s="36"/>
    </row>
    <row r="13" spans="1:9" ht="23.1" customHeight="1" x14ac:dyDescent="0.2">
      <c r="A13" s="35" t="s">
        <v>46</v>
      </c>
      <c r="B13" s="34"/>
      <c r="C13" s="34" t="s">
        <v>47</v>
      </c>
      <c r="D13" s="32" t="s">
        <v>45</v>
      </c>
      <c r="E13" s="33">
        <v>1</v>
      </c>
      <c r="F13" s="45"/>
      <c r="G13" s="45">
        <f>ROUND(М[[#This Row],[Количество]]*М[[#This Row],[Цена за ед., руб]],2)</f>
        <v>0</v>
      </c>
      <c r="H13" s="34"/>
      <c r="I13" s="36"/>
    </row>
    <row r="14" spans="1:9" ht="35.1" customHeight="1" x14ac:dyDescent="0.2">
      <c r="A14" s="35" t="s">
        <v>46</v>
      </c>
      <c r="B14" s="34"/>
      <c r="C14" s="34" t="s">
        <v>48</v>
      </c>
      <c r="D14" s="32" t="s">
        <v>45</v>
      </c>
      <c r="E14" s="33">
        <v>1</v>
      </c>
      <c r="F14" s="45"/>
      <c r="G14" s="45">
        <f>ROUND(М[[#This Row],[Количество]]*М[[#This Row],[Цена за ед., руб]],2)</f>
        <v>0</v>
      </c>
      <c r="H14" s="34"/>
      <c r="I14" s="36"/>
    </row>
    <row r="15" spans="1:9" ht="23.1" customHeight="1" x14ac:dyDescent="0.2">
      <c r="A15" s="35" t="s">
        <v>46</v>
      </c>
      <c r="B15" s="34"/>
      <c r="C15" s="34" t="s">
        <v>49</v>
      </c>
      <c r="D15" s="32" t="s">
        <v>45</v>
      </c>
      <c r="E15" s="33">
        <v>2</v>
      </c>
      <c r="F15" s="45"/>
      <c r="G15" s="45">
        <f>ROUND(М[[#This Row],[Количество]]*М[[#This Row],[Цена за ед., руб]],2)</f>
        <v>0</v>
      </c>
      <c r="H15" s="34"/>
      <c r="I15" s="36"/>
    </row>
    <row r="16" spans="1:9" ht="23.1" customHeight="1" x14ac:dyDescent="0.2">
      <c r="A16" s="35" t="s">
        <v>84</v>
      </c>
      <c r="B16" s="34"/>
      <c r="C16" s="34" t="s">
        <v>85</v>
      </c>
      <c r="D16" s="32" t="s">
        <v>29</v>
      </c>
      <c r="E16" s="33">
        <v>1</v>
      </c>
      <c r="F16" s="45"/>
      <c r="G16" s="45">
        <f>ROUND(М[[#This Row],[Количество]]*М[[#This Row],[Цена за ед., руб]],2)</f>
        <v>0</v>
      </c>
      <c r="H16" s="34"/>
      <c r="I16" s="36"/>
    </row>
    <row r="17" spans="1:9" ht="23.1" customHeight="1" x14ac:dyDescent="0.2">
      <c r="A17" s="35" t="s">
        <v>84</v>
      </c>
      <c r="B17" s="34"/>
      <c r="C17" s="34" t="s">
        <v>86</v>
      </c>
      <c r="D17" s="32" t="s">
        <v>29</v>
      </c>
      <c r="E17" s="33">
        <v>76</v>
      </c>
      <c r="F17" s="45"/>
      <c r="G17" s="45">
        <f>ROUND(М[[#This Row],[Количество]]*М[[#This Row],[Цена за ед., руб]],2)</f>
        <v>0</v>
      </c>
      <c r="H17" s="34"/>
      <c r="I17" s="36"/>
    </row>
    <row r="18" spans="1:9" ht="23.1" customHeight="1" x14ac:dyDescent="0.2">
      <c r="A18" s="35" t="s">
        <v>84</v>
      </c>
      <c r="B18" s="34"/>
      <c r="C18" s="34" t="s">
        <v>87</v>
      </c>
      <c r="D18" s="32" t="s">
        <v>29</v>
      </c>
      <c r="E18" s="33">
        <v>15</v>
      </c>
      <c r="F18" s="45"/>
      <c r="G18" s="45">
        <f>ROUND(М[[#This Row],[Количество]]*М[[#This Row],[Цена за ед., руб]],2)</f>
        <v>0</v>
      </c>
      <c r="H18" s="34"/>
      <c r="I18" s="36"/>
    </row>
    <row r="19" spans="1:9" ht="23.1" customHeight="1" x14ac:dyDescent="0.2">
      <c r="A19" s="35" t="s">
        <v>84</v>
      </c>
      <c r="B19" s="34"/>
      <c r="C19" s="34" t="s">
        <v>88</v>
      </c>
      <c r="D19" s="32" t="s">
        <v>29</v>
      </c>
      <c r="E19" s="33">
        <v>20</v>
      </c>
      <c r="F19" s="45"/>
      <c r="G19" s="45">
        <f>ROUND(М[[#This Row],[Количество]]*М[[#This Row],[Цена за ед., руб]],2)</f>
        <v>0</v>
      </c>
      <c r="H19" s="34"/>
      <c r="I19" s="36"/>
    </row>
    <row r="20" spans="1:9" ht="23.1" customHeight="1" x14ac:dyDescent="0.2">
      <c r="A20" s="35" t="s">
        <v>84</v>
      </c>
      <c r="B20" s="34"/>
      <c r="C20" s="34" t="s">
        <v>89</v>
      </c>
      <c r="D20" s="32" t="s">
        <v>29</v>
      </c>
      <c r="E20" s="33">
        <v>322</v>
      </c>
      <c r="F20" s="45"/>
      <c r="G20" s="45">
        <f>ROUND(М[[#This Row],[Количество]]*М[[#This Row],[Цена за ед., руб]],2)</f>
        <v>0</v>
      </c>
      <c r="H20" s="34"/>
      <c r="I20" s="36"/>
    </row>
    <row r="21" spans="1:9" ht="23.1" customHeight="1" x14ac:dyDescent="0.2">
      <c r="A21" s="35" t="s">
        <v>84</v>
      </c>
      <c r="B21" s="34"/>
      <c r="C21" s="34" t="s">
        <v>90</v>
      </c>
      <c r="D21" s="32" t="s">
        <v>29</v>
      </c>
      <c r="E21" s="33">
        <v>26</v>
      </c>
      <c r="F21" s="45"/>
      <c r="G21" s="45">
        <f>ROUND(М[[#This Row],[Количество]]*М[[#This Row],[Цена за ед., руб]],2)</f>
        <v>0</v>
      </c>
      <c r="H21" s="34"/>
      <c r="I21" s="36"/>
    </row>
    <row r="22" spans="1:9" ht="23.1" customHeight="1" x14ac:dyDescent="0.2">
      <c r="A22" s="35" t="s">
        <v>84</v>
      </c>
      <c r="B22" s="34"/>
      <c r="C22" s="34" t="s">
        <v>91</v>
      </c>
      <c r="D22" s="32" t="s">
        <v>29</v>
      </c>
      <c r="E22" s="33">
        <v>8</v>
      </c>
      <c r="F22" s="45"/>
      <c r="G22" s="45">
        <f>ROUND(М[[#This Row],[Количество]]*М[[#This Row],[Цена за ед., руб]],2)</f>
        <v>0</v>
      </c>
      <c r="H22" s="34"/>
      <c r="I22" s="36"/>
    </row>
    <row r="23" spans="1:9" ht="23.1" customHeight="1" x14ac:dyDescent="0.2">
      <c r="A23" s="35" t="s">
        <v>84</v>
      </c>
      <c r="B23" s="34"/>
      <c r="C23" s="34" t="s">
        <v>92</v>
      </c>
      <c r="D23" s="32" t="s">
        <v>29</v>
      </c>
      <c r="E23" s="33">
        <v>6</v>
      </c>
      <c r="F23" s="45"/>
      <c r="G23" s="45">
        <f>ROUND(М[[#This Row],[Количество]]*М[[#This Row],[Цена за ед., руб]],2)</f>
        <v>0</v>
      </c>
      <c r="H23" s="34"/>
      <c r="I23" s="36"/>
    </row>
    <row r="24" spans="1:9" ht="11.1" customHeight="1" x14ac:dyDescent="0.2">
      <c r="A24" s="35" t="s">
        <v>56</v>
      </c>
      <c r="B24" s="34"/>
      <c r="C24" s="34" t="s">
        <v>57</v>
      </c>
      <c r="D24" s="32" t="s">
        <v>45</v>
      </c>
      <c r="E24" s="33">
        <v>74</v>
      </c>
      <c r="F24" s="45"/>
      <c r="G24" s="45">
        <f>ROUND(М[[#This Row],[Количество]]*М[[#This Row],[Цена за ед., руб]],2)</f>
        <v>0</v>
      </c>
      <c r="H24" s="34"/>
      <c r="I24" s="36"/>
    </row>
    <row r="25" spans="1:9" ht="11.1" customHeight="1" x14ac:dyDescent="0.2">
      <c r="A25" s="35" t="s">
        <v>56</v>
      </c>
      <c r="B25" s="34"/>
      <c r="C25" s="34" t="s">
        <v>58</v>
      </c>
      <c r="D25" s="32" t="s">
        <v>45</v>
      </c>
      <c r="E25" s="33">
        <v>16</v>
      </c>
      <c r="F25" s="45"/>
      <c r="G25" s="45">
        <f>ROUND(М[[#This Row],[Количество]]*М[[#This Row],[Цена за ед., руб]],2)</f>
        <v>0</v>
      </c>
      <c r="H25" s="34"/>
      <c r="I25" s="36"/>
    </row>
    <row r="26" spans="1:9" ht="11.1" customHeight="1" x14ac:dyDescent="0.2">
      <c r="A26" s="35" t="s">
        <v>56</v>
      </c>
      <c r="B26" s="34"/>
      <c r="C26" s="34" t="s">
        <v>59</v>
      </c>
      <c r="D26" s="32" t="s">
        <v>45</v>
      </c>
      <c r="E26" s="33">
        <v>2</v>
      </c>
      <c r="F26" s="45"/>
      <c r="G26" s="45">
        <f>ROUND(М[[#This Row],[Количество]]*М[[#This Row],[Цена за ед., руб]],2)</f>
        <v>0</v>
      </c>
      <c r="H26" s="34"/>
      <c r="I26" s="36"/>
    </row>
    <row r="27" spans="1:9" ht="11.1" customHeight="1" x14ac:dyDescent="0.2">
      <c r="A27" s="35" t="s">
        <v>56</v>
      </c>
      <c r="B27" s="34"/>
      <c r="C27" s="34" t="s">
        <v>60</v>
      </c>
      <c r="D27" s="32" t="s">
        <v>45</v>
      </c>
      <c r="E27" s="33">
        <v>42</v>
      </c>
      <c r="F27" s="45"/>
      <c r="G27" s="45">
        <f>ROUND(М[[#This Row],[Количество]]*М[[#This Row],[Цена за ед., руб]],2)</f>
        <v>0</v>
      </c>
      <c r="H27" s="34"/>
      <c r="I27" s="36"/>
    </row>
    <row r="28" spans="1:9" ht="11.1" customHeight="1" x14ac:dyDescent="0.2">
      <c r="A28" s="35" t="s">
        <v>56</v>
      </c>
      <c r="B28" s="34"/>
      <c r="C28" s="34" t="s">
        <v>60</v>
      </c>
      <c r="D28" s="32" t="s">
        <v>45</v>
      </c>
      <c r="E28" s="33">
        <v>7</v>
      </c>
      <c r="F28" s="45"/>
      <c r="G28" s="45">
        <f>ROUND(М[[#This Row],[Количество]]*М[[#This Row],[Цена за ед., руб]],2)</f>
        <v>0</v>
      </c>
      <c r="H28" s="34" t="s">
        <v>125</v>
      </c>
      <c r="I28" s="36"/>
    </row>
    <row r="29" spans="1:9" ht="11.1" customHeight="1" x14ac:dyDescent="0.2">
      <c r="A29" s="35" t="s">
        <v>56</v>
      </c>
      <c r="B29" s="34"/>
      <c r="C29" s="34" t="s">
        <v>61</v>
      </c>
      <c r="D29" s="32" t="s">
        <v>45</v>
      </c>
      <c r="E29" s="33">
        <v>4</v>
      </c>
      <c r="F29" s="45"/>
      <c r="G29" s="45">
        <f>ROUND(М[[#This Row],[Количество]]*М[[#This Row],[Цена за ед., руб]],2)</f>
        <v>0</v>
      </c>
      <c r="H29" s="34"/>
      <c r="I29" s="36"/>
    </row>
    <row r="30" spans="1:9" ht="11.1" customHeight="1" x14ac:dyDescent="0.2">
      <c r="A30" s="35" t="s">
        <v>56</v>
      </c>
      <c r="B30" s="34"/>
      <c r="C30" s="34" t="s">
        <v>65</v>
      </c>
      <c r="D30" s="32" t="s">
        <v>45</v>
      </c>
      <c r="E30" s="33">
        <v>2</v>
      </c>
      <c r="F30" s="45"/>
      <c r="G30" s="45">
        <f>ROUND(М[[#This Row],[Количество]]*М[[#This Row],[Цена за ед., руб]],2)</f>
        <v>0</v>
      </c>
      <c r="H30" s="34"/>
      <c r="I30" s="36"/>
    </row>
    <row r="31" spans="1:9" ht="11.1" customHeight="1" x14ac:dyDescent="0.2">
      <c r="A31" s="35" t="s">
        <v>123</v>
      </c>
      <c r="B31" s="34"/>
      <c r="C31" s="34" t="s">
        <v>124</v>
      </c>
      <c r="D31" s="32" t="s">
        <v>45</v>
      </c>
      <c r="E31" s="33">
        <v>7</v>
      </c>
      <c r="F31" s="45"/>
      <c r="G31" s="45">
        <f>ROUND(М[[#This Row],[Количество]]*М[[#This Row],[Цена за ед., руб]],2)</f>
        <v>0</v>
      </c>
      <c r="H31" s="34"/>
      <c r="I31" s="36"/>
    </row>
    <row r="32" spans="1:9" ht="23.1" customHeight="1" x14ac:dyDescent="0.2">
      <c r="A32" s="35" t="s">
        <v>62</v>
      </c>
      <c r="B32" s="34"/>
      <c r="C32" s="34" t="s">
        <v>63</v>
      </c>
      <c r="D32" s="32" t="s">
        <v>45</v>
      </c>
      <c r="E32" s="33">
        <v>1</v>
      </c>
      <c r="F32" s="45"/>
      <c r="G32" s="45">
        <f>ROUND(М[[#This Row],[Количество]]*М[[#This Row],[Цена за ед., руб]],2)</f>
        <v>0</v>
      </c>
      <c r="H32" s="34"/>
      <c r="I32" s="36"/>
    </row>
    <row r="33" spans="1:9" ht="11.1" customHeight="1" x14ac:dyDescent="0.2">
      <c r="A33" s="35" t="s">
        <v>81</v>
      </c>
      <c r="B33" s="34"/>
      <c r="C33" s="34" t="s">
        <v>82</v>
      </c>
      <c r="D33" s="32" t="s">
        <v>45</v>
      </c>
      <c r="E33" s="33">
        <v>1</v>
      </c>
      <c r="F33" s="45"/>
      <c r="G33" s="45">
        <f>ROUND(М[[#This Row],[Количество]]*М[[#This Row],[Цена за ед., руб]],2)</f>
        <v>0</v>
      </c>
      <c r="H33" s="34"/>
      <c r="I33" s="36"/>
    </row>
    <row r="34" spans="1:9" ht="23.1" customHeight="1" x14ac:dyDescent="0.2">
      <c r="A34" s="35" t="s">
        <v>67</v>
      </c>
      <c r="B34" s="34"/>
      <c r="C34" s="34" t="s">
        <v>68</v>
      </c>
      <c r="D34" s="32" t="s">
        <v>45</v>
      </c>
      <c r="E34" s="33">
        <v>1</v>
      </c>
      <c r="F34" s="45"/>
      <c r="G34" s="45">
        <f>ROUND(М[[#This Row],[Количество]]*М[[#This Row],[Цена за ед., руб]],2)</f>
        <v>0</v>
      </c>
      <c r="H34" s="34" t="s">
        <v>69</v>
      </c>
      <c r="I34" s="36"/>
    </row>
    <row r="35" spans="1:9" ht="11.1" customHeight="1" x14ac:dyDescent="0.2">
      <c r="A35" s="35" t="s">
        <v>70</v>
      </c>
      <c r="B35" s="34"/>
      <c r="C35" s="34" t="s">
        <v>71</v>
      </c>
      <c r="D35" s="32" t="s">
        <v>45</v>
      </c>
      <c r="E35" s="33">
        <v>1</v>
      </c>
      <c r="F35" s="45"/>
      <c r="G35" s="45">
        <f>ROUND(М[[#This Row],[Количество]]*М[[#This Row],[Цена за ед., руб]],2)</f>
        <v>0</v>
      </c>
      <c r="H35" s="34"/>
      <c r="I35" s="36"/>
    </row>
    <row r="36" spans="1:9" ht="11.1" customHeight="1" x14ac:dyDescent="0.2">
      <c r="A36" s="35" t="s">
        <v>70</v>
      </c>
      <c r="B36" s="34"/>
      <c r="C36" s="34" t="s">
        <v>72</v>
      </c>
      <c r="D36" s="32" t="s">
        <v>45</v>
      </c>
      <c r="E36" s="33">
        <v>1</v>
      </c>
      <c r="F36" s="45"/>
      <c r="G36" s="45">
        <f>ROUND(М[[#This Row],[Количество]]*М[[#This Row],[Цена за ед., руб]],2)</f>
        <v>0</v>
      </c>
      <c r="H36" s="34"/>
      <c r="I36" s="36"/>
    </row>
    <row r="37" spans="1:9" ht="11.1" customHeight="1" x14ac:dyDescent="0.2">
      <c r="A37" s="35" t="s">
        <v>106</v>
      </c>
      <c r="B37" s="34"/>
      <c r="C37" s="34" t="s">
        <v>107</v>
      </c>
      <c r="D37" s="32" t="s">
        <v>45</v>
      </c>
      <c r="E37" s="33">
        <v>5</v>
      </c>
      <c r="F37" s="45"/>
      <c r="G37" s="45">
        <f>ROUND(М[[#This Row],[Количество]]*М[[#This Row],[Цена за ед., руб]],2)</f>
        <v>0</v>
      </c>
      <c r="H37" s="34"/>
      <c r="I37" s="36"/>
    </row>
    <row r="38" spans="1:9" ht="11.1" customHeight="1" x14ac:dyDescent="0.2">
      <c r="A38" s="35" t="s">
        <v>106</v>
      </c>
      <c r="B38" s="34"/>
      <c r="C38" s="34" t="s">
        <v>108</v>
      </c>
      <c r="D38" s="32" t="s">
        <v>45</v>
      </c>
      <c r="E38" s="33">
        <v>2</v>
      </c>
      <c r="F38" s="45"/>
      <c r="G38" s="45">
        <f>ROUND(М[[#This Row],[Количество]]*М[[#This Row],[Цена за ед., руб]],2)</f>
        <v>0</v>
      </c>
      <c r="H38" s="34"/>
      <c r="I38" s="36"/>
    </row>
    <row r="39" spans="1:9" ht="11.1" customHeight="1" x14ac:dyDescent="0.2">
      <c r="A39" s="35" t="s">
        <v>51</v>
      </c>
      <c r="B39" s="34"/>
      <c r="C39" s="34" t="s">
        <v>52</v>
      </c>
      <c r="D39" s="32" t="s">
        <v>45</v>
      </c>
      <c r="E39" s="33">
        <v>1</v>
      </c>
      <c r="F39" s="45"/>
      <c r="G39" s="45">
        <f>ROUND(М[[#This Row],[Количество]]*М[[#This Row],[Цена за ед., руб]],2)</f>
        <v>0</v>
      </c>
      <c r="H39" s="34"/>
      <c r="I39" s="36"/>
    </row>
    <row r="40" spans="1:9" ht="11.1" customHeight="1" x14ac:dyDescent="0.2">
      <c r="A40" s="35" t="s">
        <v>51</v>
      </c>
      <c r="B40" s="34"/>
      <c r="C40" s="34" t="s">
        <v>54</v>
      </c>
      <c r="D40" s="32" t="s">
        <v>45</v>
      </c>
      <c r="E40" s="33">
        <v>1</v>
      </c>
      <c r="F40" s="45"/>
      <c r="G40" s="45">
        <f>ROUND(М[[#This Row],[Количество]]*М[[#This Row],[Цена за ед., руб]],2)</f>
        <v>0</v>
      </c>
      <c r="H40" s="34"/>
      <c r="I40" s="36"/>
    </row>
    <row r="41" spans="1:9" ht="11.1" customHeight="1" x14ac:dyDescent="0.2">
      <c r="A41" s="35" t="s">
        <v>94</v>
      </c>
      <c r="B41" s="34"/>
      <c r="C41" s="34" t="s">
        <v>95</v>
      </c>
      <c r="D41" s="32" t="s">
        <v>29</v>
      </c>
      <c r="E41" s="33">
        <v>1</v>
      </c>
      <c r="F41" s="45"/>
      <c r="G41" s="45">
        <f>ROUND(М[[#This Row],[Количество]]*М[[#This Row],[Цена за ед., руб]],2)</f>
        <v>0</v>
      </c>
      <c r="H41" s="34"/>
      <c r="I41" s="36"/>
    </row>
    <row r="42" spans="1:9" ht="23.1" customHeight="1" x14ac:dyDescent="0.2">
      <c r="A42" s="35" t="s">
        <v>74</v>
      </c>
      <c r="B42" s="34"/>
      <c r="C42" s="34" t="s">
        <v>75</v>
      </c>
      <c r="D42" s="32" t="s">
        <v>45</v>
      </c>
      <c r="E42" s="33">
        <v>1</v>
      </c>
      <c r="F42" s="45"/>
      <c r="G42" s="45">
        <f>ROUND(М[[#This Row],[Количество]]*М[[#This Row],[Цена за ед., руб]],2)</f>
        <v>0</v>
      </c>
      <c r="H42" s="34"/>
      <c r="I42" s="36"/>
    </row>
    <row r="43" spans="1:9" ht="23.1" customHeight="1" x14ac:dyDescent="0.2">
      <c r="A43" s="35" t="s">
        <v>27</v>
      </c>
      <c r="B43" s="34"/>
      <c r="C43" s="34" t="s">
        <v>28</v>
      </c>
      <c r="D43" s="32" t="s">
        <v>29</v>
      </c>
      <c r="E43" s="33">
        <v>26</v>
      </c>
      <c r="F43" s="45"/>
      <c r="G43" s="45">
        <f>ROUND(М[[#This Row],[Количество]]*М[[#This Row],[Цена за ед., руб]],2)</f>
        <v>0</v>
      </c>
      <c r="H43" s="34"/>
      <c r="I43" s="36"/>
    </row>
    <row r="44" spans="1:9" ht="23.1" customHeight="1" x14ac:dyDescent="0.2">
      <c r="A44" s="35" t="s">
        <v>27</v>
      </c>
      <c r="B44" s="34"/>
      <c r="C44" s="34" t="s">
        <v>31</v>
      </c>
      <c r="D44" s="32" t="s">
        <v>29</v>
      </c>
      <c r="E44" s="33">
        <v>6</v>
      </c>
      <c r="F44" s="45"/>
      <c r="G44" s="45">
        <f>ROUND(М[[#This Row],[Количество]]*М[[#This Row],[Цена за ед., руб]],2)</f>
        <v>0</v>
      </c>
      <c r="H44" s="34"/>
      <c r="I44" s="36"/>
    </row>
    <row r="45" spans="1:9" ht="23.1" customHeight="1" x14ac:dyDescent="0.2">
      <c r="A45" s="35" t="s">
        <v>27</v>
      </c>
      <c r="B45" s="34"/>
      <c r="C45" s="34" t="s">
        <v>33</v>
      </c>
      <c r="D45" s="32" t="s">
        <v>29</v>
      </c>
      <c r="E45" s="33">
        <v>20</v>
      </c>
      <c r="F45" s="45"/>
      <c r="G45" s="45">
        <f>ROUND(М[[#This Row],[Количество]]*М[[#This Row],[Цена за ед., руб]],2)</f>
        <v>0</v>
      </c>
      <c r="H45" s="34"/>
      <c r="I45" s="36"/>
    </row>
    <row r="46" spans="1:9" ht="23.1" customHeight="1" x14ac:dyDescent="0.2">
      <c r="A46" s="35" t="s">
        <v>27</v>
      </c>
      <c r="B46" s="34"/>
      <c r="C46" s="34" t="s">
        <v>35</v>
      </c>
      <c r="D46" s="32" t="s">
        <v>29</v>
      </c>
      <c r="E46" s="33">
        <v>1</v>
      </c>
      <c r="F46" s="45"/>
      <c r="G46" s="45">
        <f>ROUND(М[[#This Row],[Количество]]*М[[#This Row],[Цена за ед., руб]],2)</f>
        <v>0</v>
      </c>
      <c r="H46" s="34"/>
      <c r="I46" s="36"/>
    </row>
    <row r="47" spans="1:9" ht="23.1" customHeight="1" x14ac:dyDescent="0.2">
      <c r="A47" s="35" t="s">
        <v>27</v>
      </c>
      <c r="B47" s="34"/>
      <c r="C47" s="34" t="s">
        <v>37</v>
      </c>
      <c r="D47" s="32" t="s">
        <v>29</v>
      </c>
      <c r="E47" s="33">
        <v>15</v>
      </c>
      <c r="F47" s="45"/>
      <c r="G47" s="45">
        <f>ROUND(М[[#This Row],[Количество]]*М[[#This Row],[Цена за ед., руб]],2)</f>
        <v>0</v>
      </c>
      <c r="H47" s="34"/>
      <c r="I47" s="36"/>
    </row>
    <row r="48" spans="1:9" ht="23.1" customHeight="1" x14ac:dyDescent="0.2">
      <c r="A48" s="35" t="s">
        <v>27</v>
      </c>
      <c r="B48" s="34"/>
      <c r="C48" s="34" t="s">
        <v>39</v>
      </c>
      <c r="D48" s="32" t="s">
        <v>29</v>
      </c>
      <c r="E48" s="33">
        <v>322</v>
      </c>
      <c r="F48" s="45"/>
      <c r="G48" s="45">
        <f>ROUND(М[[#This Row],[Количество]]*М[[#This Row],[Цена за ед., руб]],2)</f>
        <v>0</v>
      </c>
      <c r="H48" s="34"/>
      <c r="I48" s="36"/>
    </row>
    <row r="49" spans="1:9" ht="23.1" customHeight="1" x14ac:dyDescent="0.2">
      <c r="A49" s="35" t="s">
        <v>27</v>
      </c>
      <c r="B49" s="34"/>
      <c r="C49" s="34" t="s">
        <v>41</v>
      </c>
      <c r="D49" s="32" t="s">
        <v>29</v>
      </c>
      <c r="E49" s="33">
        <v>76</v>
      </c>
      <c r="F49" s="45"/>
      <c r="G49" s="45">
        <f>ROUND(М[[#This Row],[Количество]]*М[[#This Row],[Цена за ед., руб]],2)</f>
        <v>0</v>
      </c>
      <c r="H49" s="34"/>
      <c r="I49" s="36"/>
    </row>
    <row r="50" spans="1:9" ht="23.1" customHeight="1" x14ac:dyDescent="0.2">
      <c r="A50" s="39" t="s">
        <v>27</v>
      </c>
      <c r="B50" s="48"/>
      <c r="C50" s="48" t="s">
        <v>43</v>
      </c>
      <c r="D50" s="40" t="s">
        <v>29</v>
      </c>
      <c r="E50" s="41">
        <v>8</v>
      </c>
      <c r="F50" s="45"/>
      <c r="G50" s="46">
        <f>ROUND(М[[#This Row],[Количество]]*М[[#This Row],[Цена за ед., руб]],2)</f>
        <v>0</v>
      </c>
      <c r="H50" s="48"/>
      <c r="I50" s="43"/>
    </row>
    <row r="51" spans="1:9" ht="23.1" customHeight="1" x14ac:dyDescent="0.2">
      <c r="A51" s="35" t="s">
        <v>143</v>
      </c>
      <c r="B51" s="48"/>
      <c r="C51" s="48"/>
      <c r="D51" s="62" t="s">
        <v>105</v>
      </c>
      <c r="E51" s="63"/>
      <c r="F51" s="46"/>
      <c r="G51" s="46">
        <f ca="1">SUMIF(ЛСР!$B$6:$K$165,М[[#This Row],[Наим.]],ЛСР!$J$6:$J$165)</f>
        <v>0</v>
      </c>
      <c r="H51" s="48" t="s">
        <v>164</v>
      </c>
      <c r="I51" s="43"/>
    </row>
    <row r="52" spans="1:9" ht="23.1" customHeight="1" x14ac:dyDescent="0.2">
      <c r="A52" s="35" t="s">
        <v>144</v>
      </c>
      <c r="B52" s="48"/>
      <c r="C52" s="48"/>
      <c r="D52" s="62" t="s">
        <v>105</v>
      </c>
      <c r="E52" s="63"/>
      <c r="F52" s="46"/>
      <c r="G52" s="46">
        <f ca="1">SUMIF(ЛСР!$B$6:$K$165,М[[#This Row],[Наим.]],ЛСР!$J$6:$J$165)</f>
        <v>0</v>
      </c>
      <c r="H52" s="48" t="s">
        <v>164</v>
      </c>
      <c r="I52" s="43"/>
    </row>
    <row r="53" spans="1:9" ht="23.1" customHeight="1" x14ac:dyDescent="0.2">
      <c r="A53" s="35" t="s">
        <v>145</v>
      </c>
      <c r="B53" s="48"/>
      <c r="C53" s="48"/>
      <c r="D53" s="62" t="s">
        <v>105</v>
      </c>
      <c r="E53" s="63"/>
      <c r="F53" s="46"/>
      <c r="G53" s="46">
        <f ca="1">SUMIF(ЛСР!$B$6:$K$165,М[[#This Row],[Наим.]],ЛСР!$J$6:$J$165)</f>
        <v>0</v>
      </c>
      <c r="H53" s="48" t="s">
        <v>164</v>
      </c>
      <c r="I53" s="43"/>
    </row>
    <row r="54" spans="1:9" ht="23.1" customHeight="1" x14ac:dyDescent="0.2">
      <c r="A54" s="35" t="s">
        <v>146</v>
      </c>
      <c r="B54" s="48"/>
      <c r="C54" s="48"/>
      <c r="D54" s="62" t="s">
        <v>105</v>
      </c>
      <c r="E54" s="63"/>
      <c r="F54" s="46"/>
      <c r="G54" s="46">
        <f ca="1">SUMIF(ЛСР!$B$6:$K$165,М[[#This Row],[Наим.]],ЛСР!$J$6:$J$165)</f>
        <v>0</v>
      </c>
      <c r="H54" s="48" t="s">
        <v>164</v>
      </c>
      <c r="I54" s="43"/>
    </row>
    <row r="55" spans="1:9" ht="11.45" customHeight="1" x14ac:dyDescent="0.2">
      <c r="A55" s="39" t="s">
        <v>142</v>
      </c>
      <c r="B55" s="48"/>
      <c r="C55" s="48"/>
      <c r="D55" s="40"/>
      <c r="E55" s="42"/>
      <c r="F55" s="46"/>
      <c r="G55" s="46">
        <f ca="1">SUBTOTAL(109,М[Сумма, руб])</f>
        <v>0</v>
      </c>
      <c r="H55" s="48"/>
      <c r="I55" s="43"/>
    </row>
    <row r="57" spans="1:9" ht="11.45" customHeight="1" x14ac:dyDescent="0.2">
      <c r="F57" s="1" t="s">
        <v>163</v>
      </c>
      <c r="G57" s="92">
        <f ca="1">ЛСР!J168-М[[#Totals],[Сумма, руб]]</f>
        <v>0</v>
      </c>
    </row>
  </sheetData>
  <mergeCells count="1">
    <mergeCell ref="A1:H1"/>
  </mergeCells>
  <dataValidations count="1">
    <dataValidation type="list" errorStyle="information" allowBlank="1" showInputMessage="1" showErrorMessage="1" sqref="I3:I54" xr:uid="{BF9AABEF-51A8-466D-AA06-D51C48B3CF7F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2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138</v>
      </c>
      <c r="B1" s="1" t="s">
        <v>139</v>
      </c>
    </row>
    <row r="2" spans="1:2" ht="11.1" customHeight="1" x14ac:dyDescent="0.2">
      <c r="A2" s="1" t="s">
        <v>140</v>
      </c>
      <c r="B2" s="1" t="s">
        <v>141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Калимуллина Карина Павловна</cp:lastModifiedBy>
  <dcterms:modified xsi:type="dcterms:W3CDTF">2026-07-22T08:41:51Z</dcterms:modified>
</cp:coreProperties>
</file>