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FF00AF78-7621-422F-BED0-1083F2CAE396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ЛСР!$A$7:$L$183</definedName>
  </definedNames>
  <calcPr calcId="191029"/>
</workbook>
</file>

<file path=xl/calcChain.xml><?xml version="1.0" encoding="utf-8"?>
<calcChain xmlns="http://schemas.openxmlformats.org/spreadsheetml/2006/main">
  <c r="L174" i="1" l="1" a="1"/>
  <c r="L174" i="1" s="1"/>
  <c r="L173" i="1" a="1"/>
  <c r="L173" i="1" s="1"/>
  <c r="L172" i="1" a="1"/>
  <c r="L172" i="1" s="1"/>
  <c r="L171" i="1" a="1"/>
  <c r="L171" i="1" s="1"/>
  <c r="L170" i="1" a="1"/>
  <c r="L170" i="1" s="1"/>
  <c r="L169" i="1" a="1"/>
  <c r="L169" i="1" s="1"/>
  <c r="I165" i="1" a="1"/>
  <c r="I165" i="1" s="1"/>
  <c r="I167" i="1" a="1"/>
  <c r="I167" i="1" s="1"/>
  <c r="G37" i="3"/>
  <c r="E27" i="2"/>
  <c r="H167" i="1"/>
  <c r="H165" i="1"/>
  <c r="H170" i="1"/>
  <c r="H171" i="1"/>
  <c r="H172" i="1"/>
  <c r="H173" i="1"/>
  <c r="H174" i="1"/>
  <c r="H169" i="1"/>
  <c r="H13" i="1"/>
  <c r="I13" i="1" a="1"/>
  <c r="I13" i="1" s="1"/>
  <c r="J13" i="1" s="1"/>
  <c r="J12" i="1" s="1"/>
  <c r="H15" i="1"/>
  <c r="I15" i="1" a="1"/>
  <c r="I15" i="1" s="1"/>
  <c r="J15" i="1" s="1"/>
  <c r="J14" i="1" s="1"/>
  <c r="H17" i="1"/>
  <c r="I17" i="1" a="1"/>
  <c r="I17" i="1" s="1"/>
  <c r="J17" i="1" s="1"/>
  <c r="J16" i="1" s="1"/>
  <c r="H19" i="1"/>
  <c r="L19" i="1" a="1"/>
  <c r="L19" i="1" s="1"/>
  <c r="I19" i="1" a="1"/>
  <c r="I19" i="1" s="1"/>
  <c r="H20" i="1"/>
  <c r="L20" i="1" a="1"/>
  <c r="L20" i="1" s="1"/>
  <c r="I20" i="1" a="1"/>
  <c r="I20" i="1" s="1"/>
  <c r="J20" i="1" s="1"/>
  <c r="H22" i="1"/>
  <c r="I22" i="1" a="1"/>
  <c r="I22" i="1" s="1"/>
  <c r="J22" i="1" s="1"/>
  <c r="J21" i="1" s="1"/>
  <c r="H24" i="1"/>
  <c r="L24" i="1" a="1"/>
  <c r="L24" i="1" s="1"/>
  <c r="I24" i="1" a="1"/>
  <c r="I24" i="1" s="1"/>
  <c r="J24" i="1" s="1"/>
  <c r="J23" i="1" s="1"/>
  <c r="H26" i="1"/>
  <c r="I26" i="1" a="1"/>
  <c r="I26" i="1" s="1"/>
  <c r="H28" i="1"/>
  <c r="L28" i="1" a="1"/>
  <c r="L28" i="1" s="1"/>
  <c r="I28" i="1" a="1"/>
  <c r="I28" i="1" s="1"/>
  <c r="J28" i="1" s="1"/>
  <c r="J27" i="1" s="1"/>
  <c r="H30" i="1"/>
  <c r="I30" i="1" a="1"/>
  <c r="I30" i="1" s="1"/>
  <c r="J30" i="1" s="1"/>
  <c r="J29" i="1" s="1"/>
  <c r="H32" i="1"/>
  <c r="L32" i="1" a="1"/>
  <c r="L32" i="1" s="1"/>
  <c r="I32" i="1" a="1"/>
  <c r="I32" i="1" s="1"/>
  <c r="J32" i="1" s="1"/>
  <c r="H33" i="1"/>
  <c r="L33" i="1" a="1"/>
  <c r="L33" i="1" s="1"/>
  <c r="I33" i="1" a="1"/>
  <c r="I33" i="1" s="1"/>
  <c r="J33" i="1" s="1"/>
  <c r="H35" i="1"/>
  <c r="I35" i="1" a="1"/>
  <c r="I35" i="1" s="1"/>
  <c r="J35" i="1" s="1"/>
  <c r="J34" i="1" s="1"/>
  <c r="H37" i="1"/>
  <c r="L37" i="1" a="1"/>
  <c r="L37" i="1" s="1"/>
  <c r="I37" i="1" a="1"/>
  <c r="I37" i="1" s="1"/>
  <c r="J37" i="1" s="1"/>
  <c r="H38" i="1"/>
  <c r="L38" i="1" a="1"/>
  <c r="L38" i="1" s="1"/>
  <c r="I38" i="1" a="1"/>
  <c r="I38" i="1" s="1"/>
  <c r="H40" i="1"/>
  <c r="I40" i="1" a="1"/>
  <c r="I40" i="1" s="1"/>
  <c r="J40" i="1" s="1"/>
  <c r="J39" i="1" s="1"/>
  <c r="H42" i="1"/>
  <c r="L42" i="1" a="1"/>
  <c r="L42" i="1" s="1"/>
  <c r="I42" i="1" a="1"/>
  <c r="I42" i="1" s="1"/>
  <c r="J42" i="1" s="1"/>
  <c r="J41" i="1" s="1"/>
  <c r="H44" i="1"/>
  <c r="I44" i="1" a="1"/>
  <c r="I44" i="1" s="1"/>
  <c r="J44" i="1" s="1"/>
  <c r="J43" i="1" s="1"/>
  <c r="H46" i="1"/>
  <c r="L46" i="1" a="1"/>
  <c r="L46" i="1" s="1"/>
  <c r="I46" i="1" a="1"/>
  <c r="I46" i="1" s="1"/>
  <c r="H47" i="1"/>
  <c r="L47" i="1" a="1"/>
  <c r="L47" i="1" s="1"/>
  <c r="I47" i="1" a="1"/>
  <c r="I47" i="1" s="1"/>
  <c r="H48" i="1"/>
  <c r="L48" i="1" a="1"/>
  <c r="L48" i="1" s="1"/>
  <c r="I48" i="1" a="1"/>
  <c r="I48" i="1" s="1"/>
  <c r="H50" i="1"/>
  <c r="I50" i="1" a="1"/>
  <c r="I50" i="1" s="1"/>
  <c r="J50" i="1" s="1"/>
  <c r="J49" i="1" s="1"/>
  <c r="H52" i="1"/>
  <c r="L52" i="1" a="1"/>
  <c r="L52" i="1" s="1"/>
  <c r="I52" i="1" a="1"/>
  <c r="I52" i="1" s="1"/>
  <c r="H54" i="1"/>
  <c r="I54" i="1" a="1"/>
  <c r="I54" i="1" s="1"/>
  <c r="H56" i="1"/>
  <c r="L56" i="1" a="1"/>
  <c r="L56" i="1" s="1"/>
  <c r="I56" i="1" a="1"/>
  <c r="I56" i="1" s="1"/>
  <c r="J56" i="1" s="1"/>
  <c r="J55" i="1" s="1"/>
  <c r="H60" i="1"/>
  <c r="I60" i="1" a="1"/>
  <c r="I60" i="1" s="1"/>
  <c r="H62" i="1"/>
  <c r="I62" i="1" a="1"/>
  <c r="I62" i="1" s="1"/>
  <c r="H64" i="1"/>
  <c r="L64" i="1" a="1"/>
  <c r="L64" i="1" s="1"/>
  <c r="I64" i="1" a="1"/>
  <c r="I64" i="1" s="1"/>
  <c r="H65" i="1"/>
  <c r="L65" i="1" a="1"/>
  <c r="L65" i="1" s="1"/>
  <c r="I65" i="1" a="1"/>
  <c r="I65" i="1" s="1"/>
  <c r="J65" i="1" s="1"/>
  <c r="H67" i="1"/>
  <c r="I67" i="1" a="1"/>
  <c r="I67" i="1" s="1"/>
  <c r="J67" i="1" s="1"/>
  <c r="J66" i="1" s="1"/>
  <c r="H69" i="1"/>
  <c r="L69" i="1" a="1"/>
  <c r="L69" i="1" s="1"/>
  <c r="I69" i="1" a="1"/>
  <c r="I69" i="1" s="1"/>
  <c r="H71" i="1"/>
  <c r="I71" i="1" a="1"/>
  <c r="I71" i="1" s="1"/>
  <c r="H73" i="1"/>
  <c r="L73" i="1" a="1"/>
  <c r="L73" i="1" s="1"/>
  <c r="I73" i="1" a="1"/>
  <c r="I73" i="1" s="1"/>
  <c r="H75" i="1"/>
  <c r="I75" i="1" a="1"/>
  <c r="I75" i="1" s="1"/>
  <c r="H77" i="1"/>
  <c r="L77" i="1" a="1"/>
  <c r="L77" i="1" s="1"/>
  <c r="I77" i="1" a="1"/>
  <c r="I77" i="1" s="1"/>
  <c r="J77" i="1" s="1"/>
  <c r="H79" i="1"/>
  <c r="I79" i="1" a="1"/>
  <c r="I79" i="1" s="1"/>
  <c r="H81" i="1"/>
  <c r="L81" i="1" a="1"/>
  <c r="L81" i="1" s="1"/>
  <c r="I81" i="1" a="1"/>
  <c r="I81" i="1" s="1"/>
  <c r="J81" i="1" s="1"/>
  <c r="J80" i="1" s="1"/>
  <c r="H85" i="1"/>
  <c r="I85" i="1" a="1"/>
  <c r="I85" i="1" s="1"/>
  <c r="J85" i="1" s="1"/>
  <c r="J84" i="1" s="1"/>
  <c r="H87" i="1"/>
  <c r="I87" i="1" a="1"/>
  <c r="I87" i="1" s="1"/>
  <c r="H89" i="1"/>
  <c r="L89" i="1" a="1"/>
  <c r="L89" i="1" s="1"/>
  <c r="I89" i="1" a="1"/>
  <c r="I89" i="1" s="1"/>
  <c r="J89" i="1" s="1"/>
  <c r="H90" i="1"/>
  <c r="L90" i="1" a="1"/>
  <c r="L90" i="1" s="1"/>
  <c r="I90" i="1" a="1"/>
  <c r="I90" i="1" s="1"/>
  <c r="J90" i="1" s="1"/>
  <c r="H92" i="1"/>
  <c r="I92" i="1" a="1"/>
  <c r="I92" i="1" s="1"/>
  <c r="J92" i="1" s="1"/>
  <c r="J91" i="1" s="1"/>
  <c r="H94" i="1"/>
  <c r="L94" i="1" a="1"/>
  <c r="L94" i="1" s="1"/>
  <c r="I94" i="1" a="1"/>
  <c r="I94" i="1" s="1"/>
  <c r="H96" i="1"/>
  <c r="I96" i="1" a="1"/>
  <c r="I96" i="1" s="1"/>
  <c r="J96" i="1" s="1"/>
  <c r="J95" i="1" s="1"/>
  <c r="H98" i="1"/>
  <c r="L98" i="1" a="1"/>
  <c r="L98" i="1" s="1"/>
  <c r="I98" i="1" a="1"/>
  <c r="I98" i="1" s="1"/>
  <c r="H100" i="1"/>
  <c r="I100" i="1" a="1"/>
  <c r="I100" i="1" s="1"/>
  <c r="H102" i="1"/>
  <c r="L102" i="1" a="1"/>
  <c r="L102" i="1" s="1"/>
  <c r="I102" i="1" a="1"/>
  <c r="I102" i="1" s="1"/>
  <c r="J102" i="1" s="1"/>
  <c r="J101" i="1" s="1"/>
  <c r="H104" i="1"/>
  <c r="I104" i="1" a="1"/>
  <c r="I104" i="1" s="1"/>
  <c r="J104" i="1" s="1"/>
  <c r="J103" i="1" s="1"/>
  <c r="H106" i="1"/>
  <c r="I106" i="1" a="1"/>
  <c r="I106" i="1" s="1"/>
  <c r="H108" i="1"/>
  <c r="L108" i="1" a="1"/>
  <c r="L108" i="1" s="1"/>
  <c r="I108" i="1" a="1"/>
  <c r="I108" i="1" s="1"/>
  <c r="H109" i="1"/>
  <c r="L109" i="1" a="1"/>
  <c r="L109" i="1" s="1"/>
  <c r="I109" i="1" a="1"/>
  <c r="I109" i="1" s="1"/>
  <c r="H111" i="1"/>
  <c r="I111" i="1" a="1"/>
  <c r="I111" i="1" s="1"/>
  <c r="J111" i="1" s="1"/>
  <c r="J110" i="1" s="1"/>
  <c r="H113" i="1"/>
  <c r="L113" i="1" a="1"/>
  <c r="L113" i="1" s="1"/>
  <c r="I113" i="1" a="1"/>
  <c r="I113" i="1" s="1"/>
  <c r="J113" i="1" s="1"/>
  <c r="J112" i="1" s="1"/>
  <c r="H117" i="1"/>
  <c r="I117" i="1" a="1"/>
  <c r="I117" i="1" s="1"/>
  <c r="H119" i="1"/>
  <c r="L119" i="1" a="1"/>
  <c r="L119" i="1" s="1"/>
  <c r="I119" i="1" a="1"/>
  <c r="I119" i="1" s="1"/>
  <c r="J119" i="1" s="1"/>
  <c r="J118" i="1" s="1"/>
  <c r="H121" i="1"/>
  <c r="I121" i="1" a="1"/>
  <c r="I121" i="1" s="1"/>
  <c r="J121" i="1" s="1"/>
  <c r="J120" i="1" s="1"/>
  <c r="H123" i="1"/>
  <c r="L123" i="1" a="1"/>
  <c r="L123" i="1" s="1"/>
  <c r="I123" i="1" a="1"/>
  <c r="I123" i="1" s="1"/>
  <c r="H125" i="1"/>
  <c r="I125" i="1" a="1"/>
  <c r="I125" i="1" s="1"/>
  <c r="J125" i="1" s="1"/>
  <c r="J124" i="1" s="1"/>
  <c r="H127" i="1"/>
  <c r="L127" i="1" a="1"/>
  <c r="L127" i="1" s="1"/>
  <c r="I127" i="1" a="1"/>
  <c r="I127" i="1" s="1"/>
  <c r="H129" i="1"/>
  <c r="I129" i="1" a="1"/>
  <c r="I129" i="1" s="1"/>
  <c r="H131" i="1"/>
  <c r="L131" i="1" a="1"/>
  <c r="L131" i="1" s="1"/>
  <c r="I131" i="1" a="1"/>
  <c r="I131" i="1" s="1"/>
  <c r="H133" i="1"/>
  <c r="I133" i="1" a="1"/>
  <c r="I133" i="1" s="1"/>
  <c r="J133" i="1" s="1"/>
  <c r="J132" i="1" s="1"/>
  <c r="H135" i="1"/>
  <c r="L135" i="1" a="1"/>
  <c r="L135" i="1" s="1"/>
  <c r="I135" i="1" a="1"/>
  <c r="I135" i="1" s="1"/>
  <c r="H139" i="1"/>
  <c r="I139" i="1" a="1"/>
  <c r="I139" i="1" s="1"/>
  <c r="H141" i="1"/>
  <c r="I141" i="1" a="1"/>
  <c r="I141" i="1" s="1"/>
  <c r="J141" i="1" s="1"/>
  <c r="J140" i="1" s="1"/>
  <c r="H143" i="1"/>
  <c r="L143" i="1" a="1"/>
  <c r="L143" i="1" s="1"/>
  <c r="I143" i="1" a="1"/>
  <c r="I143" i="1" s="1"/>
  <c r="H145" i="1"/>
  <c r="I145" i="1" a="1"/>
  <c r="I145" i="1" s="1"/>
  <c r="J145" i="1" s="1"/>
  <c r="J144" i="1" s="1"/>
  <c r="H147" i="1"/>
  <c r="L147" i="1" a="1"/>
  <c r="L147" i="1" s="1"/>
  <c r="I147" i="1" a="1"/>
  <c r="I147" i="1" s="1"/>
  <c r="J147" i="1" s="1"/>
  <c r="H148" i="1"/>
  <c r="L148" i="1" a="1"/>
  <c r="L148" i="1" s="1"/>
  <c r="I148" i="1" a="1"/>
  <c r="I148" i="1" s="1"/>
  <c r="H150" i="1"/>
  <c r="I150" i="1" a="1"/>
  <c r="I150" i="1" s="1"/>
  <c r="J150" i="1" s="1"/>
  <c r="J149" i="1" s="1"/>
  <c r="H152" i="1"/>
  <c r="L152" i="1" a="1"/>
  <c r="L152" i="1" s="1"/>
  <c r="I152" i="1" a="1"/>
  <c r="I152" i="1" s="1"/>
  <c r="J152" i="1" s="1"/>
  <c r="J151" i="1" s="1"/>
  <c r="H154" i="1"/>
  <c r="I154" i="1" a="1"/>
  <c r="I154" i="1" s="1"/>
  <c r="H156" i="1"/>
  <c r="L156" i="1" a="1"/>
  <c r="L156" i="1" s="1"/>
  <c r="I156" i="1" a="1"/>
  <c r="I156" i="1" s="1"/>
  <c r="J156" i="1" s="1"/>
  <c r="H157" i="1"/>
  <c r="L157" i="1" a="1"/>
  <c r="L157" i="1" s="1"/>
  <c r="I157" i="1" a="1"/>
  <c r="I157" i="1" s="1"/>
  <c r="H159" i="1"/>
  <c r="I159" i="1" a="1"/>
  <c r="I159" i="1" s="1"/>
  <c r="H161" i="1"/>
  <c r="L161" i="1" a="1"/>
  <c r="L161" i="1" s="1"/>
  <c r="I161" i="1" a="1"/>
  <c r="I161" i="1" s="1"/>
  <c r="H178" i="1"/>
  <c r="I178" i="1" a="1"/>
  <c r="I178" i="1" s="1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J60" i="1" l="1"/>
  <c r="J59" i="1" s="1"/>
  <c r="J87" i="1"/>
  <c r="J86" i="1" s="1"/>
  <c r="J75" i="1"/>
  <c r="J74" i="1" s="1"/>
  <c r="J71" i="1"/>
  <c r="J70" i="1" s="1"/>
  <c r="J62" i="1"/>
  <c r="J61" i="1" s="1"/>
  <c r="E28" i="2"/>
  <c r="J178" i="1"/>
  <c r="J177" i="1" s="1"/>
  <c r="J176" i="1" s="1"/>
  <c r="J175" i="1" s="1"/>
  <c r="J109" i="1"/>
  <c r="J161" i="1"/>
  <c r="J160" i="1" s="1"/>
  <c r="J159" i="1"/>
  <c r="J158" i="1" s="1"/>
  <c r="J106" i="1"/>
  <c r="J105" i="1" s="1"/>
  <c r="J19" i="1"/>
  <c r="J64" i="1"/>
  <c r="J63" i="1" s="1"/>
  <c r="J131" i="1"/>
  <c r="J130" i="1" s="1"/>
  <c r="J69" i="1"/>
  <c r="J68" i="1" s="1"/>
  <c r="J154" i="1"/>
  <c r="J153" i="1" s="1"/>
  <c r="J117" i="1"/>
  <c r="J116" i="1" s="1"/>
  <c r="J135" i="1"/>
  <c r="J134" i="1" s="1"/>
  <c r="J38" i="1"/>
  <c r="J36" i="1" s="1"/>
  <c r="J148" i="1"/>
  <c r="J146" i="1" s="1"/>
  <c r="J52" i="1"/>
  <c r="J51" i="1" s="1"/>
  <c r="J79" i="1"/>
  <c r="J78" i="1" s="1"/>
  <c r="J143" i="1"/>
  <c r="J142" i="1" s="1"/>
  <c r="J167" i="1"/>
  <c r="J166" i="1" s="1"/>
  <c r="J165" i="1"/>
  <c r="J164" i="1" s="1"/>
  <c r="J171" i="1"/>
  <c r="J170" i="1"/>
  <c r="J172" i="1"/>
  <c r="J94" i="1"/>
  <c r="J93" i="1" s="1"/>
  <c r="J46" i="1"/>
  <c r="J73" i="1"/>
  <c r="J127" i="1"/>
  <c r="J126" i="1" s="1"/>
  <c r="J47" i="1"/>
  <c r="J48" i="1"/>
  <c r="J98" i="1"/>
  <c r="J97" i="1" s="1"/>
  <c r="J108" i="1"/>
  <c r="J139" i="1"/>
  <c r="J138" i="1" s="1"/>
  <c r="J26" i="1"/>
  <c r="J25" i="1" s="1"/>
  <c r="J100" i="1"/>
  <c r="J99" i="1" s="1"/>
  <c r="J129" i="1"/>
  <c r="J128" i="1" s="1"/>
  <c r="J157" i="1"/>
  <c r="J155" i="1" s="1"/>
  <c r="J31" i="1"/>
  <c r="J54" i="1"/>
  <c r="J53" i="1" s="1"/>
  <c r="J76" i="1"/>
  <c r="J88" i="1"/>
  <c r="J123" i="1"/>
  <c r="J122" i="1" s="1"/>
  <c r="J180" i="1" l="1"/>
  <c r="E30" i="2" s="1"/>
  <c r="J18" i="1"/>
  <c r="J174" i="1"/>
  <c r="J72" i="1"/>
  <c r="J58" i="1" s="1"/>
  <c r="J57" i="1" s="1"/>
  <c r="J107" i="1"/>
  <c r="J83" i="1" s="1"/>
  <c r="J82" i="1" s="1"/>
  <c r="J169" i="1"/>
  <c r="J173" i="1"/>
  <c r="J137" i="1"/>
  <c r="J115" i="1"/>
  <c r="J114" i="1" s="1"/>
  <c r="J45" i="1"/>
  <c r="J11" i="1" s="1"/>
  <c r="J10" i="1" s="1"/>
  <c r="J168" i="1" l="1"/>
  <c r="J181" i="1" s="1"/>
  <c r="J136" i="1"/>
  <c r="J163" i="1" l="1"/>
  <c r="J162" i="1" s="1"/>
  <c r="J9" i="1" s="1"/>
  <c r="J179" i="1" l="1"/>
  <c r="G40" i="3"/>
  <c r="G41" i="3"/>
  <c r="G39" i="3"/>
  <c r="G43" i="3"/>
  <c r="G44" i="3"/>
  <c r="G42" i="3"/>
  <c r="G38" i="3"/>
  <c r="G45" i="3" l="1"/>
  <c r="G47" i="3" s="1"/>
</calcChain>
</file>

<file path=xl/sharedStrings.xml><?xml version="1.0" encoding="utf-8"?>
<sst xmlns="http://schemas.openxmlformats.org/spreadsheetml/2006/main" count="596" uniqueCount="168">
  <si>
    <t>Локальный сметный расчет (ЛСР) №10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</si>
  <si>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 Секция 1</t>
  </si>
  <si>
    <t>Ведомость объемов работ и расхода материалов по работе: Устройство системы канализации и сопутствующим работам (согласно проекту шифр ВК,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</si>
  <si>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</si>
  <si>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</si>
  <si>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</si>
  <si>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</si>
  <si>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</si>
  <si>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</si>
  <si>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</si>
  <si>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</si>
  <si>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</si>
  <si>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</si>
  <si>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</si>
  <si>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</si>
  <si>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</si>
  <si>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</si>
  <si>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11.03</t>
  </si>
  <si>
    <t>Устройство системы канализации</t>
  </si>
  <si>
    <t>11.03.01</t>
  </si>
  <si>
    <t>Устройство канализации К-1</t>
  </si>
  <si>
    <t>11.03.01.00</t>
  </si>
  <si>
    <t>Работы:</t>
  </si>
  <si>
    <t>Бурение отверстий до 130 мм</t>
  </si>
  <si>
    <t>шт</t>
  </si>
  <si>
    <t>Бурение отверстий до 80 мм</t>
  </si>
  <si>
    <t>Изоляция трубопровода</t>
  </si>
  <si>
    <t>м</t>
  </si>
  <si>
    <t>Материалы:</t>
  </si>
  <si>
    <t>1</t>
  </si>
  <si>
    <t>Цилиндры фольгированные</t>
  </si>
  <si>
    <t>110х50 мм</t>
  </si>
  <si>
    <t>пог. м</t>
  </si>
  <si>
    <t>2</t>
  </si>
  <si>
    <t>Теплоизоляция трубная</t>
  </si>
  <si>
    <t>110х13мм вспененный каучук</t>
  </si>
  <si>
    <t>Монтаж защитного кожуха</t>
  </si>
  <si>
    <t>м2</t>
  </si>
  <si>
    <t>Окожушка</t>
  </si>
  <si>
    <t>оцинк. сталь 0,5мм</t>
  </si>
  <si>
    <t>гильзы</t>
  </si>
  <si>
    <t>Монтаж клапана канализационного</t>
  </si>
  <si>
    <t>Клапан канализационный</t>
  </si>
  <si>
    <t>110 HL900N</t>
  </si>
  <si>
    <t>Монтаж муфты противопожарной</t>
  </si>
  <si>
    <t>Муфта противопожарная</t>
  </si>
  <si>
    <t>ПМ-50/60</t>
  </si>
  <si>
    <t>ПМ-110/60</t>
  </si>
  <si>
    <t>Монтаж ревизии</t>
  </si>
  <si>
    <t>Ревизия канализационная</t>
  </si>
  <si>
    <t>полипропиленовая Ду-50 бесшумная</t>
  </si>
  <si>
    <t>полипропиленовая Ду-110 бесшумная</t>
  </si>
  <si>
    <t>Монтаж трапа</t>
  </si>
  <si>
    <t>Трап</t>
  </si>
  <si>
    <t>с сухим затвором верикальный Ф50</t>
  </si>
  <si>
    <t>Прокладка трубы канализационной (для внутренних работ)</t>
  </si>
  <si>
    <t>Труба канализационная (пог.м.)</t>
  </si>
  <si>
    <t>бесшумная белая D-110х3,4</t>
  </si>
  <si>
    <t>бесшумная белая D-50х3,4</t>
  </si>
  <si>
    <t>3</t>
  </si>
  <si>
    <t>серая ПП D-50х3,4</t>
  </si>
  <si>
    <t>Прокладка трубы ППН</t>
  </si>
  <si>
    <t>Труба полипропиленовая</t>
  </si>
  <si>
    <t>PPH PN20 DN40х5,4</t>
  </si>
  <si>
    <t>Прокладка трубы ПЭ</t>
  </si>
  <si>
    <t>Труба полиэтиленовая (пог.м.)</t>
  </si>
  <si>
    <t>ПЭ-100 SDR13,6 DN110х8,1</t>
  </si>
  <si>
    <t>%</t>
  </si>
  <si>
    <t>11.03.02</t>
  </si>
  <si>
    <t>Устройство канализации К-2</t>
  </si>
  <si>
    <t>11.03.02.00</t>
  </si>
  <si>
    <t>Бурение отверстий 130 мм</t>
  </si>
  <si>
    <t>Трубная изоляция</t>
  </si>
  <si>
    <t>Ф110*9мм</t>
  </si>
  <si>
    <t>9мм D-114. L-330 (В плитах перекрытия)</t>
  </si>
  <si>
    <t>Базальтовый мат фольгированный, огнеупорный 10 мм</t>
  </si>
  <si>
    <t>НПВХ Ду-110</t>
  </si>
  <si>
    <t>Прокладка трубы НПВХ клеевая</t>
  </si>
  <si>
    <t>Труба НПВХ</t>
  </si>
  <si>
    <t>клеевая Ф110х4,2 PN10 L=3m</t>
  </si>
  <si>
    <t>11.03.03</t>
  </si>
  <si>
    <t>Устройство канализации Т-8</t>
  </si>
  <si>
    <t>11.03.03.00</t>
  </si>
  <si>
    <t>Бурение отверстий до 60мм</t>
  </si>
  <si>
    <t>Труба гофрированная защитная</t>
  </si>
  <si>
    <t>Ø28</t>
  </si>
  <si>
    <t>42х13мм вспененный полиэтилен</t>
  </si>
  <si>
    <t>Ф50 вакуумный серый</t>
  </si>
  <si>
    <t>ПМ-40</t>
  </si>
  <si>
    <t>Пробивка отверстий до 40 мм</t>
  </si>
  <si>
    <t>PPH PN20 DN20х3,4</t>
  </si>
  <si>
    <t>Прокладка трубы ПЭ сшитый (МП)</t>
  </si>
  <si>
    <t>Труба сшитый полиэтилен</t>
  </si>
  <si>
    <t>DN-20х2,8 PN-10bar PEXа</t>
  </si>
  <si>
    <t>11.03.04</t>
  </si>
  <si>
    <t>Устройство канализации К-3</t>
  </si>
  <si>
    <t>11.03.04.00</t>
  </si>
  <si>
    <t>Монтаж дренажного насоса</t>
  </si>
  <si>
    <t>Насос дренажный</t>
  </si>
  <si>
    <t>Rexa MINI3</t>
  </si>
  <si>
    <t>Высокотемпературный</t>
  </si>
  <si>
    <t>Монтаж клапана (фланцевые, резьбовые) до 32 мм</t>
  </si>
  <si>
    <t>Клапан обратный</t>
  </si>
  <si>
    <t>муфтовый Ду-32 Ру-16бар</t>
  </si>
  <si>
    <t>Монтаж кранов (фланцевые, резьбовые) до 32 мм</t>
  </si>
  <si>
    <t>Кран шаровой</t>
  </si>
  <si>
    <t>Ду-32 полнопроходный с НГ</t>
  </si>
  <si>
    <t>11.03.05</t>
  </si>
  <si>
    <t>Устройство канализации в КУИ</t>
  </si>
  <si>
    <t>11.03.05.00</t>
  </si>
  <si>
    <t>Установка раковины</t>
  </si>
  <si>
    <t>Раковина</t>
  </si>
  <si>
    <t>с пьедесталом керамика</t>
  </si>
  <si>
    <t>Установка смесителя</t>
  </si>
  <si>
    <t>Смеситель</t>
  </si>
  <si>
    <t>для раковины однорычажный хром</t>
  </si>
  <si>
    <t>для ванны и душа двухвентильный хром</t>
  </si>
  <si>
    <t>Установка унитаза</t>
  </si>
  <si>
    <t>Унитаз</t>
  </si>
  <si>
    <t>компакт с косым выпуском</t>
  </si>
  <si>
    <t>11.03.06</t>
  </si>
  <si>
    <t>ПНР</t>
  </si>
  <si>
    <t>11.03.06.00</t>
  </si>
  <si>
    <t>Пусконаладочные работы системы канализации: пролив</t>
  </si>
  <si>
    <t>компл.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</si>
  <si>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</si>
  <si>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</si>
  <si>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</si>
  <si>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</si>
  <si>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</si>
  <si>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</si>
  <si>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</si>
  <si>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</si>
  <si>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</si>
  <si>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</si>
  <si>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</si>
  <si>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</si>
  <si>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ГП-72.110.01.11.03 Секция 1_Устройство системы канализации №1</t>
  </si>
  <si>
    <t>05c5c234-08c1-11f1-9613-b7da9bb227ce</t>
  </si>
  <si>
    <t>Итог</t>
  </si>
  <si>
    <t>Фасонные изделия и фитинги для ППН трубы</t>
  </si>
  <si>
    <t>Фасонные изделия и фитинги для НПВХ трубы</t>
  </si>
  <si>
    <t>Фасонные изделия и фитинги для ПЭ трубы</t>
  </si>
  <si>
    <t>Фасонные изделия и фитинги для ПЭ (сшитый) трубы</t>
  </si>
  <si>
    <t>Фасонные изделия и фитинги для канализационной трубы</t>
  </si>
  <si>
    <t>Фасонные изделия и фитинги для стальной трубы</t>
  </si>
  <si>
    <t>Прочие материалы</t>
  </si>
  <si>
    <t>Прочие работы</t>
  </si>
  <si>
    <t>Эмаль (кг.)</t>
  </si>
  <si>
    <t>11.03.99</t>
  </si>
  <si>
    <t>11.03.99.00</t>
  </si>
  <si>
    <t>Прочие работы (навигация)</t>
  </si>
  <si>
    <t>Для навигации</t>
  </si>
  <si>
    <t>ПФ-115</t>
  </si>
  <si>
    <t>кг</t>
  </si>
  <si>
    <t>Проверка:</t>
  </si>
  <si>
    <t>ИТОГО по сметному расчету, в тч НДС:</t>
  </si>
  <si>
    <t>в тч НДС ____%</t>
  </si>
  <si>
    <t>указать %</t>
  </si>
  <si>
    <t>Примечание:</t>
  </si>
  <si>
    <t>В стоимость пусконоладочных работ входит: ПНР Насосной станции ХП, ПНР Насосной станции пожаротушения, Автоматизация (узлов учета воды, повысительной НУ) с учетом материалов, Автоматизация насосов системы пожаротушения (кабельно проводниковая продукция, лотки итд) с учетом материалов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</si>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</sst>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"/>
    <numFmt numFmtId="165" formatCode="0.0"/>
    <numFmt numFmtId="166" formatCode="#,##0.00\ _₽"/>
  </numFmts>
  <fonts count="15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1" fillId="0" borderId="0"/>
    <xf numFmtId="0" fontId="1" fillId="0" borderId="0"/>
  </cellStyleXfs>
  <cellXfs count="124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/>
    </xf>
    <xf numFmtId="1" fontId="6" fillId="8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1" fontId="0" fillId="8" borderId="2" xfId="0" applyNumberForma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6" fillId="5" borderId="5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4" fontId="3" fillId="6" borderId="7" xfId="0" applyNumberFormat="1" applyFont="1" applyFill="1" applyBorder="1" applyAlignment="1">
      <alignment horizontal="right" vertical="center"/>
    </xf>
    <xf numFmtId="0" fontId="6" fillId="6" borderId="7" xfId="0" applyFont="1" applyFill="1" applyBorder="1" applyAlignment="1">
      <alignment horizontal="center"/>
    </xf>
    <xf numFmtId="49" fontId="9" fillId="9" borderId="0" xfId="0" applyNumberFormat="1" applyFont="1" applyFill="1" applyAlignment="1">
      <alignment horizontal="center" vertical="center"/>
    </xf>
    <xf numFmtId="0" fontId="10" fillId="9" borderId="0" xfId="0" applyFont="1" applyFill="1" applyAlignment="1">
      <alignment vertical="center" wrapText="1"/>
    </xf>
    <xf numFmtId="0" fontId="9" fillId="9" borderId="0" xfId="0" applyFont="1" applyFill="1" applyAlignment="1">
      <alignment horizontal="center" vertical="center" wrapText="1"/>
    </xf>
    <xf numFmtId="166" fontId="9" fillId="9" borderId="0" xfId="0" applyNumberFormat="1" applyFont="1" applyFill="1" applyAlignment="1">
      <alignment horizontal="center" vertical="center" wrapText="1"/>
    </xf>
    <xf numFmtId="166" fontId="11" fillId="9" borderId="0" xfId="0" applyNumberFormat="1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3" fontId="9" fillId="0" borderId="0" xfId="1" applyFont="1" applyFill="1" applyBorder="1" applyAlignment="1">
      <alignment horizontal="center" vertical="center"/>
    </xf>
    <xf numFmtId="0" fontId="9" fillId="0" borderId="0" xfId="3" applyFont="1" applyAlignment="1">
      <alignment vertical="center" wrapText="1"/>
    </xf>
    <xf numFmtId="0" fontId="9" fillId="0" borderId="0" xfId="3" applyFont="1" applyAlignment="1">
      <alignment vertical="top" wrapText="1"/>
    </xf>
    <xf numFmtId="0" fontId="9" fillId="0" borderId="0" xfId="0" applyFont="1" applyAlignment="1">
      <alignment vertical="top" wrapText="1"/>
    </xf>
    <xf numFmtId="0" fontId="13" fillId="0" borderId="0" xfId="0" applyFont="1" applyAlignment="1">
      <alignment horizontal="right" vertical="center"/>
    </xf>
    <xf numFmtId="0" fontId="0" fillId="0" borderId="5" xfId="0" applyBorder="1" applyAlignment="1">
      <alignment horizontal="center"/>
    </xf>
    <xf numFmtId="0" fontId="14" fillId="10" borderId="0" xfId="0" applyFont="1" applyFill="1" applyAlignment="1">
      <alignment horizontal="left" vertical="center" wrapText="1"/>
    </xf>
    <xf numFmtId="0" fontId="12" fillId="9" borderId="0" xfId="2" applyFont="1" applyFill="1" applyAlignment="1">
      <alignment horizontal="left" vertical="center" wrapText="1"/>
    </xf>
    <xf numFmtId="0" fontId="9" fillId="0" borderId="0" xfId="3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4">
    <cellStyle name="Обычный" xfId="0" builtinId="0"/>
    <cellStyle name="Обычный 3 2 2 3 2" xfId="3" xr:uid="{83583E0D-B978-44EA-920C-EB14FE199F6C}"/>
    <cellStyle name="Обычный 3 2 2 4 7" xfId="2" xr:uid="{A3517A8C-45F7-456D-B0FF-9BD90217DD56}"/>
    <cellStyle name="Финансовый" xfId="1" builtinId="3"/>
  </cellStyles>
  <dxfs count="40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B9CC91-AA05-4993-BFC3-995FFE90F580}" name="Р" displayName="Р" ref="A3:F28" totalsRowCount="1" headerRowDxfId="39" headerRowBorderDxfId="38" tableBorderDxfId="37" totalsRowBorderDxfId="36">
  <autoFilter ref="A3:F27" xr:uid="{C6B9CC91-AA05-4993-BFC3-995FFE90F580}"/>
  <tableColumns count="6">
    <tableColumn id="1" xr3:uid="{B03FDCF4-42ED-4028-B72B-4DD40E559A4B}" name="Наименование" totalsRowLabel="Итог" dataDxfId="35" totalsRowDxfId="34"/>
    <tableColumn id="2" xr3:uid="{296E4422-E3ED-4854-8FB5-CA67A3FFFEF7}" name="Ед. изм." dataDxfId="33" totalsRowDxfId="32"/>
    <tableColumn id="3" xr3:uid="{C9DE582C-7FC8-4CAF-91ED-7F2EEA1209A4}" name="Количество" dataDxfId="31" totalsRowDxfId="30"/>
    <tableColumn id="4" xr3:uid="{F313EB0A-8B43-4337-BDD6-28772771A91A}" name="Цена за ед., руб" dataDxfId="29" totalsRowDxfId="28"/>
    <tableColumn id="5" xr3:uid="{DBB49CF6-BB45-4595-8C4A-562BB5140FAE}" name="Сумма, руб" totalsRowFunction="sum" dataDxfId="27" totalsRowDxfId="26">
      <calculatedColumnFormula>ROUND(Р[[#This Row],[Количество]]*Р[[#This Row],[Цена за ед., руб]],2)</calculatedColumnFormula>
    </tableColumn>
    <tableColumn id="6" xr3:uid="{782E7F45-7E1B-44C4-AE12-614ABEA8214A}" name="Примечание" dataDxfId="25" totalsRow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5E56B0-8BC8-4182-B544-8BA669556078}" name="М" displayName="М" ref="A3:I45" totalsRowCount="1" headerRowDxfId="23" headerRowBorderDxfId="22" tableBorderDxfId="21" totalsRowBorderDxfId="20">
  <autoFilter ref="A3:I44" xr:uid="{4C5E56B0-8BC8-4182-B544-8BA669556078}"/>
  <tableColumns count="9">
    <tableColumn id="1" xr3:uid="{D49A9608-7A0F-4B0D-897D-B7E25290F184}" name="Наим." totalsRowLabel="Итог" dataDxfId="19" totalsRowDxfId="8"/>
    <tableColumn id="2" xr3:uid="{F7C94101-FC3B-48C1-87B2-CF1D1346FBBB}" name="Артикул, марка, произв." dataDxfId="18" totalsRowDxfId="7"/>
    <tableColumn id="3" xr3:uid="{64D25DF0-B05A-4DC4-81D8-94CF6BB31019}" name="Хар-ка" dataDxfId="17" totalsRowDxfId="6"/>
    <tableColumn id="4" xr3:uid="{AD7A5772-FCDC-4DE8-BFE1-F7EF5FA129DF}" name="Ед. изм." dataDxfId="16" totalsRowDxfId="5"/>
    <tableColumn id="5" xr3:uid="{7D7F9EDC-4061-42AC-83F2-37012C3FFEE2}" name="Количество" dataDxfId="15" totalsRowDxfId="4"/>
    <tableColumn id="6" xr3:uid="{23B03BEB-AE56-4327-80B3-860863A1A1FE}" name="Цена за ед., руб" dataDxfId="14" totalsRowDxfId="3"/>
    <tableColumn id="7" xr3:uid="{24A3F6D8-3FCF-47C2-9723-8EDFDBA439AB}" name="Сумма, руб" totalsRowFunction="sum" dataDxfId="13" totalsRowDxfId="2">
      <calculatedColumnFormula>ROUND(М[[#This Row],[Количество]]*М[[#This Row],[Цена за ед., руб]],2)</calculatedColumnFormula>
    </tableColumn>
    <tableColumn id="8" xr3:uid="{22F5D9D4-8ADB-46B3-AEB7-0AE5EAC96928}" name="Прим." dataDxfId="12" totalsRowDxfId="1"/>
    <tableColumn id="9" xr3:uid="{CB24EB59-09BC-4082-BEF4-58C1EE733485}" name="Форма закупа" dataDxfId="1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X191"/>
  <sheetViews>
    <sheetView tabSelected="1" workbookViewId="0">
      <pane ySplit="7" topLeftCell="A155" activePane="bottomLeft" state="frozen"/>
      <selection pane="bottomLeft" activeCell="L166" sqref="L166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115" t="s">
        <v>0</v>
      </c>
      <c r="C2" s="115"/>
      <c r="D2" s="115"/>
      <c r="E2" s="115"/>
      <c r="F2" s="115"/>
      <c r="G2" s="115"/>
      <c r="H2" s="115"/>
      <c r="I2" s="115"/>
      <c r="J2" s="115"/>
    </row>
    <row r="3" spans="1:12" ht="35.1" customHeight="1" x14ac:dyDescent="0.2">
      <c r="B3" s="116" t="s">
        <v>1</v>
      </c>
      <c r="C3" s="116"/>
      <c r="D3" s="116"/>
      <c r="E3" s="116"/>
      <c r="F3" s="116"/>
      <c r="G3" s="116"/>
      <c r="H3" s="116"/>
      <c r="I3" s="116"/>
      <c r="J3" s="116"/>
    </row>
    <row r="4" spans="1:12" ht="11.1" customHeight="1" x14ac:dyDescent="0.2">
      <c r="B4" s="116" t="s">
        <v>2</v>
      </c>
      <c r="C4" s="116"/>
      <c r="D4" s="116"/>
      <c r="E4" s="116"/>
      <c r="F4" s="116"/>
      <c r="G4" s="116"/>
      <c r="H4" s="116"/>
      <c r="I4" s="116"/>
      <c r="J4" s="116"/>
    </row>
    <row r="5" spans="1:12" ht="11.1" customHeight="1" x14ac:dyDescent="0.2"/>
    <row r="6" spans="1:12" ht="11.1" customHeight="1" x14ac:dyDescent="0.2">
      <c r="A6" s="102" t="s">
        <v>3</v>
      </c>
      <c r="B6" s="102" t="s">
        <v>4</v>
      </c>
      <c r="C6" s="117" t="s">
        <v>5</v>
      </c>
      <c r="D6" s="119" t="s">
        <v>6</v>
      </c>
      <c r="E6" s="102" t="s">
        <v>7</v>
      </c>
      <c r="F6" s="104" t="s">
        <v>8</v>
      </c>
      <c r="G6" s="121" t="s">
        <v>9</v>
      </c>
      <c r="H6" s="102" t="s">
        <v>10</v>
      </c>
      <c r="I6" s="104" t="s">
        <v>11</v>
      </c>
      <c r="J6" s="104" t="s">
        <v>12</v>
      </c>
      <c r="K6" s="102" t="s">
        <v>13</v>
      </c>
      <c r="L6" s="104" t="s">
        <v>14</v>
      </c>
    </row>
    <row r="7" spans="1:12" ht="11.1" customHeight="1" x14ac:dyDescent="0.2">
      <c r="A7" s="103"/>
      <c r="B7" s="103"/>
      <c r="C7" s="118"/>
      <c r="D7" s="120"/>
      <c r="E7" s="103"/>
      <c r="F7" s="105"/>
      <c r="G7" s="122"/>
      <c r="H7" s="103"/>
      <c r="I7" s="105"/>
      <c r="J7" s="105"/>
      <c r="K7" s="103"/>
      <c r="L7" s="105"/>
    </row>
    <row r="8" spans="1:12" ht="11.1" customHeight="1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54"/>
      <c r="J8" s="54"/>
      <c r="K8" s="5"/>
      <c r="L8" s="5"/>
    </row>
    <row r="9" spans="1:12" ht="11.1" customHeight="1" outlineLevel="1" x14ac:dyDescent="0.2">
      <c r="A9" s="8" t="s">
        <v>17</v>
      </c>
      <c r="B9" s="9" t="s">
        <v>18</v>
      </c>
      <c r="C9" s="10"/>
      <c r="D9" s="10"/>
      <c r="E9" s="11"/>
      <c r="F9" s="12"/>
      <c r="G9" s="12"/>
      <c r="H9" s="12"/>
      <c r="I9" s="55"/>
      <c r="J9" s="55">
        <f ca="1">SUM($J$175,$J$136,$J$114,$J$82,$J$57,$J$10,J162)</f>
        <v>307140.40000000002</v>
      </c>
      <c r="K9" s="10"/>
      <c r="L9" s="10"/>
    </row>
    <row r="10" spans="1:12" ht="11.1" customHeight="1" outlineLevel="2" x14ac:dyDescent="0.2">
      <c r="A10" s="13" t="s">
        <v>19</v>
      </c>
      <c r="B10" s="14" t="s">
        <v>20</v>
      </c>
      <c r="C10" s="15"/>
      <c r="D10" s="15"/>
      <c r="E10" s="16"/>
      <c r="F10" s="17"/>
      <c r="G10" s="18"/>
      <c r="H10" s="18"/>
      <c r="I10" s="56"/>
      <c r="J10" s="56">
        <f>SUM($J$11)</f>
        <v>90580.6</v>
      </c>
      <c r="K10" s="19"/>
      <c r="L10" s="19"/>
    </row>
    <row r="11" spans="1:12" ht="11.1" customHeight="1" outlineLevel="3" x14ac:dyDescent="0.2">
      <c r="A11" s="13" t="s">
        <v>21</v>
      </c>
      <c r="B11" s="14" t="s">
        <v>20</v>
      </c>
      <c r="C11" s="15"/>
      <c r="D11" s="15"/>
      <c r="E11" s="16"/>
      <c r="F11" s="17"/>
      <c r="G11" s="18"/>
      <c r="H11" s="18"/>
      <c r="I11" s="56"/>
      <c r="J11" s="56">
        <f>SUM($J$55,$J$53,$J$51,$J$49,$J$45,$J$43,$J$41,$J$39,$J$36,$J$34,$J$31,$J$29,$J$27,$J$25,$J$23,$J$21,$J$18,$J$16,$J$14,$J$12)</f>
        <v>90580.6</v>
      </c>
      <c r="K11" s="19"/>
      <c r="L11" s="19"/>
    </row>
    <row r="12" spans="1:12" ht="11.1" customHeight="1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57"/>
      <c r="J12" s="58">
        <f>SUM($J$13)</f>
        <v>436</v>
      </c>
      <c r="K12" s="18"/>
      <c r="L12" s="22"/>
    </row>
    <row r="13" spans="1:12" ht="11.1" customHeight="1" outlineLevel="4" x14ac:dyDescent="0.2">
      <c r="A13" s="23"/>
      <c r="B13" s="24" t="s">
        <v>23</v>
      </c>
      <c r="C13" s="25"/>
      <c r="D13" s="25"/>
      <c r="E13" s="26" t="s">
        <v>24</v>
      </c>
      <c r="F13" s="27"/>
      <c r="G13" s="28">
        <v>436</v>
      </c>
      <c r="H13" s="28">
        <f>SUM($G$13:$G$13)</f>
        <v>436</v>
      </c>
      <c r="I13" s="59">
        <f t="array" ref="I13">INDEX(Р[Цена за ед., руб],MATCH(1,IF(($B13=Р[Наименование])*($K13=Р[Примечание]),{1},($B13=Р[Наименование])*($K13=Р[Примечание])),0))</f>
        <v>1</v>
      </c>
      <c r="J13" s="59">
        <f>ROUND($H$13*$I$13,2)</f>
        <v>436</v>
      </c>
      <c r="K13" s="25"/>
      <c r="L13" s="25"/>
    </row>
    <row r="14" spans="1:12" ht="11.1" customHeight="1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57"/>
      <c r="J14" s="58">
        <f>SUM($J$15)</f>
        <v>196</v>
      </c>
      <c r="K14" s="18"/>
      <c r="L14" s="22"/>
    </row>
    <row r="15" spans="1:12" ht="11.1" customHeight="1" outlineLevel="4" x14ac:dyDescent="0.2">
      <c r="A15" s="23"/>
      <c r="B15" s="24" t="s">
        <v>25</v>
      </c>
      <c r="C15" s="25"/>
      <c r="D15" s="25"/>
      <c r="E15" s="26" t="s">
        <v>24</v>
      </c>
      <c r="F15" s="27"/>
      <c r="G15" s="28">
        <v>98</v>
      </c>
      <c r="H15" s="28">
        <f>SUM($G$15:$G$15)</f>
        <v>98</v>
      </c>
      <c r="I15" s="59">
        <f t="array" ref="I15">INDEX(Р[Цена за ед., руб],MATCH(1,IF(($B15=Р[Наименование])*($K15=Р[Примечание]),{1},($B15=Р[Наименование])*($K15=Р[Примечание])),0))</f>
        <v>2</v>
      </c>
      <c r="J15" s="59">
        <f>ROUND($H$15*$I$15,2)</f>
        <v>196</v>
      </c>
      <c r="K15" s="25"/>
      <c r="L15" s="25"/>
    </row>
    <row r="16" spans="1:12" ht="11.1" customHeight="1" outlineLevel="4" x14ac:dyDescent="0.2">
      <c r="A16" s="20"/>
      <c r="B16" s="14" t="s">
        <v>22</v>
      </c>
      <c r="C16" s="21"/>
      <c r="D16" s="21"/>
      <c r="E16" s="21"/>
      <c r="F16" s="21"/>
      <c r="G16" s="21"/>
      <c r="H16" s="21"/>
      <c r="I16" s="57"/>
      <c r="J16" s="58">
        <f>SUM($J$17)</f>
        <v>1578</v>
      </c>
      <c r="K16" s="18"/>
      <c r="L16" s="22"/>
    </row>
    <row r="17" spans="1:12" ht="11.1" customHeight="1" outlineLevel="4" x14ac:dyDescent="0.2">
      <c r="A17" s="23"/>
      <c r="B17" s="24" t="s">
        <v>26</v>
      </c>
      <c r="C17" s="25"/>
      <c r="D17" s="25"/>
      <c r="E17" s="26" t="s">
        <v>27</v>
      </c>
      <c r="F17" s="27"/>
      <c r="G17" s="28">
        <v>526</v>
      </c>
      <c r="H17" s="28">
        <f>SUM($G$17:$G$17)</f>
        <v>526</v>
      </c>
      <c r="I17" s="59">
        <f t="array" ref="I17">INDEX(Р[Цена за ед., руб],MATCH(1,IF(($B17=Р[Наименование])*($K17=Р[Примечание]),{1},($B17=Р[Наименование])*($K17=Р[Примечание])),0))</f>
        <v>3</v>
      </c>
      <c r="J17" s="59">
        <f>ROUND($H$17*$I$17,2)</f>
        <v>1578</v>
      </c>
      <c r="K17" s="25"/>
      <c r="L17" s="25"/>
    </row>
    <row r="18" spans="1:12" ht="11.1" customHeight="1" outlineLevel="4" x14ac:dyDescent="0.2">
      <c r="A18" s="20"/>
      <c r="B18" s="14" t="s">
        <v>28</v>
      </c>
      <c r="C18" s="21"/>
      <c r="D18" s="21"/>
      <c r="E18" s="21"/>
      <c r="F18" s="21"/>
      <c r="G18" s="21"/>
      <c r="H18" s="21"/>
      <c r="I18" s="57"/>
      <c r="J18" s="58">
        <f>SUM($J$19:$J$20)</f>
        <v>16872</v>
      </c>
      <c r="K18" s="18"/>
      <c r="L18" s="22"/>
    </row>
    <row r="19" spans="1:12" ht="11.1" customHeight="1" outlineLevel="4" x14ac:dyDescent="0.2">
      <c r="A19" s="23" t="s">
        <v>29</v>
      </c>
      <c r="B19" s="24" t="s">
        <v>30</v>
      </c>
      <c r="C19" s="25"/>
      <c r="D19" s="25" t="s">
        <v>31</v>
      </c>
      <c r="E19" s="26" t="s">
        <v>32</v>
      </c>
      <c r="F19" s="27"/>
      <c r="G19" s="28">
        <v>18</v>
      </c>
      <c r="H19" s="28">
        <f>SUM($G$19:$G$19)</f>
        <v>18</v>
      </c>
      <c r="I19" s="59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6</v>
      </c>
      <c r="J19" s="59">
        <f>ROUND($H$19*$I$19,2)</f>
        <v>108</v>
      </c>
      <c r="K19" s="25"/>
      <c r="L19" s="25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</row>
    <row r="20" spans="1:12" ht="35.1" customHeight="1" outlineLevel="4" x14ac:dyDescent="0.2">
      <c r="A20" s="23" t="s">
        <v>33</v>
      </c>
      <c r="B20" s="24" t="s">
        <v>34</v>
      </c>
      <c r="C20" s="25"/>
      <c r="D20" s="25" t="s">
        <v>35</v>
      </c>
      <c r="E20" s="26" t="s">
        <v>32</v>
      </c>
      <c r="F20" s="27"/>
      <c r="G20" s="28">
        <v>508</v>
      </c>
      <c r="H20" s="28">
        <f>SUM($G$20:$G$20)</f>
        <v>508</v>
      </c>
      <c r="I20" s="59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33</v>
      </c>
      <c r="J20" s="59">
        <f>ROUND($H$20*$I$20,2)</f>
        <v>16764</v>
      </c>
      <c r="K20" s="25"/>
      <c r="L20" s="25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</row>
    <row r="21" spans="1:12" ht="11.1" customHeight="1" outlineLevel="4" x14ac:dyDescent="0.2">
      <c r="A21" s="20"/>
      <c r="B21" s="14" t="s">
        <v>22</v>
      </c>
      <c r="C21" s="21"/>
      <c r="D21" s="21"/>
      <c r="E21" s="21"/>
      <c r="F21" s="21"/>
      <c r="G21" s="21"/>
      <c r="H21" s="21"/>
      <c r="I21" s="57"/>
      <c r="J21" s="58">
        <f>SUM($J$22)</f>
        <v>248</v>
      </c>
      <c r="K21" s="18"/>
      <c r="L21" s="22"/>
    </row>
    <row r="22" spans="1:12" ht="11.1" customHeight="1" outlineLevel="4" x14ac:dyDescent="0.2">
      <c r="A22" s="23"/>
      <c r="B22" s="24" t="s">
        <v>36</v>
      </c>
      <c r="C22" s="25"/>
      <c r="D22" s="25"/>
      <c r="E22" s="26" t="s">
        <v>37</v>
      </c>
      <c r="F22" s="27"/>
      <c r="G22" s="28">
        <v>62</v>
      </c>
      <c r="H22" s="28">
        <f>SUM($G$22:$G$22)</f>
        <v>62</v>
      </c>
      <c r="I22" s="59">
        <f t="array" ref="I22">INDEX(Р[Цена за ед., руб],MATCH(1,IF(($B22=Р[Наименование])*($K22=Р[Примечание]),{1},($B22=Р[Наименование])*($K22=Р[Примечание])),0))</f>
        <v>4</v>
      </c>
      <c r="J22" s="59">
        <f>ROUND($H$22*$I$22,2)</f>
        <v>248</v>
      </c>
      <c r="K22" s="25"/>
      <c r="L22" s="25"/>
    </row>
    <row r="23" spans="1:12" ht="11.1" customHeight="1" outlineLevel="4" x14ac:dyDescent="0.2">
      <c r="A23" s="20"/>
      <c r="B23" s="14" t="s">
        <v>28</v>
      </c>
      <c r="C23" s="21"/>
      <c r="D23" s="21"/>
      <c r="E23" s="21"/>
      <c r="F23" s="21"/>
      <c r="G23" s="21"/>
      <c r="H23" s="21"/>
      <c r="I23" s="57"/>
      <c r="J23" s="58">
        <f>SUM($J$24)</f>
        <v>62</v>
      </c>
      <c r="K23" s="18"/>
      <c r="L23" s="22"/>
    </row>
    <row r="24" spans="1:12" ht="23.1" customHeight="1" outlineLevel="4" x14ac:dyDescent="0.2">
      <c r="A24" s="23" t="s">
        <v>29</v>
      </c>
      <c r="B24" s="24" t="s">
        <v>38</v>
      </c>
      <c r="C24" s="25"/>
      <c r="D24" s="25" t="s">
        <v>39</v>
      </c>
      <c r="E24" s="26" t="s">
        <v>37</v>
      </c>
      <c r="F24" s="27"/>
      <c r="G24" s="28">
        <v>62</v>
      </c>
      <c r="H24" s="28">
        <f>SUM($G$24:$G$24)</f>
        <v>62</v>
      </c>
      <c r="I24" s="59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1</v>
      </c>
      <c r="J24" s="59">
        <f>ROUND($H$24*$I$24,2)</f>
        <v>62</v>
      </c>
      <c r="K24" s="25" t="s">
        <v>40</v>
      </c>
      <c r="L24" s="25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</row>
    <row r="25" spans="1:12" ht="11.1" customHeight="1" outlineLevel="4" x14ac:dyDescent="0.2">
      <c r="A25" s="20"/>
      <c r="B25" s="14" t="s">
        <v>22</v>
      </c>
      <c r="C25" s="21"/>
      <c r="D25" s="21"/>
      <c r="E25" s="21"/>
      <c r="F25" s="21"/>
      <c r="G25" s="21"/>
      <c r="H25" s="21"/>
      <c r="I25" s="57"/>
      <c r="J25" s="58">
        <f>SUM($J$26)</f>
        <v>20</v>
      </c>
      <c r="K25" s="18"/>
      <c r="L25" s="22"/>
    </row>
    <row r="26" spans="1:12" ht="11.25" outlineLevel="4" x14ac:dyDescent="0.2">
      <c r="A26" s="23"/>
      <c r="B26" s="24" t="s">
        <v>41</v>
      </c>
      <c r="C26" s="25"/>
      <c r="D26" s="25"/>
      <c r="E26" s="26" t="s">
        <v>24</v>
      </c>
      <c r="F26" s="27"/>
      <c r="G26" s="28">
        <v>4</v>
      </c>
      <c r="H26" s="28">
        <f>SUM($G$26:$G$26)</f>
        <v>4</v>
      </c>
      <c r="I26" s="59">
        <f t="array" ref="I26">INDEX(Р[Цена за ед., руб],MATCH(1,IF(($B26=Р[Наименование])*($K26=Р[Примечание]),{1},($B26=Р[Наименование])*($K26=Р[Примечание])),0))</f>
        <v>5</v>
      </c>
      <c r="J26" s="59">
        <f>ROUND($H$26*$I$26,2)</f>
        <v>20</v>
      </c>
      <c r="K26" s="25"/>
      <c r="L26" s="25"/>
    </row>
    <row r="27" spans="1:12" ht="11.1" customHeight="1" outlineLevel="4" x14ac:dyDescent="0.2">
      <c r="A27" s="20"/>
      <c r="B27" s="14" t="s">
        <v>28</v>
      </c>
      <c r="C27" s="21"/>
      <c r="D27" s="21"/>
      <c r="E27" s="21"/>
      <c r="F27" s="21"/>
      <c r="G27" s="21"/>
      <c r="H27" s="21"/>
      <c r="I27" s="57"/>
      <c r="J27" s="58">
        <f>SUM($J$28)</f>
        <v>36</v>
      </c>
      <c r="K27" s="18"/>
      <c r="L27" s="22"/>
    </row>
    <row r="28" spans="1:12" ht="11.1" customHeight="1" outlineLevel="4" x14ac:dyDescent="0.2">
      <c r="A28" s="23" t="s">
        <v>29</v>
      </c>
      <c r="B28" s="24" t="s">
        <v>42</v>
      </c>
      <c r="C28" s="25"/>
      <c r="D28" s="25" t="s">
        <v>43</v>
      </c>
      <c r="E28" s="26" t="s">
        <v>24</v>
      </c>
      <c r="F28" s="27"/>
      <c r="G28" s="28">
        <v>4</v>
      </c>
      <c r="H28" s="28">
        <f>SUM($G$28:$G$28)</f>
        <v>4</v>
      </c>
      <c r="I28" s="59">
        <f t="array" ref="I28">INDEX(М[Цена за ед., руб],MATCH(1,IF(($B28=М[Наим.])*($C28=М[Артикул, марка, произв.])*($D28=М[Хар-ка])*($K28=М[Прим.]),{1},($B28=М[Наим.])*($C28=М[Артикул, марка, произв.])*($D28=М[Хар-ка])*($K28=М[Прим.])),0))</f>
        <v>9</v>
      </c>
      <c r="J28" s="59">
        <f>ROUND($H$28*$I$28,2)</f>
        <v>36</v>
      </c>
      <c r="K28" s="25"/>
      <c r="L28" s="25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</row>
    <row r="29" spans="1:12" ht="11.1" customHeight="1" outlineLevel="4" x14ac:dyDescent="0.2">
      <c r="A29" s="20"/>
      <c r="B29" s="14" t="s">
        <v>22</v>
      </c>
      <c r="C29" s="21"/>
      <c r="D29" s="21"/>
      <c r="E29" s="21"/>
      <c r="F29" s="21"/>
      <c r="G29" s="21"/>
      <c r="H29" s="21"/>
      <c r="I29" s="57"/>
      <c r="J29" s="58">
        <f>SUM($J$30)</f>
        <v>3312</v>
      </c>
      <c r="K29" s="18"/>
      <c r="L29" s="22"/>
    </row>
    <row r="30" spans="1:12" ht="11.1" customHeight="1" outlineLevel="4" x14ac:dyDescent="0.2">
      <c r="A30" s="23"/>
      <c r="B30" s="24" t="s">
        <v>44</v>
      </c>
      <c r="C30" s="25"/>
      <c r="D30" s="25"/>
      <c r="E30" s="26" t="s">
        <v>24</v>
      </c>
      <c r="F30" s="27"/>
      <c r="G30" s="28">
        <v>552</v>
      </c>
      <c r="H30" s="28">
        <f>SUM($G$30:$G$30)</f>
        <v>552</v>
      </c>
      <c r="I30" s="59">
        <f t="array" ref="I30">INDEX(Р[Цена за ед., руб],MATCH(1,IF(($B30=Р[Наименование])*($K30=Р[Примечание]),{1},($B30=Р[Наименование])*($K30=Р[Примечание])),0))</f>
        <v>6</v>
      </c>
      <c r="J30" s="59">
        <f>ROUND($H$30*$I$30,2)</f>
        <v>3312</v>
      </c>
      <c r="K30" s="25"/>
      <c r="L30" s="25"/>
    </row>
    <row r="31" spans="1:12" ht="11.1" customHeight="1" outlineLevel="4" x14ac:dyDescent="0.2">
      <c r="A31" s="20"/>
      <c r="B31" s="14" t="s">
        <v>28</v>
      </c>
      <c r="C31" s="21"/>
      <c r="D31" s="21"/>
      <c r="E31" s="21"/>
      <c r="F31" s="21"/>
      <c r="G31" s="21"/>
      <c r="H31" s="21"/>
      <c r="I31" s="57"/>
      <c r="J31" s="58">
        <f>SUM($J$32:$J$33)</f>
        <v>16916</v>
      </c>
      <c r="K31" s="18"/>
      <c r="L31" s="22"/>
    </row>
    <row r="32" spans="1:12" ht="11.1" customHeight="1" outlineLevel="4" x14ac:dyDescent="0.2">
      <c r="A32" s="23" t="s">
        <v>29</v>
      </c>
      <c r="B32" s="24" t="s">
        <v>45</v>
      </c>
      <c r="C32" s="25"/>
      <c r="D32" s="25" t="s">
        <v>46</v>
      </c>
      <c r="E32" s="26" t="s">
        <v>24</v>
      </c>
      <c r="F32" s="27"/>
      <c r="G32" s="28">
        <v>98</v>
      </c>
      <c r="H32" s="28">
        <f>SUM($G$32:$G$32)</f>
        <v>98</v>
      </c>
      <c r="I32" s="59">
        <f t="array" ref="I32">INDEX(М[Цена за ед., руб],MATCH(1,IF(($B32=М[Наим.])*($C32=М[Артикул, марка, произв.])*($D32=М[Хар-ка])*($K32=М[Прим.]),{1},($B32=М[Наим.])*($C32=М[Артикул, марка, произв.])*($D32=М[Хар-ка])*($K32=М[Прим.])),0))</f>
        <v>29</v>
      </c>
      <c r="J32" s="59">
        <f>ROUND($H$32*$I$32,2)</f>
        <v>2842</v>
      </c>
      <c r="K32" s="25"/>
      <c r="L32" s="25">
        <f t="array" ref="L32">INDEX(М[Форма закупа],MATCH(1,IF(($B32=М[Наим.])*($C32=М[Артикул,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</row>
    <row r="33" spans="1:12" ht="11.1" customHeight="1" outlineLevel="4" x14ac:dyDescent="0.2">
      <c r="A33" s="23" t="s">
        <v>33</v>
      </c>
      <c r="B33" s="24" t="s">
        <v>45</v>
      </c>
      <c r="C33" s="25"/>
      <c r="D33" s="25" t="s">
        <v>47</v>
      </c>
      <c r="E33" s="26" t="s">
        <v>24</v>
      </c>
      <c r="F33" s="27"/>
      <c r="G33" s="28">
        <v>454</v>
      </c>
      <c r="H33" s="28">
        <f>SUM($G$33:$G$33)</f>
        <v>454</v>
      </c>
      <c r="I33" s="59">
        <f t="array" ref="I33">INDEX(М[Цена за ед., руб],MATCH(1,IF(($B33=М[Наим.])*($C33=М[Артикул, марка, произв.])*($D33=М[Хар-ка])*($K33=М[Прим.]),{1},($B33=М[Наим.])*($C33=М[Артикул, марка, произв.])*($D33=М[Хар-ка])*($K33=М[Прим.])),0))</f>
        <v>31</v>
      </c>
      <c r="J33" s="59">
        <f>ROUND($H$33*$I$33,2)</f>
        <v>14074</v>
      </c>
      <c r="K33" s="25"/>
      <c r="L33" s="25">
        <f t="array" ref="L33">INDEX(М[Форма закупа],MATCH(1,IF(($B33=М[Наим.])*($C33=М[Артикул,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</row>
    <row r="34" spans="1:12" ht="11.1" customHeight="1" outlineLevel="4" x14ac:dyDescent="0.2">
      <c r="A34" s="20"/>
      <c r="B34" s="14" t="s">
        <v>22</v>
      </c>
      <c r="C34" s="21"/>
      <c r="D34" s="21"/>
      <c r="E34" s="21"/>
      <c r="F34" s="21"/>
      <c r="G34" s="21"/>
      <c r="H34" s="21"/>
      <c r="I34" s="57"/>
      <c r="J34" s="58">
        <f>SUM($J$35)</f>
        <v>1379</v>
      </c>
      <c r="K34" s="18"/>
      <c r="L34" s="22"/>
    </row>
    <row r="35" spans="1:12" ht="11.1" customHeight="1" outlineLevel="4" x14ac:dyDescent="0.2">
      <c r="A35" s="23"/>
      <c r="B35" s="24" t="s">
        <v>48</v>
      </c>
      <c r="C35" s="25"/>
      <c r="D35" s="25"/>
      <c r="E35" s="26" t="s">
        <v>24</v>
      </c>
      <c r="F35" s="27"/>
      <c r="G35" s="28">
        <v>197</v>
      </c>
      <c r="H35" s="28">
        <f>SUM($G$35:$G$35)</f>
        <v>197</v>
      </c>
      <c r="I35" s="59">
        <f t="array" ref="I35">INDEX(Р[Цена за ед., руб],MATCH(1,IF(($B35=Р[Наименование])*($K35=Р[Примечание]),{1},($B35=Р[Наименование])*($K35=Р[Примечание])),0))</f>
        <v>7</v>
      </c>
      <c r="J35" s="59">
        <f>ROUND($H$35*$I$35,2)</f>
        <v>1379</v>
      </c>
      <c r="K35" s="25"/>
      <c r="L35" s="25"/>
    </row>
    <row r="36" spans="1:12" ht="11.1" customHeight="1" outlineLevel="4" x14ac:dyDescent="0.2">
      <c r="A36" s="20"/>
      <c r="B36" s="14" t="s">
        <v>28</v>
      </c>
      <c r="C36" s="21"/>
      <c r="D36" s="21"/>
      <c r="E36" s="21"/>
      <c r="F36" s="21"/>
      <c r="G36" s="21"/>
      <c r="H36" s="21"/>
      <c r="I36" s="57"/>
      <c r="J36" s="58">
        <f>SUM($J$37:$J$38)</f>
        <v>4525</v>
      </c>
      <c r="K36" s="18"/>
      <c r="L36" s="22"/>
    </row>
    <row r="37" spans="1:12" ht="23.1" customHeight="1" outlineLevel="4" x14ac:dyDescent="0.2">
      <c r="A37" s="23" t="s">
        <v>29</v>
      </c>
      <c r="B37" s="24" t="s">
        <v>49</v>
      </c>
      <c r="C37" s="25"/>
      <c r="D37" s="25" t="s">
        <v>50</v>
      </c>
      <c r="E37" s="26" t="s">
        <v>24</v>
      </c>
      <c r="F37" s="27"/>
      <c r="G37" s="28">
        <v>2</v>
      </c>
      <c r="H37" s="28">
        <f>SUM($G$37:$G$37)</f>
        <v>2</v>
      </c>
      <c r="I37" s="59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20</v>
      </c>
      <c r="J37" s="59">
        <f>ROUND($H$37*$I$37,2)</f>
        <v>40</v>
      </c>
      <c r="K37" s="25"/>
      <c r="L37" s="25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</row>
    <row r="38" spans="1:12" ht="23.1" customHeight="1" outlineLevel="4" x14ac:dyDescent="0.2">
      <c r="A38" s="23" t="s">
        <v>33</v>
      </c>
      <c r="B38" s="24" t="s">
        <v>49</v>
      </c>
      <c r="C38" s="25"/>
      <c r="D38" s="25" t="s">
        <v>51</v>
      </c>
      <c r="E38" s="26" t="s">
        <v>24</v>
      </c>
      <c r="F38" s="27"/>
      <c r="G38" s="28">
        <v>195</v>
      </c>
      <c r="H38" s="28">
        <f>SUM($G$38:$G$38)</f>
        <v>195</v>
      </c>
      <c r="I38" s="59">
        <f t="array" ref="I38">INDEX(М[Цена за ед., руб],MATCH(1,IF(($B38=М[Наим.])*($C38=М[Артикул, марка, произв.])*($D38=М[Хар-ка])*($K38=М[Прим.]),{1},($B38=М[Наим.])*($C38=М[Артикул, марка, произв.])*($D38=М[Хар-ка])*($K38=М[Прим.])),0))</f>
        <v>23</v>
      </c>
      <c r="J38" s="59">
        <f>ROUND($H$38*$I$38,2)</f>
        <v>4485</v>
      </c>
      <c r="K38" s="25"/>
      <c r="L38" s="25">
        <f t="array" ref="L38">INDEX(М[Форма закупа],MATCH(1,IF(($B38=М[Наим.])*($C38=М[Артикул,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</row>
    <row r="39" spans="1:12" ht="11.1" customHeight="1" outlineLevel="4" x14ac:dyDescent="0.2">
      <c r="A39" s="20"/>
      <c r="B39" s="14" t="s">
        <v>22</v>
      </c>
      <c r="C39" s="21"/>
      <c r="D39" s="21"/>
      <c r="E39" s="21"/>
      <c r="F39" s="21"/>
      <c r="G39" s="21"/>
      <c r="H39" s="21"/>
      <c r="I39" s="57"/>
      <c r="J39" s="58">
        <f>SUM($J$40)</f>
        <v>384</v>
      </c>
      <c r="K39" s="18"/>
      <c r="L39" s="22"/>
    </row>
    <row r="40" spans="1:12" ht="11.1" customHeight="1" outlineLevel="4" x14ac:dyDescent="0.2">
      <c r="A40" s="23"/>
      <c r="B40" s="24" t="s">
        <v>52</v>
      </c>
      <c r="C40" s="25"/>
      <c r="D40" s="25"/>
      <c r="E40" s="26" t="s">
        <v>24</v>
      </c>
      <c r="F40" s="27"/>
      <c r="G40" s="28">
        <v>48</v>
      </c>
      <c r="H40" s="28">
        <f>SUM($G$40:$G$40)</f>
        <v>48</v>
      </c>
      <c r="I40" s="59">
        <f t="array" ref="I40">INDEX(Р[Цена за ед., руб],MATCH(1,IF(($B40=Р[Наименование])*($K40=Р[Примечание]),{1},($B40=Р[Наименование])*($K40=Р[Примечание])),0))</f>
        <v>8</v>
      </c>
      <c r="J40" s="59">
        <f>ROUND($H$40*$I$40,2)</f>
        <v>384</v>
      </c>
      <c r="K40" s="25"/>
      <c r="L40" s="25"/>
    </row>
    <row r="41" spans="1:12" ht="11.1" customHeight="1" outlineLevel="4" x14ac:dyDescent="0.2">
      <c r="A41" s="20"/>
      <c r="B41" s="14" t="s">
        <v>28</v>
      </c>
      <c r="C41" s="21"/>
      <c r="D41" s="21"/>
      <c r="E41" s="21"/>
      <c r="F41" s="21"/>
      <c r="G41" s="21"/>
      <c r="H41" s="21"/>
      <c r="I41" s="57"/>
      <c r="J41" s="58">
        <f>SUM($J$42)</f>
        <v>240</v>
      </c>
      <c r="K41" s="18"/>
      <c r="L41" s="22"/>
    </row>
    <row r="42" spans="1:12" ht="23.1" customHeight="1" outlineLevel="4" x14ac:dyDescent="0.2">
      <c r="A42" s="23" t="s">
        <v>29</v>
      </c>
      <c r="B42" s="24" t="s">
        <v>53</v>
      </c>
      <c r="C42" s="25"/>
      <c r="D42" s="25" t="s">
        <v>54</v>
      </c>
      <c r="E42" s="26" t="s">
        <v>24</v>
      </c>
      <c r="F42" s="27"/>
      <c r="G42" s="28">
        <v>48</v>
      </c>
      <c r="H42" s="28">
        <f>SUM($G$42:$G$42)</f>
        <v>48</v>
      </c>
      <c r="I42" s="59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5</v>
      </c>
      <c r="J42" s="59">
        <f>ROUND($H$42*$I$42,2)</f>
        <v>240</v>
      </c>
      <c r="K42" s="25"/>
      <c r="L42" s="25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ht="11.1" customHeight="1" outlineLevel="4" x14ac:dyDescent="0.2">
      <c r="A43" s="20"/>
      <c r="B43" s="14" t="s">
        <v>22</v>
      </c>
      <c r="C43" s="21"/>
      <c r="D43" s="21"/>
      <c r="E43" s="21"/>
      <c r="F43" s="21"/>
      <c r="G43" s="21"/>
      <c r="H43" s="21"/>
      <c r="I43" s="57"/>
      <c r="J43" s="58">
        <f>SUM($J$44)</f>
        <v>15055.2</v>
      </c>
      <c r="K43" s="18"/>
      <c r="L43" s="22"/>
    </row>
    <row r="44" spans="1:12" ht="23.1" customHeight="1" outlineLevel="4" x14ac:dyDescent="0.2">
      <c r="A44" s="23"/>
      <c r="B44" s="24" t="s">
        <v>55</v>
      </c>
      <c r="C44" s="25"/>
      <c r="D44" s="25"/>
      <c r="E44" s="26" t="s">
        <v>27</v>
      </c>
      <c r="F44" s="27"/>
      <c r="G44" s="29">
        <v>1672.8</v>
      </c>
      <c r="H44" s="29">
        <f>SUM($G$44:$G$44)</f>
        <v>1672.8</v>
      </c>
      <c r="I44" s="59">
        <f t="array" ref="I44">INDEX(Р[Цена за ед., руб],MATCH(1,IF(($B44=Р[Наименование])*($K44=Р[Примечание]),{1},($B44=Р[Наименование])*($K44=Р[Примечание])),0))</f>
        <v>9</v>
      </c>
      <c r="J44" s="59">
        <f>ROUND($H$44*$I$44,2)</f>
        <v>15055.2</v>
      </c>
      <c r="K44" s="25"/>
      <c r="L44" s="25"/>
    </row>
    <row r="45" spans="1:12" ht="11.1" customHeight="1" outlineLevel="4" x14ac:dyDescent="0.2">
      <c r="A45" s="20"/>
      <c r="B45" s="14" t="s">
        <v>28</v>
      </c>
      <c r="C45" s="21"/>
      <c r="D45" s="21"/>
      <c r="E45" s="21"/>
      <c r="F45" s="21"/>
      <c r="G45" s="21"/>
      <c r="H45" s="21"/>
      <c r="I45" s="57"/>
      <c r="J45" s="58">
        <f>SUM($J$46:$J$48)</f>
        <v>27171.4</v>
      </c>
      <c r="K45" s="18"/>
      <c r="L45" s="22"/>
    </row>
    <row r="46" spans="1:12" ht="23.1" customHeight="1" outlineLevel="4" x14ac:dyDescent="0.2">
      <c r="A46" s="92" t="s">
        <v>29</v>
      </c>
      <c r="B46" s="24" t="s">
        <v>56</v>
      </c>
      <c r="C46" s="25"/>
      <c r="D46" s="25" t="s">
        <v>57</v>
      </c>
      <c r="E46" s="26" t="s">
        <v>32</v>
      </c>
      <c r="F46" s="27"/>
      <c r="G46" s="30">
        <v>1469</v>
      </c>
      <c r="H46" s="30">
        <f>SUM($G$46:$G$46)</f>
        <v>1469</v>
      </c>
      <c r="I46" s="59">
        <f t="array" ref="I46">INDEX(М[Цена за ед., руб],MATCH(1,IF(($B46=М[Наим.])*($C46=М[Артикул, марка, произв.])*($D46=М[Хар-ка])*($K46=М[Прим.]),{1},($B46=М[Наим.])*($C46=М[Артикул, марка, произв.])*($D46=М[Хар-ка])*($K46=М[Прим.])),0))</f>
        <v>16</v>
      </c>
      <c r="J46" s="59">
        <f>ROUND($H$46*$I$46,2)</f>
        <v>23504</v>
      </c>
      <c r="K46" s="25"/>
      <c r="L46" s="25">
        <f t="array" ref="L46">INDEX(М[Форма закупа],MATCH(1,IF(($B46=М[Наим.])*($C46=М[Артикул,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</row>
    <row r="47" spans="1:12" ht="23.1" customHeight="1" outlineLevel="4" x14ac:dyDescent="0.2">
      <c r="A47" s="92" t="s">
        <v>33</v>
      </c>
      <c r="B47" s="24" t="s">
        <v>56</v>
      </c>
      <c r="C47" s="25"/>
      <c r="D47" s="25" t="s">
        <v>58</v>
      </c>
      <c r="E47" s="26" t="s">
        <v>32</v>
      </c>
      <c r="F47" s="27"/>
      <c r="G47" s="28">
        <v>1</v>
      </c>
      <c r="H47" s="28">
        <f>SUM($G$47:$G$47)</f>
        <v>1</v>
      </c>
      <c r="I47" s="59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17</v>
      </c>
      <c r="J47" s="59">
        <f>ROUND($H$47*$I$47,2)</f>
        <v>17</v>
      </c>
      <c r="K47" s="25"/>
      <c r="L47" s="25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</row>
    <row r="48" spans="1:12" ht="11.1" customHeight="1" outlineLevel="4" x14ac:dyDescent="0.2">
      <c r="A48" s="92" t="s">
        <v>59</v>
      </c>
      <c r="B48" s="24" t="s">
        <v>56</v>
      </c>
      <c r="C48" s="25"/>
      <c r="D48" s="25" t="s">
        <v>60</v>
      </c>
      <c r="E48" s="26" t="s">
        <v>32</v>
      </c>
      <c r="F48" s="27"/>
      <c r="G48" s="31">
        <v>202.8</v>
      </c>
      <c r="H48" s="31">
        <f>SUM($G$48:$G$48)</f>
        <v>202.8</v>
      </c>
      <c r="I48" s="59">
        <f t="array" ref="I48">INDEX(М[Цена за ед., руб],MATCH(1,IF(($B48=М[Наим.])*($C48=М[Артикул, марка, произв.])*($D48=М[Хар-ка])*($K48=М[Прим.]),{1},($B48=М[Наим.])*($C48=М[Артикул, марка, произв.])*($D48=М[Хар-ка])*($K48=М[Прим.])),0))</f>
        <v>18</v>
      </c>
      <c r="J48" s="59">
        <f>ROUND($H$48*$I$48,2)</f>
        <v>3650.4</v>
      </c>
      <c r="K48" s="25"/>
      <c r="L48" s="25">
        <f t="array" ref="L48">INDEX(М[Форма закупа],MATCH(1,IF(($B48=М[Наим.])*($C48=М[Артикул,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</row>
    <row r="49" spans="1:12" ht="11.1" customHeight="1" outlineLevel="4" x14ac:dyDescent="0.2">
      <c r="A49" s="20"/>
      <c r="B49" s="14" t="s">
        <v>22</v>
      </c>
      <c r="C49" s="21"/>
      <c r="D49" s="21"/>
      <c r="E49" s="21"/>
      <c r="F49" s="21"/>
      <c r="G49" s="21"/>
      <c r="H49" s="21"/>
      <c r="I49" s="57"/>
      <c r="J49" s="58">
        <f>SUM($J$50)</f>
        <v>20</v>
      </c>
      <c r="K49" s="18"/>
      <c r="L49" s="22"/>
    </row>
    <row r="50" spans="1:12" ht="11.1" customHeight="1" outlineLevel="4" x14ac:dyDescent="0.2">
      <c r="A50" s="23"/>
      <c r="B50" s="24" t="s">
        <v>61</v>
      </c>
      <c r="C50" s="25"/>
      <c r="D50" s="25"/>
      <c r="E50" s="26" t="s">
        <v>27</v>
      </c>
      <c r="F50" s="27"/>
      <c r="G50" s="28">
        <v>2</v>
      </c>
      <c r="H50" s="28">
        <f>SUM($G$50:$G$50)</f>
        <v>2</v>
      </c>
      <c r="I50" s="59">
        <f t="array" ref="I50">INDEX(Р[Цена за ед., руб],MATCH(1,IF(($B50=Р[Наименование])*($K50=Р[Примечание]),{1},($B50=Р[Наименование])*($K50=Р[Примечание])),0))</f>
        <v>10</v>
      </c>
      <c r="J50" s="59">
        <f>ROUND($H$50*$I$50,2)</f>
        <v>20</v>
      </c>
      <c r="K50" s="25"/>
      <c r="L50" s="25"/>
    </row>
    <row r="51" spans="1:12" ht="11.1" customHeight="1" outlineLevel="4" x14ac:dyDescent="0.2">
      <c r="A51" s="20"/>
      <c r="B51" s="14" t="s">
        <v>28</v>
      </c>
      <c r="C51" s="21"/>
      <c r="D51" s="21"/>
      <c r="E51" s="21"/>
      <c r="F51" s="21"/>
      <c r="G51" s="21"/>
      <c r="H51" s="21"/>
      <c r="I51" s="57"/>
      <c r="J51" s="58">
        <f>SUM($J$52)</f>
        <v>24</v>
      </c>
      <c r="K51" s="18"/>
      <c r="L51" s="22"/>
    </row>
    <row r="52" spans="1:12" ht="11.1" customHeight="1" outlineLevel="4" x14ac:dyDescent="0.2">
      <c r="A52" s="92" t="s">
        <v>29</v>
      </c>
      <c r="B52" s="24" t="s">
        <v>62</v>
      </c>
      <c r="C52" s="25"/>
      <c r="D52" s="25" t="s">
        <v>63</v>
      </c>
      <c r="E52" s="26" t="s">
        <v>32</v>
      </c>
      <c r="F52" s="27"/>
      <c r="G52" s="28">
        <v>2</v>
      </c>
      <c r="H52" s="28">
        <f>SUM($G$52:$G$52)</f>
        <v>2</v>
      </c>
      <c r="I52" s="59">
        <f t="array" ref="I52">INDEX(М[Цена за ед., руб],MATCH(1,IF(($B52=М[Наим.])*($C52=М[Артикул, марка, произв.])*($D52=М[Хар-ка])*($K52=М[Прим.]),{1},($B52=М[Наим.])*($C52=М[Артикул, марка, произв.])*($D52=М[Хар-ка])*($K52=М[Прим.])),0))</f>
        <v>12</v>
      </c>
      <c r="J52" s="59">
        <f>ROUND($H$52*$I$52,2)</f>
        <v>24</v>
      </c>
      <c r="K52" s="25"/>
      <c r="L52" s="25">
        <f t="array" ref="L52">INDEX(М[Форма закупа],MATCH(1,IF(($B52=М[Наим.])*($C52=М[Артикул,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</row>
    <row r="53" spans="1:12" ht="11.1" customHeight="1" outlineLevel="4" x14ac:dyDescent="0.2">
      <c r="A53" s="20"/>
      <c r="B53" s="14" t="s">
        <v>22</v>
      </c>
      <c r="C53" s="21"/>
      <c r="D53" s="21"/>
      <c r="E53" s="21"/>
      <c r="F53" s="21"/>
      <c r="G53" s="21"/>
      <c r="H53" s="21"/>
      <c r="I53" s="57"/>
      <c r="J53" s="58">
        <f>SUM($J$54)</f>
        <v>594</v>
      </c>
      <c r="K53" s="18"/>
      <c r="L53" s="22"/>
    </row>
    <row r="54" spans="1:12" ht="11.1" customHeight="1" outlineLevel="4" x14ac:dyDescent="0.2">
      <c r="A54" s="23"/>
      <c r="B54" s="24" t="s">
        <v>64</v>
      </c>
      <c r="C54" s="25"/>
      <c r="D54" s="25"/>
      <c r="E54" s="26" t="s">
        <v>27</v>
      </c>
      <c r="F54" s="27"/>
      <c r="G54" s="28">
        <v>54</v>
      </c>
      <c r="H54" s="28">
        <f>SUM($G$54:$G$54)</f>
        <v>54</v>
      </c>
      <c r="I54" s="59">
        <f t="array" ref="I54">INDEX(Р[Цена за ед., руб],MATCH(1,IF(($B54=Р[Наименование])*($K54=Р[Примечание]),{1},($B54=Р[Наименование])*($K54=Р[Примечание])),0))</f>
        <v>11</v>
      </c>
      <c r="J54" s="59">
        <f>ROUND($H$54*$I$54,2)</f>
        <v>594</v>
      </c>
      <c r="K54" s="25"/>
      <c r="L54" s="25"/>
    </row>
    <row r="55" spans="1:12" ht="11.1" customHeight="1" outlineLevel="4" x14ac:dyDescent="0.2">
      <c r="A55" s="20"/>
      <c r="B55" s="14" t="s">
        <v>28</v>
      </c>
      <c r="C55" s="21"/>
      <c r="D55" s="21"/>
      <c r="E55" s="21"/>
      <c r="F55" s="21"/>
      <c r="G55" s="21"/>
      <c r="H55" s="21"/>
      <c r="I55" s="57"/>
      <c r="J55" s="58">
        <f>SUM($J$56)</f>
        <v>1512</v>
      </c>
      <c r="K55" s="18"/>
      <c r="L55" s="22"/>
    </row>
    <row r="56" spans="1:12" ht="23.1" customHeight="1" outlineLevel="4" x14ac:dyDescent="0.2">
      <c r="A56" s="92" t="s">
        <v>29</v>
      </c>
      <c r="B56" s="24" t="s">
        <v>65</v>
      </c>
      <c r="C56" s="25"/>
      <c r="D56" s="25" t="s">
        <v>66</v>
      </c>
      <c r="E56" s="26" t="s">
        <v>32</v>
      </c>
      <c r="F56" s="27"/>
      <c r="G56" s="28">
        <v>54</v>
      </c>
      <c r="H56" s="28">
        <f>SUM($G$56:$G$56)</f>
        <v>54</v>
      </c>
      <c r="I56" s="59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28</v>
      </c>
      <c r="J56" s="59">
        <f>ROUND($H$56*$I$56,2)</f>
        <v>1512</v>
      </c>
      <c r="K56" s="25"/>
      <c r="L56" s="25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</row>
    <row r="57" spans="1:12" ht="11.1" customHeight="1" outlineLevel="2" x14ac:dyDescent="0.2">
      <c r="A57" s="13" t="s">
        <v>68</v>
      </c>
      <c r="B57" s="14" t="s">
        <v>69</v>
      </c>
      <c r="C57" s="15"/>
      <c r="D57" s="15"/>
      <c r="E57" s="16"/>
      <c r="F57" s="17"/>
      <c r="G57" s="18"/>
      <c r="H57" s="18"/>
      <c r="I57" s="56"/>
      <c r="J57" s="56">
        <f>SUM($J$58)</f>
        <v>15460</v>
      </c>
      <c r="K57" s="19"/>
      <c r="L57" s="19"/>
    </row>
    <row r="58" spans="1:12" ht="11.1" customHeight="1" outlineLevel="3" x14ac:dyDescent="0.2">
      <c r="A58" s="13" t="s">
        <v>70</v>
      </c>
      <c r="B58" s="14" t="s">
        <v>69</v>
      </c>
      <c r="C58" s="15"/>
      <c r="D58" s="15"/>
      <c r="E58" s="16"/>
      <c r="F58" s="17"/>
      <c r="G58" s="18"/>
      <c r="H58" s="18"/>
      <c r="I58" s="56"/>
      <c r="J58" s="56">
        <f>SUM($J$80,$J$78,$J$76,$J$74,$J$72,$J$70,$J$68,$J$66,$J$63,$J$61,$J$59)</f>
        <v>15460</v>
      </c>
      <c r="K58" s="19"/>
      <c r="L58" s="19"/>
    </row>
    <row r="59" spans="1:12" ht="11.1" customHeight="1" outlineLevel="4" x14ac:dyDescent="0.2">
      <c r="A59" s="20"/>
      <c r="B59" s="14" t="s">
        <v>22</v>
      </c>
      <c r="C59" s="21"/>
      <c r="D59" s="21"/>
      <c r="E59" s="21"/>
      <c r="F59" s="21"/>
      <c r="G59" s="21"/>
      <c r="H59" s="21"/>
      <c r="I59" s="57"/>
      <c r="J59" s="58">
        <f>SUM($J$60)</f>
        <v>1236</v>
      </c>
      <c r="K59" s="18"/>
      <c r="L59" s="22"/>
    </row>
    <row r="60" spans="1:12" ht="11.1" customHeight="1" outlineLevel="4" x14ac:dyDescent="0.2">
      <c r="A60" s="23"/>
      <c r="B60" s="24" t="s">
        <v>71</v>
      </c>
      <c r="C60" s="25"/>
      <c r="D60" s="25"/>
      <c r="E60" s="26" t="s">
        <v>24</v>
      </c>
      <c r="F60" s="27"/>
      <c r="G60" s="28">
        <v>103</v>
      </c>
      <c r="H60" s="28">
        <f>SUM($G$60:$G$60)</f>
        <v>103</v>
      </c>
      <c r="I60" s="59">
        <f t="array" ref="I60">INDEX(Р[Цена за ед., руб],MATCH(1,IF(($B60=Р[Наименование])*($K60=Р[Примечание]),{1},($B60=Р[Наименование])*($K60=Р[Примечание])),0))</f>
        <v>12</v>
      </c>
      <c r="J60" s="59">
        <f>ROUND($H$60*$I$60,2)</f>
        <v>1236</v>
      </c>
      <c r="K60" s="25"/>
      <c r="L60" s="25"/>
    </row>
    <row r="61" spans="1:12" ht="11.1" customHeight="1" outlineLevel="4" x14ac:dyDescent="0.2">
      <c r="A61" s="20"/>
      <c r="B61" s="14" t="s">
        <v>22</v>
      </c>
      <c r="C61" s="21"/>
      <c r="D61" s="21"/>
      <c r="E61" s="21"/>
      <c r="F61" s="21"/>
      <c r="G61" s="21"/>
      <c r="H61" s="21"/>
      <c r="I61" s="57"/>
      <c r="J61" s="58">
        <f>SUM($J$62)</f>
        <v>345</v>
      </c>
      <c r="K61" s="18"/>
      <c r="L61" s="22"/>
    </row>
    <row r="62" spans="1:12" ht="11.1" customHeight="1" outlineLevel="4" x14ac:dyDescent="0.2">
      <c r="A62" s="23"/>
      <c r="B62" s="24" t="s">
        <v>26</v>
      </c>
      <c r="C62" s="25"/>
      <c r="D62" s="25"/>
      <c r="E62" s="26" t="s">
        <v>27</v>
      </c>
      <c r="F62" s="27"/>
      <c r="G62" s="28">
        <v>115</v>
      </c>
      <c r="H62" s="28">
        <f>SUM($G$62:$G$62)</f>
        <v>115</v>
      </c>
      <c r="I62" s="59">
        <f t="array" ref="I62">INDEX(Р[Цена за ед., руб],MATCH(1,IF(($B62=Р[Наименование])*($K62=Р[Примечание]),{1},($B62=Р[Наименование])*($K62=Р[Примечание])),0))</f>
        <v>3</v>
      </c>
      <c r="J62" s="59">
        <f>ROUND($H$62*$I$62,2)</f>
        <v>345</v>
      </c>
      <c r="K62" s="25"/>
      <c r="L62" s="25"/>
    </row>
    <row r="63" spans="1:12" ht="11.1" customHeight="1" outlineLevel="4" x14ac:dyDescent="0.2">
      <c r="A63" s="20"/>
      <c r="B63" s="14" t="s">
        <v>28</v>
      </c>
      <c r="C63" s="21"/>
      <c r="D63" s="21"/>
      <c r="E63" s="21"/>
      <c r="F63" s="21"/>
      <c r="G63" s="21"/>
      <c r="H63" s="21"/>
      <c r="I63" s="57"/>
      <c r="J63" s="58">
        <f>SUM($J$64:$J$65)</f>
        <v>905</v>
      </c>
      <c r="K63" s="18"/>
      <c r="L63" s="22"/>
    </row>
    <row r="64" spans="1:12" ht="11.1" customHeight="1" outlineLevel="4" x14ac:dyDescent="0.2">
      <c r="A64" s="23" t="s">
        <v>29</v>
      </c>
      <c r="B64" s="24" t="s">
        <v>72</v>
      </c>
      <c r="C64" s="25"/>
      <c r="D64" s="25" t="s">
        <v>73</v>
      </c>
      <c r="E64" s="26" t="s">
        <v>32</v>
      </c>
      <c r="F64" s="27"/>
      <c r="G64" s="28">
        <v>15</v>
      </c>
      <c r="H64" s="28">
        <f>SUM($G$64:$G$64)</f>
        <v>15</v>
      </c>
      <c r="I64" s="59">
        <f t="array" ref="I64">INDEX(М[Цена за ед., руб],MATCH(1,IF(($B64=М[Наим.])*($C64=М[Артикул, марка, произв.])*($D64=М[Хар-ка])*($K64=М[Прим.]),{1},($B64=М[Наим.])*($C64=М[Артикул, марка, произв.])*($D64=М[Хар-ка])*($K64=М[Прим.])),0))</f>
        <v>7</v>
      </c>
      <c r="J64" s="59">
        <f>ROUND($H$64*$I$64,2)</f>
        <v>105</v>
      </c>
      <c r="K64" s="25"/>
      <c r="L64" s="25">
        <f t="array" ref="L64">INDEX(М[Форма закупа],MATCH(1,IF(($B64=М[Наим.])*($C64=М[Артикул,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</row>
    <row r="65" spans="1:12" ht="35.1" customHeight="1" outlineLevel="4" x14ac:dyDescent="0.2">
      <c r="A65" s="23" t="s">
        <v>33</v>
      </c>
      <c r="B65" s="24" t="s">
        <v>72</v>
      </c>
      <c r="C65" s="25"/>
      <c r="D65" s="25" t="s">
        <v>74</v>
      </c>
      <c r="E65" s="26" t="s">
        <v>32</v>
      </c>
      <c r="F65" s="27"/>
      <c r="G65" s="28">
        <v>100</v>
      </c>
      <c r="H65" s="28">
        <f>SUM($G$65:$G$65)</f>
        <v>100</v>
      </c>
      <c r="I65" s="59">
        <f t="array" ref="I65">INDEX(М[Цена за ед., руб],MATCH(1,IF(($B65=М[Наим.])*($C65=М[Артикул, марка, произв.])*($D65=М[Хар-ка])*($K65=М[Прим.]),{1},($B65=М[Наим.])*($C65=М[Артикул, марка, произв.])*($D65=М[Хар-ка])*($K65=М[Прим.])),0))</f>
        <v>8</v>
      </c>
      <c r="J65" s="59">
        <f>ROUND($H$65*$I$65,2)</f>
        <v>800</v>
      </c>
      <c r="K65" s="25"/>
      <c r="L65" s="25">
        <f t="array" ref="L65">INDEX(М[Форма закупа],MATCH(1,IF(($B65=М[Наим.])*($C65=М[Артикул,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</row>
    <row r="66" spans="1:12" ht="11.1" customHeight="1" outlineLevel="4" x14ac:dyDescent="0.2">
      <c r="A66" s="20"/>
      <c r="B66" s="14" t="s">
        <v>22</v>
      </c>
      <c r="C66" s="21"/>
      <c r="D66" s="21"/>
      <c r="E66" s="21"/>
      <c r="F66" s="21"/>
      <c r="G66" s="21"/>
      <c r="H66" s="21"/>
      <c r="I66" s="57"/>
      <c r="J66" s="58">
        <f>SUM($J$67)</f>
        <v>56</v>
      </c>
      <c r="K66" s="18"/>
      <c r="L66" s="22"/>
    </row>
    <row r="67" spans="1:12" ht="11.1" customHeight="1" outlineLevel="4" x14ac:dyDescent="0.2">
      <c r="A67" s="23"/>
      <c r="B67" s="24" t="s">
        <v>36</v>
      </c>
      <c r="C67" s="25"/>
      <c r="D67" s="25"/>
      <c r="E67" s="26" t="s">
        <v>37</v>
      </c>
      <c r="F67" s="27"/>
      <c r="G67" s="28">
        <v>14</v>
      </c>
      <c r="H67" s="28">
        <f>SUM($G$67:$G$67)</f>
        <v>14</v>
      </c>
      <c r="I67" s="59">
        <f t="array" ref="I67">INDEX(Р[Цена за ед., руб],MATCH(1,IF(($B67=Р[Наименование])*($K67=Р[Примечание]),{1},($B67=Р[Наименование])*($K67=Р[Примечание])),0))</f>
        <v>4</v>
      </c>
      <c r="J67" s="59">
        <f>ROUND($H$67*$I$67,2)</f>
        <v>56</v>
      </c>
      <c r="K67" s="25"/>
      <c r="L67" s="25"/>
    </row>
    <row r="68" spans="1:12" ht="11.1" customHeight="1" outlineLevel="4" x14ac:dyDescent="0.2">
      <c r="A68" s="20"/>
      <c r="B68" s="14" t="s">
        <v>28</v>
      </c>
      <c r="C68" s="21"/>
      <c r="D68" s="21"/>
      <c r="E68" s="21"/>
      <c r="F68" s="21"/>
      <c r="G68" s="21"/>
      <c r="H68" s="21"/>
      <c r="I68" s="57"/>
      <c r="J68" s="58">
        <f>SUM($J$69)</f>
        <v>42</v>
      </c>
      <c r="K68" s="18"/>
      <c r="L68" s="22"/>
    </row>
    <row r="69" spans="1:12" ht="47.1" customHeight="1" outlineLevel="4" x14ac:dyDescent="0.2">
      <c r="A69" s="23" t="s">
        <v>29</v>
      </c>
      <c r="B69" s="24" t="s">
        <v>38</v>
      </c>
      <c r="C69" s="25"/>
      <c r="D69" s="25" t="s">
        <v>75</v>
      </c>
      <c r="E69" s="26" t="s">
        <v>37</v>
      </c>
      <c r="F69" s="27"/>
      <c r="G69" s="28">
        <v>14</v>
      </c>
      <c r="H69" s="28">
        <f>SUM($G$69:$G$69)</f>
        <v>14</v>
      </c>
      <c r="I69" s="59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3</v>
      </c>
      <c r="J69" s="59">
        <f>ROUND($H$69*$I$69,2)</f>
        <v>42</v>
      </c>
      <c r="K69" s="25" t="s">
        <v>40</v>
      </c>
      <c r="L69" s="25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</row>
    <row r="70" spans="1:12" ht="11.1" customHeight="1" outlineLevel="4" x14ac:dyDescent="0.2">
      <c r="A70" s="20"/>
      <c r="B70" s="14" t="s">
        <v>22</v>
      </c>
      <c r="C70" s="21"/>
      <c r="D70" s="21"/>
      <c r="E70" s="21"/>
      <c r="F70" s="21"/>
      <c r="G70" s="21"/>
      <c r="H70" s="21"/>
      <c r="I70" s="57"/>
      <c r="J70" s="58">
        <f>SUM($J$71)</f>
        <v>600</v>
      </c>
      <c r="K70" s="18"/>
      <c r="L70" s="22"/>
    </row>
    <row r="71" spans="1:12" ht="11.1" customHeight="1" outlineLevel="4" x14ac:dyDescent="0.2">
      <c r="A71" s="23"/>
      <c r="B71" s="24" t="s">
        <v>44</v>
      </c>
      <c r="C71" s="25"/>
      <c r="D71" s="25"/>
      <c r="E71" s="26" t="s">
        <v>24</v>
      </c>
      <c r="F71" s="27"/>
      <c r="G71" s="28">
        <v>100</v>
      </c>
      <c r="H71" s="28">
        <f>SUM($G$71:$G$71)</f>
        <v>100</v>
      </c>
      <c r="I71" s="59">
        <f t="array" ref="I71">INDEX(Р[Цена за ед., руб],MATCH(1,IF(($B71=Р[Наименование])*($K71=Р[Примечание]),{1},($B71=Р[Наименование])*($K71=Р[Примечание])),0))</f>
        <v>6</v>
      </c>
      <c r="J71" s="59">
        <f>ROUND($H$71*$I$71,2)</f>
        <v>600</v>
      </c>
      <c r="K71" s="25"/>
      <c r="L71" s="25"/>
    </row>
    <row r="72" spans="1:12" ht="11.1" customHeight="1" outlineLevel="4" x14ac:dyDescent="0.2">
      <c r="A72" s="20"/>
      <c r="B72" s="14" t="s">
        <v>28</v>
      </c>
      <c r="C72" s="21"/>
      <c r="D72" s="21"/>
      <c r="E72" s="21"/>
      <c r="F72" s="21"/>
      <c r="G72" s="21"/>
      <c r="H72" s="21"/>
      <c r="I72" s="57"/>
      <c r="J72" s="58">
        <f>SUM($J$73:$J$73)</f>
        <v>3100</v>
      </c>
      <c r="K72" s="18"/>
      <c r="L72" s="22"/>
    </row>
    <row r="73" spans="1:12" ht="11.1" customHeight="1" outlineLevel="4" x14ac:dyDescent="0.2">
      <c r="A73" s="23" t="s">
        <v>29</v>
      </c>
      <c r="B73" s="24" t="s">
        <v>45</v>
      </c>
      <c r="C73" s="25"/>
      <c r="D73" s="25" t="s">
        <v>47</v>
      </c>
      <c r="E73" s="26" t="s">
        <v>24</v>
      </c>
      <c r="F73" s="27"/>
      <c r="G73" s="28">
        <v>100</v>
      </c>
      <c r="H73" s="28">
        <f>SUM($G$73:$G$73)</f>
        <v>100</v>
      </c>
      <c r="I73" s="59">
        <f t="array" ref="I73">INDEX(М[Цена за ед., руб],MATCH(1,IF(($B73=М[Наим.])*($C73=М[Артикул, марка, произв.])*($D73=М[Хар-ка])*($K73=М[Прим.]),{1},($B73=М[Наим.])*($C73=М[Артикул, марка, произв.])*($D73=М[Хар-ка])*($K73=М[Прим.])),0))</f>
        <v>31</v>
      </c>
      <c r="J73" s="59">
        <f>ROUND($H$73*$I$73,2)</f>
        <v>3100</v>
      </c>
      <c r="K73" s="25"/>
      <c r="L73" s="25">
        <f t="array" ref="L73">INDEX(М[Форма закупа],MATCH(1,IF(($B73=М[Наим.])*($C73=М[Артикул,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</row>
    <row r="74" spans="1:12" ht="11.1" customHeight="1" outlineLevel="4" x14ac:dyDescent="0.2">
      <c r="A74" s="20"/>
      <c r="B74" s="14" t="s">
        <v>22</v>
      </c>
      <c r="C74" s="21"/>
      <c r="D74" s="21"/>
      <c r="E74" s="21"/>
      <c r="F74" s="21"/>
      <c r="G74" s="21"/>
      <c r="H74" s="21"/>
      <c r="I74" s="57"/>
      <c r="J74" s="58">
        <f>SUM($J$75)</f>
        <v>56</v>
      </c>
      <c r="K74" s="18"/>
      <c r="L74" s="22"/>
    </row>
    <row r="75" spans="1:12" ht="11.1" customHeight="1" outlineLevel="4" x14ac:dyDescent="0.2">
      <c r="A75" s="23"/>
      <c r="B75" s="24" t="s">
        <v>48</v>
      </c>
      <c r="C75" s="25"/>
      <c r="D75" s="25"/>
      <c r="E75" s="26" t="s">
        <v>24</v>
      </c>
      <c r="F75" s="27"/>
      <c r="G75" s="28">
        <v>8</v>
      </c>
      <c r="H75" s="28">
        <f>SUM($G$75:$G$75)</f>
        <v>8</v>
      </c>
      <c r="I75" s="59">
        <f t="array" ref="I75">INDEX(Р[Цена за ед., руб],MATCH(1,IF(($B75=Р[Наименование])*($K75=Р[Примечание]),{1},($B75=Р[Наименование])*($K75=Р[Примечание])),0))</f>
        <v>7</v>
      </c>
      <c r="J75" s="59">
        <f>ROUND($H$75*$I$75,2)</f>
        <v>56</v>
      </c>
      <c r="K75" s="25"/>
      <c r="L75" s="25"/>
    </row>
    <row r="76" spans="1:12" ht="11.1" customHeight="1" outlineLevel="4" x14ac:dyDescent="0.2">
      <c r="A76" s="20"/>
      <c r="B76" s="14" t="s">
        <v>28</v>
      </c>
      <c r="C76" s="21"/>
      <c r="D76" s="21"/>
      <c r="E76" s="21"/>
      <c r="F76" s="21"/>
      <c r="G76" s="21"/>
      <c r="H76" s="21"/>
      <c r="I76" s="57"/>
      <c r="J76" s="58">
        <f>SUM($J$77:$J$77)</f>
        <v>168</v>
      </c>
      <c r="K76" s="18"/>
      <c r="L76" s="22"/>
    </row>
    <row r="77" spans="1:12" ht="11.1" customHeight="1" outlineLevel="4" x14ac:dyDescent="0.2">
      <c r="A77" s="23" t="s">
        <v>29</v>
      </c>
      <c r="B77" s="24" t="s">
        <v>49</v>
      </c>
      <c r="C77" s="25"/>
      <c r="D77" s="25" t="s">
        <v>76</v>
      </c>
      <c r="E77" s="26" t="s">
        <v>24</v>
      </c>
      <c r="F77" s="27"/>
      <c r="G77" s="28">
        <v>8</v>
      </c>
      <c r="H77" s="28">
        <f>SUM($G$77:$G$77)</f>
        <v>8</v>
      </c>
      <c r="I77" s="59">
        <f t="array" ref="I77">INDEX(М[Цена за ед., руб],MATCH(1,IF(($B77=М[Наим.])*($C77=М[Артикул, марка, произв.])*($D77=М[Хар-ка])*($K77=М[Прим.]),{1},($B77=М[Наим.])*($C77=М[Артикул, марка, произв.])*($D77=М[Хар-ка])*($K77=М[Прим.])),0))</f>
        <v>21</v>
      </c>
      <c r="J77" s="59">
        <f>ROUND($H$77*$I$77,2)</f>
        <v>168</v>
      </c>
      <c r="K77" s="25"/>
      <c r="L77" s="25">
        <f t="array" ref="L77">INDEX(М[Форма закупа],MATCH(1,IF(($B77=М[Наим.])*($C77=М[Артикул,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</row>
    <row r="78" spans="1:12" ht="11.1" customHeight="1" outlineLevel="4" x14ac:dyDescent="0.2">
      <c r="A78" s="20"/>
      <c r="B78" s="14" t="s">
        <v>22</v>
      </c>
      <c r="C78" s="21"/>
      <c r="D78" s="21"/>
      <c r="E78" s="21"/>
      <c r="F78" s="21"/>
      <c r="G78" s="21"/>
      <c r="H78" s="21"/>
      <c r="I78" s="57"/>
      <c r="J78" s="58">
        <f>SUM($J$79)</f>
        <v>4849</v>
      </c>
      <c r="K78" s="18"/>
      <c r="L78" s="22"/>
    </row>
    <row r="79" spans="1:12" ht="11.1" customHeight="1" outlineLevel="4" x14ac:dyDescent="0.2">
      <c r="A79" s="23"/>
      <c r="B79" s="24" t="s">
        <v>77</v>
      </c>
      <c r="C79" s="25"/>
      <c r="D79" s="25"/>
      <c r="E79" s="26" t="s">
        <v>27</v>
      </c>
      <c r="F79" s="27"/>
      <c r="G79" s="28">
        <v>373</v>
      </c>
      <c r="H79" s="28">
        <f>SUM($G$79:$G$79)</f>
        <v>373</v>
      </c>
      <c r="I79" s="59">
        <f t="array" ref="I79">INDEX(Р[Цена за ед., руб],MATCH(1,IF(($B79=Р[Наименование])*($K79=Р[Примечание]),{1},($B79=Р[Наименование])*($K79=Р[Примечание])),0))</f>
        <v>13</v>
      </c>
      <c r="J79" s="59">
        <f>ROUND($H$79*$I$79,2)</f>
        <v>4849</v>
      </c>
      <c r="K79" s="25"/>
      <c r="L79" s="25"/>
    </row>
    <row r="80" spans="1:12" ht="11.1" customHeight="1" outlineLevel="4" x14ac:dyDescent="0.2">
      <c r="A80" s="20"/>
      <c r="B80" s="14" t="s">
        <v>28</v>
      </c>
      <c r="C80" s="21"/>
      <c r="D80" s="21"/>
      <c r="E80" s="21"/>
      <c r="F80" s="21"/>
      <c r="G80" s="21"/>
      <c r="H80" s="21"/>
      <c r="I80" s="57"/>
      <c r="J80" s="58">
        <f>SUM($J$81)</f>
        <v>4103</v>
      </c>
      <c r="K80" s="18"/>
      <c r="L80" s="22"/>
    </row>
    <row r="81" spans="1:12" ht="23.1" customHeight="1" outlineLevel="4" x14ac:dyDescent="0.2">
      <c r="A81" s="92" t="s">
        <v>29</v>
      </c>
      <c r="B81" s="24" t="s">
        <v>78</v>
      </c>
      <c r="C81" s="25"/>
      <c r="D81" s="25" t="s">
        <v>79</v>
      </c>
      <c r="E81" s="26" t="s">
        <v>32</v>
      </c>
      <c r="F81" s="27"/>
      <c r="G81" s="28">
        <v>373</v>
      </c>
      <c r="H81" s="28">
        <f>SUM($G$81:$G$81)</f>
        <v>373</v>
      </c>
      <c r="I81" s="59">
        <f t="array" ref="I81">INDEX(М[Цена за ед., руб],MATCH(1,IF(($B81=М[Наим.])*($C81=М[Артикул, марка, произв.])*($D81=М[Хар-ка])*($K81=М[Прим.]),{1},($B81=М[Наим.])*($C81=М[Артикул, марка, произв.])*($D81=М[Хар-ка])*($K81=М[Прим.])),0))</f>
        <v>11</v>
      </c>
      <c r="J81" s="59">
        <f>ROUND($H$81*$I$81,2)</f>
        <v>4103</v>
      </c>
      <c r="K81" s="25"/>
      <c r="L81" s="25">
        <f t="array" ref="L81">INDEX(М[Форма закупа],MATCH(1,IF(($B81=М[Наим.])*($C81=М[Артикул, марка, произв.])*($D81=М[Хар-ка])*($K81=М[Прим.]),{1},($B81=М[Наим.])*($C81=М[Артикул, марка, произв.])*($D81=М[Хар-ка])*($K81=М[Прим.])),0))</f>
        <v>0</v>
      </c>
    </row>
    <row r="82" spans="1:12" ht="11.1" customHeight="1" outlineLevel="2" x14ac:dyDescent="0.2">
      <c r="A82" s="13" t="s">
        <v>80</v>
      </c>
      <c r="B82" s="14" t="s">
        <v>81</v>
      </c>
      <c r="C82" s="15"/>
      <c r="D82" s="15"/>
      <c r="E82" s="16"/>
      <c r="F82" s="17"/>
      <c r="G82" s="18"/>
      <c r="H82" s="18"/>
      <c r="I82" s="56"/>
      <c r="J82" s="56">
        <f>SUM($J$83)</f>
        <v>182085.6</v>
      </c>
      <c r="K82" s="19"/>
      <c r="L82" s="19"/>
    </row>
    <row r="83" spans="1:12" ht="11.1" customHeight="1" outlineLevel="3" x14ac:dyDescent="0.2">
      <c r="A83" s="13" t="s">
        <v>82</v>
      </c>
      <c r="B83" s="14" t="s">
        <v>81</v>
      </c>
      <c r="C83" s="15"/>
      <c r="D83" s="15"/>
      <c r="E83" s="16"/>
      <c r="F83" s="17"/>
      <c r="G83" s="18"/>
      <c r="H83" s="18"/>
      <c r="I83" s="56"/>
      <c r="J83" s="56">
        <f>SUM($J$112,$J$110,$J$107,$J$105,$J$103,$J$101,$J$99,$J$97,$J$95,$J$93,$J$91,$J$88,$J$86,$J$84)</f>
        <v>182085.6</v>
      </c>
      <c r="K83" s="19"/>
      <c r="L83" s="19"/>
    </row>
    <row r="84" spans="1:12" ht="11.1" customHeight="1" outlineLevel="4" x14ac:dyDescent="0.2">
      <c r="A84" s="20"/>
      <c r="B84" s="14" t="s">
        <v>22</v>
      </c>
      <c r="C84" s="21"/>
      <c r="D84" s="21"/>
      <c r="E84" s="21"/>
      <c r="F84" s="21"/>
      <c r="G84" s="21"/>
      <c r="H84" s="21"/>
      <c r="I84" s="57"/>
      <c r="J84" s="58">
        <f>SUM($J$85)</f>
        <v>2688</v>
      </c>
      <c r="K84" s="18"/>
      <c r="L84" s="22"/>
    </row>
    <row r="85" spans="1:12" ht="11.1" customHeight="1" outlineLevel="4" x14ac:dyDescent="0.2">
      <c r="A85" s="23"/>
      <c r="B85" s="24" t="s">
        <v>83</v>
      </c>
      <c r="C85" s="25"/>
      <c r="D85" s="25"/>
      <c r="E85" s="26" t="s">
        <v>24</v>
      </c>
      <c r="F85" s="27"/>
      <c r="G85" s="28">
        <v>192</v>
      </c>
      <c r="H85" s="28">
        <f>SUM($G$85:$G$85)</f>
        <v>192</v>
      </c>
      <c r="I85" s="59">
        <f t="array" ref="I85">INDEX(Р[Цена за ед., руб],MATCH(1,IF(($B85=Р[Наименование])*($K85=Р[Примечание]),{1},($B85=Р[Наименование])*($K85=Р[Примечание])),0))</f>
        <v>14</v>
      </c>
      <c r="J85" s="59">
        <f>ROUND($H$85*$I$85,2)</f>
        <v>2688</v>
      </c>
      <c r="K85" s="25"/>
      <c r="L85" s="25"/>
    </row>
    <row r="86" spans="1:12" ht="11.1" customHeight="1" outlineLevel="4" x14ac:dyDescent="0.2">
      <c r="A86" s="20"/>
      <c r="B86" s="14" t="s">
        <v>22</v>
      </c>
      <c r="C86" s="21"/>
      <c r="D86" s="21"/>
      <c r="E86" s="21"/>
      <c r="F86" s="21"/>
      <c r="G86" s="21"/>
      <c r="H86" s="21"/>
      <c r="I86" s="57"/>
      <c r="J86" s="58">
        <f>SUM($J$87)</f>
        <v>10032</v>
      </c>
      <c r="K86" s="18"/>
      <c r="L86" s="22"/>
    </row>
    <row r="87" spans="1:12" ht="11.1" customHeight="1" outlineLevel="4" x14ac:dyDescent="0.2">
      <c r="A87" s="23"/>
      <c r="B87" s="24" t="s">
        <v>26</v>
      </c>
      <c r="C87" s="25"/>
      <c r="D87" s="25"/>
      <c r="E87" s="26" t="s">
        <v>27</v>
      </c>
      <c r="F87" s="27"/>
      <c r="G87" s="30">
        <v>3344</v>
      </c>
      <c r="H87" s="30">
        <f>SUM($G$87:$G$87)</f>
        <v>3344</v>
      </c>
      <c r="I87" s="59">
        <f t="array" ref="I87">INDEX(Р[Цена за ед., руб],MATCH(1,IF(($B87=Р[Наименование])*($K87=Р[Примечание]),{1},($B87=Р[Наименование])*($K87=Р[Примечание])),0))</f>
        <v>3</v>
      </c>
      <c r="J87" s="59">
        <f>ROUND($H$87*$I$87,2)</f>
        <v>10032</v>
      </c>
      <c r="K87" s="25"/>
      <c r="L87" s="25"/>
    </row>
    <row r="88" spans="1:12" ht="11.1" customHeight="1" outlineLevel="4" x14ac:dyDescent="0.2">
      <c r="A88" s="20"/>
      <c r="B88" s="14" t="s">
        <v>28</v>
      </c>
      <c r="C88" s="21"/>
      <c r="D88" s="21"/>
      <c r="E88" s="21"/>
      <c r="F88" s="21"/>
      <c r="G88" s="21"/>
      <c r="H88" s="21"/>
      <c r="I88" s="57"/>
      <c r="J88" s="58">
        <f>SUM($J$89:$J$90)</f>
        <v>33712</v>
      </c>
      <c r="K88" s="18"/>
      <c r="L88" s="22"/>
    </row>
    <row r="89" spans="1:12" ht="11.1" customHeight="1" outlineLevel="4" x14ac:dyDescent="0.2">
      <c r="A89" s="23" t="s">
        <v>29</v>
      </c>
      <c r="B89" s="24" t="s">
        <v>84</v>
      </c>
      <c r="C89" s="25"/>
      <c r="D89" s="25" t="s">
        <v>85</v>
      </c>
      <c r="E89" s="26" t="s">
        <v>32</v>
      </c>
      <c r="F89" s="27"/>
      <c r="G89" s="30">
        <v>2688</v>
      </c>
      <c r="H89" s="30">
        <f>SUM($G$89:$G$89)</f>
        <v>2688</v>
      </c>
      <c r="I89" s="59">
        <f t="array" ref="I89">INDEX(М[Цена за ед., руб],MATCH(1,IF(($B89=М[Наим.])*($C89=М[Артикул, марка, произв.])*($D89=М[Хар-ка])*($K89=М[Прим.]),{1},($B89=М[Наим.])*($C89=М[Артикул, марка, произв.])*($D89=М[Хар-ка])*($K89=М[Прим.])),0))</f>
        <v>4</v>
      </c>
      <c r="J89" s="59">
        <f>ROUND($H$89*$I$89,2)</f>
        <v>10752</v>
      </c>
      <c r="K89" s="25"/>
      <c r="L89" s="25">
        <f t="array" ref="L89">INDEX(М[Форма закупа],MATCH(1,IF(($B89=М[Наим.])*($C89=М[Артикул,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</row>
    <row r="90" spans="1:12" ht="35.1" customHeight="1" outlineLevel="4" x14ac:dyDescent="0.2">
      <c r="A90" s="23" t="s">
        <v>33</v>
      </c>
      <c r="B90" s="24" t="s">
        <v>34</v>
      </c>
      <c r="C90" s="25"/>
      <c r="D90" s="25" t="s">
        <v>86</v>
      </c>
      <c r="E90" s="26" t="s">
        <v>32</v>
      </c>
      <c r="F90" s="27"/>
      <c r="G90" s="28">
        <v>656</v>
      </c>
      <c r="H90" s="28">
        <f>SUM($G$90:$G$90)</f>
        <v>656</v>
      </c>
      <c r="I90" s="59">
        <f t="array" ref="I90">INDEX(М[Цена за ед., руб],MATCH(1,IF(($B90=М[Наим.])*($C90=М[Артикул, марка, произв.])*($D90=М[Хар-ка])*($K90=М[Прим.]),{1},($B90=М[Наим.])*($C90=М[Артикул, марка, произв.])*($D90=М[Хар-ка])*($K90=М[Прим.])),0))</f>
        <v>35</v>
      </c>
      <c r="J90" s="59">
        <f>ROUND($H$90*$I$90,2)</f>
        <v>22960</v>
      </c>
      <c r="K90" s="25"/>
      <c r="L90" s="25">
        <f t="array" ref="L90">INDEX(М[Форма закупа],MATCH(1,IF(($B90=М[Наим.])*($C90=М[Артикул, марка, произв.])*($D90=М[Хар-ка])*($K90=М[Прим.]),{1},($B90=М[Наим.])*($C90=М[Артикул, марка, произв.])*($D90=М[Хар-ка])*($K90=М[Прим.])),0))</f>
        <v>0</v>
      </c>
    </row>
    <row r="91" spans="1:12" ht="11.1" customHeight="1" outlineLevel="4" x14ac:dyDescent="0.2">
      <c r="A91" s="20"/>
      <c r="B91" s="14" t="s">
        <v>22</v>
      </c>
      <c r="C91" s="21"/>
      <c r="D91" s="21"/>
      <c r="E91" s="21"/>
      <c r="F91" s="21"/>
      <c r="G91" s="21"/>
      <c r="H91" s="21"/>
      <c r="I91" s="57"/>
      <c r="J91" s="58">
        <f>SUM($J$92)</f>
        <v>120</v>
      </c>
      <c r="K91" s="18"/>
      <c r="L91" s="22"/>
    </row>
    <row r="92" spans="1:12" ht="11.1" customHeight="1" outlineLevel="4" x14ac:dyDescent="0.2">
      <c r="A92" s="23"/>
      <c r="B92" s="24" t="s">
        <v>36</v>
      </c>
      <c r="C92" s="25"/>
      <c r="D92" s="25"/>
      <c r="E92" s="26" t="s">
        <v>37</v>
      </c>
      <c r="F92" s="27"/>
      <c r="G92" s="28">
        <v>30</v>
      </c>
      <c r="H92" s="28">
        <f>SUM($G$92:$G$92)</f>
        <v>30</v>
      </c>
      <c r="I92" s="59">
        <f t="array" ref="I92">INDEX(Р[Цена за ед., руб],MATCH(1,IF(($B92=Р[Наименование])*($K92=Р[Примечание]),{1},($B92=Р[Наименование])*($K92=Р[Примечание])),0))</f>
        <v>4</v>
      </c>
      <c r="J92" s="59">
        <f>ROUND($H$92*$I$92,2)</f>
        <v>120</v>
      </c>
      <c r="K92" s="25"/>
      <c r="L92" s="25"/>
    </row>
    <row r="93" spans="1:12" ht="11.1" customHeight="1" outlineLevel="4" x14ac:dyDescent="0.2">
      <c r="A93" s="20"/>
      <c r="B93" s="14" t="s">
        <v>28</v>
      </c>
      <c r="C93" s="21"/>
      <c r="D93" s="21"/>
      <c r="E93" s="21"/>
      <c r="F93" s="21"/>
      <c r="G93" s="21"/>
      <c r="H93" s="21"/>
      <c r="I93" s="57"/>
      <c r="J93" s="58">
        <f>SUM($J$94)</f>
        <v>60</v>
      </c>
      <c r="K93" s="18"/>
      <c r="L93" s="22"/>
    </row>
    <row r="94" spans="1:12" ht="23.1" customHeight="1" outlineLevel="4" x14ac:dyDescent="0.2">
      <c r="A94" s="23" t="s">
        <v>29</v>
      </c>
      <c r="B94" s="24" t="s">
        <v>38</v>
      </c>
      <c r="C94" s="25"/>
      <c r="D94" s="25" t="s">
        <v>39</v>
      </c>
      <c r="E94" s="26" t="s">
        <v>37</v>
      </c>
      <c r="F94" s="27"/>
      <c r="G94" s="28">
        <v>30</v>
      </c>
      <c r="H94" s="28">
        <f>SUM($G$94:$G$94)</f>
        <v>30</v>
      </c>
      <c r="I94" s="59">
        <f t="array" ref="I94">INDEX(М[Цена за ед., руб],MATCH(1,IF(($B94=М[Наим.])*($C94=М[Артикул, марка, произв.])*($D94=М[Хар-ка])*($K94=М[Прим.]),{1},($B94=М[Наим.])*($C94=М[Артикул, марка, произв.])*($D94=М[Хар-ка])*($K94=М[Прим.])),0))</f>
        <v>2</v>
      </c>
      <c r="J94" s="59">
        <f>ROUND($H$94*$I$94,2)</f>
        <v>60</v>
      </c>
      <c r="K94" s="25"/>
      <c r="L94" s="25">
        <f t="array" ref="L94">INDEX(М[Форма закупа],MATCH(1,IF(($B94=М[Наим.])*($C94=М[Артикул, марка, произв.])*($D94=М[Хар-ка])*($K94=М[Прим.]),{1},($B94=М[Наим.])*($C94=М[Артикул, марка, произв.])*($D94=М[Хар-ка])*($K94=М[Прим.])),0))</f>
        <v>0</v>
      </c>
    </row>
    <row r="95" spans="1:12" ht="11.1" customHeight="1" outlineLevel="4" x14ac:dyDescent="0.2">
      <c r="A95" s="20"/>
      <c r="B95" s="14" t="s">
        <v>22</v>
      </c>
      <c r="C95" s="21"/>
      <c r="D95" s="21"/>
      <c r="E95" s="21"/>
      <c r="F95" s="21"/>
      <c r="G95" s="21"/>
      <c r="H95" s="21"/>
      <c r="I95" s="57"/>
      <c r="J95" s="58">
        <f>SUM($J$96)</f>
        <v>40</v>
      </c>
      <c r="K95" s="18"/>
      <c r="L95" s="22"/>
    </row>
    <row r="96" spans="1:12" ht="11.1" customHeight="1" outlineLevel="4" x14ac:dyDescent="0.2">
      <c r="A96" s="23"/>
      <c r="B96" s="24" t="s">
        <v>41</v>
      </c>
      <c r="C96" s="25"/>
      <c r="D96" s="25"/>
      <c r="E96" s="26" t="s">
        <v>24</v>
      </c>
      <c r="F96" s="27"/>
      <c r="G96" s="28">
        <v>8</v>
      </c>
      <c r="H96" s="28">
        <f>SUM($G$96:$G$96)</f>
        <v>8</v>
      </c>
      <c r="I96" s="59">
        <f t="array" ref="I96">INDEX(Р[Цена за ед., руб],MATCH(1,IF(($B96=Р[Наименование])*($K96=Р[Примечание]),{1},($B96=Р[Наименование])*($K96=Р[Примечание])),0))</f>
        <v>5</v>
      </c>
      <c r="J96" s="59">
        <f>ROUND($H$96*$I$96,2)</f>
        <v>40</v>
      </c>
      <c r="K96" s="25"/>
      <c r="L96" s="25"/>
    </row>
    <row r="97" spans="1:12" ht="11.1" customHeight="1" outlineLevel="4" x14ac:dyDescent="0.2">
      <c r="A97" s="20"/>
      <c r="B97" s="14" t="s">
        <v>28</v>
      </c>
      <c r="C97" s="21"/>
      <c r="D97" s="21"/>
      <c r="E97" s="21"/>
      <c r="F97" s="21"/>
      <c r="G97" s="21"/>
      <c r="H97" s="21"/>
      <c r="I97" s="57"/>
      <c r="J97" s="58">
        <f>SUM($J$98)</f>
        <v>80</v>
      </c>
      <c r="K97" s="18"/>
      <c r="L97" s="22"/>
    </row>
    <row r="98" spans="1:12" ht="23.1" customHeight="1" outlineLevel="4" x14ac:dyDescent="0.2">
      <c r="A98" s="23" t="s">
        <v>29</v>
      </c>
      <c r="B98" s="24" t="s">
        <v>42</v>
      </c>
      <c r="C98" s="25"/>
      <c r="D98" s="25" t="s">
        <v>87</v>
      </c>
      <c r="E98" s="26" t="s">
        <v>24</v>
      </c>
      <c r="F98" s="27"/>
      <c r="G98" s="28">
        <v>8</v>
      </c>
      <c r="H98" s="28">
        <f>SUM($G$98:$G$98)</f>
        <v>8</v>
      </c>
      <c r="I98" s="59">
        <f t="array" ref="I98">INDEX(М[Цена за ед., руб],MATCH(1,IF(($B98=М[Наим.])*($C98=М[Артикул, марка, произв.])*($D98=М[Хар-ка])*($K98=М[Прим.]),{1},($B98=М[Наим.])*($C98=М[Артикул, марка, произв.])*($D98=М[Хар-ка])*($K98=М[Прим.])),0))</f>
        <v>10</v>
      </c>
      <c r="J98" s="59">
        <f>ROUND($H$98*$I$98,2)</f>
        <v>80</v>
      </c>
      <c r="K98" s="25"/>
      <c r="L98" s="25">
        <f t="array" ref="L98">INDEX(М[Форма закупа],MATCH(1,IF(($B98=М[Наим.])*($C98=М[Артикул,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</row>
    <row r="99" spans="1:12" ht="11.1" customHeight="1" outlineLevel="4" x14ac:dyDescent="0.2">
      <c r="A99" s="20"/>
      <c r="B99" s="14" t="s">
        <v>22</v>
      </c>
      <c r="C99" s="21"/>
      <c r="D99" s="21"/>
      <c r="E99" s="21"/>
      <c r="F99" s="21"/>
      <c r="G99" s="21"/>
      <c r="H99" s="21"/>
      <c r="I99" s="57"/>
      <c r="J99" s="58">
        <f>SUM($J$100)</f>
        <v>1200</v>
      </c>
      <c r="K99" s="18"/>
      <c r="L99" s="22"/>
    </row>
    <row r="100" spans="1:12" ht="11.1" customHeight="1" outlineLevel="4" x14ac:dyDescent="0.2">
      <c r="A100" s="23"/>
      <c r="B100" s="24" t="s">
        <v>44</v>
      </c>
      <c r="C100" s="25"/>
      <c r="D100" s="25"/>
      <c r="E100" s="26" t="s">
        <v>24</v>
      </c>
      <c r="F100" s="27"/>
      <c r="G100" s="28">
        <v>200</v>
      </c>
      <c r="H100" s="28">
        <f>SUM($G$100:$G$100)</f>
        <v>200</v>
      </c>
      <c r="I100" s="59">
        <f t="array" ref="I100">INDEX(Р[Цена за ед., руб],MATCH(1,IF(($B100=Р[Наименование])*($K100=Р[Примечание]),{1},($B100=Р[Наименование])*($K100=Р[Примечание])),0))</f>
        <v>6</v>
      </c>
      <c r="J100" s="59">
        <f>ROUND($H$100*$I$100,2)</f>
        <v>1200</v>
      </c>
      <c r="K100" s="25"/>
      <c r="L100" s="25"/>
    </row>
    <row r="101" spans="1:12" ht="11.1" customHeight="1" outlineLevel="4" x14ac:dyDescent="0.2">
      <c r="A101" s="20"/>
      <c r="B101" s="14" t="s">
        <v>28</v>
      </c>
      <c r="C101" s="21"/>
      <c r="D101" s="21"/>
      <c r="E101" s="21"/>
      <c r="F101" s="21"/>
      <c r="G101" s="21"/>
      <c r="H101" s="21"/>
      <c r="I101" s="57"/>
      <c r="J101" s="58">
        <f>SUM($J$102)</f>
        <v>6000</v>
      </c>
      <c r="K101" s="18"/>
      <c r="L101" s="22"/>
    </row>
    <row r="102" spans="1:12" ht="11.1" customHeight="1" outlineLevel="4" x14ac:dyDescent="0.2">
      <c r="A102" s="23" t="s">
        <v>29</v>
      </c>
      <c r="B102" s="24" t="s">
        <v>45</v>
      </c>
      <c r="C102" s="25"/>
      <c r="D102" s="25" t="s">
        <v>88</v>
      </c>
      <c r="E102" s="26" t="s">
        <v>24</v>
      </c>
      <c r="F102" s="27"/>
      <c r="G102" s="28">
        <v>200</v>
      </c>
      <c r="H102" s="28">
        <f>SUM($G$102:$G$102)</f>
        <v>200</v>
      </c>
      <c r="I102" s="59">
        <f t="array" ref="I102">INDEX(М[Цена за ед., руб],MATCH(1,IF(($B102=М[Наим.])*($C102=М[Артикул, марка, произв.])*($D102=М[Хар-ка])*($K102=М[Прим.]),{1},($B102=М[Наим.])*($C102=М[Артикул, марка, произв.])*($D102=М[Хар-ка])*($K102=М[Прим.])),0))</f>
        <v>30</v>
      </c>
      <c r="J102" s="59">
        <f>ROUND($H$102*$I$102,2)</f>
        <v>6000</v>
      </c>
      <c r="K102" s="25"/>
      <c r="L102" s="25">
        <f t="array" ref="L102">INDEX(М[Форма закупа],MATCH(1,IF(($B102=М[Наим.])*($C102=М[Артикул, марка, произв.])*($D102=М[Хар-ка])*($K102=М[Прим.]),{1},($B102=М[Наим.])*($C102=М[Артикул, марка, произв.])*($D102=М[Хар-ка])*($K102=М[Прим.])),0))</f>
        <v>0</v>
      </c>
    </row>
    <row r="103" spans="1:12" ht="11.1" customHeight="1" outlineLevel="4" x14ac:dyDescent="0.2">
      <c r="A103" s="20"/>
      <c r="B103" s="14" t="s">
        <v>22</v>
      </c>
      <c r="C103" s="21"/>
      <c r="D103" s="21"/>
      <c r="E103" s="21"/>
      <c r="F103" s="21"/>
      <c r="G103" s="21"/>
      <c r="H103" s="21"/>
      <c r="I103" s="57"/>
      <c r="J103" s="58">
        <f>SUM($J$104)</f>
        <v>5760</v>
      </c>
      <c r="K103" s="18"/>
      <c r="L103" s="22"/>
    </row>
    <row r="104" spans="1:12" ht="11.1" customHeight="1" outlineLevel="4" x14ac:dyDescent="0.2">
      <c r="A104" s="23"/>
      <c r="B104" s="24" t="s">
        <v>89</v>
      </c>
      <c r="C104" s="25"/>
      <c r="D104" s="25"/>
      <c r="E104" s="26" t="s">
        <v>24</v>
      </c>
      <c r="F104" s="27"/>
      <c r="G104" s="28">
        <v>384</v>
      </c>
      <c r="H104" s="28">
        <f>SUM($G$104:$G$104)</f>
        <v>384</v>
      </c>
      <c r="I104" s="59">
        <f t="array" ref="I104">INDEX(Р[Цена за ед., руб],MATCH(1,IF(($B104=Р[Наименование])*($K104=Р[Примечание]),{1},($B104=Р[Наименование])*($K104=Р[Примечание])),0))</f>
        <v>15</v>
      </c>
      <c r="J104" s="59">
        <f>ROUND($H$104*$I$104,2)</f>
        <v>5760</v>
      </c>
      <c r="K104" s="25"/>
      <c r="L104" s="25"/>
    </row>
    <row r="105" spans="1:12" ht="11.1" customHeight="1" outlineLevel="4" x14ac:dyDescent="0.2">
      <c r="A105" s="20"/>
      <c r="B105" s="14" t="s">
        <v>22</v>
      </c>
      <c r="C105" s="21"/>
      <c r="D105" s="21"/>
      <c r="E105" s="21"/>
      <c r="F105" s="21"/>
      <c r="G105" s="21"/>
      <c r="H105" s="21"/>
      <c r="I105" s="57"/>
      <c r="J105" s="58">
        <f>SUM($J$106)</f>
        <v>6752</v>
      </c>
      <c r="K105" s="18"/>
      <c r="L105" s="22"/>
    </row>
    <row r="106" spans="1:12" ht="11.1" customHeight="1" outlineLevel="4" x14ac:dyDescent="0.2">
      <c r="A106" s="23"/>
      <c r="B106" s="24" t="s">
        <v>61</v>
      </c>
      <c r="C106" s="25"/>
      <c r="D106" s="25"/>
      <c r="E106" s="26" t="s">
        <v>27</v>
      </c>
      <c r="F106" s="27"/>
      <c r="G106" s="31">
        <v>675.2</v>
      </c>
      <c r="H106" s="31">
        <f>SUM($G$106:$G$106)</f>
        <v>675.2</v>
      </c>
      <c r="I106" s="59">
        <f t="array" ref="I106">INDEX(Р[Цена за ед., руб],MATCH(1,IF(($B106=Р[Наименование])*($K106=Р[Примечание]),{1},($B106=Р[Наименование])*($K106=Р[Примечание])),0))</f>
        <v>10</v>
      </c>
      <c r="J106" s="59">
        <f>ROUND($H$106*$I$106,2)</f>
        <v>6752</v>
      </c>
      <c r="K106" s="25"/>
      <c r="L106" s="25"/>
    </row>
    <row r="107" spans="1:12" ht="11.1" customHeight="1" outlineLevel="4" x14ac:dyDescent="0.2">
      <c r="A107" s="20"/>
      <c r="B107" s="14" t="s">
        <v>28</v>
      </c>
      <c r="C107" s="21"/>
      <c r="D107" s="21"/>
      <c r="E107" s="21"/>
      <c r="F107" s="21"/>
      <c r="G107" s="21"/>
      <c r="H107" s="21"/>
      <c r="I107" s="57"/>
      <c r="J107" s="58">
        <f>SUM($J$108:$J$109)</f>
        <v>8121.6</v>
      </c>
      <c r="K107" s="18"/>
      <c r="L107" s="22"/>
    </row>
    <row r="108" spans="1:12" ht="11.1" customHeight="1" outlineLevel="4" x14ac:dyDescent="0.2">
      <c r="A108" s="92" t="s">
        <v>29</v>
      </c>
      <c r="B108" s="24" t="s">
        <v>62</v>
      </c>
      <c r="C108" s="25"/>
      <c r="D108" s="25" t="s">
        <v>63</v>
      </c>
      <c r="E108" s="26" t="s">
        <v>32</v>
      </c>
      <c r="F108" s="27"/>
      <c r="G108" s="28">
        <v>656</v>
      </c>
      <c r="H108" s="28">
        <f>SUM($G$108:$G$108)</f>
        <v>656</v>
      </c>
      <c r="I108" s="59">
        <f t="array" ref="I108">INDEX(М[Цена за ед., руб],MATCH(1,IF(($B108=М[Наим.])*($C108=М[Артикул,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12</v>
      </c>
      <c r="J108" s="59">
        <f>ROUND($H$108*$I$108,2)</f>
        <v>7872</v>
      </c>
      <c r="K108" s="25"/>
      <c r="L108" s="25">
        <f t="array" ref="L108">INDEX(М[Форма закупа],MATCH(1,IF(($B108=М[Наим.])*($C108=М[Артикул,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0</v>
      </c>
    </row>
    <row r="109" spans="1:12" ht="11.1" customHeight="1" outlineLevel="4" x14ac:dyDescent="0.2">
      <c r="A109" s="92" t="s">
        <v>33</v>
      </c>
      <c r="B109" s="24" t="s">
        <v>62</v>
      </c>
      <c r="C109" s="25"/>
      <c r="D109" s="25" t="s">
        <v>90</v>
      </c>
      <c r="E109" s="26" t="s">
        <v>32</v>
      </c>
      <c r="F109" s="27"/>
      <c r="G109" s="31">
        <v>19.2</v>
      </c>
      <c r="H109" s="31">
        <f>SUM($G$109:$G$109)</f>
        <v>19.2</v>
      </c>
      <c r="I109" s="59">
        <f t="array" ref="I109">INDEX(М[Цена за ед., руб],MATCH(1,IF(($B109=М[Наим.])*($C109=М[Артикул,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13</v>
      </c>
      <c r="J109" s="59">
        <f>ROUND($H$109*$I$109,2)</f>
        <v>249.6</v>
      </c>
      <c r="K109" s="25"/>
      <c r="L109" s="25">
        <f t="array" ref="L109">INDEX(М[Форма закупа],MATCH(1,IF(($B109=М[Наим.])*($C109=М[Артикул,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</row>
    <row r="110" spans="1:12" ht="11.1" customHeight="1" outlineLevel="4" x14ac:dyDescent="0.2">
      <c r="A110" s="20"/>
      <c r="B110" s="14" t="s">
        <v>22</v>
      </c>
      <c r="C110" s="21"/>
      <c r="D110" s="21"/>
      <c r="E110" s="21"/>
      <c r="F110" s="21"/>
      <c r="G110" s="21"/>
      <c r="H110" s="21"/>
      <c r="I110" s="57"/>
      <c r="J110" s="58">
        <f>SUM($J$111)</f>
        <v>43008</v>
      </c>
      <c r="K110" s="18"/>
      <c r="L110" s="22"/>
    </row>
    <row r="111" spans="1:12" ht="11.1" customHeight="1" outlineLevel="4" x14ac:dyDescent="0.2">
      <c r="A111" s="92"/>
      <c r="B111" s="24" t="s">
        <v>91</v>
      </c>
      <c r="C111" s="25"/>
      <c r="D111" s="25"/>
      <c r="E111" s="26" t="s">
        <v>27</v>
      </c>
      <c r="F111" s="27"/>
      <c r="G111" s="30">
        <v>2688</v>
      </c>
      <c r="H111" s="30">
        <f>SUM($G$111:$G$111)</f>
        <v>2688</v>
      </c>
      <c r="I111" s="59">
        <f t="array" ref="I111">INDEX(Р[Цена за ед., руб],MATCH(1,IF(($B111=Р[Наименование])*($K111=Р[Примечание]),{1},($B111=Р[Наименование])*($K111=Р[Примечание])),0))</f>
        <v>16</v>
      </c>
      <c r="J111" s="59">
        <f>ROUND($H$111*$I$111,2)</f>
        <v>43008</v>
      </c>
      <c r="K111" s="25"/>
      <c r="L111" s="25"/>
    </row>
    <row r="112" spans="1:12" ht="11.1" customHeight="1" outlineLevel="4" x14ac:dyDescent="0.2">
      <c r="A112" s="20"/>
      <c r="B112" s="14" t="s">
        <v>28</v>
      </c>
      <c r="C112" s="21"/>
      <c r="D112" s="21"/>
      <c r="E112" s="21"/>
      <c r="F112" s="21"/>
      <c r="G112" s="21"/>
      <c r="H112" s="21"/>
      <c r="I112" s="57"/>
      <c r="J112" s="58">
        <f>SUM($J$113)</f>
        <v>64512</v>
      </c>
      <c r="K112" s="18"/>
      <c r="L112" s="22"/>
    </row>
    <row r="113" spans="1:12" ht="23.1" customHeight="1" outlineLevel="4" x14ac:dyDescent="0.2">
      <c r="A113" s="92" t="s">
        <v>29</v>
      </c>
      <c r="B113" s="24" t="s">
        <v>92</v>
      </c>
      <c r="C113" s="25"/>
      <c r="D113" s="25" t="s">
        <v>93</v>
      </c>
      <c r="E113" s="26" t="s">
        <v>32</v>
      </c>
      <c r="F113" s="27"/>
      <c r="G113" s="30">
        <v>2688</v>
      </c>
      <c r="H113" s="30">
        <f>SUM($G$113:$G$113)</f>
        <v>2688</v>
      </c>
      <c r="I113" s="59">
        <f t="array" ref="I113">INDEX(М[Цена за ед., руб],MATCH(1,IF(($B113=М[Наим.])*($C113=М[Артикул,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24</v>
      </c>
      <c r="J113" s="59">
        <f>ROUND($H$113*$I$113,2)</f>
        <v>64512</v>
      </c>
      <c r="K113" s="25"/>
      <c r="L113" s="25">
        <f t="array" ref="L113">INDEX(М[Форма закупа],MATCH(1,IF(($B113=М[Наим.])*($C113=М[Артикул,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</row>
    <row r="114" spans="1:12" ht="11.1" customHeight="1" outlineLevel="2" x14ac:dyDescent="0.2">
      <c r="A114" s="13" t="s">
        <v>94</v>
      </c>
      <c r="B114" s="14" t="s">
        <v>95</v>
      </c>
      <c r="C114" s="15"/>
      <c r="D114" s="15"/>
      <c r="E114" s="16"/>
      <c r="F114" s="17"/>
      <c r="G114" s="18"/>
      <c r="H114" s="18"/>
      <c r="I114" s="56"/>
      <c r="J114" s="56">
        <f>SUM($J$115)</f>
        <v>1960</v>
      </c>
      <c r="K114" s="19"/>
      <c r="L114" s="19"/>
    </row>
    <row r="115" spans="1:12" ht="11.1" customHeight="1" outlineLevel="3" x14ac:dyDescent="0.2">
      <c r="A115" s="13" t="s">
        <v>96</v>
      </c>
      <c r="B115" s="14" t="s">
        <v>95</v>
      </c>
      <c r="C115" s="15"/>
      <c r="D115" s="15"/>
      <c r="E115" s="16"/>
      <c r="F115" s="17"/>
      <c r="G115" s="18"/>
      <c r="H115" s="18"/>
      <c r="I115" s="56"/>
      <c r="J115" s="56">
        <f>SUM($J$134,$J$132,$J$130,$J$128,$J$126,$J$124,$J$122,$J$120,$J$118,$J$116)</f>
        <v>1960</v>
      </c>
      <c r="K115" s="19"/>
      <c r="L115" s="19"/>
    </row>
    <row r="116" spans="1:12" ht="11.1" customHeight="1" outlineLevel="4" x14ac:dyDescent="0.2">
      <c r="A116" s="20"/>
      <c r="B116" s="14" t="s">
        <v>22</v>
      </c>
      <c r="C116" s="21"/>
      <c r="D116" s="21"/>
      <c r="E116" s="21"/>
      <c r="F116" s="21"/>
      <c r="G116" s="21"/>
      <c r="H116" s="21"/>
      <c r="I116" s="57"/>
      <c r="J116" s="58">
        <f>SUM($J$117)</f>
        <v>75</v>
      </c>
      <c r="K116" s="18"/>
      <c r="L116" s="22"/>
    </row>
    <row r="117" spans="1:12" ht="11.1" customHeight="1" outlineLevel="4" x14ac:dyDescent="0.2">
      <c r="A117" s="23"/>
      <c r="B117" s="24" t="s">
        <v>26</v>
      </c>
      <c r="C117" s="25"/>
      <c r="D117" s="25"/>
      <c r="E117" s="26" t="s">
        <v>27</v>
      </c>
      <c r="F117" s="27"/>
      <c r="G117" s="28">
        <v>25</v>
      </c>
      <c r="H117" s="28">
        <f>SUM($G$117:$G$117)</f>
        <v>25</v>
      </c>
      <c r="I117" s="59">
        <f t="array" ref="I117">INDEX(Р[Цена за ед., руб],MATCH(1,IF(($B117=Р[Наименование])*($K117=Р[Примечание]),{1},($B117=Р[Наименование])*($K117=Р[Примечание])),0))</f>
        <v>3</v>
      </c>
      <c r="J117" s="59">
        <f>ROUND($H$117*$I$117,2)</f>
        <v>75</v>
      </c>
      <c r="K117" s="25"/>
      <c r="L117" s="25"/>
    </row>
    <row r="118" spans="1:12" ht="11.1" customHeight="1" outlineLevel="4" x14ac:dyDescent="0.2">
      <c r="A118" s="20"/>
      <c r="B118" s="14" t="s">
        <v>28</v>
      </c>
      <c r="C118" s="21"/>
      <c r="D118" s="21"/>
      <c r="E118" s="21"/>
      <c r="F118" s="21"/>
      <c r="G118" s="21"/>
      <c r="H118" s="21"/>
      <c r="I118" s="57"/>
      <c r="J118" s="58">
        <f>SUM($J$119)</f>
        <v>875</v>
      </c>
      <c r="K118" s="18"/>
      <c r="L118" s="22"/>
    </row>
    <row r="119" spans="1:12" ht="35.1" customHeight="1" outlineLevel="4" x14ac:dyDescent="0.2">
      <c r="A119" s="23" t="s">
        <v>29</v>
      </c>
      <c r="B119" s="24" t="s">
        <v>34</v>
      </c>
      <c r="C119" s="25"/>
      <c r="D119" s="25" t="s">
        <v>86</v>
      </c>
      <c r="E119" s="26" t="s">
        <v>32</v>
      </c>
      <c r="F119" s="27"/>
      <c r="G119" s="28">
        <v>25</v>
      </c>
      <c r="H119" s="28">
        <f>SUM($G$119:$G$119)</f>
        <v>25</v>
      </c>
      <c r="I119" s="59">
        <f t="array" ref="I119">INDEX(М[Цена за ед., руб],MATCH(1,IF(($B119=М[Наим.])*($C119=М[Артикул,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35</v>
      </c>
      <c r="J119" s="59">
        <f>ROUND($H$119*$I$119,2)</f>
        <v>875</v>
      </c>
      <c r="K119" s="25"/>
      <c r="L119" s="25">
        <f t="array" ref="L119">INDEX(М[Форма закупа],MATCH(1,IF(($B119=М[Наим.])*($C119=М[Артикул,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</row>
    <row r="120" spans="1:12" ht="11.1" customHeight="1" outlineLevel="4" x14ac:dyDescent="0.2">
      <c r="A120" s="20"/>
      <c r="B120" s="14" t="s">
        <v>22</v>
      </c>
      <c r="C120" s="21"/>
      <c r="D120" s="21"/>
      <c r="E120" s="21"/>
      <c r="F120" s="21"/>
      <c r="G120" s="21"/>
      <c r="H120" s="21"/>
      <c r="I120" s="57"/>
      <c r="J120" s="58">
        <f>SUM($J$121)</f>
        <v>68</v>
      </c>
      <c r="K120" s="18"/>
      <c r="L120" s="22"/>
    </row>
    <row r="121" spans="1:12" ht="11.1" customHeight="1" outlineLevel="4" x14ac:dyDescent="0.2">
      <c r="A121" s="23"/>
      <c r="B121" s="24" t="s">
        <v>97</v>
      </c>
      <c r="C121" s="25"/>
      <c r="D121" s="25"/>
      <c r="E121" s="26" t="s">
        <v>24</v>
      </c>
      <c r="F121" s="27"/>
      <c r="G121" s="28">
        <v>4</v>
      </c>
      <c r="H121" s="28">
        <f>SUM($G$121:$G$121)</f>
        <v>4</v>
      </c>
      <c r="I121" s="59">
        <f t="array" ref="I121">INDEX(Р[Цена за ед., руб],MATCH(1,IF(($B121=Р[Наименование])*($K121=Р[Примечание]),{1},($B121=Р[Наименование])*($K121=Р[Примечание])),0))</f>
        <v>17</v>
      </c>
      <c r="J121" s="59">
        <f>ROUND($H$121*$I$121,2)</f>
        <v>68</v>
      </c>
      <c r="K121" s="25"/>
      <c r="L121" s="25"/>
    </row>
    <row r="122" spans="1:12" ht="11.1" customHeight="1" outlineLevel="4" x14ac:dyDescent="0.2">
      <c r="A122" s="20"/>
      <c r="B122" s="14" t="s">
        <v>28</v>
      </c>
      <c r="C122" s="21"/>
      <c r="D122" s="21"/>
      <c r="E122" s="21"/>
      <c r="F122" s="21"/>
      <c r="G122" s="21"/>
      <c r="H122" s="21"/>
      <c r="I122" s="57"/>
      <c r="J122" s="58">
        <f>SUM($J$123)</f>
        <v>76</v>
      </c>
      <c r="K122" s="18"/>
      <c r="L122" s="22"/>
    </row>
    <row r="123" spans="1:12" ht="11.1" customHeight="1" outlineLevel="4" x14ac:dyDescent="0.2">
      <c r="A123" s="23" t="s">
        <v>29</v>
      </c>
      <c r="B123" s="24" t="s">
        <v>98</v>
      </c>
      <c r="C123" s="25"/>
      <c r="D123" s="25" t="s">
        <v>99</v>
      </c>
      <c r="E123" s="26" t="s">
        <v>24</v>
      </c>
      <c r="F123" s="27"/>
      <c r="G123" s="28">
        <v>4</v>
      </c>
      <c r="H123" s="28">
        <f>SUM($G$123:$G$123)</f>
        <v>4</v>
      </c>
      <c r="I123" s="59">
        <f t="array" ref="I123">INDEX(М[Цена за ед., руб],MATCH(1,IF(($B123=М[Наим.])*($C123=М[Артикул, марка, произв.])*($D123=М[Хар-ка])*($K123=М[Прим.]),{1},($B123=М[Наим.])*($C123=М[Артикул, марка, произв.])*($D123=М[Хар-ка])*($K123=М[Прим.])),0))</f>
        <v>19</v>
      </c>
      <c r="J123" s="59">
        <f>ROUND($H$123*$I$123,2)</f>
        <v>76</v>
      </c>
      <c r="K123" s="25" t="s">
        <v>100</v>
      </c>
      <c r="L123" s="25">
        <f t="array" ref="L123">INDEX(М[Форма закупа],MATCH(1,IF(($B123=М[Наим.])*($C123=М[Артикул, марка, произв.])*($D123=М[Хар-ка])*($K123=М[Прим.]),{1},($B123=М[Наим.])*($C123=М[Артикул, марка, произв.])*($D123=М[Хар-ка])*($K123=М[Прим.])),0))</f>
        <v>0</v>
      </c>
    </row>
    <row r="124" spans="1:12" ht="11.1" customHeight="1" outlineLevel="4" x14ac:dyDescent="0.2">
      <c r="A124" s="20"/>
      <c r="B124" s="14" t="s">
        <v>22</v>
      </c>
      <c r="C124" s="21"/>
      <c r="D124" s="21"/>
      <c r="E124" s="21"/>
      <c r="F124" s="21"/>
      <c r="G124" s="21"/>
      <c r="H124" s="21"/>
      <c r="I124" s="57"/>
      <c r="J124" s="58">
        <f>SUM($J$125)</f>
        <v>72</v>
      </c>
      <c r="K124" s="18"/>
      <c r="L124" s="22"/>
    </row>
    <row r="125" spans="1:12" ht="23.1" customHeight="1" outlineLevel="4" x14ac:dyDescent="0.2">
      <c r="A125" s="23"/>
      <c r="B125" s="24" t="s">
        <v>101</v>
      </c>
      <c r="C125" s="25"/>
      <c r="D125" s="25"/>
      <c r="E125" s="26" t="s">
        <v>24</v>
      </c>
      <c r="F125" s="27"/>
      <c r="G125" s="28">
        <v>4</v>
      </c>
      <c r="H125" s="28">
        <f>SUM($G$125:$G$125)</f>
        <v>4</v>
      </c>
      <c r="I125" s="59">
        <f t="array" ref="I125">INDEX(Р[Цена за ед., руб],MATCH(1,IF(($B125=Р[Наименование])*($K125=Р[Примечание]),{1},($B125=Р[Наименование])*($K125=Р[Примечание])),0))</f>
        <v>18</v>
      </c>
      <c r="J125" s="59">
        <f>ROUND($H$125*$I$125,2)</f>
        <v>72</v>
      </c>
      <c r="K125" s="25"/>
      <c r="L125" s="25"/>
    </row>
    <row r="126" spans="1:12" ht="11.1" customHeight="1" outlineLevel="4" x14ac:dyDescent="0.2">
      <c r="A126" s="20"/>
      <c r="B126" s="14" t="s">
        <v>28</v>
      </c>
      <c r="C126" s="21"/>
      <c r="D126" s="21"/>
      <c r="E126" s="21"/>
      <c r="F126" s="21"/>
      <c r="G126" s="21"/>
      <c r="H126" s="21"/>
      <c r="I126" s="57"/>
      <c r="J126" s="58">
        <f>SUM($J$127)</f>
        <v>108</v>
      </c>
      <c r="K126" s="18"/>
      <c r="L126" s="22"/>
    </row>
    <row r="127" spans="1:12" ht="23.1" customHeight="1" outlineLevel="4" x14ac:dyDescent="0.2">
      <c r="A127" s="23" t="s">
        <v>29</v>
      </c>
      <c r="B127" s="24" t="s">
        <v>102</v>
      </c>
      <c r="C127" s="25"/>
      <c r="D127" s="25" t="s">
        <v>103</v>
      </c>
      <c r="E127" s="26" t="s">
        <v>24</v>
      </c>
      <c r="F127" s="27"/>
      <c r="G127" s="28">
        <v>4</v>
      </c>
      <c r="H127" s="28">
        <f>SUM($G$127:$G$127)</f>
        <v>4</v>
      </c>
      <c r="I127" s="59">
        <f t="array" ref="I127">INDEX(М[Цена за ед., руб],MATCH(1,IF(($B127=М[Наим.])*($C127=М[Артикул,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27</v>
      </c>
      <c r="J127" s="59">
        <f>ROUND($H$127*$I$127,2)</f>
        <v>108</v>
      </c>
      <c r="K127" s="25"/>
      <c r="L127" s="25">
        <f t="array" ref="L127">INDEX(М[Форма закупа],MATCH(1,IF(($B127=М[Наим.])*($C127=М[Артикул,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0</v>
      </c>
    </row>
    <row r="128" spans="1:12" ht="11.1" customHeight="1" outlineLevel="4" x14ac:dyDescent="0.2">
      <c r="A128" s="20"/>
      <c r="B128" s="14" t="s">
        <v>22</v>
      </c>
      <c r="C128" s="21"/>
      <c r="D128" s="21"/>
      <c r="E128" s="21"/>
      <c r="F128" s="21"/>
      <c r="G128" s="21"/>
      <c r="H128" s="21"/>
      <c r="I128" s="57"/>
      <c r="J128" s="58">
        <f>SUM($J$129)</f>
        <v>76</v>
      </c>
      <c r="K128" s="18"/>
      <c r="L128" s="22"/>
    </row>
    <row r="129" spans="1:12" ht="23.1" customHeight="1" outlineLevel="4" x14ac:dyDescent="0.2">
      <c r="A129" s="23"/>
      <c r="B129" s="24" t="s">
        <v>104</v>
      </c>
      <c r="C129" s="25"/>
      <c r="D129" s="25"/>
      <c r="E129" s="26" t="s">
        <v>24</v>
      </c>
      <c r="F129" s="27"/>
      <c r="G129" s="28">
        <v>4</v>
      </c>
      <c r="H129" s="28">
        <f>SUM($G$129:$G$129)</f>
        <v>4</v>
      </c>
      <c r="I129" s="59">
        <f t="array" ref="I129">INDEX(Р[Цена за ед., руб],MATCH(1,IF(($B129=Р[Наименование])*($K129=Р[Примечание]),{1},($B129=Р[Наименование])*($K129=Р[Примечание])),0))</f>
        <v>19</v>
      </c>
      <c r="J129" s="59">
        <f>ROUND($H$129*$I$129,2)</f>
        <v>76</v>
      </c>
      <c r="K129" s="25"/>
      <c r="L129" s="25"/>
    </row>
    <row r="130" spans="1:12" ht="11.1" customHeight="1" outlineLevel="4" x14ac:dyDescent="0.2">
      <c r="A130" s="20"/>
      <c r="B130" s="14" t="s">
        <v>28</v>
      </c>
      <c r="C130" s="21"/>
      <c r="D130" s="21"/>
      <c r="E130" s="21"/>
      <c r="F130" s="21"/>
      <c r="G130" s="21"/>
      <c r="H130" s="21"/>
      <c r="I130" s="57"/>
      <c r="J130" s="58">
        <f>SUM($J$131)</f>
        <v>60</v>
      </c>
      <c r="K130" s="18"/>
      <c r="L130" s="22"/>
    </row>
    <row r="131" spans="1:12" ht="35.1" customHeight="1" outlineLevel="4" x14ac:dyDescent="0.2">
      <c r="A131" s="23" t="s">
        <v>29</v>
      </c>
      <c r="B131" s="24" t="s">
        <v>105</v>
      </c>
      <c r="C131" s="25"/>
      <c r="D131" s="25" t="s">
        <v>106</v>
      </c>
      <c r="E131" s="26" t="s">
        <v>24</v>
      </c>
      <c r="F131" s="27"/>
      <c r="G131" s="28">
        <v>4</v>
      </c>
      <c r="H131" s="28">
        <f>SUM($G$131:$G$131)</f>
        <v>4</v>
      </c>
      <c r="I131" s="59">
        <f t="array" ref="I131">INDEX(М[Цена за ед., руб],MATCH(1,IF(($B131=М[Наим.])*($C131=М[Артикул, марка, произв.])*($D131=М[Хар-ка])*($K131=М[Прим.]),{1},($B131=М[Наим.])*($C131=М[Артикул, марка, произв.])*($D131=М[Хар-ка])*($K131=М[Прим.])),0))</f>
        <v>15</v>
      </c>
      <c r="J131" s="59">
        <f>ROUND($H$131*$I$131,2)</f>
        <v>60</v>
      </c>
      <c r="K131" s="25"/>
      <c r="L131" s="25">
        <f t="array" ref="L131">INDEX(М[Форма закупа],MATCH(1,IF(($B131=М[Наим.])*($C131=М[Артикул, марка, произв.])*($D131=М[Хар-ка])*($K131=М[Прим.]),{1},($B131=М[Наим.])*($C131=М[Артикул, марка, произв.])*($D131=М[Хар-ка])*($K131=М[Прим.])),0))</f>
        <v>0</v>
      </c>
    </row>
    <row r="132" spans="1:12" ht="11.1" customHeight="1" outlineLevel="4" x14ac:dyDescent="0.2">
      <c r="A132" s="20"/>
      <c r="B132" s="14" t="s">
        <v>22</v>
      </c>
      <c r="C132" s="21"/>
      <c r="D132" s="21"/>
      <c r="E132" s="21"/>
      <c r="F132" s="21"/>
      <c r="G132" s="21"/>
      <c r="H132" s="21"/>
      <c r="I132" s="57"/>
      <c r="J132" s="58">
        <f>SUM($J$133)</f>
        <v>250</v>
      </c>
      <c r="K132" s="18"/>
      <c r="L132" s="22"/>
    </row>
    <row r="133" spans="1:12" ht="11.1" customHeight="1" outlineLevel="4" x14ac:dyDescent="0.2">
      <c r="A133" s="23"/>
      <c r="B133" s="24" t="s">
        <v>61</v>
      </c>
      <c r="C133" s="25"/>
      <c r="D133" s="25"/>
      <c r="E133" s="26" t="s">
        <v>27</v>
      </c>
      <c r="F133" s="27"/>
      <c r="G133" s="28">
        <v>25</v>
      </c>
      <c r="H133" s="28">
        <f>SUM($G$133:$G$133)</f>
        <v>25</v>
      </c>
      <c r="I133" s="59">
        <f t="array" ref="I133">INDEX(Р[Цена за ед., руб],MATCH(1,IF(($B133=Р[Наименование])*($K133=Р[Примечание]),{1},($B133=Р[Наименование])*($K133=Р[Примечание])),0))</f>
        <v>10</v>
      </c>
      <c r="J133" s="59">
        <f>ROUND($H$133*$I$133,2)</f>
        <v>250</v>
      </c>
      <c r="K133" s="25"/>
      <c r="L133" s="25"/>
    </row>
    <row r="134" spans="1:12" ht="11.1" customHeight="1" outlineLevel="4" x14ac:dyDescent="0.2">
      <c r="A134" s="20"/>
      <c r="B134" s="14" t="s">
        <v>28</v>
      </c>
      <c r="C134" s="21"/>
      <c r="D134" s="21"/>
      <c r="E134" s="21"/>
      <c r="F134" s="21"/>
      <c r="G134" s="21"/>
      <c r="H134" s="21"/>
      <c r="I134" s="57"/>
      <c r="J134" s="58">
        <f>SUM($J$135)</f>
        <v>300</v>
      </c>
      <c r="K134" s="18"/>
      <c r="L134" s="22"/>
    </row>
    <row r="135" spans="1:12" ht="11.1" customHeight="1" outlineLevel="4" x14ac:dyDescent="0.2">
      <c r="A135" s="92" t="s">
        <v>29</v>
      </c>
      <c r="B135" s="24" t="s">
        <v>62</v>
      </c>
      <c r="C135" s="25"/>
      <c r="D135" s="25" t="s">
        <v>63</v>
      </c>
      <c r="E135" s="26" t="s">
        <v>32</v>
      </c>
      <c r="F135" s="27"/>
      <c r="G135" s="28">
        <v>25</v>
      </c>
      <c r="H135" s="28">
        <f>SUM($G$135:$G$135)</f>
        <v>25</v>
      </c>
      <c r="I135" s="59">
        <f t="array" ref="I135">INDEX(М[Цена за ед., руб],MATCH(1,IF(($B135=М[Наим.])*($C135=М[Артикул, марка, произв.])*($D135=М[Хар-ка])*($K135=М[Прим.]),{1},($B135=М[Наим.])*($C135=М[Артикул, марка, произв.])*($D135=М[Хар-ка])*($K135=М[Прим.])),0))</f>
        <v>12</v>
      </c>
      <c r="J135" s="59">
        <f>ROUND($H$135*$I$135,2)</f>
        <v>300</v>
      </c>
      <c r="K135" s="25"/>
      <c r="L135" s="25">
        <f t="array" ref="L135">INDEX(М[Форма закупа],MATCH(1,IF(($B135=М[Наим.])*($C135=М[Артикул, марка, произв.])*($D135=М[Хар-ка])*($K135=М[Прим.]),{1},($B135=М[Наим.])*($C135=М[Артикул, марка, произв.])*($D135=М[Хар-ка])*($K135=М[Прим.])),0))</f>
        <v>0</v>
      </c>
    </row>
    <row r="136" spans="1:12" ht="11.1" customHeight="1" outlineLevel="2" x14ac:dyDescent="0.2">
      <c r="A136" s="13" t="s">
        <v>107</v>
      </c>
      <c r="B136" s="14" t="s">
        <v>108</v>
      </c>
      <c r="C136" s="15"/>
      <c r="D136" s="15"/>
      <c r="E136" s="16"/>
      <c r="F136" s="17"/>
      <c r="G136" s="18"/>
      <c r="H136" s="18"/>
      <c r="I136" s="56"/>
      <c r="J136" s="56">
        <f>SUM($J$137)</f>
        <v>426</v>
      </c>
      <c r="K136" s="19"/>
      <c r="L136" s="19"/>
    </row>
    <row r="137" spans="1:12" ht="11.1" customHeight="1" outlineLevel="3" x14ac:dyDescent="0.2">
      <c r="A137" s="13" t="s">
        <v>109</v>
      </c>
      <c r="B137" s="14" t="s">
        <v>108</v>
      </c>
      <c r="C137" s="15"/>
      <c r="D137" s="15"/>
      <c r="E137" s="16"/>
      <c r="F137" s="17"/>
      <c r="G137" s="18"/>
      <c r="H137" s="18"/>
      <c r="I137" s="56"/>
      <c r="J137" s="56">
        <f>SUM($J$160,$J$158,$J$155,$J$153,$J$151,$J$149,$J$146,$J$144,$J$142,$J$140,$J$138)</f>
        <v>426</v>
      </c>
      <c r="K137" s="19"/>
      <c r="L137" s="19"/>
    </row>
    <row r="138" spans="1:12" ht="11.1" customHeight="1" outlineLevel="4" x14ac:dyDescent="0.2">
      <c r="A138" s="20"/>
      <c r="B138" s="14" t="s">
        <v>22</v>
      </c>
      <c r="C138" s="21"/>
      <c r="D138" s="21"/>
      <c r="E138" s="21"/>
      <c r="F138" s="21"/>
      <c r="G138" s="21"/>
      <c r="H138" s="21"/>
      <c r="I138" s="57"/>
      <c r="J138" s="58">
        <f>SUM($J$139)</f>
        <v>1</v>
      </c>
      <c r="K138" s="18"/>
      <c r="L138" s="22"/>
    </row>
    <row r="139" spans="1:12" ht="11.1" customHeight="1" outlineLevel="4" x14ac:dyDescent="0.2">
      <c r="A139" s="23"/>
      <c r="B139" s="24" t="s">
        <v>23</v>
      </c>
      <c r="C139" s="25"/>
      <c r="D139" s="25"/>
      <c r="E139" s="26" t="s">
        <v>24</v>
      </c>
      <c r="F139" s="27"/>
      <c r="G139" s="28">
        <v>1</v>
      </c>
      <c r="H139" s="28">
        <f>SUM($G$139:$G$139)</f>
        <v>1</v>
      </c>
      <c r="I139" s="59">
        <f t="array" ref="I139">INDEX(Р[Цена за ед., руб],MATCH(1,IF(($B139=Р[Наименование])*($K139=Р[Примечание]),{1},($B139=Р[Наименование])*($K139=Р[Примечание])),0))</f>
        <v>1</v>
      </c>
      <c r="J139" s="59">
        <f>ROUND($H$139*$I$139,2)</f>
        <v>1</v>
      </c>
      <c r="K139" s="25"/>
      <c r="L139" s="25"/>
    </row>
    <row r="140" spans="1:12" ht="11.1" customHeight="1" outlineLevel="4" x14ac:dyDescent="0.2">
      <c r="A140" s="20"/>
      <c r="B140" s="14" t="s">
        <v>22</v>
      </c>
      <c r="C140" s="21"/>
      <c r="D140" s="21"/>
      <c r="E140" s="21"/>
      <c r="F140" s="21"/>
      <c r="G140" s="21"/>
      <c r="H140" s="21"/>
      <c r="I140" s="57"/>
      <c r="J140" s="58">
        <f>SUM($J$141)</f>
        <v>6</v>
      </c>
      <c r="K140" s="18"/>
      <c r="L140" s="22"/>
    </row>
    <row r="141" spans="1:12" ht="11.1" customHeight="1" outlineLevel="4" x14ac:dyDescent="0.2">
      <c r="A141" s="23"/>
      <c r="B141" s="24" t="s">
        <v>44</v>
      </c>
      <c r="C141" s="25"/>
      <c r="D141" s="25"/>
      <c r="E141" s="26" t="s">
        <v>24</v>
      </c>
      <c r="F141" s="27"/>
      <c r="G141" s="28">
        <v>1</v>
      </c>
      <c r="H141" s="28">
        <f>SUM($G$141:$G$141)</f>
        <v>1</v>
      </c>
      <c r="I141" s="59">
        <f t="array" ref="I141">INDEX(Р[Цена за ед., руб],MATCH(1,IF(($B141=Р[Наименование])*($K141=Р[Примечание]),{1},($B141=Р[Наименование])*($K141=Р[Примечание])),0))</f>
        <v>6</v>
      </c>
      <c r="J141" s="59">
        <f>ROUND($H$141*$I$141,2)</f>
        <v>6</v>
      </c>
      <c r="K141" s="25"/>
      <c r="L141" s="25"/>
    </row>
    <row r="142" spans="1:12" ht="11.1" customHeight="1" outlineLevel="4" x14ac:dyDescent="0.2">
      <c r="A142" s="20"/>
      <c r="B142" s="14" t="s">
        <v>28</v>
      </c>
      <c r="C142" s="21"/>
      <c r="D142" s="21"/>
      <c r="E142" s="21"/>
      <c r="F142" s="21"/>
      <c r="G142" s="21"/>
      <c r="H142" s="21"/>
      <c r="I142" s="57"/>
      <c r="J142" s="58">
        <f>SUM($J$143)</f>
        <v>31</v>
      </c>
      <c r="K142" s="18"/>
      <c r="L142" s="22"/>
    </row>
    <row r="143" spans="1:12" ht="11.1" customHeight="1" outlineLevel="4" x14ac:dyDescent="0.2">
      <c r="A143" s="23" t="s">
        <v>29</v>
      </c>
      <c r="B143" s="24" t="s">
        <v>45</v>
      </c>
      <c r="C143" s="25"/>
      <c r="D143" s="25" t="s">
        <v>47</v>
      </c>
      <c r="E143" s="26" t="s">
        <v>24</v>
      </c>
      <c r="F143" s="27"/>
      <c r="G143" s="28">
        <v>1</v>
      </c>
      <c r="H143" s="28">
        <f>SUM($G$143:$G$143)</f>
        <v>1</v>
      </c>
      <c r="I143" s="59">
        <f t="array" ref="I143">INDEX(М[Цена за ед., руб],MATCH(1,IF(($B143=М[Наим.])*($C143=М[Артикул, марка, произв.])*($D143=М[Хар-ка])*($K143=М[Прим.]),{1},($B143=М[Наим.])*($C143=М[Артикул, марка, произв.])*($D143=М[Хар-ка])*($K143=М[Прим.])),0))</f>
        <v>31</v>
      </c>
      <c r="J143" s="59">
        <f>ROUND($H$143*$I$143,2)</f>
        <v>31</v>
      </c>
      <c r="K143" s="25"/>
      <c r="L143" s="25">
        <f t="array" ref="L143">INDEX(М[Форма закупа],MATCH(1,IF(($B143=М[Наим.])*($C143=М[Артикул, марка, произв.])*($D143=М[Хар-ка])*($K143=М[Прим.]),{1},($B143=М[Наим.])*($C143=М[Артикул, марка, произв.])*($D143=М[Хар-ка])*($K143=М[Прим.])),0))</f>
        <v>0</v>
      </c>
    </row>
    <row r="144" spans="1:12" ht="11.1" customHeight="1" outlineLevel="4" x14ac:dyDescent="0.2">
      <c r="A144" s="20"/>
      <c r="B144" s="14" t="s">
        <v>22</v>
      </c>
      <c r="C144" s="21"/>
      <c r="D144" s="21"/>
      <c r="E144" s="21"/>
      <c r="F144" s="21"/>
      <c r="G144" s="21"/>
      <c r="H144" s="21"/>
      <c r="I144" s="57"/>
      <c r="J144" s="58">
        <f>SUM($J$145)</f>
        <v>63</v>
      </c>
      <c r="K144" s="18"/>
      <c r="L144" s="22"/>
    </row>
    <row r="145" spans="1:12" ht="23.1" customHeight="1" outlineLevel="4" x14ac:dyDescent="0.2">
      <c r="A145" s="23"/>
      <c r="B145" s="24" t="s">
        <v>55</v>
      </c>
      <c r="C145" s="25"/>
      <c r="D145" s="25"/>
      <c r="E145" s="26" t="s">
        <v>27</v>
      </c>
      <c r="F145" s="27"/>
      <c r="G145" s="28">
        <v>7</v>
      </c>
      <c r="H145" s="28">
        <f>SUM($G$145:$G$145)</f>
        <v>7</v>
      </c>
      <c r="I145" s="59">
        <f t="array" ref="I145">INDEX(Р[Цена за ед., руб],MATCH(1,IF(($B145=Р[Наименование])*($K145=Р[Примечание]),{1},($B145=Р[Наименование])*($K145=Р[Примечание])),0))</f>
        <v>9</v>
      </c>
      <c r="J145" s="59">
        <f>ROUND($H$145*$I$145,2)</f>
        <v>63</v>
      </c>
      <c r="K145" s="25"/>
      <c r="L145" s="25"/>
    </row>
    <row r="146" spans="1:12" ht="11.1" customHeight="1" outlineLevel="4" x14ac:dyDescent="0.2">
      <c r="A146" s="20"/>
      <c r="B146" s="14" t="s">
        <v>28</v>
      </c>
      <c r="C146" s="21"/>
      <c r="D146" s="21"/>
      <c r="E146" s="21"/>
      <c r="F146" s="21"/>
      <c r="G146" s="21"/>
      <c r="H146" s="21"/>
      <c r="I146" s="57"/>
      <c r="J146" s="58">
        <f>SUM($J$147:$J$148)</f>
        <v>117</v>
      </c>
      <c r="K146" s="18"/>
      <c r="L146" s="22"/>
    </row>
    <row r="147" spans="1:12" ht="23.1" customHeight="1" outlineLevel="4" x14ac:dyDescent="0.2">
      <c r="A147" s="92" t="s">
        <v>29</v>
      </c>
      <c r="B147" s="24" t="s">
        <v>56</v>
      </c>
      <c r="C147" s="25"/>
      <c r="D147" s="25" t="s">
        <v>57</v>
      </c>
      <c r="E147" s="26" t="s">
        <v>32</v>
      </c>
      <c r="F147" s="27"/>
      <c r="G147" s="28">
        <v>2</v>
      </c>
      <c r="H147" s="28">
        <f>SUM($G$147:$G$147)</f>
        <v>2</v>
      </c>
      <c r="I147" s="59">
        <f t="array" ref="I147">INDEX(М[Цена за ед., руб],MATCH(1,IF(($B147=М[Наим.])*($C147=М[Артикул, марка, произв.])*($D147=М[Хар-ка])*($K147=М[Прим.]),{1},($B147=М[Наим.])*($C147=М[Артикул, марка, произв.])*($D147=М[Хар-ка])*($K147=М[Прим.])),0))</f>
        <v>16</v>
      </c>
      <c r="J147" s="59">
        <f>ROUND($H$147*$I$147,2)</f>
        <v>32</v>
      </c>
      <c r="K147" s="25"/>
      <c r="L147" s="25">
        <f t="array" ref="L147">INDEX(М[Форма закупа],MATCH(1,IF(($B147=М[Наим.])*($C147=М[Артикул, марка, произв.])*($D147=М[Хар-ка])*($K147=М[Прим.]),{1},($B147=М[Наим.])*($C147=М[Артикул, марка, произв.])*($D147=М[Хар-ка])*($K147=М[Прим.])),0))</f>
        <v>0</v>
      </c>
    </row>
    <row r="148" spans="1:12" ht="23.1" customHeight="1" outlineLevel="4" x14ac:dyDescent="0.2">
      <c r="A148" s="92" t="s">
        <v>33</v>
      </c>
      <c r="B148" s="24" t="s">
        <v>56</v>
      </c>
      <c r="C148" s="25"/>
      <c r="D148" s="25" t="s">
        <v>58</v>
      </c>
      <c r="E148" s="26" t="s">
        <v>32</v>
      </c>
      <c r="F148" s="27"/>
      <c r="G148" s="28">
        <v>5</v>
      </c>
      <c r="H148" s="28">
        <f>SUM($G$148:$G$148)</f>
        <v>5</v>
      </c>
      <c r="I148" s="59">
        <f t="array" ref="I148">INDEX(М[Цена за ед., руб],MATCH(1,IF(($B148=М[Наим.])*($C148=М[Артикул, марка, произв.])*($D148=М[Хар-ка])*($K148=М[Прим.]),{1},($B148=М[Наим.])*($C148=М[Артикул, марка, произв.])*($D148=М[Хар-ка])*($K148=М[Прим.])),0))</f>
        <v>17</v>
      </c>
      <c r="J148" s="59">
        <f>ROUND($H$148*$I$148,2)</f>
        <v>85</v>
      </c>
      <c r="K148" s="25"/>
      <c r="L148" s="25">
        <f t="array" ref="L148">INDEX(М[Форма закупа],MATCH(1,IF(($B148=М[Наим.])*($C148=М[Артикул, марка, произв.])*($D148=М[Хар-ка])*($K148=М[Прим.]),{1},($B148=М[Наим.])*($C148=М[Артикул, марка, произв.])*($D148=М[Хар-ка])*($K148=М[Прим.])),0))</f>
        <v>0</v>
      </c>
    </row>
    <row r="149" spans="1:12" ht="11.1" customHeight="1" outlineLevel="4" x14ac:dyDescent="0.2">
      <c r="A149" s="20"/>
      <c r="B149" s="14" t="s">
        <v>22</v>
      </c>
      <c r="C149" s="21"/>
      <c r="D149" s="21"/>
      <c r="E149" s="21"/>
      <c r="F149" s="21"/>
      <c r="G149" s="21"/>
      <c r="H149" s="21"/>
      <c r="I149" s="57"/>
      <c r="J149" s="58">
        <f>SUM($J$150)</f>
        <v>20</v>
      </c>
      <c r="K149" s="18"/>
      <c r="L149" s="22"/>
    </row>
    <row r="150" spans="1:12" ht="11.1" customHeight="1" outlineLevel="4" x14ac:dyDescent="0.2">
      <c r="A150" s="23"/>
      <c r="B150" s="24" t="s">
        <v>110</v>
      </c>
      <c r="C150" s="25"/>
      <c r="D150" s="25"/>
      <c r="E150" s="26" t="s">
        <v>24</v>
      </c>
      <c r="F150" s="27"/>
      <c r="G150" s="28">
        <v>1</v>
      </c>
      <c r="H150" s="28">
        <f>SUM($G$150:$G$150)</f>
        <v>1</v>
      </c>
      <c r="I150" s="59">
        <f t="array" ref="I150">INDEX(Р[Цена за ед., руб],MATCH(1,IF(($B150=Р[Наименование])*($K150=Р[Примечание]),{1},($B150=Р[Наименование])*($K150=Р[Примечание])),0))</f>
        <v>20</v>
      </c>
      <c r="J150" s="59">
        <f>ROUND($H$150*$I$150,2)</f>
        <v>20</v>
      </c>
      <c r="K150" s="25"/>
      <c r="L150" s="25"/>
    </row>
    <row r="151" spans="1:12" ht="11.1" customHeight="1" outlineLevel="4" x14ac:dyDescent="0.2">
      <c r="A151" s="20"/>
      <c r="B151" s="14" t="s">
        <v>28</v>
      </c>
      <c r="C151" s="21"/>
      <c r="D151" s="21"/>
      <c r="E151" s="21"/>
      <c r="F151" s="21"/>
      <c r="G151" s="21"/>
      <c r="H151" s="21"/>
      <c r="I151" s="57"/>
      <c r="J151" s="58">
        <f>SUM($J$152)</f>
        <v>26</v>
      </c>
      <c r="K151" s="18"/>
      <c r="L151" s="22"/>
    </row>
    <row r="152" spans="1:12" ht="23.1" customHeight="1" outlineLevel="4" x14ac:dyDescent="0.2">
      <c r="A152" s="23" t="s">
        <v>29</v>
      </c>
      <c r="B152" s="24" t="s">
        <v>111</v>
      </c>
      <c r="C152" s="25"/>
      <c r="D152" s="25" t="s">
        <v>112</v>
      </c>
      <c r="E152" s="26" t="s">
        <v>24</v>
      </c>
      <c r="F152" s="27"/>
      <c r="G152" s="28">
        <v>1</v>
      </c>
      <c r="H152" s="28">
        <f>SUM($G$152:$G$152)</f>
        <v>1</v>
      </c>
      <c r="I152" s="59">
        <f t="array" ref="I152">INDEX(М[Цена за ед., руб],MATCH(1,IF(($B152=М[Наим.])*($C152=М[Артикул, марка, произв.])*($D152=М[Хар-ка])*($K152=М[Прим.]),{1},($B152=М[Наим.])*($C152=М[Артикул, марка, произв.])*($D152=М[Хар-ка])*($K152=М[Прим.])),0))</f>
        <v>26</v>
      </c>
      <c r="J152" s="59">
        <f>ROUND($H$152*$I$152,2)</f>
        <v>26</v>
      </c>
      <c r="K152" s="25"/>
      <c r="L152" s="25">
        <f t="array" ref="L152">INDEX(М[Форма закупа],MATCH(1,IF(($B152=М[Наим.])*($C152=М[Артикул, марка, произв.])*($D152=М[Хар-ка])*($K152=М[Прим.]),{1},($B152=М[Наим.])*($C152=М[Артикул, марка, произв.])*($D152=М[Хар-ка])*($K152=М[Прим.])),0))</f>
        <v>0</v>
      </c>
    </row>
    <row r="153" spans="1:12" ht="11.1" customHeight="1" outlineLevel="4" x14ac:dyDescent="0.2">
      <c r="A153" s="20"/>
      <c r="B153" s="14" t="s">
        <v>22</v>
      </c>
      <c r="C153" s="21"/>
      <c r="D153" s="21"/>
      <c r="E153" s="21"/>
      <c r="F153" s="21"/>
      <c r="G153" s="21"/>
      <c r="H153" s="21"/>
      <c r="I153" s="57"/>
      <c r="J153" s="58">
        <f>SUM($J$154)</f>
        <v>42</v>
      </c>
      <c r="K153" s="18"/>
      <c r="L153" s="22"/>
    </row>
    <row r="154" spans="1:12" ht="11.1" customHeight="1" outlineLevel="4" x14ac:dyDescent="0.2">
      <c r="A154" s="23"/>
      <c r="B154" s="24" t="s">
        <v>113</v>
      </c>
      <c r="C154" s="25"/>
      <c r="D154" s="25"/>
      <c r="E154" s="26" t="s">
        <v>24</v>
      </c>
      <c r="F154" s="27"/>
      <c r="G154" s="28">
        <v>2</v>
      </c>
      <c r="H154" s="28">
        <f>SUM($G$154:$G$154)</f>
        <v>2</v>
      </c>
      <c r="I154" s="59">
        <f t="array" ref="I154">INDEX(Р[Цена за ед., руб],MATCH(1,IF(($B154=Р[Наименование])*($K154=Р[Примечание]),{1},($B154=Р[Наименование])*($K154=Р[Примечание])),0))</f>
        <v>21</v>
      </c>
      <c r="J154" s="59">
        <f>ROUND($H$154*$I$154,2)</f>
        <v>42</v>
      </c>
      <c r="K154" s="25"/>
      <c r="L154" s="25"/>
    </row>
    <row r="155" spans="1:12" ht="11.1" customHeight="1" outlineLevel="4" x14ac:dyDescent="0.2">
      <c r="A155" s="20"/>
      <c r="B155" s="14" t="s">
        <v>28</v>
      </c>
      <c r="C155" s="21"/>
      <c r="D155" s="21"/>
      <c r="E155" s="21"/>
      <c r="F155" s="21"/>
      <c r="G155" s="21"/>
      <c r="H155" s="21"/>
      <c r="I155" s="57"/>
      <c r="J155" s="58">
        <f>SUM($J$156:$J$157)</f>
        <v>73</v>
      </c>
      <c r="K155" s="18"/>
      <c r="L155" s="22"/>
    </row>
    <row r="156" spans="1:12" ht="35.1" customHeight="1" outlineLevel="4" x14ac:dyDescent="0.2">
      <c r="A156" s="23" t="s">
        <v>29</v>
      </c>
      <c r="B156" s="24" t="s">
        <v>114</v>
      </c>
      <c r="C156" s="25"/>
      <c r="D156" s="25" t="s">
        <v>115</v>
      </c>
      <c r="E156" s="26" t="s">
        <v>24</v>
      </c>
      <c r="F156" s="27"/>
      <c r="G156" s="28">
        <v>1</v>
      </c>
      <c r="H156" s="28">
        <f>SUM($G$156:$G$156)</f>
        <v>1</v>
      </c>
      <c r="I156" s="59">
        <f t="array" ref="I156">INDEX(М[Цена за ед., руб],MATCH(1,IF(($B156=М[Наим.])*($C156=М[Артикул, марка, произв.])*($D156=М[Хар-ка])*($K156=М[Прим.]),{1},($B156=М[Наим.])*($C156=М[Артикул, марка, произв.])*($D156=М[Хар-ка])*($K156=М[Прим.])),0))</f>
        <v>36</v>
      </c>
      <c r="J156" s="59">
        <f>ROUND($H$156*$I$156,2)</f>
        <v>36</v>
      </c>
      <c r="K156" s="25"/>
      <c r="L156" s="25">
        <f t="array" ref="L156">INDEX(М[Форма закупа],MATCH(1,IF(($B156=М[Наим.])*($C156=М[Артикул, марка, произв.])*($D156=М[Хар-ка])*($K156=М[Прим.]),{1},($B156=М[Наим.])*($C156=М[Артикул, марка, произв.])*($D156=М[Хар-ка])*($K156=М[Прим.])),0))</f>
        <v>0</v>
      </c>
    </row>
    <row r="157" spans="1:12" ht="35.1" customHeight="1" outlineLevel="4" x14ac:dyDescent="0.2">
      <c r="A157" s="23" t="s">
        <v>33</v>
      </c>
      <c r="B157" s="24" t="s">
        <v>114</v>
      </c>
      <c r="C157" s="25"/>
      <c r="D157" s="25" t="s">
        <v>116</v>
      </c>
      <c r="E157" s="26" t="s">
        <v>24</v>
      </c>
      <c r="F157" s="27"/>
      <c r="G157" s="28">
        <v>1</v>
      </c>
      <c r="H157" s="28">
        <f>SUM($G$157:$G$157)</f>
        <v>1</v>
      </c>
      <c r="I157" s="59">
        <f t="array" ref="I157">INDEX(М[Цена за ед., руб],MATCH(1,IF(($B157=М[Наим.])*($C157=М[Артикул, марка, произв.])*($D157=М[Хар-ка])*($K157=М[Прим.]),{1},($B157=М[Наим.])*($C157=М[Артикул, марка, произв.])*($D157=М[Хар-ка])*($K157=М[Прим.])),0))</f>
        <v>37</v>
      </c>
      <c r="J157" s="59">
        <f>ROUND($H$157*$I$157,2)</f>
        <v>37</v>
      </c>
      <c r="K157" s="25"/>
      <c r="L157" s="25">
        <f t="array" ref="L157">INDEX(М[Форма закупа],MATCH(1,IF(($B157=М[Наим.])*($C157=М[Артикул, марка, произв.])*($D157=М[Хар-ка])*($K157=М[Прим.]),{1},($B157=М[Наим.])*($C157=М[Артикул, марка, произв.])*($D157=М[Хар-ка])*($K157=М[Прим.])),0))</f>
        <v>0</v>
      </c>
    </row>
    <row r="158" spans="1:12" ht="11.1" customHeight="1" outlineLevel="4" x14ac:dyDescent="0.2">
      <c r="A158" s="20"/>
      <c r="B158" s="14" t="s">
        <v>22</v>
      </c>
      <c r="C158" s="21"/>
      <c r="D158" s="21"/>
      <c r="E158" s="21"/>
      <c r="F158" s="21"/>
      <c r="G158" s="21"/>
      <c r="H158" s="21"/>
      <c r="I158" s="57"/>
      <c r="J158" s="58">
        <f>SUM($J$159)</f>
        <v>22</v>
      </c>
      <c r="K158" s="18"/>
      <c r="L158" s="22"/>
    </row>
    <row r="159" spans="1:12" ht="11.1" customHeight="1" outlineLevel="4" x14ac:dyDescent="0.2">
      <c r="A159" s="23"/>
      <c r="B159" s="24" t="s">
        <v>117</v>
      </c>
      <c r="C159" s="25"/>
      <c r="D159" s="25"/>
      <c r="E159" s="26" t="s">
        <v>24</v>
      </c>
      <c r="F159" s="27"/>
      <c r="G159" s="28">
        <v>1</v>
      </c>
      <c r="H159" s="28">
        <f>SUM($G$159:$G$159)</f>
        <v>1</v>
      </c>
      <c r="I159" s="59">
        <f t="array" ref="I159">INDEX(Р[Цена за ед., руб],MATCH(1,IF(($B159=Р[Наименование])*($K159=Р[Примечание]),{1},($B159=Р[Наименование])*($K159=Р[Примечание])),0))</f>
        <v>22</v>
      </c>
      <c r="J159" s="59">
        <f>ROUND($H$159*$I$159,2)</f>
        <v>22</v>
      </c>
      <c r="K159" s="25"/>
      <c r="L159" s="25"/>
    </row>
    <row r="160" spans="1:12" ht="11.1" customHeight="1" outlineLevel="4" x14ac:dyDescent="0.2">
      <c r="A160" s="20"/>
      <c r="B160" s="14" t="s">
        <v>28</v>
      </c>
      <c r="C160" s="21"/>
      <c r="D160" s="21"/>
      <c r="E160" s="21"/>
      <c r="F160" s="21"/>
      <c r="G160" s="21"/>
      <c r="H160" s="21"/>
      <c r="I160" s="57"/>
      <c r="J160" s="58">
        <f>SUM($J$161)</f>
        <v>25</v>
      </c>
      <c r="K160" s="18"/>
      <c r="L160" s="22"/>
    </row>
    <row r="161" spans="1:12" ht="23.1" customHeight="1" outlineLevel="4" x14ac:dyDescent="0.2">
      <c r="A161" s="23" t="s">
        <v>29</v>
      </c>
      <c r="B161" s="24" t="s">
        <v>118</v>
      </c>
      <c r="C161" s="25"/>
      <c r="D161" s="25" t="s">
        <v>119</v>
      </c>
      <c r="E161" s="26" t="s">
        <v>24</v>
      </c>
      <c r="F161" s="27"/>
      <c r="G161" s="28">
        <v>1</v>
      </c>
      <c r="H161" s="28">
        <f>SUM($G$161:$G$161)</f>
        <v>1</v>
      </c>
      <c r="I161" s="59">
        <f t="array" ref="I161">INDEX(М[Цена за ед., руб],MATCH(1,IF(($B161=М[Наим.])*($C161=М[Артикул, марка, произв.])*($D161=М[Хар-ка])*($K161=М[Прим.]),{1},($B161=М[Наим.])*($C161=М[Артикул, марка, произв.])*($D161=М[Хар-ка])*($K161=М[Прим.])),0))</f>
        <v>25</v>
      </c>
      <c r="J161" s="59">
        <f>ROUND($H$161*$I$161,2)</f>
        <v>25</v>
      </c>
      <c r="K161" s="25"/>
      <c r="L161" s="25">
        <f t="array" ref="L161">INDEX(М[Форма закупа],MATCH(1,IF(($B161=М[Наим.])*($C161=М[Артикул, марка, произв.])*($D161=М[Хар-ка])*($K161=М[Прим.]),{1},($B161=М[Наим.])*($C161=М[Артикул, марка, произв.])*($D161=М[Хар-ка])*($K161=М[Прим.])),0))</f>
        <v>0</v>
      </c>
    </row>
    <row r="162" spans="1:12" ht="11.1" customHeight="1" outlineLevel="2" x14ac:dyDescent="0.2">
      <c r="A162" s="13" t="s">
        <v>149</v>
      </c>
      <c r="B162" s="14" t="s">
        <v>147</v>
      </c>
      <c r="C162" s="15"/>
      <c r="D162" s="15"/>
      <c r="E162" s="16"/>
      <c r="F162" s="17"/>
      <c r="G162" s="18"/>
      <c r="H162" s="18"/>
      <c r="I162" s="56"/>
      <c r="J162" s="56">
        <f ca="1">J163</f>
        <v>16605.2</v>
      </c>
      <c r="K162" s="19"/>
      <c r="L162" s="19"/>
    </row>
    <row r="163" spans="1:12" ht="11.1" customHeight="1" outlineLevel="3" x14ac:dyDescent="0.2">
      <c r="A163" s="13" t="s">
        <v>150</v>
      </c>
      <c r="B163" s="14" t="s">
        <v>147</v>
      </c>
      <c r="C163" s="15"/>
      <c r="D163" s="15"/>
      <c r="E163" s="16"/>
      <c r="F163" s="17"/>
      <c r="G163" s="18"/>
      <c r="H163" s="18"/>
      <c r="I163" s="56"/>
      <c r="J163" s="56">
        <f ca="1">J164+J166+J168</f>
        <v>16605.2</v>
      </c>
      <c r="K163" s="19"/>
      <c r="L163" s="19"/>
    </row>
    <row r="164" spans="1:12" ht="11.1" customHeight="1" outlineLevel="4" x14ac:dyDescent="0.2">
      <c r="A164" s="20"/>
      <c r="B164" s="14" t="s">
        <v>22</v>
      </c>
      <c r="C164" s="21"/>
      <c r="D164" s="21"/>
      <c r="E164" s="21"/>
      <c r="F164" s="21"/>
      <c r="G164" s="21"/>
      <c r="H164" s="21"/>
      <c r="I164" s="57"/>
      <c r="J164" s="58">
        <f>J165</f>
        <v>24</v>
      </c>
      <c r="K164" s="18"/>
      <c r="L164" s="22"/>
    </row>
    <row r="165" spans="1:12" ht="11.25" outlineLevel="4" x14ac:dyDescent="0.2">
      <c r="A165" s="23"/>
      <c r="B165" s="24" t="s">
        <v>151</v>
      </c>
      <c r="C165" s="25"/>
      <c r="D165" s="25"/>
      <c r="E165" s="26" t="s">
        <v>124</v>
      </c>
      <c r="F165" s="27"/>
      <c r="G165" s="28">
        <v>1</v>
      </c>
      <c r="H165" s="28">
        <f>SUM(G165)</f>
        <v>1</v>
      </c>
      <c r="I165" s="59">
        <f t="array" ref="I165">INDEX(Р[Цена за ед., руб],MATCH(1,IF(($B165=Р[Наименование])*($K165=Р[Примечание]),{1},($B165=Р[Наименование])*($K165=Р[Примечание])),0))</f>
        <v>24</v>
      </c>
      <c r="J165" s="59">
        <f>H165*I165</f>
        <v>24</v>
      </c>
      <c r="K165" s="25"/>
      <c r="L165" s="25"/>
    </row>
    <row r="166" spans="1:12" ht="11.1" customHeight="1" outlineLevel="4" x14ac:dyDescent="0.2">
      <c r="A166" s="20"/>
      <c r="B166" s="14" t="s">
        <v>28</v>
      </c>
      <c r="C166" s="21"/>
      <c r="D166" s="21"/>
      <c r="E166" s="21"/>
      <c r="F166" s="21"/>
      <c r="G166" s="21"/>
      <c r="H166" s="21"/>
      <c r="I166" s="57"/>
      <c r="J166" s="58">
        <f>J167</f>
        <v>1710</v>
      </c>
      <c r="K166" s="18"/>
      <c r="L166" s="22"/>
    </row>
    <row r="167" spans="1:12" ht="11.25" outlineLevel="4" x14ac:dyDescent="0.2">
      <c r="A167" s="23" t="s">
        <v>29</v>
      </c>
      <c r="B167" s="24" t="s">
        <v>148</v>
      </c>
      <c r="C167" s="25"/>
      <c r="D167" s="25" t="s">
        <v>153</v>
      </c>
      <c r="E167" s="26" t="s">
        <v>154</v>
      </c>
      <c r="F167" s="27"/>
      <c r="G167" s="28">
        <v>45</v>
      </c>
      <c r="H167" s="28">
        <f>SUM(G167)</f>
        <v>45</v>
      </c>
      <c r="I167" s="59">
        <f t="array" ref="I167">INDEX(М[Цена за ед., руб],MATCH(1,IF(($B167=М[Наим.])*($C167=М[Артикул, марка, произв.])*($D167=М[Хар-ка])*($K167=М[Прим.]),{1},($B167=М[Наим.])*($C167=М[Артикул, марка, произв.])*($D167=М[Хар-ка])*($K167=М[Прим.])),0))</f>
        <v>38</v>
      </c>
      <c r="J167" s="59">
        <f>H167*I167</f>
        <v>1710</v>
      </c>
      <c r="K167" s="25" t="s">
        <v>152</v>
      </c>
      <c r="L167" s="25"/>
    </row>
    <row r="168" spans="1:12" ht="11.1" customHeight="1" outlineLevel="4" x14ac:dyDescent="0.2">
      <c r="A168" s="68"/>
      <c r="B168" s="69" t="s">
        <v>28</v>
      </c>
      <c r="C168" s="70"/>
      <c r="D168" s="70"/>
      <c r="E168" s="70"/>
      <c r="F168" s="70"/>
      <c r="G168" s="70"/>
      <c r="H168" s="70"/>
      <c r="I168" s="71"/>
      <c r="J168" s="72">
        <f ca="1">SUM(J169:J174)</f>
        <v>14871.2</v>
      </c>
      <c r="K168" s="18"/>
      <c r="L168" s="22"/>
    </row>
    <row r="169" spans="1:12" ht="22.5" outlineLevel="4" x14ac:dyDescent="0.2">
      <c r="A169" s="75">
        <v>1</v>
      </c>
      <c r="B169" s="73" t="s">
        <v>140</v>
      </c>
      <c r="C169" s="64"/>
      <c r="D169" s="64"/>
      <c r="E169" s="61" t="s">
        <v>67</v>
      </c>
      <c r="F169" s="74"/>
      <c r="G169" s="74"/>
      <c r="H169" s="62">
        <f ca="1">SUMIF(М[[Наим.]:[Сумма, руб]],B169,М[Количество])</f>
        <v>5</v>
      </c>
      <c r="I169" s="63"/>
      <c r="J169" s="63">
        <f ca="1">ROUND(SUM(J52,J108:J109,J135)*H169%,3)</f>
        <v>422.28</v>
      </c>
      <c r="K169" s="25" t="s">
        <v>167</v>
      </c>
      <c r="L169" s="64">
        <f t="array" ref="L169">INDEX(М[Форма закупа],MATCH(1,IF(($B169=М[Наим.])*($C169=М[Артикул, марка, произв.])*($D169=М[Хар-ка])*($K169=М[Прим.]),{1},($B169=М[Наим.])*($C169=М[Артикул, марка, произв.])*($D169=М[Хар-ка])*($K169=М[Прим.])),0))</f>
        <v>0</v>
      </c>
    </row>
    <row r="170" spans="1:12" ht="22.5" outlineLevel="4" x14ac:dyDescent="0.2">
      <c r="A170" s="75">
        <v>2</v>
      </c>
      <c r="B170" s="73" t="s">
        <v>141</v>
      </c>
      <c r="C170" s="64"/>
      <c r="D170" s="64"/>
      <c r="E170" s="61" t="s">
        <v>67</v>
      </c>
      <c r="F170" s="74"/>
      <c r="G170" s="74"/>
      <c r="H170" s="62">
        <f ca="1">SUMIF(М[[Наим.]:[Сумма, руб]],B170,М[Количество])</f>
        <v>5</v>
      </c>
      <c r="I170" s="63"/>
      <c r="J170" s="63">
        <f ca="1">ROUND(SUM(J81)*H170%,3)</f>
        <v>205.15</v>
      </c>
      <c r="K170" s="25" t="s">
        <v>167</v>
      </c>
      <c r="L170" s="64">
        <f t="array" ref="L170">INDEX(М[Форма закупа],MATCH(1,IF(($B170=М[Наим.])*($C170=М[Артикул, марка, произв.])*($D170=М[Хар-ка])*($K170=М[Прим.]),{1},($B170=М[Наим.])*($C170=М[Артикул, марка, произв.])*($D170=М[Хар-ка])*($K170=М[Прим.])),0))</f>
        <v>0</v>
      </c>
    </row>
    <row r="171" spans="1:12" ht="22.5" outlineLevel="4" x14ac:dyDescent="0.2">
      <c r="A171" s="75">
        <v>3</v>
      </c>
      <c r="B171" s="73" t="s">
        <v>142</v>
      </c>
      <c r="C171" s="64"/>
      <c r="D171" s="64"/>
      <c r="E171" s="61" t="s">
        <v>67</v>
      </c>
      <c r="F171" s="74"/>
      <c r="G171" s="74"/>
      <c r="H171" s="62">
        <f ca="1">SUMIF(М[[Наим.]:[Сумма, руб]],B171,М[Количество])</f>
        <v>5</v>
      </c>
      <c r="I171" s="63"/>
      <c r="J171" s="63">
        <f ca="1">ROUND(SUM(J56)*H171%,3)</f>
        <v>75.599999999999994</v>
      </c>
      <c r="K171" s="25" t="s">
        <v>167</v>
      </c>
      <c r="L171" s="64">
        <f t="array" ref="L171">INDEX(М[Форма закупа],MATCH(1,IF(($B171=М[Наим.])*($C171=М[Артикул, марка, произв.])*($D171=М[Хар-ка])*($K171=М[Прим.]),{1},($B171=М[Наим.])*($C171=М[Артикул, марка, произв.])*($D171=М[Хар-ка])*($K171=М[Прим.])),0))</f>
        <v>0</v>
      </c>
    </row>
    <row r="172" spans="1:12" ht="22.5" outlineLevel="4" x14ac:dyDescent="0.2">
      <c r="A172" s="75">
        <v>4</v>
      </c>
      <c r="B172" s="73" t="s">
        <v>143</v>
      </c>
      <c r="C172" s="64"/>
      <c r="D172" s="64"/>
      <c r="E172" s="61" t="s">
        <v>67</v>
      </c>
      <c r="F172" s="74"/>
      <c r="G172" s="74"/>
      <c r="H172" s="62">
        <f ca="1">SUMIF(М[[Наим.]:[Сумма, руб]],B172,М[Количество])</f>
        <v>5</v>
      </c>
      <c r="I172" s="63"/>
      <c r="J172" s="63">
        <f ca="1">ROUND(SUM(J113)*H172%,3)</f>
        <v>3225.6</v>
      </c>
      <c r="K172" s="25" t="s">
        <v>167</v>
      </c>
      <c r="L172" s="64">
        <f t="array" ref="L172">INDEX(М[Форма закупа],MATCH(1,IF(($B172=М[Наим.])*($C172=М[Артикул, марка, произв.])*($D172=М[Хар-ка])*($K172=М[Прим.]),{1},($B172=М[Наим.])*($C172=М[Артикул, марка, произв.])*($D172=М[Хар-ка])*($K172=М[Прим.])),0))</f>
        <v>0</v>
      </c>
    </row>
    <row r="173" spans="1:12" ht="22.5" outlineLevel="4" x14ac:dyDescent="0.2">
      <c r="A173" s="75">
        <v>5</v>
      </c>
      <c r="B173" s="73" t="s">
        <v>144</v>
      </c>
      <c r="C173" s="64"/>
      <c r="D173" s="64"/>
      <c r="E173" s="61" t="s">
        <v>67</v>
      </c>
      <c r="F173" s="74"/>
      <c r="G173" s="74"/>
      <c r="H173" s="62">
        <f ca="1">SUMIF(М[[Наим.]:[Сумма, руб]],B173,М[Количество])</f>
        <v>5</v>
      </c>
      <c r="I173" s="63"/>
      <c r="J173" s="63">
        <f ca="1">ROUND(SUM(J46:J48,J147:J148)*H173%,3)</f>
        <v>1364.42</v>
      </c>
      <c r="K173" s="25" t="s">
        <v>167</v>
      </c>
      <c r="L173" s="64">
        <f t="array" ref="L173">INDEX(М[Форма закупа],MATCH(1,IF(($B173=М[Наим.])*($C173=М[Артикул, марка, произв.])*($D173=М[Хар-ка])*($K173=М[Прим.]),{1},($B173=М[Наим.])*($C173=М[Артикул, марка, произв.])*($D173=М[Хар-ка])*($K173=М[Прим.])),0))</f>
        <v>0</v>
      </c>
    </row>
    <row r="174" spans="1:12" ht="22.5" outlineLevel="4" x14ac:dyDescent="0.2">
      <c r="A174" s="75">
        <v>6</v>
      </c>
      <c r="B174" s="73" t="s">
        <v>146</v>
      </c>
      <c r="C174" s="64"/>
      <c r="D174" s="64"/>
      <c r="E174" s="61" t="s">
        <v>67</v>
      </c>
      <c r="F174" s="74"/>
      <c r="G174" s="74"/>
      <c r="H174" s="62">
        <f ca="1">SUMIF(М[[Наим.]:[Сумма, руб]],B174,М[Количество])</f>
        <v>5</v>
      </c>
      <c r="I174" s="63"/>
      <c r="J174" s="63">
        <f ca="1">ROUND(SUM(J19:J20,J24,J28,J32:J33,J37:J38,J42,J46:J48,J52,J56,J64:J65,J69,J73:J73,J77:J77,J81,J89:J90,J94,J98,J102,J108:J109,J113,J119,J123,J127,J135,J131,J143,J147:J148,J152,J156:J157,J161,J167)*H174%,3)</f>
        <v>9578.15</v>
      </c>
      <c r="K174" s="25" t="s">
        <v>167</v>
      </c>
      <c r="L174" s="64">
        <f t="array" ref="L174">INDEX(М[Форма закупа],MATCH(1,IF(($B174=М[Наим.])*($C174=М[Артикул, марка, произв.])*($D174=М[Хар-ка])*($K174=М[Прим.]),{1},($B174=М[Наим.])*($C174=М[Артикул, марка, произв.])*($D174=М[Хар-ка])*($K174=М[Прим.])),0))</f>
        <v>0</v>
      </c>
    </row>
    <row r="175" spans="1:12" ht="11.1" customHeight="1" outlineLevel="2" x14ac:dyDescent="0.2">
      <c r="A175" s="13" t="s">
        <v>120</v>
      </c>
      <c r="B175" s="14" t="s">
        <v>121</v>
      </c>
      <c r="C175" s="15"/>
      <c r="D175" s="15"/>
      <c r="E175" s="16"/>
      <c r="F175" s="17"/>
      <c r="G175" s="18"/>
      <c r="H175" s="18"/>
      <c r="I175" s="56"/>
      <c r="J175" s="56">
        <f>SUM($J$176)</f>
        <v>23</v>
      </c>
      <c r="K175" s="19"/>
      <c r="L175" s="19"/>
    </row>
    <row r="176" spans="1:12" ht="11.1" customHeight="1" outlineLevel="3" x14ac:dyDescent="0.2">
      <c r="A176" s="13" t="s">
        <v>122</v>
      </c>
      <c r="B176" s="14" t="s">
        <v>121</v>
      </c>
      <c r="C176" s="15"/>
      <c r="D176" s="15"/>
      <c r="E176" s="16"/>
      <c r="F176" s="17"/>
      <c r="G176" s="18"/>
      <c r="H176" s="18"/>
      <c r="I176" s="56"/>
      <c r="J176" s="56">
        <f>SUM($J$177)</f>
        <v>23</v>
      </c>
      <c r="K176" s="19"/>
      <c r="L176" s="19"/>
    </row>
    <row r="177" spans="1:128" ht="11.1" customHeight="1" outlineLevel="4" x14ac:dyDescent="0.2">
      <c r="A177" s="20"/>
      <c r="B177" s="14" t="s">
        <v>22</v>
      </c>
      <c r="C177" s="21"/>
      <c r="D177" s="21"/>
      <c r="E177" s="21"/>
      <c r="F177" s="21"/>
      <c r="G177" s="21"/>
      <c r="H177" s="21"/>
      <c r="I177" s="57"/>
      <c r="J177" s="58">
        <f>SUM($J$178)</f>
        <v>23</v>
      </c>
      <c r="K177" s="18"/>
      <c r="L177" s="22"/>
    </row>
    <row r="178" spans="1:128" ht="23.1" customHeight="1" outlineLevel="4" x14ac:dyDescent="0.2">
      <c r="A178" s="23"/>
      <c r="B178" s="24" t="s">
        <v>123</v>
      </c>
      <c r="C178" s="25"/>
      <c r="D178" s="25"/>
      <c r="E178" s="26" t="s">
        <v>124</v>
      </c>
      <c r="F178" s="27"/>
      <c r="G178" s="28">
        <v>1</v>
      </c>
      <c r="H178" s="28">
        <f>SUM($G$178:$G$178)</f>
        <v>1</v>
      </c>
      <c r="I178" s="59">
        <f t="array" ref="I178">INDEX(Р[Цена за ед., руб],MATCH(1,IF(($B178=Р[Наименование])*($K178=Р[Примечание]),{1},($B178=Р[Наименование])*($K178=Р[Примечание])),0))</f>
        <v>23</v>
      </c>
      <c r="J178" s="59">
        <f>ROUND($H$178*$I$178,2)</f>
        <v>23</v>
      </c>
      <c r="K178" s="25"/>
      <c r="L178" s="25"/>
    </row>
    <row r="179" spans="1:128" ht="11.1" customHeight="1" x14ac:dyDescent="0.2">
      <c r="A179" s="106" t="s">
        <v>156</v>
      </c>
      <c r="B179" s="107"/>
      <c r="C179" s="107"/>
      <c r="D179" s="107"/>
      <c r="E179" s="107"/>
      <c r="F179" s="107"/>
      <c r="G179" s="107"/>
      <c r="H179" s="107"/>
      <c r="I179" s="108"/>
      <c r="J179" s="60">
        <f ca="1">$J$9</f>
        <v>307140.40000000002</v>
      </c>
      <c r="K179" s="32"/>
      <c r="L179" s="32"/>
    </row>
    <row r="180" spans="1:128" ht="11.1" customHeight="1" x14ac:dyDescent="0.2">
      <c r="A180" s="109" t="s">
        <v>125</v>
      </c>
      <c r="B180" s="110"/>
      <c r="C180" s="110"/>
      <c r="D180" s="110"/>
      <c r="E180" s="110"/>
      <c r="F180" s="110"/>
      <c r="G180" s="110"/>
      <c r="H180" s="110"/>
      <c r="I180" s="111"/>
      <c r="J180" s="60">
        <f>SUM($J$177,$J$158,$J$153,$J$149,$J$144,$J$140,$J$138,$J$132,$J$128,$J$124,$J$120,$J$116,$J$110,$J$105,$J$103,$J$99,$J$95,$J$91,$J$86,$J$84,$J$78,$J$74,$J$70,$J$66,$J$61,$J$59,$J$53,$J$49,$J$43,$J$39,$J$34,$J$29,$J$25,$J$21,$J$16,$J$14,$J$12,J164)</f>
        <v>100706.2</v>
      </c>
      <c r="K180" s="32"/>
      <c r="L180" s="32"/>
    </row>
    <row r="181" spans="1:128" ht="11.1" customHeight="1" x14ac:dyDescent="0.2">
      <c r="A181" s="109" t="s">
        <v>126</v>
      </c>
      <c r="B181" s="110"/>
      <c r="C181" s="110"/>
      <c r="D181" s="110"/>
      <c r="E181" s="110"/>
      <c r="F181" s="110"/>
      <c r="G181" s="110"/>
      <c r="H181" s="110"/>
      <c r="I181" s="111"/>
      <c r="J181" s="60">
        <f ca="1">SUM($J$160,$J$155,$J$151,$J$146,$J$142,$J$134,$J$130,$J$126,$J$122,$J$118,$J$112,$J$107,$J$101,$J$97,$J$93,$J$88,$J$80,$J$76,$J$72,$J$68,$J$63,$J$55,$J$51,$J$45,$J$41,$J$36,$J$31,$J$27,$J$23,$J$18,J168,J166)</f>
        <v>206434.2</v>
      </c>
      <c r="K181" s="32"/>
      <c r="L181" s="32"/>
    </row>
    <row r="182" spans="1:128" ht="11.1" customHeight="1" x14ac:dyDescent="0.2">
      <c r="A182" s="112" t="s">
        <v>157</v>
      </c>
      <c r="B182" s="113"/>
      <c r="C182" s="113"/>
      <c r="D182" s="113"/>
      <c r="E182" s="113"/>
      <c r="F182" s="113"/>
      <c r="G182" s="113"/>
      <c r="H182" s="113"/>
      <c r="I182" s="114"/>
      <c r="J182" s="77"/>
      <c r="K182" s="78" t="s">
        <v>158</v>
      </c>
      <c r="L182" s="32"/>
    </row>
    <row r="183" spans="1:128" ht="11.1" customHeight="1" x14ac:dyDescent="0.2">
      <c r="A183" s="33"/>
      <c r="B183" s="98" t="s">
        <v>127</v>
      </c>
      <c r="C183" s="98"/>
      <c r="D183" s="98"/>
      <c r="E183" s="98"/>
      <c r="F183" s="98"/>
      <c r="G183" s="98"/>
      <c r="H183" s="98"/>
      <c r="I183" s="99"/>
      <c r="J183" s="99"/>
      <c r="K183" s="98"/>
      <c r="L183" s="33"/>
    </row>
    <row r="184" spans="1:128" ht="11.1" customHeight="1" x14ac:dyDescent="0.2">
      <c r="B184" s="100"/>
      <c r="C184" s="100"/>
      <c r="D184" s="100"/>
      <c r="E184" s="100"/>
      <c r="F184" s="100"/>
      <c r="G184" s="100"/>
      <c r="H184" s="100"/>
      <c r="I184" s="101"/>
      <c r="J184" s="101"/>
      <c r="K184" s="100"/>
    </row>
    <row r="185" spans="1:128" s="86" customFormat="1" ht="30.75" customHeight="1" x14ac:dyDescent="0.2">
      <c r="A185" s="79"/>
      <c r="B185" s="80" t="s">
        <v>159</v>
      </c>
      <c r="C185" s="81"/>
      <c r="D185" s="81"/>
      <c r="E185" s="82"/>
      <c r="F185" s="82"/>
      <c r="G185" s="82"/>
      <c r="H185" s="82"/>
      <c r="I185" s="82"/>
      <c r="J185" s="82"/>
      <c r="K185" s="83"/>
      <c r="L185" s="82"/>
      <c r="M185" s="82"/>
      <c r="N185" s="81"/>
      <c r="O185" s="81"/>
      <c r="P185" s="84"/>
      <c r="Q185" s="85"/>
      <c r="W185" s="87"/>
      <c r="AE185" s="87"/>
      <c r="AM185" s="87"/>
      <c r="AU185" s="87"/>
      <c r="AV185" s="87"/>
      <c r="AW185" s="87"/>
      <c r="AX185" s="87"/>
      <c r="AY185" s="87"/>
      <c r="AZ185" s="87"/>
      <c r="BA185" s="87"/>
      <c r="BB185" s="87"/>
      <c r="BC185" s="87"/>
      <c r="BD185" s="87"/>
      <c r="BE185" s="87"/>
      <c r="BF185" s="87"/>
      <c r="BG185" s="87"/>
      <c r="BH185" s="87"/>
      <c r="BI185" s="87"/>
      <c r="BJ185" s="87"/>
      <c r="BK185" s="87"/>
      <c r="BL185" s="87"/>
      <c r="BM185" s="87"/>
      <c r="BN185" s="87"/>
      <c r="BO185" s="87"/>
      <c r="BP185" s="87"/>
      <c r="BQ185" s="87"/>
      <c r="BR185" s="87"/>
      <c r="BS185" s="87"/>
      <c r="BT185" s="87"/>
      <c r="BU185" s="87"/>
      <c r="BV185" s="87"/>
      <c r="BW185" s="87"/>
      <c r="BX185" s="87"/>
      <c r="BY185" s="87"/>
      <c r="BZ185" s="87"/>
      <c r="CA185" s="87"/>
      <c r="CB185" s="87"/>
      <c r="CC185" s="87"/>
      <c r="CD185" s="87"/>
      <c r="CE185" s="87"/>
      <c r="CF185" s="87"/>
      <c r="CG185" s="87"/>
      <c r="CH185" s="87"/>
      <c r="CI185" s="87"/>
      <c r="CJ185" s="87"/>
      <c r="CK185" s="87"/>
      <c r="CL185" s="87"/>
      <c r="CM185" s="87"/>
      <c r="CN185" s="87"/>
      <c r="CO185" s="87"/>
      <c r="CP185" s="87"/>
      <c r="CQ185" s="87"/>
      <c r="CR185" s="87"/>
      <c r="CS185" s="87"/>
      <c r="CT185" s="87"/>
      <c r="CU185" s="87"/>
      <c r="CV185" s="87"/>
      <c r="CW185" s="87"/>
      <c r="CX185" s="87"/>
      <c r="CY185" s="87"/>
      <c r="CZ185" s="87"/>
      <c r="DA185" s="87"/>
      <c r="DB185" s="87"/>
      <c r="DC185" s="87"/>
      <c r="DD185" s="87"/>
      <c r="DE185" s="87"/>
      <c r="DF185" s="87"/>
      <c r="DG185" s="87"/>
      <c r="DO185" s="87"/>
      <c r="DP185" s="87"/>
      <c r="DX185" s="87"/>
    </row>
    <row r="186" spans="1:128" s="86" customFormat="1" ht="30.75" customHeight="1" x14ac:dyDescent="0.2">
      <c r="A186" s="79"/>
      <c r="B186" s="94" t="s">
        <v>160</v>
      </c>
      <c r="C186" s="94"/>
      <c r="D186" s="94"/>
      <c r="E186" s="94"/>
      <c r="F186" s="94"/>
      <c r="G186" s="94"/>
      <c r="H186" s="94"/>
      <c r="I186" s="94"/>
      <c r="J186" s="94"/>
      <c r="K186" s="94"/>
      <c r="L186" s="82"/>
      <c r="M186" s="82"/>
      <c r="N186" s="81"/>
      <c r="O186" s="81"/>
      <c r="P186" s="84"/>
      <c r="Q186" s="85"/>
      <c r="W186" s="87"/>
      <c r="AE186" s="87"/>
      <c r="AM186" s="87"/>
      <c r="AU186" s="87"/>
      <c r="AV186" s="87"/>
      <c r="AW186" s="87"/>
      <c r="AX186" s="87"/>
      <c r="AY186" s="87"/>
      <c r="AZ186" s="87"/>
      <c r="BA186" s="87"/>
      <c r="BB186" s="87"/>
      <c r="BC186" s="87"/>
      <c r="BD186" s="87"/>
      <c r="BE186" s="87"/>
      <c r="BF186" s="87"/>
      <c r="BG186" s="87"/>
      <c r="BH186" s="87"/>
      <c r="BI186" s="87"/>
      <c r="BJ186" s="87"/>
      <c r="BK186" s="87"/>
      <c r="BL186" s="87"/>
      <c r="BM186" s="87"/>
      <c r="BN186" s="87"/>
      <c r="BO186" s="87"/>
      <c r="BP186" s="87"/>
      <c r="BQ186" s="87"/>
      <c r="BR186" s="87"/>
      <c r="BS186" s="87"/>
      <c r="BT186" s="87"/>
      <c r="BU186" s="87"/>
      <c r="BV186" s="87"/>
      <c r="BW186" s="87"/>
      <c r="BX186" s="87"/>
      <c r="BY186" s="87"/>
      <c r="BZ186" s="87"/>
      <c r="CA186" s="87"/>
      <c r="CB186" s="87"/>
      <c r="CC186" s="87"/>
      <c r="CD186" s="87"/>
      <c r="CE186" s="87"/>
      <c r="CF186" s="87"/>
      <c r="CG186" s="87"/>
      <c r="CH186" s="87"/>
      <c r="CI186" s="87"/>
      <c r="CJ186" s="87"/>
      <c r="CK186" s="87"/>
      <c r="CL186" s="87"/>
      <c r="CM186" s="87"/>
      <c r="CN186" s="87"/>
      <c r="CO186" s="87"/>
      <c r="CP186" s="87"/>
      <c r="CQ186" s="87"/>
      <c r="CR186" s="87"/>
      <c r="CS186" s="87"/>
      <c r="CT186" s="87"/>
      <c r="CU186" s="87"/>
      <c r="CV186" s="87"/>
      <c r="CW186" s="87"/>
      <c r="CX186" s="87"/>
      <c r="CY186" s="87"/>
      <c r="CZ186" s="87"/>
      <c r="DA186" s="87"/>
      <c r="DB186" s="87"/>
      <c r="DC186" s="87"/>
      <c r="DD186" s="87"/>
      <c r="DE186" s="87"/>
      <c r="DF186" s="87"/>
      <c r="DG186" s="87"/>
      <c r="DO186" s="87"/>
      <c r="DP186" s="87"/>
      <c r="DX186" s="87"/>
    </row>
    <row r="187" spans="1:128" s="86" customFormat="1" ht="30.75" customHeight="1" x14ac:dyDescent="0.2">
      <c r="A187" s="79" t="s">
        <v>161</v>
      </c>
      <c r="B187" s="95" t="s">
        <v>162</v>
      </c>
      <c r="C187" s="95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88"/>
      <c r="Q187" s="88"/>
      <c r="W187" s="87"/>
      <c r="AE187" s="87"/>
      <c r="AM187" s="87"/>
      <c r="AU187" s="87"/>
      <c r="AV187" s="87"/>
      <c r="AW187" s="87"/>
      <c r="AX187" s="87"/>
      <c r="AY187" s="87"/>
      <c r="AZ187" s="87"/>
      <c r="BA187" s="87"/>
      <c r="BB187" s="87"/>
      <c r="BC187" s="87"/>
      <c r="BD187" s="87"/>
      <c r="BE187" s="87"/>
      <c r="BF187" s="87"/>
      <c r="BG187" s="87"/>
      <c r="BH187" s="87"/>
      <c r="BI187" s="87"/>
      <c r="BJ187" s="87"/>
      <c r="BK187" s="87"/>
      <c r="BL187" s="87"/>
      <c r="BM187" s="87"/>
      <c r="BN187" s="87"/>
      <c r="BO187" s="87"/>
      <c r="BP187" s="87"/>
      <c r="BQ187" s="87"/>
      <c r="BR187" s="87"/>
      <c r="BS187" s="87"/>
      <c r="BT187" s="87"/>
      <c r="BU187" s="87"/>
      <c r="BV187" s="87"/>
      <c r="BW187" s="87"/>
      <c r="BX187" s="87"/>
      <c r="BY187" s="87"/>
      <c r="BZ187" s="87"/>
      <c r="CA187" s="87"/>
      <c r="CB187" s="87"/>
      <c r="CC187" s="87"/>
      <c r="CD187" s="87"/>
      <c r="CE187" s="87"/>
      <c r="CF187" s="87"/>
      <c r="CG187" s="87"/>
      <c r="CH187" s="87"/>
      <c r="CI187" s="87"/>
      <c r="CJ187" s="87"/>
      <c r="CK187" s="87"/>
      <c r="CL187" s="87"/>
      <c r="CM187" s="87"/>
      <c r="CN187" s="87"/>
      <c r="CO187" s="87"/>
      <c r="CP187" s="87"/>
      <c r="CQ187" s="87"/>
      <c r="CR187" s="87"/>
      <c r="CS187" s="87"/>
      <c r="CT187" s="87"/>
      <c r="CU187" s="87"/>
      <c r="CV187" s="87"/>
      <c r="CW187" s="87"/>
      <c r="CX187" s="87"/>
      <c r="CY187" s="87"/>
      <c r="CZ187" s="87"/>
      <c r="DA187" s="87"/>
      <c r="DB187" s="87"/>
      <c r="DC187" s="87"/>
      <c r="DD187" s="87"/>
      <c r="DE187" s="87"/>
      <c r="DF187" s="87"/>
      <c r="DG187" s="87"/>
      <c r="DO187" s="87"/>
      <c r="DP187" s="87"/>
      <c r="DX187" s="87"/>
    </row>
    <row r="188" spans="1:128" s="86" customFormat="1" ht="51.75" customHeight="1" x14ac:dyDescent="0.2">
      <c r="A188" s="86" t="s">
        <v>161</v>
      </c>
      <c r="B188" s="95" t="s">
        <v>163</v>
      </c>
      <c r="C188" s="95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89"/>
      <c r="Q188" s="85"/>
      <c r="W188" s="87"/>
      <c r="AE188" s="87"/>
      <c r="AM188" s="87"/>
      <c r="AU188" s="87"/>
      <c r="AV188" s="87"/>
      <c r="AW188" s="87"/>
      <c r="AX188" s="87"/>
      <c r="AY188" s="87"/>
      <c r="AZ188" s="87"/>
      <c r="BA188" s="87"/>
      <c r="BB188" s="87"/>
      <c r="BC188" s="87"/>
      <c r="BD188" s="87"/>
      <c r="BE188" s="87"/>
      <c r="BF188" s="87"/>
      <c r="BG188" s="87"/>
      <c r="BH188" s="87"/>
      <c r="BI188" s="87"/>
      <c r="BJ188" s="87"/>
      <c r="BK188" s="87"/>
      <c r="BL188" s="87"/>
      <c r="BM188" s="87"/>
      <c r="BN188" s="87"/>
      <c r="BO188" s="87"/>
      <c r="BP188" s="87"/>
      <c r="BQ188" s="87"/>
      <c r="BR188" s="87"/>
      <c r="BS188" s="87"/>
      <c r="BT188" s="87"/>
      <c r="BU188" s="87"/>
      <c r="BV188" s="87"/>
      <c r="BW188" s="87"/>
      <c r="BX188" s="87"/>
      <c r="BY188" s="87"/>
      <c r="BZ188" s="87"/>
      <c r="CA188" s="87"/>
      <c r="CB188" s="87"/>
      <c r="CC188" s="87"/>
      <c r="CD188" s="87"/>
      <c r="CE188" s="87"/>
      <c r="CF188" s="87"/>
      <c r="CG188" s="87"/>
      <c r="CH188" s="87"/>
      <c r="CI188" s="87"/>
      <c r="CJ188" s="87"/>
      <c r="CK188" s="87"/>
      <c r="CL188" s="87"/>
      <c r="CM188" s="87"/>
      <c r="CN188" s="87"/>
      <c r="CO188" s="87"/>
      <c r="CP188" s="87"/>
      <c r="CQ188" s="87"/>
      <c r="CR188" s="87"/>
      <c r="CS188" s="87"/>
      <c r="CT188" s="87"/>
      <c r="CU188" s="87"/>
      <c r="CV188" s="87"/>
      <c r="CW188" s="87"/>
      <c r="CX188" s="87"/>
      <c r="CY188" s="87"/>
      <c r="CZ188" s="87"/>
      <c r="DA188" s="87"/>
      <c r="DB188" s="87"/>
      <c r="DC188" s="87"/>
      <c r="DD188" s="87"/>
      <c r="DE188" s="87"/>
      <c r="DF188" s="87"/>
      <c r="DG188" s="87"/>
      <c r="DO188" s="87"/>
      <c r="DP188" s="87"/>
      <c r="DX188" s="87"/>
    </row>
    <row r="189" spans="1:128" s="86" customFormat="1" ht="30.75" customHeight="1" x14ac:dyDescent="0.2">
      <c r="A189" s="79" t="s">
        <v>161</v>
      </c>
      <c r="B189" s="96" t="s">
        <v>164</v>
      </c>
      <c r="C189" s="96"/>
      <c r="D189" s="96"/>
      <c r="E189" s="96"/>
      <c r="F189" s="96"/>
      <c r="G189" s="96"/>
      <c r="H189" s="96"/>
      <c r="I189" s="96"/>
      <c r="J189" s="96"/>
      <c r="K189" s="96"/>
      <c r="L189" s="96"/>
      <c r="M189" s="96"/>
      <c r="N189" s="96"/>
      <c r="O189" s="96"/>
      <c r="P189" s="90"/>
      <c r="Q189" s="90"/>
      <c r="W189" s="87"/>
      <c r="AE189" s="87"/>
      <c r="AM189" s="87"/>
      <c r="AU189" s="87"/>
      <c r="AV189" s="87"/>
      <c r="AW189" s="87"/>
      <c r="AX189" s="87"/>
      <c r="AY189" s="87"/>
      <c r="AZ189" s="87"/>
      <c r="BA189" s="87"/>
      <c r="BB189" s="87"/>
      <c r="BC189" s="87"/>
      <c r="BD189" s="87"/>
      <c r="BE189" s="87"/>
      <c r="BF189" s="87"/>
      <c r="BG189" s="87"/>
      <c r="BH189" s="87"/>
      <c r="BI189" s="87"/>
      <c r="BJ189" s="87"/>
      <c r="BK189" s="87"/>
      <c r="BL189" s="87"/>
      <c r="BM189" s="87"/>
      <c r="BN189" s="87"/>
      <c r="BO189" s="87"/>
      <c r="BP189" s="87"/>
      <c r="BQ189" s="87"/>
      <c r="BR189" s="87"/>
      <c r="BS189" s="87"/>
      <c r="BT189" s="87"/>
      <c r="BU189" s="87"/>
      <c r="BV189" s="87"/>
      <c r="BW189" s="87"/>
      <c r="BX189" s="87"/>
      <c r="BY189" s="87"/>
      <c r="BZ189" s="87"/>
      <c r="CA189" s="87"/>
      <c r="CB189" s="87"/>
      <c r="CC189" s="87"/>
      <c r="CD189" s="87"/>
      <c r="CE189" s="87"/>
      <c r="CF189" s="87"/>
      <c r="CG189" s="87"/>
      <c r="CH189" s="87"/>
      <c r="CI189" s="87"/>
      <c r="CJ189" s="87"/>
      <c r="CK189" s="87"/>
      <c r="CL189" s="87"/>
      <c r="CM189" s="87"/>
      <c r="CN189" s="87"/>
      <c r="CO189" s="87"/>
      <c r="CP189" s="87"/>
      <c r="CQ189" s="87"/>
      <c r="CR189" s="87"/>
      <c r="CS189" s="87"/>
      <c r="CT189" s="87"/>
      <c r="CU189" s="87"/>
      <c r="CV189" s="87"/>
      <c r="CW189" s="87"/>
      <c r="CX189" s="87"/>
      <c r="CY189" s="87"/>
      <c r="CZ189" s="87"/>
      <c r="DA189" s="87"/>
      <c r="DB189" s="87"/>
      <c r="DC189" s="87"/>
      <c r="DD189" s="87"/>
      <c r="DE189" s="87"/>
      <c r="DF189" s="87"/>
      <c r="DG189" s="87"/>
      <c r="DO189" s="87"/>
      <c r="DP189" s="87"/>
      <c r="DX189" s="87"/>
    </row>
    <row r="190" spans="1:128" ht="22.5" customHeight="1" x14ac:dyDescent="0.2">
      <c r="A190" s="91" t="s">
        <v>161</v>
      </c>
      <c r="B190" s="97" t="s">
        <v>165</v>
      </c>
      <c r="C190" s="97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</row>
    <row r="191" spans="1:128" ht="36" customHeight="1" x14ac:dyDescent="0.2">
      <c r="B191" s="93" t="s">
        <v>166</v>
      </c>
      <c r="C191" s="93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</row>
  </sheetData>
  <autoFilter ref="A7:L183" xr:uid="{00000000-0001-0000-0000-000000000000}"/>
  <mergeCells count="27"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83:K183"/>
    <mergeCell ref="B184:K184"/>
    <mergeCell ref="K6:K7"/>
    <mergeCell ref="L6:L7"/>
    <mergeCell ref="A179:I179"/>
    <mergeCell ref="A180:I180"/>
    <mergeCell ref="A181:I181"/>
    <mergeCell ref="A182:I182"/>
    <mergeCell ref="B191:S191"/>
    <mergeCell ref="B186:K186"/>
    <mergeCell ref="B187:O187"/>
    <mergeCell ref="B188:O188"/>
    <mergeCell ref="B189:O189"/>
    <mergeCell ref="B190:O190"/>
  </mergeCells>
  <conditionalFormatting sqref="DQ185:DX189">
    <cfRule type="cellIs" dxfId="10" priority="1" operator="equal">
      <formula>0</formula>
    </cfRule>
    <cfRule type="cellIs" dxfId="9" priority="2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30"/>
  <sheetViews>
    <sheetView workbookViewId="0">
      <pane ySplit="3" topLeftCell="A4" activePane="bottomLeft" state="frozen"/>
      <selection pane="bottomLeft" activeCell="E30" sqref="E30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3" t="s">
        <v>128</v>
      </c>
      <c r="B1" s="123"/>
      <c r="C1" s="123"/>
      <c r="D1" s="123"/>
      <c r="E1" s="123"/>
      <c r="F1" s="123"/>
    </row>
    <row r="3" spans="1:6" ht="11.1" customHeight="1" x14ac:dyDescent="0.2">
      <c r="A3" s="42" t="s">
        <v>4</v>
      </c>
      <c r="B3" s="2" t="s">
        <v>7</v>
      </c>
      <c r="C3" s="2" t="s">
        <v>10</v>
      </c>
      <c r="D3" s="49" t="s">
        <v>11</v>
      </c>
      <c r="E3" s="49" t="s">
        <v>12</v>
      </c>
      <c r="F3" s="43" t="s">
        <v>13</v>
      </c>
    </row>
    <row r="4" spans="1:6" ht="11.1" customHeight="1" x14ac:dyDescent="0.2">
      <c r="A4" s="40" t="s">
        <v>23</v>
      </c>
      <c r="B4" s="34" t="s">
        <v>24</v>
      </c>
      <c r="C4" s="35">
        <v>437</v>
      </c>
      <c r="D4" s="50">
        <v>1</v>
      </c>
      <c r="E4" s="50">
        <f>ROUND(Р[[#This Row],[Количество]]*Р[[#This Row],[Цена за ед., руб]],2)</f>
        <v>437</v>
      </c>
      <c r="F4" s="41"/>
    </row>
    <row r="5" spans="1:6" ht="11.1" customHeight="1" x14ac:dyDescent="0.2">
      <c r="A5" s="40" t="s">
        <v>25</v>
      </c>
      <c r="B5" s="34" t="s">
        <v>24</v>
      </c>
      <c r="C5" s="35">
        <v>98</v>
      </c>
      <c r="D5" s="50">
        <v>2</v>
      </c>
      <c r="E5" s="50">
        <f>ROUND(Р[[#This Row],[Количество]]*Р[[#This Row],[Цена за ед., руб]],2)</f>
        <v>196</v>
      </c>
      <c r="F5" s="41"/>
    </row>
    <row r="6" spans="1:6" ht="11.1" customHeight="1" x14ac:dyDescent="0.2">
      <c r="A6" s="40" t="s">
        <v>26</v>
      </c>
      <c r="B6" s="34" t="s">
        <v>27</v>
      </c>
      <c r="C6" s="37">
        <v>4010</v>
      </c>
      <c r="D6" s="50">
        <v>3</v>
      </c>
      <c r="E6" s="50">
        <f>ROUND(Р[[#This Row],[Количество]]*Р[[#This Row],[Цена за ед., руб]],2)</f>
        <v>12030</v>
      </c>
      <c r="F6" s="41"/>
    </row>
    <row r="7" spans="1:6" ht="11.1" customHeight="1" x14ac:dyDescent="0.2">
      <c r="A7" s="40" t="s">
        <v>36</v>
      </c>
      <c r="B7" s="34" t="s">
        <v>37</v>
      </c>
      <c r="C7" s="35">
        <v>106</v>
      </c>
      <c r="D7" s="50">
        <v>4</v>
      </c>
      <c r="E7" s="50">
        <f>ROUND(Р[[#This Row],[Количество]]*Р[[#This Row],[Цена за ед., руб]],2)</f>
        <v>424</v>
      </c>
      <c r="F7" s="41"/>
    </row>
    <row r="8" spans="1:6" ht="11.1" customHeight="1" x14ac:dyDescent="0.2">
      <c r="A8" s="40" t="s">
        <v>41</v>
      </c>
      <c r="B8" s="34" t="s">
        <v>24</v>
      </c>
      <c r="C8" s="35">
        <v>12</v>
      </c>
      <c r="D8" s="50">
        <v>5</v>
      </c>
      <c r="E8" s="50">
        <f>ROUND(Р[[#This Row],[Количество]]*Р[[#This Row],[Цена за ед., руб]],2)</f>
        <v>60</v>
      </c>
      <c r="F8" s="41"/>
    </row>
    <row r="9" spans="1:6" ht="11.1" customHeight="1" x14ac:dyDescent="0.2">
      <c r="A9" s="40" t="s">
        <v>44</v>
      </c>
      <c r="B9" s="34" t="s">
        <v>24</v>
      </c>
      <c r="C9" s="35">
        <v>853</v>
      </c>
      <c r="D9" s="50">
        <v>6</v>
      </c>
      <c r="E9" s="50">
        <f>ROUND(Р[[#This Row],[Количество]]*Р[[#This Row],[Цена за ед., руб]],2)</f>
        <v>5118</v>
      </c>
      <c r="F9" s="41"/>
    </row>
    <row r="10" spans="1:6" ht="11.1" customHeight="1" x14ac:dyDescent="0.2">
      <c r="A10" s="40" t="s">
        <v>48</v>
      </c>
      <c r="B10" s="34" t="s">
        <v>24</v>
      </c>
      <c r="C10" s="35">
        <v>205</v>
      </c>
      <c r="D10" s="50">
        <v>7</v>
      </c>
      <c r="E10" s="50">
        <f>ROUND(Р[[#This Row],[Количество]]*Р[[#This Row],[Цена за ед., руб]],2)</f>
        <v>1435</v>
      </c>
      <c r="F10" s="41"/>
    </row>
    <row r="11" spans="1:6" ht="11.1" customHeight="1" x14ac:dyDescent="0.2">
      <c r="A11" s="40" t="s">
        <v>52</v>
      </c>
      <c r="B11" s="34" t="s">
        <v>24</v>
      </c>
      <c r="C11" s="35">
        <v>48</v>
      </c>
      <c r="D11" s="50">
        <v>8</v>
      </c>
      <c r="E11" s="50">
        <f>ROUND(Р[[#This Row],[Количество]]*Р[[#This Row],[Цена за ед., руб]],2)</f>
        <v>384</v>
      </c>
      <c r="F11" s="41"/>
    </row>
    <row r="12" spans="1:6" ht="11.1" customHeight="1" x14ac:dyDescent="0.2">
      <c r="A12" s="40" t="s">
        <v>55</v>
      </c>
      <c r="B12" s="34" t="s">
        <v>27</v>
      </c>
      <c r="C12" s="38">
        <v>1679.8</v>
      </c>
      <c r="D12" s="50">
        <v>9</v>
      </c>
      <c r="E12" s="50">
        <f>ROUND(Р[[#This Row],[Количество]]*Р[[#This Row],[Цена за ед., руб]],2)</f>
        <v>15118.2</v>
      </c>
      <c r="F12" s="41"/>
    </row>
    <row r="13" spans="1:6" ht="11.1" customHeight="1" x14ac:dyDescent="0.2">
      <c r="A13" s="40" t="s">
        <v>61</v>
      </c>
      <c r="B13" s="34" t="s">
        <v>27</v>
      </c>
      <c r="C13" s="39">
        <v>702.2</v>
      </c>
      <c r="D13" s="50">
        <v>10</v>
      </c>
      <c r="E13" s="50">
        <f>ROUND(Р[[#This Row],[Количество]]*Р[[#This Row],[Цена за ед., руб]],2)</f>
        <v>7022</v>
      </c>
      <c r="F13" s="41"/>
    </row>
    <row r="14" spans="1:6" ht="11.1" customHeight="1" x14ac:dyDescent="0.2">
      <c r="A14" s="40" t="s">
        <v>64</v>
      </c>
      <c r="B14" s="34" t="s">
        <v>27</v>
      </c>
      <c r="C14" s="35">
        <v>54</v>
      </c>
      <c r="D14" s="50">
        <v>11</v>
      </c>
      <c r="E14" s="50">
        <f>ROUND(Р[[#This Row],[Количество]]*Р[[#This Row],[Цена за ед., руб]],2)</f>
        <v>594</v>
      </c>
      <c r="F14" s="41"/>
    </row>
    <row r="15" spans="1:6" ht="11.1" customHeight="1" x14ac:dyDescent="0.2">
      <c r="A15" s="40" t="s">
        <v>71</v>
      </c>
      <c r="B15" s="34" t="s">
        <v>24</v>
      </c>
      <c r="C15" s="35">
        <v>103</v>
      </c>
      <c r="D15" s="50">
        <v>12</v>
      </c>
      <c r="E15" s="50">
        <f>ROUND(Р[[#This Row],[Количество]]*Р[[#This Row],[Цена за ед., руб]],2)</f>
        <v>1236</v>
      </c>
      <c r="F15" s="41"/>
    </row>
    <row r="16" spans="1:6" ht="11.1" customHeight="1" x14ac:dyDescent="0.2">
      <c r="A16" s="40" t="s">
        <v>77</v>
      </c>
      <c r="B16" s="34" t="s">
        <v>27</v>
      </c>
      <c r="C16" s="35">
        <v>373</v>
      </c>
      <c r="D16" s="50">
        <v>13</v>
      </c>
      <c r="E16" s="50">
        <f>ROUND(Р[[#This Row],[Количество]]*Р[[#This Row],[Цена за ед., руб]],2)</f>
        <v>4849</v>
      </c>
      <c r="F16" s="41"/>
    </row>
    <row r="17" spans="1:6" ht="11.1" customHeight="1" x14ac:dyDescent="0.2">
      <c r="A17" s="40" t="s">
        <v>83</v>
      </c>
      <c r="B17" s="34" t="s">
        <v>24</v>
      </c>
      <c r="C17" s="35">
        <v>192</v>
      </c>
      <c r="D17" s="50">
        <v>14</v>
      </c>
      <c r="E17" s="50">
        <f>ROUND(Р[[#This Row],[Количество]]*Р[[#This Row],[Цена за ед., руб]],2)</f>
        <v>2688</v>
      </c>
      <c r="F17" s="41"/>
    </row>
    <row r="18" spans="1:6" ht="11.1" customHeight="1" x14ac:dyDescent="0.2">
      <c r="A18" s="40" t="s">
        <v>89</v>
      </c>
      <c r="B18" s="34" t="s">
        <v>24</v>
      </c>
      <c r="C18" s="35">
        <v>384</v>
      </c>
      <c r="D18" s="50">
        <v>15</v>
      </c>
      <c r="E18" s="50">
        <f>ROUND(Р[[#This Row],[Количество]]*Р[[#This Row],[Цена за ед., руб]],2)</f>
        <v>5760</v>
      </c>
      <c r="F18" s="41"/>
    </row>
    <row r="19" spans="1:6" ht="11.1" customHeight="1" x14ac:dyDescent="0.2">
      <c r="A19" s="40" t="s">
        <v>91</v>
      </c>
      <c r="B19" s="34" t="s">
        <v>27</v>
      </c>
      <c r="C19" s="37">
        <v>2688</v>
      </c>
      <c r="D19" s="50">
        <v>16</v>
      </c>
      <c r="E19" s="50">
        <f>ROUND(Р[[#This Row],[Количество]]*Р[[#This Row],[Цена за ед., руб]],2)</f>
        <v>43008</v>
      </c>
      <c r="F19" s="41"/>
    </row>
    <row r="20" spans="1:6" ht="11.1" customHeight="1" x14ac:dyDescent="0.2">
      <c r="A20" s="40" t="s">
        <v>97</v>
      </c>
      <c r="B20" s="34" t="s">
        <v>24</v>
      </c>
      <c r="C20" s="35">
        <v>4</v>
      </c>
      <c r="D20" s="50">
        <v>17</v>
      </c>
      <c r="E20" s="50">
        <f>ROUND(Р[[#This Row],[Количество]]*Р[[#This Row],[Цена за ед., руб]],2)</f>
        <v>68</v>
      </c>
      <c r="F20" s="41"/>
    </row>
    <row r="21" spans="1:6" ht="11.1" customHeight="1" x14ac:dyDescent="0.2">
      <c r="A21" s="40" t="s">
        <v>101</v>
      </c>
      <c r="B21" s="34" t="s">
        <v>24</v>
      </c>
      <c r="C21" s="35">
        <v>4</v>
      </c>
      <c r="D21" s="50">
        <v>18</v>
      </c>
      <c r="E21" s="50">
        <f>ROUND(Р[[#This Row],[Количество]]*Р[[#This Row],[Цена за ед., руб]],2)</f>
        <v>72</v>
      </c>
      <c r="F21" s="41"/>
    </row>
    <row r="22" spans="1:6" ht="11.1" customHeight="1" x14ac:dyDescent="0.2">
      <c r="A22" s="40" t="s">
        <v>104</v>
      </c>
      <c r="B22" s="34" t="s">
        <v>24</v>
      </c>
      <c r="C22" s="35">
        <v>4</v>
      </c>
      <c r="D22" s="50">
        <v>19</v>
      </c>
      <c r="E22" s="50">
        <f>ROUND(Р[[#This Row],[Количество]]*Р[[#This Row],[Цена за ед., руб]],2)</f>
        <v>76</v>
      </c>
      <c r="F22" s="41"/>
    </row>
    <row r="23" spans="1:6" ht="11.1" customHeight="1" x14ac:dyDescent="0.2">
      <c r="A23" s="40" t="s">
        <v>110</v>
      </c>
      <c r="B23" s="34" t="s">
        <v>24</v>
      </c>
      <c r="C23" s="35">
        <v>1</v>
      </c>
      <c r="D23" s="50">
        <v>20</v>
      </c>
      <c r="E23" s="50">
        <f>ROUND(Р[[#This Row],[Количество]]*Р[[#This Row],[Цена за ед., руб]],2)</f>
        <v>20</v>
      </c>
      <c r="F23" s="41"/>
    </row>
    <row r="24" spans="1:6" ht="11.1" customHeight="1" x14ac:dyDescent="0.2">
      <c r="A24" s="40" t="s">
        <v>113</v>
      </c>
      <c r="B24" s="34" t="s">
        <v>24</v>
      </c>
      <c r="C24" s="35">
        <v>2</v>
      </c>
      <c r="D24" s="50">
        <v>21</v>
      </c>
      <c r="E24" s="50">
        <f>ROUND(Р[[#This Row],[Количество]]*Р[[#This Row],[Цена за ед., руб]],2)</f>
        <v>42</v>
      </c>
      <c r="F24" s="41"/>
    </row>
    <row r="25" spans="1:6" ht="11.1" customHeight="1" x14ac:dyDescent="0.2">
      <c r="A25" s="40" t="s">
        <v>117</v>
      </c>
      <c r="B25" s="34" t="s">
        <v>24</v>
      </c>
      <c r="C25" s="35">
        <v>1</v>
      </c>
      <c r="D25" s="50">
        <v>22</v>
      </c>
      <c r="E25" s="50">
        <f>ROUND(Р[[#This Row],[Количество]]*Р[[#This Row],[Цена за ед., руб]],2)</f>
        <v>22</v>
      </c>
      <c r="F25" s="41"/>
    </row>
    <row r="26" spans="1:6" ht="11.1" customHeight="1" x14ac:dyDescent="0.2">
      <c r="A26" s="44" t="s">
        <v>123</v>
      </c>
      <c r="B26" s="45" t="s">
        <v>124</v>
      </c>
      <c r="C26" s="46">
        <v>1</v>
      </c>
      <c r="D26" s="50">
        <v>23</v>
      </c>
      <c r="E26" s="51">
        <f>ROUND(Р[[#This Row],[Количество]]*Р[[#This Row],[Цена за ед., руб]],2)</f>
        <v>23</v>
      </c>
      <c r="F26" s="48"/>
    </row>
    <row r="27" spans="1:6" ht="11.1" customHeight="1" x14ac:dyDescent="0.2">
      <c r="A27" s="44" t="s">
        <v>151</v>
      </c>
      <c r="B27" s="45" t="s">
        <v>124</v>
      </c>
      <c r="C27" s="46">
        <v>1</v>
      </c>
      <c r="D27" s="50">
        <v>24</v>
      </c>
      <c r="E27" s="51">
        <f>ROUND(Р[[#This Row],[Количество]]*Р[[#This Row],[Цена за ед., руб]],2)</f>
        <v>24</v>
      </c>
      <c r="F27" s="48"/>
    </row>
    <row r="28" spans="1:6" ht="11.45" customHeight="1" x14ac:dyDescent="0.2">
      <c r="A28" s="44" t="s">
        <v>139</v>
      </c>
      <c r="B28" s="45"/>
      <c r="C28" s="47"/>
      <c r="D28" s="51"/>
      <c r="E28" s="51">
        <f>SUBTOTAL(109,Р[Сумма, руб])</f>
        <v>100706.2</v>
      </c>
      <c r="F28" s="48"/>
    </row>
    <row r="30" spans="1:6" ht="11.45" customHeight="1" x14ac:dyDescent="0.2">
      <c r="D30" s="65" t="s">
        <v>155</v>
      </c>
      <c r="E30" s="66">
        <f>ЛСР!J180-Р[[#Totals],[Сумма,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47"/>
  <sheetViews>
    <sheetView workbookViewId="0">
      <pane ySplit="3" topLeftCell="A22" activePane="bottomLeft" state="frozen"/>
      <selection pane="bottomLeft" activeCell="I44" sqref="I4:I4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3" t="s">
        <v>129</v>
      </c>
      <c r="B1" s="123"/>
      <c r="C1" s="123"/>
      <c r="D1" s="123"/>
      <c r="E1" s="123"/>
      <c r="F1" s="123"/>
      <c r="G1" s="123"/>
      <c r="H1" s="123"/>
    </row>
    <row r="2" spans="1:9" ht="11.1" customHeight="1" x14ac:dyDescent="0.2"/>
    <row r="3" spans="1:9" ht="23.1" customHeight="1" x14ac:dyDescent="0.2">
      <c r="A3" s="42" t="s">
        <v>130</v>
      </c>
      <c r="B3" s="52" t="s">
        <v>131</v>
      </c>
      <c r="C3" s="43" t="s">
        <v>132</v>
      </c>
      <c r="D3" s="2" t="s">
        <v>7</v>
      </c>
      <c r="E3" s="2" t="s">
        <v>10</v>
      </c>
      <c r="F3" s="49" t="s">
        <v>11</v>
      </c>
      <c r="G3" s="49" t="s">
        <v>12</v>
      </c>
      <c r="H3" s="2" t="s">
        <v>133</v>
      </c>
      <c r="I3" s="43" t="s">
        <v>134</v>
      </c>
    </row>
    <row r="4" spans="1:9" ht="11.1" customHeight="1" x14ac:dyDescent="0.2">
      <c r="A4" s="40" t="s">
        <v>38</v>
      </c>
      <c r="B4" s="36"/>
      <c r="C4" s="36" t="s">
        <v>39</v>
      </c>
      <c r="D4" s="34" t="s">
        <v>37</v>
      </c>
      <c r="E4" s="35">
        <v>62</v>
      </c>
      <c r="F4" s="50">
        <v>1</v>
      </c>
      <c r="G4" s="50">
        <f>ROUND(М[[#This Row],[Количество]]*М[[#This Row],[Цена за ед., руб]],2)</f>
        <v>62</v>
      </c>
      <c r="H4" s="36" t="s">
        <v>40</v>
      </c>
      <c r="I4" s="41"/>
    </row>
    <row r="5" spans="1:9" ht="11.1" customHeight="1" x14ac:dyDescent="0.2">
      <c r="A5" s="40" t="s">
        <v>38</v>
      </c>
      <c r="B5" s="36"/>
      <c r="C5" s="36" t="s">
        <v>39</v>
      </c>
      <c r="D5" s="34" t="s">
        <v>37</v>
      </c>
      <c r="E5" s="35">
        <v>30</v>
      </c>
      <c r="F5" s="50">
        <v>2</v>
      </c>
      <c r="G5" s="50">
        <f>ROUND(М[[#This Row],[Количество]]*М[[#This Row],[Цена за ед., руб]],2)</f>
        <v>60</v>
      </c>
      <c r="H5" s="36"/>
      <c r="I5" s="41"/>
    </row>
    <row r="6" spans="1:9" ht="35.1" customHeight="1" x14ac:dyDescent="0.2">
      <c r="A6" s="40" t="s">
        <v>38</v>
      </c>
      <c r="B6" s="36"/>
      <c r="C6" s="36" t="s">
        <v>75</v>
      </c>
      <c r="D6" s="34" t="s">
        <v>37</v>
      </c>
      <c r="E6" s="35">
        <v>14</v>
      </c>
      <c r="F6" s="50">
        <v>3</v>
      </c>
      <c r="G6" s="50">
        <f>ROUND(М[[#This Row],[Количество]]*М[[#This Row],[Цена за ед., руб]],2)</f>
        <v>42</v>
      </c>
      <c r="H6" s="36" t="s">
        <v>40</v>
      </c>
      <c r="I6" s="41"/>
    </row>
    <row r="7" spans="1:9" ht="11.1" customHeight="1" x14ac:dyDescent="0.2">
      <c r="A7" s="40" t="s">
        <v>84</v>
      </c>
      <c r="B7" s="36"/>
      <c r="C7" s="36" t="s">
        <v>85</v>
      </c>
      <c r="D7" s="34" t="s">
        <v>32</v>
      </c>
      <c r="E7" s="37">
        <v>2688</v>
      </c>
      <c r="F7" s="50">
        <v>4</v>
      </c>
      <c r="G7" s="50">
        <f>ROUND(М[[#This Row],[Количество]]*М[[#This Row],[Цена за ед., руб]],2)</f>
        <v>10752</v>
      </c>
      <c r="H7" s="36"/>
      <c r="I7" s="41"/>
    </row>
    <row r="8" spans="1:9" ht="23.1" customHeight="1" x14ac:dyDescent="0.2">
      <c r="A8" s="40" t="s">
        <v>53</v>
      </c>
      <c r="B8" s="36"/>
      <c r="C8" s="36" t="s">
        <v>54</v>
      </c>
      <c r="D8" s="34" t="s">
        <v>24</v>
      </c>
      <c r="E8" s="35">
        <v>48</v>
      </c>
      <c r="F8" s="50">
        <v>5</v>
      </c>
      <c r="G8" s="50">
        <f>ROUND(М[[#This Row],[Количество]]*М[[#This Row],[Цена за ед., руб]],2)</f>
        <v>240</v>
      </c>
      <c r="H8" s="36"/>
      <c r="I8" s="41"/>
    </row>
    <row r="9" spans="1:9" ht="11.1" customHeight="1" x14ac:dyDescent="0.2">
      <c r="A9" s="40" t="s">
        <v>30</v>
      </c>
      <c r="B9" s="36"/>
      <c r="C9" s="36" t="s">
        <v>31</v>
      </c>
      <c r="D9" s="34" t="s">
        <v>32</v>
      </c>
      <c r="E9" s="35">
        <v>18</v>
      </c>
      <c r="F9" s="50">
        <v>6</v>
      </c>
      <c r="G9" s="50">
        <f>ROUND(М[[#This Row],[Количество]]*М[[#This Row],[Цена за ед., руб]],2)</f>
        <v>108</v>
      </c>
      <c r="H9" s="36"/>
      <c r="I9" s="41"/>
    </row>
    <row r="10" spans="1:9" ht="11.1" customHeight="1" x14ac:dyDescent="0.2">
      <c r="A10" s="40" t="s">
        <v>72</v>
      </c>
      <c r="B10" s="36"/>
      <c r="C10" s="36" t="s">
        <v>73</v>
      </c>
      <c r="D10" s="34" t="s">
        <v>32</v>
      </c>
      <c r="E10" s="35">
        <v>15</v>
      </c>
      <c r="F10" s="50">
        <v>7</v>
      </c>
      <c r="G10" s="50">
        <f>ROUND(М[[#This Row],[Количество]]*М[[#This Row],[Цена за ед., руб]],2)</f>
        <v>105</v>
      </c>
      <c r="H10" s="36"/>
      <c r="I10" s="41"/>
    </row>
    <row r="11" spans="1:9" ht="23.1" customHeight="1" x14ac:dyDescent="0.2">
      <c r="A11" s="40" t="s">
        <v>72</v>
      </c>
      <c r="B11" s="36"/>
      <c r="C11" s="36" t="s">
        <v>74</v>
      </c>
      <c r="D11" s="34" t="s">
        <v>32</v>
      </c>
      <c r="E11" s="35">
        <v>100</v>
      </c>
      <c r="F11" s="50">
        <v>8</v>
      </c>
      <c r="G11" s="50">
        <f>ROUND(М[[#This Row],[Количество]]*М[[#This Row],[Цена за ед., руб]],2)</f>
        <v>800</v>
      </c>
      <c r="H11" s="36"/>
      <c r="I11" s="41"/>
    </row>
    <row r="12" spans="1:9" ht="11.1" customHeight="1" x14ac:dyDescent="0.2">
      <c r="A12" s="40" t="s">
        <v>42</v>
      </c>
      <c r="B12" s="36"/>
      <c r="C12" s="36" t="s">
        <v>43</v>
      </c>
      <c r="D12" s="34" t="s">
        <v>24</v>
      </c>
      <c r="E12" s="35">
        <v>4</v>
      </c>
      <c r="F12" s="50">
        <v>9</v>
      </c>
      <c r="G12" s="50">
        <f>ROUND(М[[#This Row],[Количество]]*М[[#This Row],[Цена за ед., руб]],2)</f>
        <v>36</v>
      </c>
      <c r="H12" s="36"/>
      <c r="I12" s="41"/>
    </row>
    <row r="13" spans="1:9" ht="11.1" customHeight="1" x14ac:dyDescent="0.2">
      <c r="A13" s="40" t="s">
        <v>42</v>
      </c>
      <c r="B13" s="36"/>
      <c r="C13" s="36" t="s">
        <v>87</v>
      </c>
      <c r="D13" s="34" t="s">
        <v>24</v>
      </c>
      <c r="E13" s="35">
        <v>8</v>
      </c>
      <c r="F13" s="50">
        <v>10</v>
      </c>
      <c r="G13" s="50">
        <f>ROUND(М[[#This Row],[Количество]]*М[[#This Row],[Цена за ед., руб]],2)</f>
        <v>80</v>
      </c>
      <c r="H13" s="36"/>
      <c r="I13" s="41"/>
    </row>
    <row r="14" spans="1:9" ht="11.1" customHeight="1" x14ac:dyDescent="0.2">
      <c r="A14" s="40" t="s">
        <v>78</v>
      </c>
      <c r="B14" s="36"/>
      <c r="C14" s="36" t="s">
        <v>79</v>
      </c>
      <c r="D14" s="34" t="s">
        <v>32</v>
      </c>
      <c r="E14" s="35">
        <v>373</v>
      </c>
      <c r="F14" s="50">
        <v>11</v>
      </c>
      <c r="G14" s="50">
        <f>ROUND(М[[#This Row],[Количество]]*М[[#This Row],[Цена за ед., руб]],2)</f>
        <v>4103</v>
      </c>
      <c r="H14" s="36"/>
      <c r="I14" s="41"/>
    </row>
    <row r="15" spans="1:9" ht="11.1" customHeight="1" x14ac:dyDescent="0.2">
      <c r="A15" s="40" t="s">
        <v>62</v>
      </c>
      <c r="B15" s="36"/>
      <c r="C15" s="36" t="s">
        <v>63</v>
      </c>
      <c r="D15" s="34" t="s">
        <v>32</v>
      </c>
      <c r="E15" s="35">
        <v>683</v>
      </c>
      <c r="F15" s="50">
        <v>12</v>
      </c>
      <c r="G15" s="50">
        <f>ROUND(М[[#This Row],[Количество]]*М[[#This Row],[Цена за ед., руб]],2)</f>
        <v>8196</v>
      </c>
      <c r="H15" s="36"/>
      <c r="I15" s="41"/>
    </row>
    <row r="16" spans="1:9" ht="11.1" customHeight="1" x14ac:dyDescent="0.2">
      <c r="A16" s="40" t="s">
        <v>62</v>
      </c>
      <c r="B16" s="36"/>
      <c r="C16" s="36" t="s">
        <v>90</v>
      </c>
      <c r="D16" s="34" t="s">
        <v>32</v>
      </c>
      <c r="E16" s="39">
        <v>19.2</v>
      </c>
      <c r="F16" s="50">
        <v>13</v>
      </c>
      <c r="G16" s="50">
        <f>ROUND(М[[#This Row],[Количество]]*М[[#This Row],[Цена за ед., руб]],2)</f>
        <v>249.6</v>
      </c>
      <c r="H16" s="36"/>
      <c r="I16" s="41"/>
    </row>
    <row r="17" spans="1:9" ht="11.1" customHeight="1" x14ac:dyDescent="0.2">
      <c r="A17" s="40" t="s">
        <v>105</v>
      </c>
      <c r="B17" s="36"/>
      <c r="C17" s="36" t="s">
        <v>106</v>
      </c>
      <c r="D17" s="34" t="s">
        <v>24</v>
      </c>
      <c r="E17" s="35">
        <v>4</v>
      </c>
      <c r="F17" s="50">
        <v>15</v>
      </c>
      <c r="G17" s="50">
        <f>ROUND(М[[#This Row],[Количество]]*М[[#This Row],[Цена за ед., руб]],2)</f>
        <v>60</v>
      </c>
      <c r="H17" s="36"/>
      <c r="I17" s="41"/>
    </row>
    <row r="18" spans="1:9" ht="11.1" customHeight="1" x14ac:dyDescent="0.2">
      <c r="A18" s="40" t="s">
        <v>56</v>
      </c>
      <c r="B18" s="36"/>
      <c r="C18" s="36" t="s">
        <v>57</v>
      </c>
      <c r="D18" s="34" t="s">
        <v>32</v>
      </c>
      <c r="E18" s="37">
        <v>1471</v>
      </c>
      <c r="F18" s="50">
        <v>16</v>
      </c>
      <c r="G18" s="50">
        <f>ROUND(М[[#This Row],[Количество]]*М[[#This Row],[Цена за ед., руб]],2)</f>
        <v>23536</v>
      </c>
      <c r="H18" s="36"/>
      <c r="I18" s="41"/>
    </row>
    <row r="19" spans="1:9" ht="11.1" customHeight="1" x14ac:dyDescent="0.2">
      <c r="A19" s="40" t="s">
        <v>56</v>
      </c>
      <c r="B19" s="36"/>
      <c r="C19" s="36" t="s">
        <v>58</v>
      </c>
      <c r="D19" s="34" t="s">
        <v>32</v>
      </c>
      <c r="E19" s="35">
        <v>6</v>
      </c>
      <c r="F19" s="50">
        <v>17</v>
      </c>
      <c r="G19" s="50">
        <f>ROUND(М[[#This Row],[Количество]]*М[[#This Row],[Цена за ед., руб]],2)</f>
        <v>102</v>
      </c>
      <c r="H19" s="36"/>
      <c r="I19" s="41"/>
    </row>
    <row r="20" spans="1:9" ht="11.1" customHeight="1" x14ac:dyDescent="0.2">
      <c r="A20" s="40" t="s">
        <v>56</v>
      </c>
      <c r="B20" s="36"/>
      <c r="C20" s="36" t="s">
        <v>60</v>
      </c>
      <c r="D20" s="34" t="s">
        <v>32</v>
      </c>
      <c r="E20" s="39">
        <v>202.8</v>
      </c>
      <c r="F20" s="50">
        <v>18</v>
      </c>
      <c r="G20" s="50">
        <f>ROUND(М[[#This Row],[Количество]]*М[[#This Row],[Цена за ед., руб]],2)</f>
        <v>3650.4</v>
      </c>
      <c r="H20" s="36"/>
      <c r="I20" s="41"/>
    </row>
    <row r="21" spans="1:9" ht="11.1" customHeight="1" x14ac:dyDescent="0.2">
      <c r="A21" s="40" t="s">
        <v>98</v>
      </c>
      <c r="B21" s="36"/>
      <c r="C21" s="36" t="s">
        <v>99</v>
      </c>
      <c r="D21" s="34" t="s">
        <v>24</v>
      </c>
      <c r="E21" s="35">
        <v>4</v>
      </c>
      <c r="F21" s="50">
        <v>19</v>
      </c>
      <c r="G21" s="50">
        <f>ROUND(М[[#This Row],[Количество]]*М[[#This Row],[Цена за ед., руб]],2)</f>
        <v>76</v>
      </c>
      <c r="H21" s="36" t="s">
        <v>100</v>
      </c>
      <c r="I21" s="41"/>
    </row>
    <row r="22" spans="1:9" ht="23.1" customHeight="1" x14ac:dyDescent="0.2">
      <c r="A22" s="40" t="s">
        <v>49</v>
      </c>
      <c r="B22" s="36"/>
      <c r="C22" s="36" t="s">
        <v>50</v>
      </c>
      <c r="D22" s="34" t="s">
        <v>24</v>
      </c>
      <c r="E22" s="35">
        <v>2</v>
      </c>
      <c r="F22" s="50">
        <v>20</v>
      </c>
      <c r="G22" s="50">
        <f>ROUND(М[[#This Row],[Количество]]*М[[#This Row],[Цена за ед., руб]],2)</f>
        <v>40</v>
      </c>
      <c r="H22" s="36"/>
      <c r="I22" s="41"/>
    </row>
    <row r="23" spans="1:9" ht="11.1" customHeight="1" x14ac:dyDescent="0.2">
      <c r="A23" s="40" t="s">
        <v>49</v>
      </c>
      <c r="B23" s="36"/>
      <c r="C23" s="36" t="s">
        <v>76</v>
      </c>
      <c r="D23" s="34" t="s">
        <v>24</v>
      </c>
      <c r="E23" s="35">
        <v>8</v>
      </c>
      <c r="F23" s="50">
        <v>21</v>
      </c>
      <c r="G23" s="50">
        <f>ROUND(М[[#This Row],[Количество]]*М[[#This Row],[Цена за ед., руб]],2)</f>
        <v>168</v>
      </c>
      <c r="H23" s="36"/>
      <c r="I23" s="41"/>
    </row>
    <row r="24" spans="1:9" ht="23.1" customHeight="1" x14ac:dyDescent="0.2">
      <c r="A24" s="40" t="s">
        <v>49</v>
      </c>
      <c r="B24" s="36"/>
      <c r="C24" s="36" t="s">
        <v>51</v>
      </c>
      <c r="D24" s="34" t="s">
        <v>24</v>
      </c>
      <c r="E24" s="35">
        <v>195</v>
      </c>
      <c r="F24" s="50">
        <v>23</v>
      </c>
      <c r="G24" s="50">
        <f>ROUND(М[[#This Row],[Количество]]*М[[#This Row],[Цена за ед., руб]],2)</f>
        <v>4485</v>
      </c>
      <c r="H24" s="36"/>
      <c r="I24" s="41"/>
    </row>
    <row r="25" spans="1:9" ht="11.1" customHeight="1" x14ac:dyDescent="0.2">
      <c r="A25" s="40" t="s">
        <v>92</v>
      </c>
      <c r="B25" s="36"/>
      <c r="C25" s="36" t="s">
        <v>93</v>
      </c>
      <c r="D25" s="34" t="s">
        <v>32</v>
      </c>
      <c r="E25" s="37">
        <v>2688</v>
      </c>
      <c r="F25" s="50">
        <v>24</v>
      </c>
      <c r="G25" s="50">
        <f>ROUND(М[[#This Row],[Количество]]*М[[#This Row],[Цена за ед., руб]],2)</f>
        <v>64512</v>
      </c>
      <c r="H25" s="36"/>
      <c r="I25" s="41"/>
    </row>
    <row r="26" spans="1:9" ht="11.1" customHeight="1" x14ac:dyDescent="0.2">
      <c r="A26" s="40" t="s">
        <v>118</v>
      </c>
      <c r="B26" s="36"/>
      <c r="C26" s="36" t="s">
        <v>119</v>
      </c>
      <c r="D26" s="34" t="s">
        <v>24</v>
      </c>
      <c r="E26" s="35">
        <v>1</v>
      </c>
      <c r="F26" s="50">
        <v>25</v>
      </c>
      <c r="G26" s="50">
        <f>ROUND(М[[#This Row],[Количество]]*М[[#This Row],[Цена за ед., руб]],2)</f>
        <v>25</v>
      </c>
      <c r="H26" s="36"/>
      <c r="I26" s="41"/>
    </row>
    <row r="27" spans="1:9" ht="11.1" customHeight="1" x14ac:dyDescent="0.2">
      <c r="A27" s="40" t="s">
        <v>111</v>
      </c>
      <c r="B27" s="36"/>
      <c r="C27" s="36" t="s">
        <v>112</v>
      </c>
      <c r="D27" s="34" t="s">
        <v>24</v>
      </c>
      <c r="E27" s="35">
        <v>1</v>
      </c>
      <c r="F27" s="50">
        <v>26</v>
      </c>
      <c r="G27" s="50">
        <f>ROUND(М[[#This Row],[Количество]]*М[[#This Row],[Цена за ед., руб]],2)</f>
        <v>26</v>
      </c>
      <c r="H27" s="36"/>
      <c r="I27" s="41"/>
    </row>
    <row r="28" spans="1:9" ht="11.1" customHeight="1" x14ac:dyDescent="0.2">
      <c r="A28" s="40" t="s">
        <v>102</v>
      </c>
      <c r="B28" s="36"/>
      <c r="C28" s="36" t="s">
        <v>103</v>
      </c>
      <c r="D28" s="34" t="s">
        <v>24</v>
      </c>
      <c r="E28" s="35">
        <v>4</v>
      </c>
      <c r="F28" s="50">
        <v>27</v>
      </c>
      <c r="G28" s="50">
        <f>ROUND(М[[#This Row],[Количество]]*М[[#This Row],[Цена за ед., руб]],2)</f>
        <v>108</v>
      </c>
      <c r="H28" s="36"/>
      <c r="I28" s="41"/>
    </row>
    <row r="29" spans="1:9" ht="11.1" customHeight="1" x14ac:dyDescent="0.2">
      <c r="A29" s="40" t="s">
        <v>65</v>
      </c>
      <c r="B29" s="36"/>
      <c r="C29" s="36" t="s">
        <v>66</v>
      </c>
      <c r="D29" s="34" t="s">
        <v>32</v>
      </c>
      <c r="E29" s="35">
        <v>54</v>
      </c>
      <c r="F29" s="50">
        <v>28</v>
      </c>
      <c r="G29" s="50">
        <f>ROUND(М[[#This Row],[Количество]]*М[[#This Row],[Цена за ед., руб]],2)</f>
        <v>1512</v>
      </c>
      <c r="H29" s="36"/>
      <c r="I29" s="41"/>
    </row>
    <row r="30" spans="1:9" ht="11.1" customHeight="1" x14ac:dyDescent="0.2">
      <c r="A30" s="40" t="s">
        <v>45</v>
      </c>
      <c r="B30" s="36"/>
      <c r="C30" s="36" t="s">
        <v>46</v>
      </c>
      <c r="D30" s="34" t="s">
        <v>24</v>
      </c>
      <c r="E30" s="35">
        <v>98</v>
      </c>
      <c r="F30" s="50">
        <v>29</v>
      </c>
      <c r="G30" s="50">
        <f>ROUND(М[[#This Row],[Количество]]*М[[#This Row],[Цена за ед., руб]],2)</f>
        <v>2842</v>
      </c>
      <c r="H30" s="36"/>
      <c r="I30" s="41"/>
    </row>
    <row r="31" spans="1:9" ht="11.1" customHeight="1" x14ac:dyDescent="0.2">
      <c r="A31" s="40" t="s">
        <v>45</v>
      </c>
      <c r="B31" s="36"/>
      <c r="C31" s="36" t="s">
        <v>88</v>
      </c>
      <c r="D31" s="34" t="s">
        <v>24</v>
      </c>
      <c r="E31" s="35">
        <v>200</v>
      </c>
      <c r="F31" s="50">
        <v>30</v>
      </c>
      <c r="G31" s="50">
        <f>ROUND(М[[#This Row],[Количество]]*М[[#This Row],[Цена за ед., руб]],2)</f>
        <v>6000</v>
      </c>
      <c r="H31" s="36"/>
      <c r="I31" s="41"/>
    </row>
    <row r="32" spans="1:9" ht="11.1" customHeight="1" x14ac:dyDescent="0.2">
      <c r="A32" s="40" t="s">
        <v>45</v>
      </c>
      <c r="B32" s="36"/>
      <c r="C32" s="36" t="s">
        <v>47</v>
      </c>
      <c r="D32" s="34" t="s">
        <v>24</v>
      </c>
      <c r="E32" s="35">
        <v>555</v>
      </c>
      <c r="F32" s="50">
        <v>31</v>
      </c>
      <c r="G32" s="50">
        <f>ROUND(М[[#This Row],[Количество]]*М[[#This Row],[Цена за ед., руб]],2)</f>
        <v>17205</v>
      </c>
      <c r="H32" s="36"/>
      <c r="I32" s="41"/>
    </row>
    <row r="33" spans="1:9" ht="11.1" customHeight="1" x14ac:dyDescent="0.2">
      <c r="A33" s="40" t="s">
        <v>34</v>
      </c>
      <c r="B33" s="36"/>
      <c r="C33" s="36" t="s">
        <v>35</v>
      </c>
      <c r="D33" s="34" t="s">
        <v>32</v>
      </c>
      <c r="E33" s="35">
        <v>508</v>
      </c>
      <c r="F33" s="50">
        <v>33</v>
      </c>
      <c r="G33" s="50">
        <f>ROUND(М[[#This Row],[Количество]]*М[[#This Row],[Цена за ед., руб]],2)</f>
        <v>16764</v>
      </c>
      <c r="H33" s="36"/>
      <c r="I33" s="41"/>
    </row>
    <row r="34" spans="1:9" ht="23.1" customHeight="1" x14ac:dyDescent="0.2">
      <c r="A34" s="40" t="s">
        <v>34</v>
      </c>
      <c r="B34" s="36"/>
      <c r="C34" s="36" t="s">
        <v>86</v>
      </c>
      <c r="D34" s="34" t="s">
        <v>32</v>
      </c>
      <c r="E34" s="35">
        <v>681</v>
      </c>
      <c r="F34" s="50">
        <v>35</v>
      </c>
      <c r="G34" s="50">
        <f>ROUND(М[[#This Row],[Количество]]*М[[#This Row],[Цена за ед., руб]],2)</f>
        <v>23835</v>
      </c>
      <c r="H34" s="36"/>
      <c r="I34" s="41"/>
    </row>
    <row r="35" spans="1:9" ht="23.1" customHeight="1" x14ac:dyDescent="0.2">
      <c r="A35" s="40" t="s">
        <v>114</v>
      </c>
      <c r="B35" s="36"/>
      <c r="C35" s="36" t="s">
        <v>115</v>
      </c>
      <c r="D35" s="34" t="s">
        <v>24</v>
      </c>
      <c r="E35" s="35">
        <v>1</v>
      </c>
      <c r="F35" s="50">
        <v>36</v>
      </c>
      <c r="G35" s="50">
        <f>ROUND(М[[#This Row],[Количество]]*М[[#This Row],[Цена за ед., руб]],2)</f>
        <v>36</v>
      </c>
      <c r="H35" s="36"/>
      <c r="I35" s="41"/>
    </row>
    <row r="36" spans="1:9" ht="23.1" customHeight="1" x14ac:dyDescent="0.2">
      <c r="A36" s="44" t="s">
        <v>114</v>
      </c>
      <c r="B36" s="53"/>
      <c r="C36" s="53" t="s">
        <v>116</v>
      </c>
      <c r="D36" s="45" t="s">
        <v>24</v>
      </c>
      <c r="E36" s="46">
        <v>1</v>
      </c>
      <c r="F36" s="50">
        <v>37</v>
      </c>
      <c r="G36" s="51">
        <f>ROUND(М[[#This Row],[Количество]]*М[[#This Row],[Цена за ед., руб]],2)</f>
        <v>37</v>
      </c>
      <c r="H36" s="53"/>
      <c r="I36" s="48"/>
    </row>
    <row r="37" spans="1:9" ht="23.1" customHeight="1" x14ac:dyDescent="0.2">
      <c r="A37" s="44" t="s">
        <v>148</v>
      </c>
      <c r="B37" s="53"/>
      <c r="C37" s="36" t="s">
        <v>153</v>
      </c>
      <c r="D37" s="34" t="s">
        <v>154</v>
      </c>
      <c r="E37" s="35">
        <v>45</v>
      </c>
      <c r="F37" s="50">
        <v>38</v>
      </c>
      <c r="G37" s="51">
        <f>ROUND(М[[#This Row],[Количество]]*М[[#This Row],[Цена за ед., руб]],2)</f>
        <v>1710</v>
      </c>
      <c r="H37" s="53" t="s">
        <v>152</v>
      </c>
      <c r="I37" s="48"/>
    </row>
    <row r="38" spans="1:9" ht="23.1" customHeight="1" x14ac:dyDescent="0.2">
      <c r="A38" s="44" t="s">
        <v>140</v>
      </c>
      <c r="B38" s="53"/>
      <c r="C38" s="53"/>
      <c r="D38" s="45" t="s">
        <v>67</v>
      </c>
      <c r="E38" s="67">
        <v>5</v>
      </c>
      <c r="F38" s="51"/>
      <c r="G38" s="51">
        <f ca="1">SUMIF(ЛСР!$B$6:$K$178,М[[#This Row],[Наим.]],ЛСР!$J$6:$J$178)</f>
        <v>422.28</v>
      </c>
      <c r="H38" s="76" t="s">
        <v>167</v>
      </c>
      <c r="I38" s="48"/>
    </row>
    <row r="39" spans="1:9" ht="23.1" customHeight="1" x14ac:dyDescent="0.2">
      <c r="A39" s="44" t="s">
        <v>141</v>
      </c>
      <c r="B39" s="53"/>
      <c r="C39" s="53"/>
      <c r="D39" s="45" t="s">
        <v>67</v>
      </c>
      <c r="E39" s="67">
        <v>5</v>
      </c>
      <c r="F39" s="51"/>
      <c r="G39" s="51">
        <f ca="1">SUMIF(ЛСР!$B$6:$K$178,М[[#This Row],[Наим.]],ЛСР!$J$6:$J$178)</f>
        <v>205.15</v>
      </c>
      <c r="H39" s="76" t="s">
        <v>167</v>
      </c>
      <c r="I39" s="48"/>
    </row>
    <row r="40" spans="1:9" ht="23.1" customHeight="1" x14ac:dyDescent="0.2">
      <c r="A40" s="44" t="s">
        <v>142</v>
      </c>
      <c r="B40" s="53"/>
      <c r="C40" s="53"/>
      <c r="D40" s="45" t="s">
        <v>67</v>
      </c>
      <c r="E40" s="67">
        <v>5</v>
      </c>
      <c r="F40" s="51"/>
      <c r="G40" s="51">
        <f ca="1">SUMIF(ЛСР!$B$6:$K$178,М[[#This Row],[Наим.]],ЛСР!$J$6:$J$178)</f>
        <v>75.599999999999994</v>
      </c>
      <c r="H40" s="76" t="s">
        <v>167</v>
      </c>
      <c r="I40" s="48"/>
    </row>
    <row r="41" spans="1:9" ht="23.1" customHeight="1" x14ac:dyDescent="0.2">
      <c r="A41" s="44" t="s">
        <v>143</v>
      </c>
      <c r="B41" s="53"/>
      <c r="C41" s="53"/>
      <c r="D41" s="45" t="s">
        <v>67</v>
      </c>
      <c r="E41" s="67">
        <v>5</v>
      </c>
      <c r="F41" s="51"/>
      <c r="G41" s="51">
        <f ca="1">SUMIF(ЛСР!$B$6:$K$178,М[[#This Row],[Наим.]],ЛСР!$J$6:$J$178)</f>
        <v>3225.6</v>
      </c>
      <c r="H41" s="76" t="s">
        <v>167</v>
      </c>
      <c r="I41" s="48"/>
    </row>
    <row r="42" spans="1:9" ht="23.1" customHeight="1" x14ac:dyDescent="0.2">
      <c r="A42" s="44" t="s">
        <v>144</v>
      </c>
      <c r="B42" s="53"/>
      <c r="C42" s="53"/>
      <c r="D42" s="45" t="s">
        <v>67</v>
      </c>
      <c r="E42" s="67">
        <v>5</v>
      </c>
      <c r="F42" s="51"/>
      <c r="G42" s="51">
        <f ca="1">SUMIF(ЛСР!$B$6:$K$178,М[[#This Row],[Наим.]],ЛСР!$J$6:$J$178)</f>
        <v>1364.42</v>
      </c>
      <c r="H42" s="76" t="s">
        <v>167</v>
      </c>
      <c r="I42" s="48"/>
    </row>
    <row r="43" spans="1:9" ht="23.1" customHeight="1" x14ac:dyDescent="0.2">
      <c r="A43" s="44" t="s">
        <v>145</v>
      </c>
      <c r="B43" s="53"/>
      <c r="C43" s="53"/>
      <c r="D43" s="45" t="s">
        <v>67</v>
      </c>
      <c r="E43" s="67">
        <v>5</v>
      </c>
      <c r="F43" s="51"/>
      <c r="G43" s="51">
        <f ca="1">SUMIF(ЛСР!$B$6:$K$178,М[[#This Row],[Наим.]],ЛСР!$J$6:$J$178)</f>
        <v>0</v>
      </c>
      <c r="H43" s="76" t="s">
        <v>167</v>
      </c>
      <c r="I43" s="48"/>
    </row>
    <row r="44" spans="1:9" ht="23.1" customHeight="1" x14ac:dyDescent="0.2">
      <c r="A44" s="44" t="s">
        <v>146</v>
      </c>
      <c r="B44" s="53"/>
      <c r="C44" s="53"/>
      <c r="D44" s="45" t="s">
        <v>67</v>
      </c>
      <c r="E44" s="67">
        <v>5</v>
      </c>
      <c r="F44" s="51"/>
      <c r="G44" s="51">
        <f ca="1">SUMIF(ЛСР!$B$6:$K$178,М[[#This Row],[Наим.]],ЛСР!$J$6:$J$178)</f>
        <v>9578.15</v>
      </c>
      <c r="H44" s="76" t="s">
        <v>167</v>
      </c>
      <c r="I44" s="48"/>
    </row>
    <row r="45" spans="1:9" ht="11.45" customHeight="1" x14ac:dyDescent="0.2">
      <c r="A45" s="44" t="s">
        <v>139</v>
      </c>
      <c r="B45" s="53"/>
      <c r="C45" s="53"/>
      <c r="D45" s="45"/>
      <c r="E45" s="47"/>
      <c r="F45" s="51"/>
      <c r="G45" s="51">
        <f ca="1">SUBTOTAL(109,М[Сумма, руб])</f>
        <v>206434.2</v>
      </c>
      <c r="H45" s="53"/>
      <c r="I45" s="48"/>
    </row>
    <row r="47" spans="1:9" ht="11.45" customHeight="1" x14ac:dyDescent="0.2">
      <c r="F47" s="65" t="s">
        <v>155</v>
      </c>
      <c r="G47" s="66">
        <f ca="1">ЛСР!J181-М[[#Totals],[Сумма,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44" xr:uid="{3909A2B1-3CE5-4BDC-8CCA-6A05FF9D10EC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135</v>
      </c>
      <c r="B1" s="1" t="s">
        <v>136</v>
      </c>
    </row>
    <row r="2" spans="1:2" ht="11.1" customHeight="1" x14ac:dyDescent="0.2">
      <c r="A2" s="1" t="s">
        <v>137</v>
      </c>
      <c r="B2" s="1" t="s">
        <v>138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2026-07-22T08:45:00Z</dcterms:modified>
</cp:coreProperties>
</file>