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МЫС - ЖК Мириады\2 Очередь (ГП-105, 106, 107)\11 Внутренние сети\11.02-11.04, 11.07 ОВиК\На отправку в тендер\"/>
    </mc:Choice>
  </mc:AlternateContent>
  <xr:revisionPtr revIDLastSave="0" documentId="13_ncr:1_{D0C5600C-83C7-4094-912E-4D020AA1B1B3}" xr6:coauthVersionLast="47" xr6:coauthVersionMax="47" xr10:uidLastSave="{00000000-0000-0000-0000-000000000000}"/>
  <bookViews>
    <workbookView xWindow="285" yWindow="855" windowWidth="29430" windowHeight="18435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definedNames>
    <definedName name="_xlnm._FilterDatabase" localSheetId="0" hidden="1">ЛСР!$A$7:$L$247</definedName>
  </definedNames>
  <calcPr calcId="191029"/>
</workbook>
</file>

<file path=xl/calcChain.xml><?xml version="1.0" encoding="utf-8"?>
<calcChain xmlns="http://schemas.openxmlformats.org/spreadsheetml/2006/main">
  <c r="L236" i="1" l="1" a="1"/>
  <c r="L236" i="1" s="1"/>
  <c r="L235" i="1" a="1"/>
  <c r="L235" i="1" s="1"/>
  <c r="L234" i="1" a="1"/>
  <c r="L234" i="1" s="1"/>
  <c r="L233" i="1" a="1"/>
  <c r="L233" i="1" s="1"/>
  <c r="L232" i="1" a="1"/>
  <c r="L232" i="1" s="1"/>
  <c r="H13" i="1"/>
  <c r="I13" i="1" a="1"/>
  <c r="I13" i="1" s="1"/>
  <c r="H15" i="1"/>
  <c r="I15" i="1" a="1"/>
  <c r="I15" i="1" s="1"/>
  <c r="J15" i="1" s="1"/>
  <c r="J14" i="1" s="1"/>
  <c r="H17" i="1"/>
  <c r="L17" i="1" a="1"/>
  <c r="L17" i="1" s="1"/>
  <c r="I17" i="1" a="1"/>
  <c r="I17" i="1" s="1"/>
  <c r="J17" i="1" s="1"/>
  <c r="H18" i="1"/>
  <c r="L18" i="1" a="1"/>
  <c r="L18" i="1" s="1"/>
  <c r="I18" i="1" a="1"/>
  <c r="I18" i="1" s="1"/>
  <c r="J18" i="1" s="1"/>
  <c r="H19" i="1"/>
  <c r="L19" i="1" a="1"/>
  <c r="L19" i="1" s="1"/>
  <c r="I19" i="1" a="1"/>
  <c r="I19" i="1" s="1"/>
  <c r="J19" i="1" s="1"/>
  <c r="H20" i="1"/>
  <c r="L20" i="1" a="1"/>
  <c r="L20" i="1" s="1"/>
  <c r="I20" i="1" a="1"/>
  <c r="I20" i="1" s="1"/>
  <c r="H21" i="1"/>
  <c r="L21" i="1" a="1"/>
  <c r="L21" i="1" s="1"/>
  <c r="I21" i="1" a="1"/>
  <c r="I21" i="1" s="1"/>
  <c r="J21" i="1" s="1"/>
  <c r="H22" i="1"/>
  <c r="L22" i="1" a="1"/>
  <c r="L22" i="1" s="1"/>
  <c r="I22" i="1" a="1"/>
  <c r="I22" i="1" s="1"/>
  <c r="J22" i="1" s="1"/>
  <c r="H23" i="1"/>
  <c r="L23" i="1" a="1"/>
  <c r="L23" i="1" s="1"/>
  <c r="I23" i="1" a="1"/>
  <c r="I23" i="1" s="1"/>
  <c r="H24" i="1"/>
  <c r="L24" i="1" a="1"/>
  <c r="L24" i="1" s="1"/>
  <c r="I24" i="1" a="1"/>
  <c r="I24" i="1" s="1"/>
  <c r="H25" i="1"/>
  <c r="L25" i="1" a="1"/>
  <c r="L25" i="1" s="1"/>
  <c r="I25" i="1" a="1"/>
  <c r="I25" i="1" s="1"/>
  <c r="H26" i="1"/>
  <c r="L26" i="1" a="1"/>
  <c r="L26" i="1" s="1"/>
  <c r="I26" i="1" a="1"/>
  <c r="I26" i="1" s="1"/>
  <c r="H28" i="1"/>
  <c r="I28" i="1" a="1"/>
  <c r="I28" i="1" s="1"/>
  <c r="H30" i="1"/>
  <c r="L30" i="1" a="1"/>
  <c r="L30" i="1" s="1"/>
  <c r="I30" i="1" a="1"/>
  <c r="I30" i="1" s="1"/>
  <c r="H32" i="1"/>
  <c r="I32" i="1" a="1"/>
  <c r="I32" i="1" s="1"/>
  <c r="H34" i="1"/>
  <c r="L34" i="1" a="1"/>
  <c r="L34" i="1" s="1"/>
  <c r="I34" i="1" a="1"/>
  <c r="I34" i="1" s="1"/>
  <c r="H35" i="1"/>
  <c r="L35" i="1" a="1"/>
  <c r="L35" i="1" s="1"/>
  <c r="I35" i="1" a="1"/>
  <c r="I35" i="1" s="1"/>
  <c r="H36" i="1"/>
  <c r="L36" i="1" a="1"/>
  <c r="L36" i="1" s="1"/>
  <c r="I36" i="1" a="1"/>
  <c r="I36" i="1" s="1"/>
  <c r="H37" i="1"/>
  <c r="L37" i="1" a="1"/>
  <c r="L37" i="1" s="1"/>
  <c r="I37" i="1" a="1"/>
  <c r="I37" i="1" s="1"/>
  <c r="J37" i="1" s="1"/>
  <c r="H39" i="1"/>
  <c r="I39" i="1" a="1"/>
  <c r="I39" i="1" s="1"/>
  <c r="H41" i="1"/>
  <c r="L41" i="1" a="1"/>
  <c r="L41" i="1" s="1"/>
  <c r="I41" i="1" a="1"/>
  <c r="I41" i="1" s="1"/>
  <c r="H42" i="1"/>
  <c r="L42" i="1" a="1"/>
  <c r="L42" i="1" s="1"/>
  <c r="I42" i="1" a="1"/>
  <c r="I42" i="1" s="1"/>
  <c r="H44" i="1"/>
  <c r="I44" i="1" a="1"/>
  <c r="I44" i="1" s="1"/>
  <c r="H46" i="1"/>
  <c r="L46" i="1" a="1"/>
  <c r="L46" i="1" s="1"/>
  <c r="I46" i="1" a="1"/>
  <c r="I46" i="1" s="1"/>
  <c r="H48" i="1"/>
  <c r="I48" i="1" a="1"/>
  <c r="I48" i="1" s="1"/>
  <c r="H50" i="1"/>
  <c r="L50" i="1" a="1"/>
  <c r="L50" i="1" s="1"/>
  <c r="I50" i="1" a="1"/>
  <c r="I50" i="1" s="1"/>
  <c r="H52" i="1"/>
  <c r="I52" i="1" a="1"/>
  <c r="I52" i="1" s="1"/>
  <c r="H54" i="1"/>
  <c r="L54" i="1" a="1"/>
  <c r="L54" i="1" s="1"/>
  <c r="I54" i="1" a="1"/>
  <c r="I54" i="1" s="1"/>
  <c r="H55" i="1"/>
  <c r="L55" i="1" a="1"/>
  <c r="L55" i="1" s="1"/>
  <c r="I55" i="1" a="1"/>
  <c r="I55" i="1" s="1"/>
  <c r="H56" i="1"/>
  <c r="L56" i="1" a="1"/>
  <c r="L56" i="1" s="1"/>
  <c r="I56" i="1" a="1"/>
  <c r="I56" i="1" s="1"/>
  <c r="H57" i="1"/>
  <c r="L57" i="1" a="1"/>
  <c r="L57" i="1" s="1"/>
  <c r="I57" i="1" a="1"/>
  <c r="I57" i="1" s="1"/>
  <c r="H58" i="1"/>
  <c r="L58" i="1" a="1"/>
  <c r="L58" i="1" s="1"/>
  <c r="I58" i="1" a="1"/>
  <c r="I58" i="1" s="1"/>
  <c r="H59" i="1"/>
  <c r="L59" i="1" a="1"/>
  <c r="L59" i="1" s="1"/>
  <c r="I59" i="1" a="1"/>
  <c r="I59" i="1" s="1"/>
  <c r="H60" i="1"/>
  <c r="L60" i="1" a="1"/>
  <c r="L60" i="1" s="1"/>
  <c r="I60" i="1" a="1"/>
  <c r="I60" i="1" s="1"/>
  <c r="H61" i="1"/>
  <c r="L61" i="1" a="1"/>
  <c r="L61" i="1" s="1"/>
  <c r="I61" i="1" a="1"/>
  <c r="I61" i="1" s="1"/>
  <c r="H63" i="1"/>
  <c r="I63" i="1" a="1"/>
  <c r="I63" i="1" s="1"/>
  <c r="H65" i="1"/>
  <c r="L65" i="1" a="1"/>
  <c r="L65" i="1" s="1"/>
  <c r="I65" i="1" a="1"/>
  <c r="I65" i="1" s="1"/>
  <c r="H66" i="1"/>
  <c r="L66" i="1" a="1"/>
  <c r="L66" i="1" s="1"/>
  <c r="I66" i="1" a="1"/>
  <c r="I66" i="1" s="1"/>
  <c r="H67" i="1"/>
  <c r="L67" i="1" a="1"/>
  <c r="L67" i="1" s="1"/>
  <c r="I67" i="1" a="1"/>
  <c r="I67" i="1" s="1"/>
  <c r="H68" i="1"/>
  <c r="L68" i="1" a="1"/>
  <c r="L68" i="1" s="1"/>
  <c r="I68" i="1" a="1"/>
  <c r="I68" i="1" s="1"/>
  <c r="H69" i="1"/>
  <c r="L69" i="1" a="1"/>
  <c r="L69" i="1" s="1"/>
  <c r="I69" i="1" a="1"/>
  <c r="I69" i="1" s="1"/>
  <c r="H71" i="1"/>
  <c r="I71" i="1" a="1"/>
  <c r="I71" i="1" s="1"/>
  <c r="H73" i="1"/>
  <c r="L73" i="1" a="1"/>
  <c r="L73" i="1" s="1"/>
  <c r="I73" i="1" a="1"/>
  <c r="I73" i="1" s="1"/>
  <c r="H74" i="1"/>
  <c r="L74" i="1" a="1"/>
  <c r="L74" i="1" s="1"/>
  <c r="I74" i="1" a="1"/>
  <c r="I74" i="1" s="1"/>
  <c r="H76" i="1"/>
  <c r="I76" i="1" a="1"/>
  <c r="I76" i="1" s="1"/>
  <c r="H78" i="1"/>
  <c r="L78" i="1" a="1"/>
  <c r="L78" i="1" s="1"/>
  <c r="I78" i="1" a="1"/>
  <c r="I78" i="1" s="1"/>
  <c r="H80" i="1"/>
  <c r="I80" i="1" a="1"/>
  <c r="I80" i="1" s="1"/>
  <c r="H82" i="1"/>
  <c r="L82" i="1" a="1"/>
  <c r="L82" i="1" s="1"/>
  <c r="I82" i="1" a="1"/>
  <c r="I82" i="1" s="1"/>
  <c r="H83" i="1"/>
  <c r="L83" i="1" a="1"/>
  <c r="L83" i="1" s="1"/>
  <c r="I83" i="1" a="1"/>
  <c r="I83" i="1" s="1"/>
  <c r="H84" i="1"/>
  <c r="L84" i="1" a="1"/>
  <c r="L84" i="1" s="1"/>
  <c r="I84" i="1" a="1"/>
  <c r="I84" i="1" s="1"/>
  <c r="H86" i="1"/>
  <c r="I86" i="1" a="1"/>
  <c r="I86" i="1" s="1"/>
  <c r="H88" i="1"/>
  <c r="L88" i="1" a="1"/>
  <c r="L88" i="1" s="1"/>
  <c r="I88" i="1" a="1"/>
  <c r="I88" i="1" s="1"/>
  <c r="H90" i="1"/>
  <c r="I90" i="1" a="1"/>
  <c r="I90" i="1" s="1"/>
  <c r="H92" i="1"/>
  <c r="L92" i="1" a="1"/>
  <c r="L92" i="1" s="1"/>
  <c r="I92" i="1" a="1"/>
  <c r="I92" i="1" s="1"/>
  <c r="H93" i="1"/>
  <c r="L93" i="1" a="1"/>
  <c r="L93" i="1" s="1"/>
  <c r="I93" i="1" a="1"/>
  <c r="I93" i="1" s="1"/>
  <c r="H95" i="1"/>
  <c r="I95" i="1" a="1"/>
  <c r="I95" i="1" s="1"/>
  <c r="J95" i="1" s="1"/>
  <c r="J94" i="1" s="1"/>
  <c r="H97" i="1"/>
  <c r="L97" i="1" a="1"/>
  <c r="L97" i="1" s="1"/>
  <c r="I97" i="1" a="1"/>
  <c r="I97" i="1" s="1"/>
  <c r="H98" i="1"/>
  <c r="L98" i="1" a="1"/>
  <c r="L98" i="1" s="1"/>
  <c r="I98" i="1" a="1"/>
  <c r="I98" i="1" s="1"/>
  <c r="H99" i="1"/>
  <c r="L99" i="1" a="1"/>
  <c r="L99" i="1" s="1"/>
  <c r="I99" i="1" a="1"/>
  <c r="I99" i="1" s="1"/>
  <c r="H100" i="1"/>
  <c r="L100" i="1" a="1"/>
  <c r="L100" i="1" s="1"/>
  <c r="I100" i="1" a="1"/>
  <c r="I100" i="1" s="1"/>
  <c r="H102" i="1"/>
  <c r="I102" i="1" a="1"/>
  <c r="I102" i="1" s="1"/>
  <c r="H104" i="1"/>
  <c r="L104" i="1" a="1"/>
  <c r="L104" i="1" s="1"/>
  <c r="I104" i="1" a="1"/>
  <c r="I104" i="1" s="1"/>
  <c r="J104" i="1" s="1"/>
  <c r="H105" i="1"/>
  <c r="L105" i="1" a="1"/>
  <c r="L105" i="1" s="1"/>
  <c r="I105" i="1" a="1"/>
  <c r="I105" i="1" s="1"/>
  <c r="H107" i="1"/>
  <c r="I107" i="1" a="1"/>
  <c r="I107" i="1" s="1"/>
  <c r="H109" i="1"/>
  <c r="L109" i="1" a="1"/>
  <c r="L109" i="1" s="1"/>
  <c r="I109" i="1" a="1"/>
  <c r="I109" i="1" s="1"/>
  <c r="H110" i="1"/>
  <c r="L110" i="1" a="1"/>
  <c r="L110" i="1" s="1"/>
  <c r="I110" i="1" a="1"/>
  <c r="I110" i="1" s="1"/>
  <c r="H111" i="1"/>
  <c r="L111" i="1" a="1"/>
  <c r="L111" i="1" s="1"/>
  <c r="I111" i="1" a="1"/>
  <c r="I111" i="1" s="1"/>
  <c r="H113" i="1"/>
  <c r="I113" i="1" a="1"/>
  <c r="I113" i="1" s="1"/>
  <c r="H115" i="1"/>
  <c r="L115" i="1" a="1"/>
  <c r="L115" i="1" s="1"/>
  <c r="I115" i="1" a="1"/>
  <c r="I115" i="1" s="1"/>
  <c r="H116" i="1"/>
  <c r="L116" i="1" a="1"/>
  <c r="L116" i="1" s="1"/>
  <c r="I116" i="1" a="1"/>
  <c r="I116" i="1" s="1"/>
  <c r="H117" i="1"/>
  <c r="L117" i="1" a="1"/>
  <c r="L117" i="1" s="1"/>
  <c r="I117" i="1" a="1"/>
  <c r="I117" i="1" s="1"/>
  <c r="H118" i="1"/>
  <c r="L118" i="1" a="1"/>
  <c r="L118" i="1" s="1"/>
  <c r="I118" i="1" a="1"/>
  <c r="I118" i="1" s="1"/>
  <c r="H119" i="1"/>
  <c r="L119" i="1" a="1"/>
  <c r="L119" i="1" s="1"/>
  <c r="I119" i="1" a="1"/>
  <c r="I119" i="1" s="1"/>
  <c r="H120" i="1"/>
  <c r="L120" i="1" a="1"/>
  <c r="L120" i="1" s="1"/>
  <c r="I120" i="1" a="1"/>
  <c r="I120" i="1" s="1"/>
  <c r="H238" i="1"/>
  <c r="L238" i="1" a="1"/>
  <c r="L238" i="1" s="1"/>
  <c r="I238" i="1" a="1"/>
  <c r="I238" i="1" s="1"/>
  <c r="J238" i="1" s="1"/>
  <c r="H123" i="1"/>
  <c r="I123" i="1" a="1"/>
  <c r="I123" i="1" s="1"/>
  <c r="H125" i="1"/>
  <c r="L125" i="1" a="1"/>
  <c r="L125" i="1" s="1"/>
  <c r="I125" i="1" a="1"/>
  <c r="I125" i="1" s="1"/>
  <c r="H126" i="1"/>
  <c r="L126" i="1" a="1"/>
  <c r="L126" i="1" s="1"/>
  <c r="I126" i="1" a="1"/>
  <c r="I126" i="1" s="1"/>
  <c r="H127" i="1"/>
  <c r="L127" i="1" a="1"/>
  <c r="L127" i="1" s="1"/>
  <c r="I127" i="1" a="1"/>
  <c r="I127" i="1" s="1"/>
  <c r="H128" i="1"/>
  <c r="L128" i="1" a="1"/>
  <c r="L128" i="1" s="1"/>
  <c r="I128" i="1" a="1"/>
  <c r="I128" i="1" s="1"/>
  <c r="H242" i="1"/>
  <c r="I242" i="1" a="1"/>
  <c r="I242" i="1" s="1"/>
  <c r="H132" i="1"/>
  <c r="I132" i="1" a="1"/>
  <c r="I132" i="1" s="1"/>
  <c r="H134" i="1"/>
  <c r="I134" i="1" a="1"/>
  <c r="I134" i="1" s="1"/>
  <c r="H136" i="1"/>
  <c r="L136" i="1" a="1"/>
  <c r="L136" i="1" s="1"/>
  <c r="I136" i="1" a="1"/>
  <c r="I136" i="1" s="1"/>
  <c r="H138" i="1"/>
  <c r="I138" i="1" a="1"/>
  <c r="I138" i="1" s="1"/>
  <c r="H140" i="1"/>
  <c r="L140" i="1" a="1"/>
  <c r="L140" i="1" s="1"/>
  <c r="I140" i="1" a="1"/>
  <c r="I140" i="1" s="1"/>
  <c r="H142" i="1"/>
  <c r="I142" i="1" a="1"/>
  <c r="I142" i="1" s="1"/>
  <c r="H144" i="1"/>
  <c r="L144" i="1" a="1"/>
  <c r="L144" i="1" s="1"/>
  <c r="I144" i="1" a="1"/>
  <c r="I144" i="1" s="1"/>
  <c r="J144" i="1" s="1"/>
  <c r="H145" i="1"/>
  <c r="L145" i="1" a="1"/>
  <c r="L145" i="1" s="1"/>
  <c r="I145" i="1" a="1"/>
  <c r="I145" i="1" s="1"/>
  <c r="H146" i="1"/>
  <c r="L146" i="1" a="1"/>
  <c r="L146" i="1" s="1"/>
  <c r="I146" i="1" a="1"/>
  <c r="I146" i="1" s="1"/>
  <c r="H148" i="1"/>
  <c r="I148" i="1" a="1"/>
  <c r="I148" i="1" s="1"/>
  <c r="H150" i="1"/>
  <c r="L150" i="1" a="1"/>
  <c r="L150" i="1" s="1"/>
  <c r="I150" i="1" a="1"/>
  <c r="I150" i="1" s="1"/>
  <c r="H151" i="1"/>
  <c r="L151" i="1" a="1"/>
  <c r="L151" i="1" s="1"/>
  <c r="I151" i="1" a="1"/>
  <c r="I151" i="1" s="1"/>
  <c r="H153" i="1"/>
  <c r="I153" i="1" a="1"/>
  <c r="I153" i="1" s="1"/>
  <c r="H155" i="1"/>
  <c r="I155" i="1" a="1"/>
  <c r="I155" i="1" s="1"/>
  <c r="H157" i="1"/>
  <c r="L157" i="1" a="1"/>
  <c r="L157" i="1" s="1"/>
  <c r="I157" i="1" a="1"/>
  <c r="I157" i="1" s="1"/>
  <c r="H158" i="1"/>
  <c r="L158" i="1" a="1"/>
  <c r="L158" i="1" s="1"/>
  <c r="I158" i="1" a="1"/>
  <c r="I158" i="1" s="1"/>
  <c r="H159" i="1"/>
  <c r="L159" i="1" a="1"/>
  <c r="L159" i="1" s="1"/>
  <c r="I159" i="1" a="1"/>
  <c r="I159" i="1" s="1"/>
  <c r="H162" i="1"/>
  <c r="I162" i="1" a="1"/>
  <c r="I162" i="1" s="1"/>
  <c r="H164" i="1"/>
  <c r="I164" i="1" a="1"/>
  <c r="I164" i="1" s="1"/>
  <c r="H166" i="1"/>
  <c r="L166" i="1" a="1"/>
  <c r="L166" i="1" s="1"/>
  <c r="I166" i="1" a="1"/>
  <c r="I166" i="1" s="1"/>
  <c r="H167" i="1"/>
  <c r="L167" i="1" a="1"/>
  <c r="L167" i="1" s="1"/>
  <c r="I167" i="1" a="1"/>
  <c r="I167" i="1" s="1"/>
  <c r="H168" i="1"/>
  <c r="L168" i="1" a="1"/>
  <c r="L168" i="1" s="1"/>
  <c r="I168" i="1" a="1"/>
  <c r="I168" i="1" s="1"/>
  <c r="H170" i="1"/>
  <c r="I170" i="1" a="1"/>
  <c r="I170" i="1" s="1"/>
  <c r="H172" i="1"/>
  <c r="L172" i="1" a="1"/>
  <c r="L172" i="1" s="1"/>
  <c r="I172" i="1" a="1"/>
  <c r="I172" i="1" s="1"/>
  <c r="H174" i="1"/>
  <c r="I174" i="1" a="1"/>
  <c r="I174" i="1" s="1"/>
  <c r="H176" i="1"/>
  <c r="L176" i="1" a="1"/>
  <c r="L176" i="1" s="1"/>
  <c r="I176" i="1" a="1"/>
  <c r="I176" i="1" s="1"/>
  <c r="H178" i="1"/>
  <c r="I178" i="1" a="1"/>
  <c r="I178" i="1" s="1"/>
  <c r="H180" i="1"/>
  <c r="L180" i="1" a="1"/>
  <c r="L180" i="1" s="1"/>
  <c r="I180" i="1" a="1"/>
  <c r="I180" i="1" s="1"/>
  <c r="H182" i="1"/>
  <c r="I182" i="1" a="1"/>
  <c r="I182" i="1" s="1"/>
  <c r="H184" i="1"/>
  <c r="L184" i="1" a="1"/>
  <c r="L184" i="1" s="1"/>
  <c r="I184" i="1" a="1"/>
  <c r="I184" i="1" s="1"/>
  <c r="H186" i="1"/>
  <c r="I186" i="1" a="1"/>
  <c r="I186" i="1" s="1"/>
  <c r="H188" i="1"/>
  <c r="L188" i="1" a="1"/>
  <c r="L188" i="1" s="1"/>
  <c r="I188" i="1" a="1"/>
  <c r="I188" i="1" s="1"/>
  <c r="J188" i="1" s="1"/>
  <c r="H189" i="1"/>
  <c r="L189" i="1" a="1"/>
  <c r="L189" i="1" s="1"/>
  <c r="I189" i="1" a="1"/>
  <c r="I189" i="1" s="1"/>
  <c r="H190" i="1"/>
  <c r="L190" i="1" a="1"/>
  <c r="L190" i="1" s="1"/>
  <c r="I190" i="1" a="1"/>
  <c r="I190" i="1" s="1"/>
  <c r="H192" i="1"/>
  <c r="I192" i="1" a="1"/>
  <c r="I192" i="1" s="1"/>
  <c r="H194" i="1"/>
  <c r="I194" i="1" a="1"/>
  <c r="I194" i="1" s="1"/>
  <c r="H196" i="1"/>
  <c r="L196" i="1" a="1"/>
  <c r="L196" i="1" s="1"/>
  <c r="I196" i="1" a="1"/>
  <c r="I196" i="1" s="1"/>
  <c r="H197" i="1"/>
  <c r="L197" i="1" a="1"/>
  <c r="L197" i="1" s="1"/>
  <c r="I197" i="1" a="1"/>
  <c r="I197" i="1" s="1"/>
  <c r="H198" i="1"/>
  <c r="L198" i="1" a="1"/>
  <c r="L198" i="1" s="1"/>
  <c r="I198" i="1" a="1"/>
  <c r="I198" i="1" s="1"/>
  <c r="H201" i="1"/>
  <c r="I201" i="1" a="1"/>
  <c r="I201" i="1" s="1"/>
  <c r="H203" i="1"/>
  <c r="I203" i="1" a="1"/>
  <c r="I203" i="1" s="1"/>
  <c r="H205" i="1"/>
  <c r="L205" i="1" a="1"/>
  <c r="L205" i="1" s="1"/>
  <c r="I205" i="1" a="1"/>
  <c r="I205" i="1" s="1"/>
  <c r="H206" i="1"/>
  <c r="L206" i="1" a="1"/>
  <c r="L206" i="1" s="1"/>
  <c r="I206" i="1" a="1"/>
  <c r="I206" i="1" s="1"/>
  <c r="H208" i="1"/>
  <c r="I208" i="1" a="1"/>
  <c r="I208" i="1" s="1"/>
  <c r="H210" i="1"/>
  <c r="L210" i="1" a="1"/>
  <c r="L210" i="1" s="1"/>
  <c r="I210" i="1" a="1"/>
  <c r="I210" i="1" s="1"/>
  <c r="H212" i="1"/>
  <c r="I212" i="1" a="1"/>
  <c r="I212" i="1" s="1"/>
  <c r="H214" i="1"/>
  <c r="L214" i="1" a="1"/>
  <c r="L214" i="1" s="1"/>
  <c r="I214" i="1" a="1"/>
  <c r="I214" i="1" s="1"/>
  <c r="H215" i="1"/>
  <c r="L215" i="1" a="1"/>
  <c r="L215" i="1" s="1"/>
  <c r="I215" i="1" a="1"/>
  <c r="I215" i="1" s="1"/>
  <c r="H217" i="1"/>
  <c r="I217" i="1" a="1"/>
  <c r="I217" i="1" s="1"/>
  <c r="H219" i="1"/>
  <c r="L219" i="1" a="1"/>
  <c r="L219" i="1" s="1"/>
  <c r="I219" i="1" a="1"/>
  <c r="I219" i="1" s="1"/>
  <c r="H221" i="1"/>
  <c r="I221" i="1" a="1"/>
  <c r="I221" i="1" s="1"/>
  <c r="H223" i="1"/>
  <c r="L223" i="1" a="1"/>
  <c r="L223" i="1" s="1"/>
  <c r="I223" i="1" a="1"/>
  <c r="I223" i="1" s="1"/>
  <c r="H224" i="1"/>
  <c r="L224" i="1" a="1"/>
  <c r="L224" i="1" s="1"/>
  <c r="I224" i="1" a="1"/>
  <c r="I224" i="1" s="1"/>
  <c r="H228" i="1"/>
  <c r="I228" i="1" a="1"/>
  <c r="I228" i="1" s="1"/>
  <c r="H230" i="1"/>
  <c r="L230" i="1" a="1"/>
  <c r="L230" i="1" s="1"/>
  <c r="I230" i="1" a="1"/>
  <c r="I230" i="1" s="1"/>
  <c r="G70" i="3"/>
  <c r="G69" i="3"/>
  <c r="G68" i="3"/>
  <c r="G67" i="3"/>
  <c r="G66" i="3"/>
  <c r="G65" i="3"/>
  <c r="G64" i="3"/>
  <c r="G63" i="3"/>
  <c r="G62" i="3"/>
  <c r="G61" i="3"/>
  <c r="G60" i="3"/>
  <c r="G59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J23" i="1" l="1"/>
  <c r="E30" i="2"/>
  <c r="J56" i="1"/>
  <c r="J174" i="1"/>
  <c r="J173" i="1" s="1"/>
  <c r="J164" i="1"/>
  <c r="J163" i="1" s="1"/>
  <c r="J219" i="1"/>
  <c r="J218" i="1" s="1"/>
  <c r="J36" i="1"/>
  <c r="J224" i="1"/>
  <c r="J73" i="1"/>
  <c r="J208" i="1"/>
  <c r="J207" i="1" s="1"/>
  <c r="J153" i="1"/>
  <c r="J152" i="1" s="1"/>
  <c r="J60" i="1"/>
  <c r="J203" i="1"/>
  <c r="J202" i="1" s="1"/>
  <c r="J97" i="1"/>
  <c r="J115" i="1"/>
  <c r="J58" i="1"/>
  <c r="J50" i="1"/>
  <c r="J49" i="1" s="1"/>
  <c r="J39" i="1"/>
  <c r="J38" i="1" s="1"/>
  <c r="J109" i="1"/>
  <c r="J99" i="1"/>
  <c r="J196" i="1"/>
  <c r="J76" i="1"/>
  <c r="J75" i="1" s="1"/>
  <c r="J34" i="1"/>
  <c r="J113" i="1"/>
  <c r="J112" i="1" s="1"/>
  <c r="J158" i="1"/>
  <c r="J118" i="1"/>
  <c r="J102" i="1"/>
  <c r="J101" i="1" s="1"/>
  <c r="J65" i="1"/>
  <c r="J48" i="1"/>
  <c r="J47" i="1" s="1"/>
  <c r="J194" i="1"/>
  <c r="J193" i="1" s="1"/>
  <c r="J190" i="1"/>
  <c r="J223" i="1"/>
  <c r="J145" i="1"/>
  <c r="J151" i="1"/>
  <c r="J90" i="1"/>
  <c r="J89" i="1" s="1"/>
  <c r="J80" i="1"/>
  <c r="J79" i="1" s="1"/>
  <c r="J180" i="1"/>
  <c r="J179" i="1" s="1"/>
  <c r="J63" i="1"/>
  <c r="J62" i="1" s="1"/>
  <c r="J24" i="1"/>
  <c r="J61" i="1"/>
  <c r="J32" i="1"/>
  <c r="J31" i="1" s="1"/>
  <c r="J168" i="1"/>
  <c r="J57" i="1"/>
  <c r="J123" i="1"/>
  <c r="J122" i="1" s="1"/>
  <c r="J176" i="1"/>
  <c r="J175" i="1" s="1"/>
  <c r="J110" i="1"/>
  <c r="J46" i="1"/>
  <c r="J45" i="1" s="1"/>
  <c r="J28" i="1"/>
  <c r="J27" i="1" s="1"/>
  <c r="J166" i="1"/>
  <c r="J157" i="1"/>
  <c r="J67" i="1"/>
  <c r="J44" i="1"/>
  <c r="J43" i="1" s="1"/>
  <c r="J74" i="1"/>
  <c r="J155" i="1"/>
  <c r="J154" i="1" s="1"/>
  <c r="J136" i="1"/>
  <c r="J135" i="1" s="1"/>
  <c r="J25" i="1"/>
  <c r="J107" i="1"/>
  <c r="J106" i="1" s="1"/>
  <c r="J125" i="1"/>
  <c r="J228" i="1"/>
  <c r="J227" i="1" s="1"/>
  <c r="J162" i="1"/>
  <c r="J161" i="1" s="1"/>
  <c r="J98" i="1"/>
  <c r="J210" i="1"/>
  <c r="J209" i="1" s="1"/>
  <c r="J134" i="1"/>
  <c r="J133" i="1" s="1"/>
  <c r="J186" i="1"/>
  <c r="J185" i="1" s="1"/>
  <c r="J198" i="1"/>
  <c r="J192" i="1"/>
  <c r="J191" i="1" s="1"/>
  <c r="J167" i="1"/>
  <c r="J184" i="1"/>
  <c r="J183" i="1" s="1"/>
  <c r="J126" i="1"/>
  <c r="J88" i="1"/>
  <c r="J59" i="1"/>
  <c r="J159" i="1"/>
  <c r="J217" i="1"/>
  <c r="J216" i="1" s="1"/>
  <c r="J120" i="1"/>
  <c r="J116" i="1"/>
  <c r="J71" i="1"/>
  <c r="J70" i="1" s="1"/>
  <c r="J230" i="1"/>
  <c r="J229" i="1" s="1"/>
  <c r="J206" i="1"/>
  <c r="J148" i="1"/>
  <c r="J147" i="1" s="1"/>
  <c r="J242" i="1"/>
  <c r="J241" i="1" s="1"/>
  <c r="J240" i="1" s="1"/>
  <c r="J239" i="1" s="1"/>
  <c r="J119" i="1"/>
  <c r="J182" i="1"/>
  <c r="J181" i="1" s="1"/>
  <c r="J142" i="1"/>
  <c r="J141" i="1" s="1"/>
  <c r="J93" i="1"/>
  <c r="J86" i="1"/>
  <c r="J85" i="1" s="1"/>
  <c r="J78" i="1"/>
  <c r="J77" i="1" s="1"/>
  <c r="J215" i="1"/>
  <c r="J68" i="1"/>
  <c r="J42" i="1"/>
  <c r="J201" i="1"/>
  <c r="J200" i="1" s="1"/>
  <c r="J105" i="1"/>
  <c r="J35" i="1"/>
  <c r="J26" i="1"/>
  <c r="J205" i="1"/>
  <c r="J189" i="1"/>
  <c r="J146" i="1"/>
  <c r="J170" i="1"/>
  <c r="J169" i="1" s="1"/>
  <c r="J92" i="1"/>
  <c r="J212" i="1"/>
  <c r="J211" i="1" s="1"/>
  <c r="J178" i="1"/>
  <c r="J177" i="1" s="1"/>
  <c r="J111" i="1"/>
  <c r="J127" i="1"/>
  <c r="J117" i="1"/>
  <c r="J82" i="1"/>
  <c r="J20" i="1"/>
  <c r="J221" i="1"/>
  <c r="J220" i="1" s="1"/>
  <c r="J66" i="1"/>
  <c r="J30" i="1"/>
  <c r="J29" i="1" s="1"/>
  <c r="J150" i="1"/>
  <c r="J132" i="1"/>
  <c r="J131" i="1" s="1"/>
  <c r="J55" i="1"/>
  <c r="J100" i="1"/>
  <c r="J69" i="1"/>
  <c r="J54" i="1"/>
  <c r="J172" i="1"/>
  <c r="J171" i="1" s="1"/>
  <c r="J197" i="1"/>
  <c r="J84" i="1"/>
  <c r="J52" i="1"/>
  <c r="J51" i="1" s="1"/>
  <c r="J140" i="1"/>
  <c r="J139" i="1" s="1"/>
  <c r="J41" i="1"/>
  <c r="J138" i="1"/>
  <c r="J137" i="1" s="1"/>
  <c r="J128" i="1"/>
  <c r="J237" i="1"/>
  <c r="J83" i="1"/>
  <c r="J214" i="1"/>
  <c r="J13" i="1"/>
  <c r="J12" i="1" s="1"/>
  <c r="J244" i="1" l="1"/>
  <c r="E32" i="2" s="1"/>
  <c r="J143" i="1"/>
  <c r="J187" i="1"/>
  <c r="J81" i="1"/>
  <c r="J87" i="1"/>
  <c r="J204" i="1"/>
  <c r="J222" i="1"/>
  <c r="J72" i="1"/>
  <c r="J149" i="1"/>
  <c r="J33" i="1"/>
  <c r="J91" i="1"/>
  <c r="J108" i="1"/>
  <c r="J103" i="1"/>
  <c r="J165" i="1"/>
  <c r="J156" i="1"/>
  <c r="J114" i="1"/>
  <c r="J16" i="1"/>
  <c r="J195" i="1"/>
  <c r="J64" i="1"/>
  <c r="J124" i="1"/>
  <c r="J121" i="1" s="1"/>
  <c r="J40" i="1"/>
  <c r="J96" i="1"/>
  <c r="J213" i="1"/>
  <c r="J53" i="1"/>
  <c r="J130" i="1" l="1"/>
  <c r="J160" i="1"/>
  <c r="J11" i="1"/>
  <c r="J10" i="1" s="1"/>
  <c r="J199" i="1"/>
  <c r="J129" i="1" l="1"/>
  <c r="H232" i="1" l="1"/>
  <c r="J232" i="1" s="1"/>
  <c r="H235" i="1"/>
  <c r="J235" i="1" s="1"/>
  <c r="H233" i="1"/>
  <c r="J233" i="1" s="1"/>
  <c r="H234" i="1"/>
  <c r="J234" i="1" s="1"/>
  <c r="H236" i="1"/>
  <c r="J236" i="1" s="1"/>
  <c r="J231" i="1" l="1"/>
  <c r="J245" i="1" l="1"/>
  <c r="J226" i="1"/>
  <c r="J225" i="1" s="1"/>
  <c r="J9" i="1" s="1"/>
  <c r="G75" i="3" l="1"/>
  <c r="G73" i="3"/>
  <c r="G74" i="3"/>
  <c r="J243" i="1"/>
  <c r="G72" i="3"/>
  <c r="G71" i="3"/>
  <c r="G76" i="3" l="1"/>
  <c r="G78" i="3" s="1"/>
</calcChain>
</file>

<file path=xl/sharedStrings.xml><?xml version="1.0" encoding="utf-8"?>
<sst xmlns="http://schemas.openxmlformats.org/spreadsheetml/2006/main" count="1013" uniqueCount="221">
  <si>
    <t>Локальный сметный расчет (ЛСР) №5</t>
  </si>
  <si>
    <t>Объект: «Комплексная застройка территории, расположенной в границах улиц: Тобольский тракт - Обход города Тюмени (мкр. Губернаторский). Многоэтажный жилой дом ГП-72.105» Секция 1</t>
  </si>
  <si>
    <t>Ведомость объемов работ и расхода материалов по работе: Устройство системы водоснабжения и сопутствующим работам (согласно проекту шифр ВК,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</si>
  <si>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</si>
  <si>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</si>
  <si>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</si>
  <si>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</si>
  <si>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</si>
  <si>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</si>
  <si>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1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</si>
  <si>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</si>
  <si>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</si>
  <si>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</si>
  <si>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</si>
  <si>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</si>
  <si>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11</t>
  </si>
  <si>
    <t>Внутренние инженерные сети</t>
  </si>
  <si>
    <t>11.02</t>
  </si>
  <si>
    <t>Устройство системы водоснабжения</t>
  </si>
  <si>
    <t>11.02.02</t>
  </si>
  <si>
    <t>Устройство водоснабжения (горизонтальная разводка)</t>
  </si>
  <si>
    <t>11.02.02.00</t>
  </si>
  <si>
    <t>Работы:</t>
  </si>
  <si>
    <t>Бурение отверстий до 100мм</t>
  </si>
  <si>
    <t>шт</t>
  </si>
  <si>
    <t>Изоляция трубопровода</t>
  </si>
  <si>
    <t>м</t>
  </si>
  <si>
    <t>Материалы:</t>
  </si>
  <si>
    <t>1</t>
  </si>
  <si>
    <t>Теплоизоляция трубная</t>
  </si>
  <si>
    <t>K-FLEX</t>
  </si>
  <si>
    <t>64х13мм вспененный полиэтилен</t>
  </si>
  <si>
    <t>пог. м</t>
  </si>
  <si>
    <t>2</t>
  </si>
  <si>
    <t>76х13мм вспененный полиэтилен</t>
  </si>
  <si>
    <t>3</t>
  </si>
  <si>
    <t>89х13мм вспененный полиэтилен</t>
  </si>
  <si>
    <t>4</t>
  </si>
  <si>
    <t>48х13мм вспененный полиэтилен</t>
  </si>
  <si>
    <t>5</t>
  </si>
  <si>
    <t>57х13мм вспененный полиэтилен</t>
  </si>
  <si>
    <t>6</t>
  </si>
  <si>
    <t>50х13мм вспененный полиэтилен</t>
  </si>
  <si>
    <t>7</t>
  </si>
  <si>
    <t>22х9мм вспененный полиэтилен</t>
  </si>
  <si>
    <t>8</t>
  </si>
  <si>
    <t>110х13мм вспененный полиэтилен</t>
  </si>
  <si>
    <t>9</t>
  </si>
  <si>
    <t>28х13мм вспененный полиэтилен</t>
  </si>
  <si>
    <t>10</t>
  </si>
  <si>
    <t>35х13мм вспененный полиэтилен</t>
  </si>
  <si>
    <t>Монтаж автоматического воздухоотводчика</t>
  </si>
  <si>
    <t>Воздухоотводчик</t>
  </si>
  <si>
    <t>Valtec</t>
  </si>
  <si>
    <t>автоматический Ду-15 10bar</t>
  </si>
  <si>
    <t>Монтаж клапана (фланцевые, резьбовые) до 32 мм</t>
  </si>
  <si>
    <t>Клапан балансировочный</t>
  </si>
  <si>
    <t>Weser</t>
  </si>
  <si>
    <t>ручной MVT-R Ду-15 Ру-16бар</t>
  </si>
  <si>
    <t>ручной MVT-R Ду-20 Ру-16бар</t>
  </si>
  <si>
    <t>Клапан обратный</t>
  </si>
  <si>
    <t>муфтовый Ду-20 Ру-16бар</t>
  </si>
  <si>
    <t>Клапан регулирующий</t>
  </si>
  <si>
    <t>понижения давления резьбовой Ду-15Ру-10 бар</t>
  </si>
  <si>
    <t>Монтаж клапана (фланцевые, резьбовые) от 40 мм</t>
  </si>
  <si>
    <t>REON</t>
  </si>
  <si>
    <t>Межфланцевый Ду-80 Ру-16бар</t>
  </si>
  <si>
    <t>Межфланцевый Ду-50 Ру-16бар</t>
  </si>
  <si>
    <t>Монтаж коллектора</t>
  </si>
  <si>
    <t>Коллектор (в сборе) распределительный</t>
  </si>
  <si>
    <t>Д-50 с 4-мя выходами (диаметр подключения Ду32)</t>
  </si>
  <si>
    <t>в комплекте с кранами, фильтрами, редуктором давления, вставками под счетчик</t>
  </si>
  <si>
    <t>Монтаж крана с электроприводом</t>
  </si>
  <si>
    <t>Кран шаровой</t>
  </si>
  <si>
    <t>Gidrolock</t>
  </si>
  <si>
    <t>Монтаж кранов (фланцевые, резьбовые) до 32 мм</t>
  </si>
  <si>
    <t>Ду-15 полнопроходный с НГ</t>
  </si>
  <si>
    <t>Ду-20 полнопроходный с НГ</t>
  </si>
  <si>
    <t>Ду-25 полнопроходный с НГ</t>
  </si>
  <si>
    <t>муфтовый со штуцером Ду-20</t>
  </si>
  <si>
    <t>ВР-ВР Ду-15 полнопроходной</t>
  </si>
  <si>
    <t>ВР-НР Ду-15 полнопроходной</t>
  </si>
  <si>
    <t>для пожаротушения</t>
  </si>
  <si>
    <t>Кран трехходовой для манометра</t>
  </si>
  <si>
    <t>Ду-15 Ру-16 G1/2-М20х1,5 латунь</t>
  </si>
  <si>
    <t>Монтаж кранов (фланцевые, резьбовые) от 40 мм</t>
  </si>
  <si>
    <t>муфтовый c НГ Ду-40 полнопроходной</t>
  </si>
  <si>
    <t>LD</t>
  </si>
  <si>
    <t>фланцевый Ду-80 с электроприводом</t>
  </si>
  <si>
    <t>фланцевый Ду-80</t>
  </si>
  <si>
    <t>ВР-ВР Ду-40 полнопроходной</t>
  </si>
  <si>
    <t>фланцевый Ду-50</t>
  </si>
  <si>
    <t>Монтаж насосной установки повышения давления</t>
  </si>
  <si>
    <t>Насосная установка повышения давления</t>
  </si>
  <si>
    <t>WILO либо аналог</t>
  </si>
  <si>
    <t>16бар Q=2.01 л/с Н=58,42 м</t>
  </si>
  <si>
    <t>Wilo COR-3 MVL 408/SKwEB-R*
или аналог в комплекте с виброкомпенсаторами фланцевыми</t>
  </si>
  <si>
    <t>16бар Q=1,88 л/с Н=93,02 м</t>
  </si>
  <si>
    <t>Wilo COR-3 MVL 412/SKwEB-R*
или аналог  в комплекте с виброкомпенсаторами фланцевыми</t>
  </si>
  <si>
    <t>Монтаж НСПС</t>
  </si>
  <si>
    <t>Переход</t>
  </si>
  <si>
    <t>D 110x108 ПЭ/Сталь</t>
  </si>
  <si>
    <t>Монтаж счетчика</t>
  </si>
  <si>
    <t>Присоединители для счетчика</t>
  </si>
  <si>
    <t>компл.</t>
  </si>
  <si>
    <t xml:space="preserve"> ответные фланцы+ прокладки</t>
  </si>
  <si>
    <t>Вставка ремонтная</t>
  </si>
  <si>
    <t>для счетчика Ду50 мм</t>
  </si>
  <si>
    <t>Счетчик воды</t>
  </si>
  <si>
    <t>Пульсар</t>
  </si>
  <si>
    <t>с импульсным выходом Ду-50 Qn- L-ультразвуковой</t>
  </si>
  <si>
    <t>Монтаж трубы из сшитого полиэтилена</t>
  </si>
  <si>
    <t>Труба сшитый полиэтилен</t>
  </si>
  <si>
    <t>ONE PLUS</t>
  </si>
  <si>
    <t>DN-20х2,8 PN-10bar PEXа</t>
  </si>
  <si>
    <t>Монтаж фильтра</t>
  </si>
  <si>
    <t>Фильтр сетчатый</t>
  </si>
  <si>
    <t>муфтовый ВР-ВР Ду-15 латунь</t>
  </si>
  <si>
    <t>Прокладка трубы ППН</t>
  </si>
  <si>
    <t>Труба полипропиленовая</t>
  </si>
  <si>
    <t>PPH PN20 DN63х8,6 арм.стекловолокно</t>
  </si>
  <si>
    <t>PPH PN20 DN25х5,4 арм.стекловолокно</t>
  </si>
  <si>
    <t>PPH PN20 DN32х5,4 арм.стекловолокно</t>
  </si>
  <si>
    <t>PPH PN20 DN50х8,4 арм.стекловолокно</t>
  </si>
  <si>
    <t>Прокладка трубы ПЭ</t>
  </si>
  <si>
    <t>Труба полиэтиленовая (пог.м.)</t>
  </si>
  <si>
    <t>ПЭ-100 SDR13,6 DN110х8,1</t>
  </si>
  <si>
    <t>ПЭ-100 SDR13,6 DN25х2,0</t>
  </si>
  <si>
    <t>Прокладка трубы стальной до 40 мм</t>
  </si>
  <si>
    <t>Труба стальная</t>
  </si>
  <si>
    <t>12Х18Н10Т сварка D-48x3.5</t>
  </si>
  <si>
    <t>12Х18Н10Т сварка D-20х2.5</t>
  </si>
  <si>
    <t>12Х18Н10Т сварка D-22x3</t>
  </si>
  <si>
    <t>Прокладка трубы стальной от 57 мм</t>
  </si>
  <si>
    <t>12Х18Н10Т сварка D-76x4.5</t>
  </si>
  <si>
    <t>12Х18Н10Т сварка D-108x4.0</t>
  </si>
  <si>
    <t>12Х18Н10Т сварка D-57x3.5</t>
  </si>
  <si>
    <t>12Х18Н10Т сварка D-89x4.5</t>
  </si>
  <si>
    <t>Труба электросварная (пог.м.)</t>
  </si>
  <si>
    <t>стальная D-89х4,0</t>
  </si>
  <si>
    <t>стальная D-108х4,0</t>
  </si>
  <si>
    <t>УВП</t>
  </si>
  <si>
    <t>в сумке</t>
  </si>
  <si>
    <t>Фитинги для ПЭ трубы</t>
  </si>
  <si>
    <t>%</t>
  </si>
  <si>
    <t>11.02.02.27</t>
  </si>
  <si>
    <t>Устройство водоснабжения в КУИ</t>
  </si>
  <si>
    <t>Монтажные работы</t>
  </si>
  <si>
    <t>11.02.03</t>
  </si>
  <si>
    <t>ПНР</t>
  </si>
  <si>
    <t>11.02.03.00</t>
  </si>
  <si>
    <t>Пусконаладочные работы системы водоснабжения: регулировка системы, манометрические испытания</t>
  </si>
  <si>
    <t>11.02.04</t>
  </si>
  <si>
    <t>Устройство стояков для горизонтальной системы водоснабжения</t>
  </si>
  <si>
    <t>11.02.04.01</t>
  </si>
  <si>
    <t>Устройство водоснабжения В-1</t>
  </si>
  <si>
    <t>Бурение отверстий до 80мм</t>
  </si>
  <si>
    <t>Монтаж защитного кожуха</t>
  </si>
  <si>
    <t>м2</t>
  </si>
  <si>
    <t>Окожушка</t>
  </si>
  <si>
    <t>оцинк. сталь 0,5мм</t>
  </si>
  <si>
    <t>гильзы</t>
  </si>
  <si>
    <t>Монтаж муфты противопожарной</t>
  </si>
  <si>
    <t>Муфта противопожарная</t>
  </si>
  <si>
    <t>ПМ-50</t>
  </si>
  <si>
    <t>С обратным клапаном</t>
  </si>
  <si>
    <t>для счетчика Ду15 мм</t>
  </si>
  <si>
    <t>с импульсным выходом Ду-15 Qn-1,5м3/час L-110мм</t>
  </si>
  <si>
    <t>Монтаж трубной изоляции</t>
  </si>
  <si>
    <t>42х13мм вспененный полиэтилен</t>
  </si>
  <si>
    <t>Пробивка отверстий</t>
  </si>
  <si>
    <t>PPH PN20 DN40х6,7 арм.стекловолокно</t>
  </si>
  <si>
    <t>11.02.04.02</t>
  </si>
  <si>
    <t>Устройство водоснабжения Т-3</t>
  </si>
  <si>
    <t>С обратным клапаном</t>
  </si>
  <si>
    <t>11.02.04.03</t>
  </si>
  <si>
    <t>Устройство водоснабжения Т-4</t>
  </si>
  <si>
    <t>32х13мм вспененный полиэтилен</t>
  </si>
  <si>
    <t>ПМ32</t>
  </si>
  <si>
    <t>11.02.99</t>
  </si>
  <si>
    <t>Прочие работы</t>
  </si>
  <si>
    <t>11.02.99.00</t>
  </si>
  <si>
    <t>Эмаль (кг.)</t>
  </si>
  <si>
    <t>ПФ-115</t>
  </si>
  <si>
    <t>кг</t>
  </si>
  <si>
    <t>Для навигации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</si>
  <si>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</si>
  <si>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</si>
  <si>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</si>
  <si>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</si>
  <si>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</si>
  <si>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</si>
  <si>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</si>
  <si>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</si>
  <si>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ЛСР</t>
  </si>
  <si>
    <t>ЛСРГуид</t>
  </si>
  <si>
    <t>ГП-72.105.01.11.02 Секция 1_Устройство системы водоснабжения №1</t>
  </si>
  <si>
    <t>077622b2-b580-11f0-8b59-a036bcbd010b</t>
  </si>
  <si>
    <t>Итог</t>
  </si>
  <si>
    <t>Прочие работы (Навигация)</t>
  </si>
  <si>
    <t>Фитинги для ППН трубы</t>
  </si>
  <si>
    <t>Фитинги для стальной трубы</t>
  </si>
  <si>
    <t>Прочие материалы</t>
  </si>
  <si>
    <t>Фитинги для ПЭ (сшитый) трубы</t>
  </si>
  <si>
    <t>проверка</t>
  </si>
  <si>
    <t>ИТОГО по сметному расчету, в тч НДС:</t>
  </si>
  <si>
    <t>в тч стоимость работ</t>
  </si>
  <si>
    <t>в тч стоимость материалов</t>
  </si>
  <si>
    <t>в тч НДС ____%</t>
  </si>
  <si>
    <t>муфтовый с площадкой под электропривод В/В Ду-15 полнопроходной</t>
  </si>
  <si>
    <t>Примечание:</t>
  </si>
  <si>
    <t>-</t>
  </si>
  <si>
    <t>В стоимость пусконоладочных работ входит: ПНР Насосной станции ХП, Атоматизация (узлов учета воды, повысительной НУ) с учетом материалов</t>
  </si>
  <si>
    <t>Учитывать, что подрядчику необходимо предоставить Акт на инструментальный контроль противопожарного водопровода</t>
  </si>
  <si>
    <t>В случае, если один из перечисленных прочих/фасонных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</si>
  <si>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</si>
  <si>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</si>
  <si>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</t>
  </si>
  <si>
    <t>Стоимость Работ по настоящему Договору является твердой и включает в себя все виды работ, необходимые для выполнения полного комплекса работ (в случае необходимости закрытия объема больше, чем предусмотрено ЛСР, расценки на работы подлежат корректировке в меньшую сторону с сохранением твердой стоимости работ)</t>
  </si>
  <si>
    <t>указать %</t>
  </si>
  <si>
    <t>для всех разделов, расчитывается от стоимости материалов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</si>
</sst>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"/>
    <numFmt numFmtId="166" formatCode="#,##0.00\ _₽"/>
  </numFmts>
  <fonts count="19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  <charset val="204"/>
    </font>
    <font>
      <sz val="8"/>
      <color rgb="FFFF0000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8"/>
      <color rgb="FFC00000"/>
      <name val="Arial"/>
      <family val="2"/>
      <charset val="204"/>
    </font>
    <font>
      <b/>
      <sz val="8"/>
      <name val="Arial"/>
      <family val="2"/>
      <charset val="204"/>
    </font>
    <font>
      <sz val="11"/>
      <name val="Times New Roman"/>
      <family val="1"/>
      <charset val="204"/>
    </font>
    <font>
      <b/>
      <i/>
      <u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2"/>
      <charset val="204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C00000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5">
    <xf numFmtId="0" fontId="0" fillId="0" borderId="0"/>
    <xf numFmtId="0" fontId="13" fillId="0" borderId="0"/>
    <xf numFmtId="0" fontId="1" fillId="0" borderId="0"/>
    <xf numFmtId="0" fontId="14" fillId="0" borderId="0"/>
    <xf numFmtId="0" fontId="1" fillId="0" borderId="0"/>
  </cellStyleXfs>
  <cellXfs count="147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left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3" fontId="0" fillId="5" borderId="5" xfId="0" applyNumberFormat="1" applyFill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165" fontId="0" fillId="5" borderId="5" xfId="0" applyNumberFormat="1" applyFill="1" applyBorder="1" applyAlignment="1">
      <alignment horizontal="right" vertical="center"/>
    </xf>
    <xf numFmtId="0" fontId="0" fillId="6" borderId="5" xfId="0" applyFill="1" applyBorder="1" applyAlignment="1">
      <alignment horizontal="right"/>
    </xf>
    <xf numFmtId="0" fontId="0" fillId="7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3" fontId="0" fillId="0" borderId="5" xfId="0" applyNumberFormat="1" applyBorder="1" applyAlignment="1">
      <alignment horizontal="right" vertical="center"/>
    </xf>
    <xf numFmtId="165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3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3" fillId="4" borderId="0" xfId="0" applyNumberFormat="1" applyFont="1" applyFill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4" fontId="3" fillId="6" borderId="5" xfId="0" applyNumberFormat="1" applyFont="1" applyFill="1" applyBorder="1" applyAlignment="1">
      <alignment horizontal="right" vertical="center"/>
    </xf>
    <xf numFmtId="0" fontId="6" fillId="4" borderId="5" xfId="0" applyFont="1" applyFill="1" applyBorder="1" applyAlignment="1">
      <alignment horizontal="left"/>
    </xf>
    <xf numFmtId="0" fontId="7" fillId="4" borderId="5" xfId="0" applyFont="1" applyFill="1" applyBorder="1" applyAlignment="1">
      <alignment horizontal="left" wrapText="1"/>
    </xf>
    <xf numFmtId="0" fontId="6" fillId="4" borderId="5" xfId="0" applyFont="1" applyFill="1" applyBorder="1" applyAlignment="1">
      <alignment horizontal="center" vertical="center"/>
    </xf>
    <xf numFmtId="4" fontId="6" fillId="4" borderId="5" xfId="0" applyNumberFormat="1" applyFont="1" applyFill="1" applyBorder="1" applyAlignment="1">
      <alignment horizontal="center" vertical="center"/>
    </xf>
    <xf numFmtId="4" fontId="7" fillId="4" borderId="0" xfId="0" applyNumberFormat="1" applyFont="1" applyFill="1" applyAlignment="1">
      <alignment horizontal="right" vertical="center"/>
    </xf>
    <xf numFmtId="0" fontId="6" fillId="4" borderId="5" xfId="0" applyFont="1" applyFill="1" applyBorder="1" applyAlignment="1">
      <alignment horizontal="right" vertical="center"/>
    </xf>
    <xf numFmtId="0" fontId="6" fillId="4" borderId="5" xfId="0" applyFont="1" applyFill="1" applyBorder="1" applyAlignment="1">
      <alignment horizontal="right"/>
    </xf>
    <xf numFmtId="0" fontId="6" fillId="0" borderId="0" xfId="0" applyFont="1"/>
    <xf numFmtId="0" fontId="6" fillId="5" borderId="5" xfId="0" applyFont="1" applyFill="1" applyBorder="1" applyAlignment="1">
      <alignment horizontal="center"/>
    </xf>
    <xf numFmtId="0" fontId="6" fillId="5" borderId="5" xfId="0" applyFont="1" applyFill="1" applyBorder="1" applyAlignment="1">
      <alignment horizontal="left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right" vertical="center"/>
    </xf>
    <xf numFmtId="4" fontId="6" fillId="5" borderId="5" xfId="0" applyNumberFormat="1" applyFont="1" applyFill="1" applyBorder="1" applyAlignment="1">
      <alignment horizontal="right" vertical="center"/>
    </xf>
    <xf numFmtId="0" fontId="5" fillId="5" borderId="5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left"/>
    </xf>
    <xf numFmtId="0" fontId="9" fillId="4" borderId="5" xfId="0" applyFont="1" applyFill="1" applyBorder="1" applyAlignment="1">
      <alignment horizontal="left" wrapText="1"/>
    </xf>
    <xf numFmtId="0" fontId="5" fillId="4" borderId="5" xfId="0" applyFont="1" applyFill="1" applyBorder="1" applyAlignment="1">
      <alignment horizontal="center" vertical="center"/>
    </xf>
    <xf numFmtId="4" fontId="5" fillId="4" borderId="5" xfId="0" applyNumberFormat="1" applyFont="1" applyFill="1" applyBorder="1" applyAlignment="1">
      <alignment horizontal="center" vertical="center"/>
    </xf>
    <xf numFmtId="4" fontId="9" fillId="4" borderId="0" xfId="0" applyNumberFormat="1" applyFont="1" applyFill="1" applyAlignment="1">
      <alignment horizontal="right" vertical="center"/>
    </xf>
    <xf numFmtId="0" fontId="5" fillId="4" borderId="5" xfId="0" applyFont="1" applyFill="1" applyBorder="1" applyAlignment="1">
      <alignment horizontal="right" vertical="center"/>
    </xf>
    <xf numFmtId="0" fontId="5" fillId="4" borderId="5" xfId="0" applyFont="1" applyFill="1" applyBorder="1" applyAlignment="1">
      <alignment horizontal="right"/>
    </xf>
    <xf numFmtId="0" fontId="5" fillId="0" borderId="0" xfId="0" applyFont="1"/>
    <xf numFmtId="0" fontId="5" fillId="5" borderId="5" xfId="0" applyFont="1" applyFill="1" applyBorder="1" applyAlignment="1">
      <alignment horizontal="center"/>
    </xf>
    <xf numFmtId="0" fontId="5" fillId="5" borderId="5" xfId="0" applyFont="1" applyFill="1" applyBorder="1" applyAlignment="1">
      <alignment horizontal="left" wrapText="1"/>
    </xf>
    <xf numFmtId="0" fontId="5" fillId="5" borderId="5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right" vertical="center"/>
    </xf>
    <xf numFmtId="1" fontId="5" fillId="5" borderId="5" xfId="0" applyNumberFormat="1" applyFont="1" applyFill="1" applyBorder="1" applyAlignment="1">
      <alignment horizontal="right" vertical="center"/>
    </xf>
    <xf numFmtId="4" fontId="5" fillId="5" borderId="5" xfId="0" applyNumberFormat="1" applyFont="1" applyFill="1" applyBorder="1" applyAlignment="1">
      <alignment horizontal="right" vertical="center"/>
    </xf>
    <xf numFmtId="0" fontId="6" fillId="5" borderId="5" xfId="0" applyFont="1" applyFill="1" applyBorder="1" applyAlignment="1">
      <alignment horizontal="left" vertical="center" wrapText="1"/>
    </xf>
    <xf numFmtId="0" fontId="6" fillId="0" borderId="0" xfId="0" applyFont="1" applyAlignment="1">
      <alignment vertical="center"/>
    </xf>
    <xf numFmtId="1" fontId="6" fillId="8" borderId="5" xfId="0" applyNumberFormat="1" applyFont="1" applyFill="1" applyBorder="1" applyAlignment="1">
      <alignment horizontal="right" vertical="center"/>
    </xf>
    <xf numFmtId="1" fontId="0" fillId="8" borderId="5" xfId="0" applyNumberFormat="1" applyFill="1" applyBorder="1" applyAlignment="1">
      <alignment horizontal="right" vertical="center"/>
    </xf>
    <xf numFmtId="0" fontId="5" fillId="0" borderId="5" xfId="0" applyFont="1" applyBorder="1" applyAlignment="1">
      <alignment horizontal="center" vertical="center"/>
    </xf>
    <xf numFmtId="4" fontId="0" fillId="0" borderId="0" xfId="0" applyNumberFormat="1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4" fontId="5" fillId="0" borderId="0" xfId="0" applyNumberFormat="1" applyFont="1" applyAlignment="1">
      <alignment horizontal="center"/>
    </xf>
    <xf numFmtId="4" fontId="3" fillId="6" borderId="7" xfId="0" applyNumberFormat="1" applyFont="1" applyFill="1" applyBorder="1" applyAlignment="1">
      <alignment horizontal="right" vertical="center"/>
    </xf>
    <xf numFmtId="0" fontId="8" fillId="0" borderId="5" xfId="0" applyFont="1" applyBorder="1" applyAlignment="1">
      <alignment horizontal="center" vertical="center" wrapText="1"/>
    </xf>
    <xf numFmtId="1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6" fontId="10" fillId="0" borderId="0" xfId="0" applyNumberFormat="1" applyFont="1" applyAlignment="1">
      <alignment horizontal="center" vertical="center"/>
    </xf>
    <xf numFmtId="166" fontId="12" fillId="0" borderId="0" xfId="0" applyNumberFormat="1" applyFont="1" applyAlignment="1">
      <alignment horizontal="center" vertical="center"/>
    </xf>
    <xf numFmtId="4" fontId="10" fillId="0" borderId="0" xfId="0" applyNumberFormat="1" applyFont="1" applyAlignment="1">
      <alignment horizontal="center" vertical="center"/>
    </xf>
    <xf numFmtId="1" fontId="10" fillId="0" borderId="0" xfId="1" applyNumberFormat="1" applyFont="1" applyAlignment="1">
      <alignment horizontal="center" vertical="center"/>
    </xf>
    <xf numFmtId="0" fontId="14" fillId="0" borderId="0" xfId="3" applyAlignment="1">
      <alignment vertical="center"/>
    </xf>
    <xf numFmtId="0" fontId="15" fillId="0" borderId="0" xfId="3" applyFont="1" applyAlignment="1">
      <alignment vertical="center"/>
    </xf>
    <xf numFmtId="4" fontId="15" fillId="0" borderId="0" xfId="3" applyNumberFormat="1" applyFont="1" applyAlignment="1">
      <alignment vertical="center"/>
    </xf>
    <xf numFmtId="0" fontId="16" fillId="0" borderId="0" xfId="1" applyFont="1" applyAlignment="1">
      <alignment horizontal="center" vertical="center"/>
    </xf>
    <xf numFmtId="0" fontId="10" fillId="0" borderId="0" xfId="3" applyFont="1"/>
    <xf numFmtId="0" fontId="16" fillId="0" borderId="0" xfId="3" applyFont="1"/>
    <xf numFmtId="4" fontId="16" fillId="0" borderId="0" xfId="3" applyNumberFormat="1" applyFont="1"/>
    <xf numFmtId="49" fontId="10" fillId="0" borderId="0" xfId="1" applyNumberFormat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7" fillId="0" borderId="0" xfId="0" applyFont="1" applyAlignment="1">
      <alignment horizontal="right" vertical="center"/>
    </xf>
    <xf numFmtId="0" fontId="6" fillId="6" borderId="7" xfId="0" applyFont="1" applyFill="1" applyBorder="1" applyAlignment="1">
      <alignment horizontal="center"/>
    </xf>
    <xf numFmtId="0" fontId="17" fillId="0" borderId="0" xfId="0" applyFont="1" applyAlignment="1">
      <alignment horizontal="left" vertical="center" wrapText="1"/>
    </xf>
    <xf numFmtId="0" fontId="18" fillId="9" borderId="0" xfId="0" applyFont="1" applyFill="1" applyAlignment="1">
      <alignment horizontal="left" vertical="center" wrapText="1"/>
    </xf>
    <xf numFmtId="0" fontId="10" fillId="0" borderId="0" xfId="2" applyFont="1" applyAlignment="1">
      <alignment horizontal="left" vertical="center" wrapText="1"/>
    </xf>
    <xf numFmtId="0" fontId="16" fillId="0" borderId="0" xfId="4" applyFont="1" applyAlignment="1">
      <alignment horizontal="left" vertical="center" wrapText="1"/>
    </xf>
    <xf numFmtId="0" fontId="3" fillId="7" borderId="7" xfId="0" applyFont="1" applyFill="1" applyBorder="1" applyAlignment="1">
      <alignment horizontal="center" vertical="center" wrapText="1"/>
    </xf>
    <xf numFmtId="4" fontId="3" fillId="7" borderId="7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 wrapText="1"/>
    </xf>
    <xf numFmtId="4" fontId="3" fillId="0" borderId="8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6" borderId="9" xfId="0" applyFont="1" applyFill="1" applyBorder="1" applyAlignment="1">
      <alignment horizontal="right"/>
    </xf>
    <xf numFmtId="0" fontId="3" fillId="6" borderId="6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4" fillId="6" borderId="9" xfId="0" applyFont="1" applyFill="1" applyBorder="1" applyAlignment="1">
      <alignment horizontal="right"/>
    </xf>
    <xf numFmtId="0" fontId="4" fillId="6" borderId="6" xfId="0" applyFont="1" applyFill="1" applyBorder="1" applyAlignment="1">
      <alignment horizontal="right"/>
    </xf>
    <xf numFmtId="0" fontId="4" fillId="6" borderId="7" xfId="0" applyFont="1" applyFill="1" applyBorder="1" applyAlignment="1">
      <alignment horizontal="right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5">
    <cellStyle name="Обычный" xfId="0" builtinId="0"/>
    <cellStyle name="Обычный 2" xfId="3" xr:uid="{34B2FE8C-9142-479D-AF0C-51358C7E82A2}"/>
    <cellStyle name="Обычный 3 2 2 4" xfId="2" xr:uid="{EAFC23FD-BE56-4AD5-B156-D1361844199B}"/>
    <cellStyle name="Обычный 3 2 2 4 2" xfId="4" xr:uid="{145A2AB8-0BDA-4017-B090-F01E58AA678D}"/>
    <cellStyle name="Обычный 5" xfId="1" xr:uid="{FFF25BC0-2BC8-4360-8148-42E19AA001B8}"/>
  </cellStyles>
  <dxfs count="41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FB0C3B9-97A8-4EB1-919B-C5C12358767F}" name="Р" displayName="Р" ref="A3:F30" totalsRowCount="1" headerRowDxfId="40" headerRowBorderDxfId="39" tableBorderDxfId="38" totalsRowBorderDxfId="37">
  <autoFilter ref="A3:F29" xr:uid="{DFB0C3B9-97A8-4EB1-919B-C5C12358767F}"/>
  <tableColumns count="6">
    <tableColumn id="1" xr3:uid="{01F4CDF0-CE2E-4E2C-9631-A6EAEDB99910}" name="Наименование" totalsRowLabel="Итог" dataDxfId="36" totalsRowDxfId="35"/>
    <tableColumn id="2" xr3:uid="{A3E16D28-8679-4CB2-8D38-20A8E4FDCC21}" name="Ед. изм." dataDxfId="34" totalsRowDxfId="33"/>
    <tableColumn id="3" xr3:uid="{6F4B7501-8F94-40C6-92D4-F41E9D5085EF}" name="Количество" dataDxfId="32" totalsRowDxfId="31"/>
    <tableColumn id="4" xr3:uid="{91005592-9AD8-45A0-BAA0-14352F865AE3}" name="Цена за ед., руб" dataDxfId="30" totalsRowDxfId="29"/>
    <tableColumn id="5" xr3:uid="{05AE2817-2A69-4FF7-A5FB-18B10DC05917}" name="Сумма, руб" totalsRowFunction="sum" dataDxfId="28" totalsRowDxfId="27">
      <calculatedColumnFormula>ROUND(Р[[#This Row],[Количество]]*Р[[#This Row],[Цена за ед., руб]],2)</calculatedColumnFormula>
    </tableColumn>
    <tableColumn id="6" xr3:uid="{33F8EF6A-D001-4199-9364-FF2351E3FA58}" name="Примечание" dataDxfId="26" totalsRowDxfId="25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D2266AD-10D2-4C0C-B127-11231636DB5F}" name="М" displayName="М" ref="A3:I76" totalsRowCount="1" headerRowDxfId="24" headerRowBorderDxfId="23" tableBorderDxfId="22" totalsRowBorderDxfId="21">
  <autoFilter ref="A3:I75" xr:uid="{CD2266AD-10D2-4C0C-B127-11231636DB5F}"/>
  <tableColumns count="9">
    <tableColumn id="1" xr3:uid="{74677CC8-CF92-4FBA-BA30-932CB366B2E1}" name="Наим." totalsRowLabel="Итог" dataDxfId="17" totalsRowDxfId="8"/>
    <tableColumn id="2" xr3:uid="{BF11B0B5-1CB1-4DBE-8A44-A78014DE7168}" name="Артикул, марка, произв." dataDxfId="16" totalsRowDxfId="7"/>
    <tableColumn id="3" xr3:uid="{2B4677F8-22CC-42FE-B1F6-E19AD896B74F}" name="Хар-ка" dataDxfId="15" totalsRowDxfId="6"/>
    <tableColumn id="4" xr3:uid="{9BFE7D16-B8FF-4594-A0EF-89D08EB9537F}" name="Ед. изм." dataDxfId="14" totalsRowDxfId="5"/>
    <tableColumn id="5" xr3:uid="{97C406C6-3834-4137-97CB-94ADB1B7B661}" name="Количество" dataDxfId="13" totalsRowDxfId="4"/>
    <tableColumn id="6" xr3:uid="{256CD70E-BBB1-4D0B-A807-4DFA6C9670B5}" name="Цена за ед., руб" dataDxfId="12" totalsRowDxfId="3"/>
    <tableColumn id="7" xr3:uid="{10F3B04C-5D7F-4A25-B512-C52C31581312}" name="Сумма, руб" totalsRowFunction="sum" dataDxfId="11" totalsRowDxfId="2">
      <calculatedColumnFormula>ROUND(М[[#This Row],[Количество]]*М[[#This Row],[Цена за ед., руб]],2)</calculatedColumnFormula>
    </tableColumn>
    <tableColumn id="8" xr3:uid="{A5A19FA0-53A6-473D-ACC4-8A0CF9300B41}" name="Прим." dataDxfId="10" totalsRowDxfId="1"/>
    <tableColumn id="9" xr3:uid="{908D3F1A-CE3C-489A-824E-7B1638E7D920}" name="Форма закупа" dataDxfId="9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EM258"/>
  <sheetViews>
    <sheetView tabSelected="1" zoomScale="85" zoomScaleNormal="85" workbookViewId="0">
      <pane ySplit="7" topLeftCell="A221" activePane="bottomLeft" state="frozen"/>
      <selection pane="bottomLeft" activeCell="K233" sqref="K233:K236"/>
    </sheetView>
  </sheetViews>
  <sheetFormatPr defaultColWidth="10.5" defaultRowHeight="11.45" customHeight="1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7" width="10.5" style="1" customWidth="1"/>
    <col min="8" max="8" width="14.6640625" style="1" customWidth="1"/>
    <col min="9" max="9" width="16" style="1" customWidth="1"/>
    <col min="10" max="10" width="17" style="1" customWidth="1"/>
    <col min="11" max="11" width="35" style="1" customWidth="1"/>
    <col min="12" max="12" width="23.33203125" style="1" customWidth="1"/>
  </cols>
  <sheetData>
    <row r="1" spans="1:12" ht="11.1" customHeight="1" x14ac:dyDescent="0.2"/>
    <row r="2" spans="1:12" ht="11.1" customHeight="1" x14ac:dyDescent="0.2">
      <c r="B2" s="132" t="s">
        <v>0</v>
      </c>
      <c r="C2" s="132"/>
      <c r="D2" s="132"/>
      <c r="E2" s="132"/>
      <c r="F2" s="132"/>
      <c r="G2" s="132"/>
      <c r="H2" s="132"/>
      <c r="I2" s="132"/>
      <c r="J2" s="132"/>
    </row>
    <row r="3" spans="1:12" ht="23.1" customHeight="1" x14ac:dyDescent="0.2">
      <c r="B3" s="133" t="s">
        <v>1</v>
      </c>
      <c r="C3" s="133"/>
      <c r="D3" s="133"/>
      <c r="E3" s="133"/>
      <c r="F3" s="133"/>
      <c r="G3" s="133"/>
      <c r="H3" s="133"/>
      <c r="I3" s="133"/>
      <c r="J3" s="133"/>
    </row>
    <row r="4" spans="1:12" ht="11.1" customHeight="1" x14ac:dyDescent="0.2">
      <c r="B4" s="133" t="s">
        <v>2</v>
      </c>
      <c r="C4" s="133"/>
      <c r="D4" s="133"/>
      <c r="E4" s="133"/>
      <c r="F4" s="133"/>
      <c r="G4" s="133"/>
      <c r="H4" s="133"/>
      <c r="I4" s="133"/>
      <c r="J4" s="133"/>
    </row>
    <row r="5" spans="1:12" ht="11.1" customHeight="1" x14ac:dyDescent="0.2"/>
    <row r="6" spans="1:12" ht="11.1" customHeight="1" x14ac:dyDescent="0.2">
      <c r="A6" s="128" t="s">
        <v>3</v>
      </c>
      <c r="B6" s="128" t="s">
        <v>4</v>
      </c>
      <c r="C6" s="142" t="s">
        <v>5</v>
      </c>
      <c r="D6" s="144" t="s">
        <v>6</v>
      </c>
      <c r="E6" s="128" t="s">
        <v>7</v>
      </c>
      <c r="F6" s="130" t="s">
        <v>8</v>
      </c>
      <c r="G6" s="134" t="s">
        <v>9</v>
      </c>
      <c r="H6" s="128" t="s">
        <v>10</v>
      </c>
      <c r="I6" s="130" t="s">
        <v>11</v>
      </c>
      <c r="J6" s="130" t="s">
        <v>12</v>
      </c>
      <c r="K6" s="128" t="s">
        <v>13</v>
      </c>
      <c r="L6" s="130" t="s">
        <v>14</v>
      </c>
    </row>
    <row r="7" spans="1:12" ht="11.1" customHeight="1" x14ac:dyDescent="0.2">
      <c r="A7" s="129"/>
      <c r="B7" s="129"/>
      <c r="C7" s="143"/>
      <c r="D7" s="145"/>
      <c r="E7" s="129"/>
      <c r="F7" s="131"/>
      <c r="G7" s="135"/>
      <c r="H7" s="129"/>
      <c r="I7" s="131"/>
      <c r="J7" s="131"/>
      <c r="K7" s="129"/>
      <c r="L7" s="131"/>
    </row>
    <row r="8" spans="1:12" ht="11.1" customHeight="1" x14ac:dyDescent="0.2">
      <c r="A8" s="3" t="s">
        <v>15</v>
      </c>
      <c r="B8" s="4" t="s">
        <v>16</v>
      </c>
      <c r="C8" s="5"/>
      <c r="D8" s="5"/>
      <c r="E8" s="6"/>
      <c r="F8" s="7"/>
      <c r="G8" s="7"/>
      <c r="H8" s="7"/>
      <c r="I8" s="53"/>
      <c r="J8" s="53"/>
      <c r="K8" s="5"/>
      <c r="L8" s="5"/>
    </row>
    <row r="9" spans="1:12" ht="11.1" customHeight="1" outlineLevel="1" x14ac:dyDescent="0.2">
      <c r="A9" s="8" t="s">
        <v>17</v>
      </c>
      <c r="B9" s="9" t="s">
        <v>18</v>
      </c>
      <c r="C9" s="10"/>
      <c r="D9" s="10"/>
      <c r="E9" s="11"/>
      <c r="F9" s="12"/>
      <c r="G9" s="12"/>
      <c r="H9" s="12"/>
      <c r="I9" s="54"/>
      <c r="J9" s="54">
        <f ca="1">SUM($J$225,$J$129,$J$239,$J$10)</f>
        <v>0</v>
      </c>
      <c r="K9" s="10"/>
      <c r="L9" s="10"/>
    </row>
    <row r="10" spans="1:12" ht="23.1" customHeight="1" outlineLevel="2" x14ac:dyDescent="0.2">
      <c r="A10" s="13" t="s">
        <v>19</v>
      </c>
      <c r="B10" s="14" t="s">
        <v>20</v>
      </c>
      <c r="C10" s="15"/>
      <c r="D10" s="15"/>
      <c r="E10" s="16"/>
      <c r="F10" s="17"/>
      <c r="G10" s="18"/>
      <c r="H10" s="18"/>
      <c r="I10" s="55"/>
      <c r="J10" s="55">
        <f>SUM($J$121,$J$11)</f>
        <v>0</v>
      </c>
      <c r="K10" s="19"/>
      <c r="L10" s="19"/>
    </row>
    <row r="11" spans="1:12" ht="23.1" customHeight="1" outlineLevel="3" x14ac:dyDescent="0.2">
      <c r="A11" s="13" t="s">
        <v>21</v>
      </c>
      <c r="B11" s="14" t="s">
        <v>20</v>
      </c>
      <c r="C11" s="15"/>
      <c r="D11" s="15"/>
      <c r="E11" s="16"/>
      <c r="F11" s="17"/>
      <c r="G11" s="18"/>
      <c r="H11" s="18"/>
      <c r="I11" s="55"/>
      <c r="J11" s="55">
        <f>SUM($J$237,$J$114,$J$112,$J$108,$J$106,$J$103,$J$101,$J$96,$J$94,$J$91,$J$89,$J$87,$J$85,$J$81,$J$79,$J$77,$J$75,$J$72,$J$70,$J$64,$J$62,$J$53,$J$51,$J$49,$J$47,$J$45,$J$43,$J$40,$J$38,$J$33,$J$31,$J$29,$J$27,$J$16,$J$14,$J$12)</f>
        <v>0</v>
      </c>
      <c r="K11" s="19"/>
      <c r="L11" s="19"/>
    </row>
    <row r="12" spans="1:12" ht="11.1" customHeight="1" outlineLevel="4" x14ac:dyDescent="0.2">
      <c r="A12" s="20"/>
      <c r="B12" s="14" t="s">
        <v>22</v>
      </c>
      <c r="C12" s="21"/>
      <c r="D12" s="21"/>
      <c r="E12" s="21"/>
      <c r="F12" s="21"/>
      <c r="G12" s="21"/>
      <c r="H12" s="21"/>
      <c r="I12" s="56"/>
      <c r="J12" s="57">
        <f>SUM($J$13)</f>
        <v>0</v>
      </c>
      <c r="K12" s="18"/>
      <c r="L12" s="22"/>
    </row>
    <row r="13" spans="1:12" ht="11.1" customHeight="1" outlineLevel="4" x14ac:dyDescent="0.2">
      <c r="A13" s="23"/>
      <c r="B13" s="24" t="s">
        <v>23</v>
      </c>
      <c r="C13" s="25"/>
      <c r="D13" s="25"/>
      <c r="E13" s="26" t="s">
        <v>24</v>
      </c>
      <c r="F13" s="27"/>
      <c r="G13" s="28">
        <v>12</v>
      </c>
      <c r="H13" s="28">
        <f>SUM($G$13:$G$13)</f>
        <v>12</v>
      </c>
      <c r="I13" s="58">
        <f t="array" ref="I13">INDEX(Р[Цена за ед., руб],MATCH(1,IF(($B13=Р[Наименование])*($K13=Р[Примечание]),{1},($B13=Р[Наименование])*($K13=Р[Примечание])),0))</f>
        <v>0</v>
      </c>
      <c r="J13" s="58">
        <f>ROUND($H$13*$I$13,2)</f>
        <v>0</v>
      </c>
      <c r="K13" s="25"/>
      <c r="L13" s="25"/>
    </row>
    <row r="14" spans="1:12" ht="11.1" customHeight="1" outlineLevel="4" x14ac:dyDescent="0.2">
      <c r="A14" s="20"/>
      <c r="B14" s="14" t="s">
        <v>22</v>
      </c>
      <c r="C14" s="21"/>
      <c r="D14" s="21"/>
      <c r="E14" s="21"/>
      <c r="F14" s="21"/>
      <c r="G14" s="21"/>
      <c r="H14" s="21"/>
      <c r="I14" s="56"/>
      <c r="J14" s="57">
        <f>SUM($J$15)</f>
        <v>0</v>
      </c>
      <c r="K14" s="18"/>
      <c r="L14" s="22"/>
    </row>
    <row r="15" spans="1:12" ht="11.1" customHeight="1" outlineLevel="4" x14ac:dyDescent="0.2">
      <c r="A15" s="23"/>
      <c r="B15" s="24" t="s">
        <v>25</v>
      </c>
      <c r="C15" s="25"/>
      <c r="D15" s="25"/>
      <c r="E15" s="26" t="s">
        <v>26</v>
      </c>
      <c r="F15" s="27"/>
      <c r="G15" s="29">
        <v>6797</v>
      </c>
      <c r="H15" s="29">
        <f>SUM($G$15:$G$15)</f>
        <v>6797</v>
      </c>
      <c r="I15" s="58">
        <f t="array" ref="I15">INDEX(Р[Цена за ед., руб],MATCH(1,IF(($B15=Р[Наименование])*($K15=Р[Примечание]),{1},($B15=Р[Наименование])*($K15=Р[Примечание])),0))</f>
        <v>0</v>
      </c>
      <c r="J15" s="58">
        <f>ROUND($H$15*$I$15,2)</f>
        <v>0</v>
      </c>
      <c r="K15" s="25"/>
      <c r="L15" s="25"/>
    </row>
    <row r="16" spans="1:12" ht="11.1" customHeight="1" outlineLevel="4" x14ac:dyDescent="0.2">
      <c r="A16" s="20"/>
      <c r="B16" s="14" t="s">
        <v>27</v>
      </c>
      <c r="C16" s="21"/>
      <c r="D16" s="21"/>
      <c r="E16" s="21"/>
      <c r="F16" s="21"/>
      <c r="G16" s="21"/>
      <c r="H16" s="21"/>
      <c r="I16" s="56"/>
      <c r="J16" s="57">
        <f>SUM($J$17:$J$26)</f>
        <v>0</v>
      </c>
      <c r="K16" s="18"/>
      <c r="L16" s="22"/>
    </row>
    <row r="17" spans="1:12" ht="35.1" customHeight="1" outlineLevel="4" x14ac:dyDescent="0.2">
      <c r="A17" s="23" t="s">
        <v>28</v>
      </c>
      <c r="B17" s="24" t="s">
        <v>29</v>
      </c>
      <c r="C17" s="25" t="s">
        <v>30</v>
      </c>
      <c r="D17" s="25" t="s">
        <v>31</v>
      </c>
      <c r="E17" s="26" t="s">
        <v>32</v>
      </c>
      <c r="F17" s="27"/>
      <c r="G17" s="28">
        <v>48</v>
      </c>
      <c r="H17" s="28">
        <f>SUM($G$17:$G$17)</f>
        <v>48</v>
      </c>
      <c r="I17" s="58">
        <f t="array" ref="I17">INDEX(М[Цена за ед., руб],MATCH(1,IF(($B17=М[Наим.])*($C17=М[Артикул, марка, произв.])*($D17=М[Хар-ка])*($K17=М[Прим.]),{1},($B17=М[Наим.])*($C17=М[Артикул, марка, произв.])*($D17=М[Хар-ка])*($K17=М[Прим.])),0))</f>
        <v>0</v>
      </c>
      <c r="J17" s="58">
        <f>ROUND($H$17*$I$17,2)</f>
        <v>0</v>
      </c>
      <c r="K17" s="25"/>
      <c r="L17" s="25">
        <f t="array" ref="L17">INDEX(М[Форма закупа],MATCH(1,IF(($B17=М[Наим.])*($C17=М[Артикул, марка, произв.])*($D17=М[Хар-ка])*($K17=М[Прим.]),{1},($B17=М[Наим.])*($C17=М[Артикул, марка, произв.])*($D17=М[Хар-ка])*($K17=М[Прим.])),0))</f>
        <v>0</v>
      </c>
    </row>
    <row r="18" spans="1:12" ht="35.1" customHeight="1" outlineLevel="4" x14ac:dyDescent="0.2">
      <c r="A18" s="23" t="s">
        <v>33</v>
      </c>
      <c r="B18" s="24" t="s">
        <v>29</v>
      </c>
      <c r="C18" s="25" t="s">
        <v>30</v>
      </c>
      <c r="D18" s="25" t="s">
        <v>34</v>
      </c>
      <c r="E18" s="26" t="s">
        <v>32</v>
      </c>
      <c r="F18" s="27"/>
      <c r="G18" s="28">
        <v>5</v>
      </c>
      <c r="H18" s="28">
        <f>SUM($G$18:$G$18)</f>
        <v>5</v>
      </c>
      <c r="I18" s="58">
        <f t="array" ref="I18">INDEX(М[Цена за ед., руб],MATCH(1,IF(($B18=М[Наим.])*($C18=М[Артикул, марка, произв.])*($D18=М[Хар-ка])*($K18=М[Прим.]),{1},($B18=М[Наим.])*($C18=М[Артикул, марка, произв.])*($D18=М[Хар-ка])*($K18=М[Прим.])),0))</f>
        <v>0</v>
      </c>
      <c r="J18" s="58">
        <f>ROUND($H$18*$I$18,2)</f>
        <v>0</v>
      </c>
      <c r="K18" s="25"/>
      <c r="L18" s="25">
        <f t="array" ref="L18">INDEX(М[Форма закупа],MATCH(1,IF(($B18=М[Наим.])*($C18=М[Артикул, марка, произв.])*($D18=М[Хар-ка])*($K18=М[Прим.]),{1},($B18=М[Наим.])*($C18=М[Артикул, марка, произв.])*($D18=М[Хар-ка])*($K18=М[Прим.])),0))</f>
        <v>0</v>
      </c>
    </row>
    <row r="19" spans="1:12" ht="35.1" customHeight="1" outlineLevel="4" x14ac:dyDescent="0.2">
      <c r="A19" s="23" t="s">
        <v>35</v>
      </c>
      <c r="B19" s="24" t="s">
        <v>29</v>
      </c>
      <c r="C19" s="25" t="s">
        <v>30</v>
      </c>
      <c r="D19" s="25" t="s">
        <v>36</v>
      </c>
      <c r="E19" s="26" t="s">
        <v>32</v>
      </c>
      <c r="F19" s="27"/>
      <c r="G19" s="28">
        <v>20</v>
      </c>
      <c r="H19" s="28">
        <f>SUM($G$19:$G$19)</f>
        <v>20</v>
      </c>
      <c r="I19" s="58">
        <f t="array" ref="I19">INDEX(М[Цена за ед., руб],MATCH(1,IF(($B19=М[Наим.])*($C19=М[Артикул, марка, произв.])*($D19=М[Хар-ка])*($K19=М[Прим.]),{1},($B19=М[Наим.])*($C19=М[Артикул, марка, произв.])*($D19=М[Хар-ка])*($K19=М[Прим.])),0))</f>
        <v>0</v>
      </c>
      <c r="J19" s="58">
        <f>ROUND($H$19*$I$19,2)</f>
        <v>0</v>
      </c>
      <c r="K19" s="25"/>
      <c r="L19" s="25">
        <f t="array" ref="L19">INDEX(М[Форма закупа],MATCH(1,IF(($B19=М[Наим.])*($C19=М[Артикул, марка, произв.])*($D19=М[Хар-ка])*($K19=М[Прим.]),{1},($B19=М[Наим.])*($C19=М[Артикул, марка, произв.])*($D19=М[Хар-ка])*($K19=М[Прим.])),0))</f>
        <v>0</v>
      </c>
    </row>
    <row r="20" spans="1:12" ht="35.1" customHeight="1" outlineLevel="4" x14ac:dyDescent="0.2">
      <c r="A20" s="23" t="s">
        <v>37</v>
      </c>
      <c r="B20" s="24" t="s">
        <v>29</v>
      </c>
      <c r="C20" s="25" t="s">
        <v>30</v>
      </c>
      <c r="D20" s="25" t="s">
        <v>38</v>
      </c>
      <c r="E20" s="26" t="s">
        <v>32</v>
      </c>
      <c r="F20" s="27"/>
      <c r="G20" s="28">
        <v>12</v>
      </c>
      <c r="H20" s="28">
        <f>SUM($G$20:$G$20)</f>
        <v>12</v>
      </c>
      <c r="I20" s="58">
        <f t="array" ref="I20">INDEX(М[Цена за ед., руб],MATCH(1,IF(($B20=М[Наим.])*($C20=М[Артикул, марка, произв.])*($D20=М[Хар-ка])*($K20=М[Прим.]),{1},($B20=М[Наим.])*($C20=М[Артикул, марка, произв.])*($D20=М[Хар-ка])*($K20=М[Прим.])),0))</f>
        <v>0</v>
      </c>
      <c r="J20" s="58">
        <f>ROUND($H$20*$I$20,2)</f>
        <v>0</v>
      </c>
      <c r="K20" s="25"/>
      <c r="L20" s="25">
        <f t="array" ref="L20">INDEX(М[Форма закупа],MATCH(1,IF(($B20=М[Наим.])*($C20=М[Артикул, марка, произв.])*($D20=М[Хар-ка])*($K20=М[Прим.]),{1},($B20=М[Наим.])*($C20=М[Артикул, марка, произв.])*($D20=М[Хар-ка])*($K20=М[Прим.])),0))</f>
        <v>0</v>
      </c>
    </row>
    <row r="21" spans="1:12" ht="35.1" customHeight="1" outlineLevel="4" x14ac:dyDescent="0.2">
      <c r="A21" s="23" t="s">
        <v>39</v>
      </c>
      <c r="B21" s="24" t="s">
        <v>29</v>
      </c>
      <c r="C21" s="25" t="s">
        <v>30</v>
      </c>
      <c r="D21" s="25" t="s">
        <v>40</v>
      </c>
      <c r="E21" s="26" t="s">
        <v>32</v>
      </c>
      <c r="F21" s="27"/>
      <c r="G21" s="28">
        <v>40</v>
      </c>
      <c r="H21" s="28">
        <f>SUM($G$21:$G$21)</f>
        <v>40</v>
      </c>
      <c r="I21" s="58">
        <f t="array" ref="I21">INDEX(М[Цена за ед., руб],MATCH(1,IF(($B21=М[Наим.])*($C21=М[Артикул, марка, произв.])*($D21=М[Хар-ка])*($K21=М[Прим.]),{1},($B21=М[Наим.])*($C21=М[Артикул, марка, произв.])*($D21=М[Хар-ка])*($K21=М[Прим.])),0))</f>
        <v>0</v>
      </c>
      <c r="J21" s="58">
        <f>ROUND($H$21*$I$21,2)</f>
        <v>0</v>
      </c>
      <c r="K21" s="25"/>
      <c r="L21" s="25">
        <f t="array" ref="L21">INDEX(М[Форма закупа],MATCH(1,IF(($B21=М[Наим.])*($C21=М[Артикул, марка, произв.])*($D21=М[Хар-ка])*($K21=М[Прим.]),{1},($B21=М[Наим.])*($C21=М[Артикул, марка, произв.])*($D21=М[Хар-ка])*($K21=М[Прим.])),0))</f>
        <v>0</v>
      </c>
    </row>
    <row r="22" spans="1:12" ht="35.1" customHeight="1" outlineLevel="4" x14ac:dyDescent="0.2">
      <c r="A22" s="23" t="s">
        <v>41</v>
      </c>
      <c r="B22" s="24" t="s">
        <v>29</v>
      </c>
      <c r="C22" s="25" t="s">
        <v>30</v>
      </c>
      <c r="D22" s="25" t="s">
        <v>42</v>
      </c>
      <c r="E22" s="26" t="s">
        <v>32</v>
      </c>
      <c r="F22" s="27"/>
      <c r="G22" s="28">
        <v>111</v>
      </c>
      <c r="H22" s="28">
        <f>SUM($G$22:$G$22)</f>
        <v>111</v>
      </c>
      <c r="I22" s="58">
        <f t="array" ref="I22">INDEX(М[Цена за ед., руб],MATCH(1,IF(($B22=М[Наим.])*($C22=М[Артикул, марка, произв.])*($D22=М[Хар-ка])*($K22=М[Прим.]),{1},($B22=М[Наим.])*($C22=М[Артикул, марка, произв.])*($D22=М[Хар-ка])*($K22=М[Прим.])),0))</f>
        <v>0</v>
      </c>
      <c r="J22" s="58">
        <f>ROUND($H$22*$I$22,2)</f>
        <v>0</v>
      </c>
      <c r="K22" s="25"/>
      <c r="L22" s="25">
        <f t="array" ref="L22">INDEX(М[Форма закупа],MATCH(1,IF(($B22=М[Наим.])*($C22=М[Артикул, марка, произв.])*($D22=М[Хар-ка])*($K22=М[Прим.]),{1},($B22=М[Наим.])*($C22=М[Артикул, марка, произв.])*($D22=М[Хар-ка])*($K22=М[Прим.])),0))</f>
        <v>0</v>
      </c>
    </row>
    <row r="23" spans="1:12" ht="35.1" customHeight="1" outlineLevel="4" x14ac:dyDescent="0.2">
      <c r="A23" s="23" t="s">
        <v>43</v>
      </c>
      <c r="B23" s="24" t="s">
        <v>29</v>
      </c>
      <c r="C23" s="25" t="s">
        <v>30</v>
      </c>
      <c r="D23" s="25" t="s">
        <v>44</v>
      </c>
      <c r="E23" s="26" t="s">
        <v>32</v>
      </c>
      <c r="F23" s="27"/>
      <c r="G23" s="29">
        <v>6279</v>
      </c>
      <c r="H23" s="29">
        <f>SUM($G$23:$G$23)</f>
        <v>6279</v>
      </c>
      <c r="I23" s="58">
        <f t="array" ref="I23">INDEX(М[Цена за ед., руб],MATCH(1,IF(($B23=М[Наим.])*($C23=М[Артикул, марка, произв.])*($D23=М[Хар-ка])*($K23=М[Прим.]),{1},($B23=М[Наим.])*($C23=М[Артикул, марка, произв.])*($D23=М[Хар-ка])*($K23=М[Прим.])),0))</f>
        <v>0</v>
      </c>
      <c r="J23" s="58">
        <f>ROUND($H$23*$I$23,2)</f>
        <v>0</v>
      </c>
      <c r="K23" s="25"/>
      <c r="L23" s="25">
        <f t="array" ref="L23">INDEX(М[Форма закупа],MATCH(1,IF(($B23=М[Наим.])*($C23=М[Артикул, марка, произв.])*($D23=М[Хар-ка])*($K23=М[Прим.]),{1},($B23=М[Наим.])*($C23=М[Артикул, марка, произв.])*($D23=М[Хар-ка])*($K23=М[Прим.])),0))</f>
        <v>0</v>
      </c>
    </row>
    <row r="24" spans="1:12" ht="35.1" customHeight="1" outlineLevel="4" x14ac:dyDescent="0.2">
      <c r="A24" s="23" t="s">
        <v>45</v>
      </c>
      <c r="B24" s="24" t="s">
        <v>29</v>
      </c>
      <c r="C24" s="25" t="s">
        <v>30</v>
      </c>
      <c r="D24" s="25" t="s">
        <v>46</v>
      </c>
      <c r="E24" s="26" t="s">
        <v>32</v>
      </c>
      <c r="F24" s="27"/>
      <c r="G24" s="28">
        <v>8</v>
      </c>
      <c r="H24" s="28">
        <f>SUM($G$24:$G$24)</f>
        <v>8</v>
      </c>
      <c r="I24" s="58">
        <f t="array" ref="I24">INDEX(М[Цена за ед., руб],MATCH(1,IF(($B24=М[Наим.])*($C24=М[Артикул, марка, произв.])*($D24=М[Хар-ка])*($K24=М[Прим.]),{1},($B24=М[Наим.])*($C24=М[Артикул, марка, произв.])*($D24=М[Хар-ка])*($K24=М[Прим.])),0))</f>
        <v>0</v>
      </c>
      <c r="J24" s="58">
        <f>ROUND($H$24*$I$24,2)</f>
        <v>0</v>
      </c>
      <c r="K24" s="25"/>
      <c r="L24" s="25">
        <f t="array" ref="L24">INDEX(М[Форма закупа],MATCH(1,IF(($B24=М[Наим.])*($C24=М[Артикул, марка, произв.])*($D24=М[Хар-ка])*($K24=М[Прим.]),{1},($B24=М[Наим.])*($C24=М[Артикул, марка, произв.])*($D24=М[Хар-ка])*($K24=М[Прим.])),0))</f>
        <v>0</v>
      </c>
    </row>
    <row r="25" spans="1:12" ht="35.1" customHeight="1" outlineLevel="4" x14ac:dyDescent="0.2">
      <c r="A25" s="23" t="s">
        <v>47</v>
      </c>
      <c r="B25" s="24" t="s">
        <v>29</v>
      </c>
      <c r="C25" s="25" t="s">
        <v>30</v>
      </c>
      <c r="D25" s="25" t="s">
        <v>48</v>
      </c>
      <c r="E25" s="26" t="s">
        <v>32</v>
      </c>
      <c r="F25" s="27"/>
      <c r="G25" s="28">
        <v>170</v>
      </c>
      <c r="H25" s="28">
        <f>SUM($G$25:$G$25)</f>
        <v>170</v>
      </c>
      <c r="I25" s="58">
        <f t="array" ref="I25">INDEX(М[Цена за ед., руб],MATCH(1,IF(($B25=М[Наим.])*($C25=М[Артикул, марка, произв.])*($D25=М[Хар-ка])*($K25=М[Прим.]),{1},($B25=М[Наим.])*($C25=М[Артикул, марка, произв.])*($D25=М[Хар-ка])*($K25=М[Прим.])),0))</f>
        <v>0</v>
      </c>
      <c r="J25" s="58">
        <f>ROUND($H$25*$I$25,2)</f>
        <v>0</v>
      </c>
      <c r="K25" s="25"/>
      <c r="L25" s="25">
        <f t="array" ref="L25">INDEX(М[Форма закупа],MATCH(1,IF(($B25=М[Наим.])*($C25=М[Артикул, марка, произв.])*($D25=М[Хар-ка])*($K25=М[Прим.]),{1},($B25=М[Наим.])*($C25=М[Артикул, марка, произв.])*($D25=М[Хар-ка])*($K25=М[Прим.])),0))</f>
        <v>0</v>
      </c>
    </row>
    <row r="26" spans="1:12" ht="35.1" customHeight="1" outlineLevel="4" x14ac:dyDescent="0.2">
      <c r="A26" s="23" t="s">
        <v>49</v>
      </c>
      <c r="B26" s="24" t="s">
        <v>29</v>
      </c>
      <c r="C26" s="25" t="s">
        <v>30</v>
      </c>
      <c r="D26" s="25" t="s">
        <v>50</v>
      </c>
      <c r="E26" s="26" t="s">
        <v>32</v>
      </c>
      <c r="F26" s="27"/>
      <c r="G26" s="28">
        <v>104</v>
      </c>
      <c r="H26" s="28">
        <f>SUM($G$26:$G$26)</f>
        <v>104</v>
      </c>
      <c r="I26" s="58">
        <f t="array" ref="I26">INDEX(М[Цена за ед., руб],MATCH(1,IF(($B26=М[Наим.])*($C26=М[Артикул, марка, произв.])*($D26=М[Хар-ка])*($K26=М[Прим.]),{1},($B26=М[Наим.])*($C26=М[Артикул, марка, произв.])*($D26=М[Хар-ка])*($K26=М[Прим.])),0))</f>
        <v>0</v>
      </c>
      <c r="J26" s="58">
        <f>ROUND($H$26*$I$26,2)</f>
        <v>0</v>
      </c>
      <c r="K26" s="25"/>
      <c r="L26" s="25">
        <f t="array" ref="L26">INDEX(М[Форма закупа],MATCH(1,IF(($B26=М[Наим.])*($C26=М[Артикул, марка, произв.])*($D26=М[Хар-ка])*($K26=М[Прим.]),{1},($B26=М[Наим.])*($C26=М[Артикул, марка, произв.])*($D26=М[Хар-ка])*($K26=М[Прим.])),0))</f>
        <v>0</v>
      </c>
    </row>
    <row r="27" spans="1:12" ht="11.1" customHeight="1" outlineLevel="4" x14ac:dyDescent="0.2">
      <c r="A27" s="20"/>
      <c r="B27" s="14" t="s">
        <v>22</v>
      </c>
      <c r="C27" s="21"/>
      <c r="D27" s="21"/>
      <c r="E27" s="21"/>
      <c r="F27" s="21"/>
      <c r="G27" s="21"/>
      <c r="H27" s="21"/>
      <c r="I27" s="56"/>
      <c r="J27" s="57">
        <f>SUM($J$28)</f>
        <v>0</v>
      </c>
      <c r="K27" s="18"/>
      <c r="L27" s="22"/>
    </row>
    <row r="28" spans="1:12" ht="23.1" customHeight="1" outlineLevel="4" x14ac:dyDescent="0.2">
      <c r="A28" s="23"/>
      <c r="B28" s="24" t="s">
        <v>51</v>
      </c>
      <c r="C28" s="25"/>
      <c r="D28" s="25"/>
      <c r="E28" s="26" t="s">
        <v>24</v>
      </c>
      <c r="F28" s="27"/>
      <c r="G28" s="28">
        <v>10</v>
      </c>
      <c r="H28" s="28">
        <f>SUM($G$28:$G$28)</f>
        <v>10</v>
      </c>
      <c r="I28" s="58">
        <f t="array" ref="I28">INDEX(Р[Цена за ед., руб],MATCH(1,IF(($B28=Р[Наименование])*($K28=Р[Примечание]),{1},($B28=Р[Наименование])*($K28=Р[Примечание])),0))</f>
        <v>0</v>
      </c>
      <c r="J28" s="58">
        <f>ROUND($H$28*$I$28,2)</f>
        <v>0</v>
      </c>
      <c r="K28" s="25"/>
      <c r="L28" s="25"/>
    </row>
    <row r="29" spans="1:12" ht="11.1" customHeight="1" outlineLevel="4" x14ac:dyDescent="0.2">
      <c r="A29" s="20"/>
      <c r="B29" s="14" t="s">
        <v>27</v>
      </c>
      <c r="C29" s="21"/>
      <c r="D29" s="21"/>
      <c r="E29" s="21"/>
      <c r="F29" s="21"/>
      <c r="G29" s="21"/>
      <c r="H29" s="21"/>
      <c r="I29" s="56"/>
      <c r="J29" s="57">
        <f>SUM($J$30)</f>
        <v>0</v>
      </c>
      <c r="K29" s="18"/>
      <c r="L29" s="22"/>
    </row>
    <row r="30" spans="1:12" ht="23.1" customHeight="1" outlineLevel="4" x14ac:dyDescent="0.2">
      <c r="A30" s="23" t="s">
        <v>28</v>
      </c>
      <c r="B30" s="24" t="s">
        <v>52</v>
      </c>
      <c r="C30" s="25" t="s">
        <v>53</v>
      </c>
      <c r="D30" s="25" t="s">
        <v>54</v>
      </c>
      <c r="E30" s="26" t="s">
        <v>24</v>
      </c>
      <c r="F30" s="27"/>
      <c r="G30" s="28">
        <v>10</v>
      </c>
      <c r="H30" s="28">
        <f>SUM($G$30:$G$30)</f>
        <v>10</v>
      </c>
      <c r="I30" s="58">
        <f t="array" ref="I30">INDEX(М[Цена за ед., руб],MATCH(1,IF(($B30=М[Наим.])*($C30=М[Артикул, марка, произв.])*($D30=М[Хар-ка])*($K30=М[Прим.]),{1},($B30=М[Наим.])*($C30=М[Артикул, марка, произв.])*($D30=М[Хар-ка])*($K30=М[Прим.])),0))</f>
        <v>0</v>
      </c>
      <c r="J30" s="58">
        <f>ROUND($H$30*$I$30,2)</f>
        <v>0</v>
      </c>
      <c r="K30" s="25"/>
      <c r="L30" s="25">
        <f t="array" ref="L30">INDEX(М[Форма закупа],MATCH(1,IF(($B30=М[Наим.])*($C30=М[Артикул, марка, произв.])*($D30=М[Хар-ка])*($K30=М[Прим.]),{1},($B30=М[Наим.])*($C30=М[Артикул, марка, произв.])*($D30=М[Хар-ка])*($K30=М[Прим.])),0))</f>
        <v>0</v>
      </c>
    </row>
    <row r="31" spans="1:12" ht="11.1" customHeight="1" outlineLevel="4" x14ac:dyDescent="0.2">
      <c r="A31" s="20"/>
      <c r="B31" s="14" t="s">
        <v>22</v>
      </c>
      <c r="C31" s="21"/>
      <c r="D31" s="21"/>
      <c r="E31" s="21"/>
      <c r="F31" s="21"/>
      <c r="G31" s="21"/>
      <c r="H31" s="21"/>
      <c r="I31" s="56"/>
      <c r="J31" s="57">
        <f>SUM($J$32)</f>
        <v>0</v>
      </c>
      <c r="K31" s="18"/>
      <c r="L31" s="22"/>
    </row>
    <row r="32" spans="1:12" ht="23.1" customHeight="1" outlineLevel="4" x14ac:dyDescent="0.2">
      <c r="A32" s="23"/>
      <c r="B32" s="24" t="s">
        <v>55</v>
      </c>
      <c r="C32" s="25"/>
      <c r="D32" s="25"/>
      <c r="E32" s="26" t="s">
        <v>24</v>
      </c>
      <c r="F32" s="27"/>
      <c r="G32" s="28">
        <v>20</v>
      </c>
      <c r="H32" s="28">
        <f>SUM($G$32:$G$32)</f>
        <v>20</v>
      </c>
      <c r="I32" s="58">
        <f t="array" ref="I32">INDEX(Р[Цена за ед., руб],MATCH(1,IF(($B32=Р[Наименование])*($K32=Р[Примечание]),{1},($B32=Р[Наименование])*($K32=Р[Примечание])),0))</f>
        <v>0</v>
      </c>
      <c r="J32" s="58">
        <f>ROUND($H$32*$I$32,2)</f>
        <v>0</v>
      </c>
      <c r="K32" s="25"/>
      <c r="L32" s="25"/>
    </row>
    <row r="33" spans="1:12" ht="11.1" customHeight="1" outlineLevel="4" x14ac:dyDescent="0.2">
      <c r="A33" s="20"/>
      <c r="B33" s="14" t="s">
        <v>27</v>
      </c>
      <c r="C33" s="21"/>
      <c r="D33" s="21"/>
      <c r="E33" s="21"/>
      <c r="F33" s="21"/>
      <c r="G33" s="21"/>
      <c r="H33" s="21"/>
      <c r="I33" s="56"/>
      <c r="J33" s="57">
        <f>SUM($J$34:$J$37)</f>
        <v>0</v>
      </c>
      <c r="K33" s="18"/>
      <c r="L33" s="22"/>
    </row>
    <row r="34" spans="1:12" ht="23.1" customHeight="1" outlineLevel="4" x14ac:dyDescent="0.2">
      <c r="A34" s="23" t="s">
        <v>28</v>
      </c>
      <c r="B34" s="24" t="s">
        <v>56</v>
      </c>
      <c r="C34" s="25" t="s">
        <v>57</v>
      </c>
      <c r="D34" s="25" t="s">
        <v>58</v>
      </c>
      <c r="E34" s="26" t="s">
        <v>24</v>
      </c>
      <c r="F34" s="27"/>
      <c r="G34" s="28">
        <v>4</v>
      </c>
      <c r="H34" s="28">
        <f>SUM($G$34:$G$34)</f>
        <v>4</v>
      </c>
      <c r="I34" s="58">
        <f t="array" ref="I34">INDEX(М[Цена за ед., руб],MATCH(1,IF(($B34=М[Наим.])*($C34=М[Артикул, марка, произв.])*($D34=М[Хар-ка])*($K34=М[Прим.]),{1},($B34=М[Наим.])*($C34=М[Артикул, марка, произв.])*($D34=М[Хар-ка])*($K34=М[Прим.])),0))</f>
        <v>0</v>
      </c>
      <c r="J34" s="58">
        <f>ROUND($H$34*$I$34,2)</f>
        <v>0</v>
      </c>
      <c r="K34" s="25"/>
      <c r="L34" s="25">
        <f t="array" ref="L34">INDEX(М[Форма закупа],MATCH(1,IF(($B34=М[Наим.])*($C34=М[Артикул, марка, произв.])*($D34=М[Хар-ка])*($K34=М[Прим.]),{1},($B34=М[Наим.])*($C34=М[Артикул, марка, произв.])*($D34=М[Хар-ка])*($K34=М[Прим.])),0))</f>
        <v>0</v>
      </c>
    </row>
    <row r="35" spans="1:12" ht="23.1" customHeight="1" outlineLevel="4" x14ac:dyDescent="0.2">
      <c r="A35" s="23" t="s">
        <v>33</v>
      </c>
      <c r="B35" s="24" t="s">
        <v>56</v>
      </c>
      <c r="C35" s="25" t="s">
        <v>57</v>
      </c>
      <c r="D35" s="25" t="s">
        <v>59</v>
      </c>
      <c r="E35" s="26" t="s">
        <v>24</v>
      </c>
      <c r="F35" s="27"/>
      <c r="G35" s="28">
        <v>4</v>
      </c>
      <c r="H35" s="28">
        <f>SUM($G$35:$G$35)</f>
        <v>4</v>
      </c>
      <c r="I35" s="58">
        <f t="array" ref="I35">INDEX(М[Цена за ед., руб],MATCH(1,IF(($B35=М[Наим.])*($C35=М[Артикул, марка, произв.])*($D35=М[Хар-ка])*($K35=М[Прим.]),{1},($B35=М[Наим.])*($C35=М[Артикул, марка, произв.])*($D35=М[Хар-ка])*($K35=М[Прим.])),0))</f>
        <v>0</v>
      </c>
      <c r="J35" s="58">
        <f>ROUND($H$35*$I$35,2)</f>
        <v>0</v>
      </c>
      <c r="K35" s="25"/>
      <c r="L35" s="25">
        <f t="array" ref="L35">INDEX(М[Форма закупа],MATCH(1,IF(($B35=М[Наим.])*($C35=М[Артикул, марка, произв.])*($D35=М[Хар-ка])*($K35=М[Прим.]),{1},($B35=М[Наим.])*($C35=М[Артикул, марка, произв.])*($D35=М[Хар-ка])*($K35=М[Прим.])),0))</f>
        <v>0</v>
      </c>
    </row>
    <row r="36" spans="1:12" ht="23.1" customHeight="1" outlineLevel="4" x14ac:dyDescent="0.2">
      <c r="A36" s="23" t="s">
        <v>35</v>
      </c>
      <c r="B36" s="24" t="s">
        <v>60</v>
      </c>
      <c r="C36" s="25" t="s">
        <v>53</v>
      </c>
      <c r="D36" s="25" t="s">
        <v>61</v>
      </c>
      <c r="E36" s="26" t="s">
        <v>24</v>
      </c>
      <c r="F36" s="27"/>
      <c r="G36" s="28">
        <v>2</v>
      </c>
      <c r="H36" s="28">
        <f>SUM($G$36:$G$36)</f>
        <v>2</v>
      </c>
      <c r="I36" s="58">
        <f t="array" ref="I36">INDEX(М[Цена за ед., руб],MATCH(1,IF(($B36=М[Наим.])*($C36=М[Артикул, марка, произв.])*($D36=М[Хар-ка])*($K36=М[Прим.]),{1},($B36=М[Наим.])*($C36=М[Артикул, марка, произв.])*($D36=М[Хар-ка])*($K36=М[Прим.])),0))</f>
        <v>0</v>
      </c>
      <c r="J36" s="58">
        <f>ROUND($H$36*$I$36,2)</f>
        <v>0</v>
      </c>
      <c r="K36" s="25"/>
      <c r="L36" s="25">
        <f t="array" ref="L36">INDEX(М[Форма закупа],MATCH(1,IF(($B36=М[Наим.])*($C36=М[Артикул, марка, произв.])*($D36=М[Хар-ка])*($K36=М[Прим.]),{1},($B36=М[Наим.])*($C36=М[Артикул, марка, произв.])*($D36=М[Хар-ка])*($K36=М[Прим.])),0))</f>
        <v>0</v>
      </c>
    </row>
    <row r="37" spans="1:12" ht="47.1" customHeight="1" outlineLevel="4" x14ac:dyDescent="0.2">
      <c r="A37" s="23" t="s">
        <v>37</v>
      </c>
      <c r="B37" s="24" t="s">
        <v>62</v>
      </c>
      <c r="C37" s="25" t="s">
        <v>53</v>
      </c>
      <c r="D37" s="25" t="s">
        <v>63</v>
      </c>
      <c r="E37" s="26" t="s">
        <v>24</v>
      </c>
      <c r="F37" s="27"/>
      <c r="G37" s="28">
        <v>10</v>
      </c>
      <c r="H37" s="28">
        <f>SUM($G$37:$G$37)</f>
        <v>10</v>
      </c>
      <c r="I37" s="58">
        <f t="array" ref="I37">INDEX(М[Цена за ед., руб],MATCH(1,IF(($B37=М[Наим.])*($C37=М[Артикул, марка, произв.])*($D37=М[Хар-ка])*($K37=М[Прим.]),{1},($B37=М[Наим.])*($C37=М[Артикул, марка, произв.])*($D37=М[Хар-ка])*($K37=М[Прим.])),0))</f>
        <v>0</v>
      </c>
      <c r="J37" s="58">
        <f>ROUND($H$37*$I$37,2)</f>
        <v>0</v>
      </c>
      <c r="K37" s="25"/>
      <c r="L37" s="25">
        <f t="array" ref="L37">INDEX(М[Форма закупа],MATCH(1,IF(($B37=М[Наим.])*($C37=М[Артикул, марка, произв.])*($D37=М[Хар-ка])*($K37=М[Прим.]),{1},($B37=М[Наим.])*($C37=М[Артикул, марка, произв.])*($D37=М[Хар-ка])*($K37=М[Прим.])),0))</f>
        <v>0</v>
      </c>
    </row>
    <row r="38" spans="1:12" ht="11.1" customHeight="1" outlineLevel="4" x14ac:dyDescent="0.2">
      <c r="A38" s="20"/>
      <c r="B38" s="14" t="s">
        <v>22</v>
      </c>
      <c r="C38" s="21"/>
      <c r="D38" s="21"/>
      <c r="E38" s="21"/>
      <c r="F38" s="21"/>
      <c r="G38" s="21"/>
      <c r="H38" s="21"/>
      <c r="I38" s="56"/>
      <c r="J38" s="57">
        <f>SUM($J$39)</f>
        <v>0</v>
      </c>
      <c r="K38" s="18"/>
      <c r="L38" s="22"/>
    </row>
    <row r="39" spans="1:12" ht="23.1" customHeight="1" outlineLevel="4" x14ac:dyDescent="0.2">
      <c r="A39" s="23"/>
      <c r="B39" s="24" t="s">
        <v>64</v>
      </c>
      <c r="C39" s="25"/>
      <c r="D39" s="25"/>
      <c r="E39" s="26" t="s">
        <v>24</v>
      </c>
      <c r="F39" s="27"/>
      <c r="G39" s="28">
        <v>5</v>
      </c>
      <c r="H39" s="28">
        <f>SUM($G$39:$G$39)</f>
        <v>5</v>
      </c>
      <c r="I39" s="58">
        <f t="array" ref="I39">INDEX(Р[Цена за ед., руб],MATCH(1,IF(($B39=Р[Наименование])*($K39=Р[Примечание]),{1},($B39=Р[Наименование])*($K39=Р[Примечание])),0))</f>
        <v>0</v>
      </c>
      <c r="J39" s="58">
        <f>ROUND($H$39*$I$39,2)</f>
        <v>0</v>
      </c>
      <c r="K39" s="25"/>
      <c r="L39" s="25"/>
    </row>
    <row r="40" spans="1:12" ht="11.1" customHeight="1" outlineLevel="4" x14ac:dyDescent="0.2">
      <c r="A40" s="20"/>
      <c r="B40" s="14" t="s">
        <v>27</v>
      </c>
      <c r="C40" s="21"/>
      <c r="D40" s="21"/>
      <c r="E40" s="21"/>
      <c r="F40" s="21"/>
      <c r="G40" s="21"/>
      <c r="H40" s="21"/>
      <c r="I40" s="56"/>
      <c r="J40" s="57">
        <f>SUM($J$41:$J$42)</f>
        <v>0</v>
      </c>
      <c r="K40" s="18"/>
      <c r="L40" s="22"/>
    </row>
    <row r="41" spans="1:12" ht="23.1" customHeight="1" outlineLevel="4" x14ac:dyDescent="0.2">
      <c r="A41" s="23" t="s">
        <v>28</v>
      </c>
      <c r="B41" s="24" t="s">
        <v>60</v>
      </c>
      <c r="C41" s="25" t="s">
        <v>65</v>
      </c>
      <c r="D41" s="25" t="s">
        <v>66</v>
      </c>
      <c r="E41" s="26" t="s">
        <v>24</v>
      </c>
      <c r="F41" s="27"/>
      <c r="G41" s="28">
        <v>1</v>
      </c>
      <c r="H41" s="28">
        <f>SUM($G$41:$G$41)</f>
        <v>1</v>
      </c>
      <c r="I41" s="58">
        <f t="array" ref="I41">INDEX(М[Цена за ед., руб],MATCH(1,IF(($B41=М[Наим.])*($C41=М[Артикул, марка, произв.])*($D41=М[Хар-ка])*($K41=М[Прим.]),{1},($B41=М[Наим.])*($C41=М[Артикул, марка, произв.])*($D41=М[Хар-ка])*($K41=М[Прим.])),0))</f>
        <v>0</v>
      </c>
      <c r="J41" s="58">
        <f>ROUND($H$41*$I$41,2)</f>
        <v>0</v>
      </c>
      <c r="K41" s="25"/>
      <c r="L41" s="25">
        <f t="array" ref="L41">INDEX(М[Форма закупа],MATCH(1,IF(($B41=М[Наим.])*($C41=М[Артикул, марка, произв.])*($D41=М[Хар-ка])*($K41=М[Прим.]),{1},($B41=М[Наим.])*($C41=М[Артикул, марка, произв.])*($D41=М[Хар-ка])*($K41=М[Прим.])),0))</f>
        <v>0</v>
      </c>
    </row>
    <row r="42" spans="1:12" ht="23.1" customHeight="1" outlineLevel="4" x14ac:dyDescent="0.2">
      <c r="A42" s="23" t="s">
        <v>33</v>
      </c>
      <c r="B42" s="24" t="s">
        <v>60</v>
      </c>
      <c r="C42" s="25" t="s">
        <v>65</v>
      </c>
      <c r="D42" s="25" t="s">
        <v>67</v>
      </c>
      <c r="E42" s="26" t="s">
        <v>24</v>
      </c>
      <c r="F42" s="27"/>
      <c r="G42" s="28">
        <v>4</v>
      </c>
      <c r="H42" s="28">
        <f>SUM($G$42:$G$42)</f>
        <v>4</v>
      </c>
      <c r="I42" s="58">
        <f t="array" ref="I42">INDEX(М[Цена за ед., руб],MATCH(1,IF(($B42=М[Наим.])*($C42=М[Артикул, марка, произв.])*($D42=М[Хар-ка])*($K42=М[Прим.]),{1},($B42=М[Наим.])*($C42=М[Артикул, марка, произв.])*($D42=М[Хар-ка])*($K42=М[Прим.])),0))</f>
        <v>0</v>
      </c>
      <c r="J42" s="58">
        <f>ROUND($H$42*$I$42,2)</f>
        <v>0</v>
      </c>
      <c r="K42" s="25"/>
      <c r="L42" s="25">
        <f t="array" ref="L42">INDEX(М[Форма закупа],MATCH(1,IF(($B42=М[Наим.])*($C42=М[Артикул, марка, произв.])*($D42=М[Хар-ка])*($K42=М[Прим.]),{1},($B42=М[Наим.])*($C42=М[Артикул, марка, произв.])*($D42=М[Хар-ка])*($K42=М[Прим.])),0))</f>
        <v>0</v>
      </c>
    </row>
    <row r="43" spans="1:12" ht="11.1" customHeight="1" outlineLevel="4" x14ac:dyDescent="0.2">
      <c r="A43" s="20"/>
      <c r="B43" s="14" t="s">
        <v>22</v>
      </c>
      <c r="C43" s="21"/>
      <c r="D43" s="21"/>
      <c r="E43" s="21"/>
      <c r="F43" s="21"/>
      <c r="G43" s="21"/>
      <c r="H43" s="21"/>
      <c r="I43" s="56"/>
      <c r="J43" s="57">
        <f>SUM($J$44)</f>
        <v>0</v>
      </c>
      <c r="K43" s="18"/>
      <c r="L43" s="22"/>
    </row>
    <row r="44" spans="1:12" ht="11.1" customHeight="1" outlineLevel="4" x14ac:dyDescent="0.2">
      <c r="A44" s="23"/>
      <c r="B44" s="24" t="s">
        <v>68</v>
      </c>
      <c r="C44" s="25"/>
      <c r="D44" s="25"/>
      <c r="E44" s="26" t="s">
        <v>24</v>
      </c>
      <c r="F44" s="27"/>
      <c r="G44" s="28">
        <v>46</v>
      </c>
      <c r="H44" s="28">
        <f>SUM($G$44:$G$44)</f>
        <v>46</v>
      </c>
      <c r="I44" s="58">
        <f t="array" ref="I44">INDEX(Р[Цена за ед., руб],MATCH(1,IF(($B44=Р[Наименование])*($K44=Р[Примечание]),{1},($B44=Р[Наименование])*($K44=Р[Примечание])),0))</f>
        <v>0</v>
      </c>
      <c r="J44" s="58">
        <f>ROUND($H$44*$I$44,2)</f>
        <v>0</v>
      </c>
      <c r="K44" s="25"/>
      <c r="L44" s="25"/>
    </row>
    <row r="45" spans="1:12" ht="11.1" customHeight="1" outlineLevel="4" x14ac:dyDescent="0.2">
      <c r="A45" s="20"/>
      <c r="B45" s="14" t="s">
        <v>27</v>
      </c>
      <c r="C45" s="21"/>
      <c r="D45" s="21"/>
      <c r="E45" s="21"/>
      <c r="F45" s="21"/>
      <c r="G45" s="21"/>
      <c r="H45" s="21"/>
      <c r="I45" s="56"/>
      <c r="J45" s="57">
        <f>SUM($J$46)</f>
        <v>0</v>
      </c>
      <c r="K45" s="18"/>
      <c r="L45" s="22"/>
    </row>
    <row r="46" spans="1:12" ht="59.1" customHeight="1" outlineLevel="4" x14ac:dyDescent="0.2">
      <c r="A46" s="23" t="s">
        <v>28</v>
      </c>
      <c r="B46" s="24" t="s">
        <v>69</v>
      </c>
      <c r="C46" s="25"/>
      <c r="D46" s="25" t="s">
        <v>70</v>
      </c>
      <c r="E46" s="26" t="s">
        <v>24</v>
      </c>
      <c r="F46" s="27"/>
      <c r="G46" s="28">
        <v>46</v>
      </c>
      <c r="H46" s="28">
        <f>SUM($G$46:$G$46)</f>
        <v>46</v>
      </c>
      <c r="I46" s="58">
        <f t="array" ref="I46">INDEX(М[Цена за ед., руб],MATCH(1,IF(($B46=М[Наим.])*($C46=М[Артикул, марка, произв.])*($D46=М[Хар-ка])*($K46=М[Прим.]),{1},($B46=М[Наим.])*($C46=М[Артикул, марка, произв.])*($D46=М[Хар-ка])*($K46=М[Прим.])),0))</f>
        <v>0</v>
      </c>
      <c r="J46" s="58">
        <f>ROUND($H$46*$I$46,2)</f>
        <v>0</v>
      </c>
      <c r="K46" s="25" t="s">
        <v>71</v>
      </c>
      <c r="L46" s="25">
        <f t="array" ref="L46">INDEX(М[Форма закупа],MATCH(1,IF(($B46=М[Наим.])*($C46=М[Артикул, марка, произв.])*($D46=М[Хар-ка])*($K46=М[Прим.]),{1},($B46=М[Наим.])*($C46=М[Артикул, марка, произв.])*($D46=М[Хар-ка])*($K46=М[Прим.])),0))</f>
        <v>0</v>
      </c>
    </row>
    <row r="47" spans="1:12" ht="11.1" customHeight="1" outlineLevel="4" x14ac:dyDescent="0.2">
      <c r="A47" s="20"/>
      <c r="B47" s="14" t="s">
        <v>22</v>
      </c>
      <c r="C47" s="21"/>
      <c r="D47" s="21"/>
      <c r="E47" s="21"/>
      <c r="F47" s="21"/>
      <c r="G47" s="21"/>
      <c r="H47" s="21"/>
      <c r="I47" s="56"/>
      <c r="J47" s="57">
        <f>SUM($J$48)</f>
        <v>0</v>
      </c>
      <c r="K47" s="18"/>
      <c r="L47" s="22"/>
    </row>
    <row r="48" spans="1:12" ht="11.1" customHeight="1" outlineLevel="4" x14ac:dyDescent="0.2">
      <c r="A48" s="23"/>
      <c r="B48" s="24" t="s">
        <v>72</v>
      </c>
      <c r="C48" s="25"/>
      <c r="D48" s="25"/>
      <c r="E48" s="26" t="s">
        <v>24</v>
      </c>
      <c r="F48" s="27"/>
      <c r="G48" s="28">
        <v>368</v>
      </c>
      <c r="H48" s="28">
        <f>SUM($G$48:$G$48)</f>
        <v>368</v>
      </c>
      <c r="I48" s="58">
        <f t="array" ref="I48">INDEX(Р[Цена за ед., руб],MATCH(1,IF(($B48=Р[Наименование])*($K48=Р[Примечание]),{1},($B48=Р[Наименование])*($K48=Р[Примечание])),0))</f>
        <v>0</v>
      </c>
      <c r="J48" s="58">
        <f>ROUND($H$48*$I$48,2)</f>
        <v>0</v>
      </c>
      <c r="K48" s="25"/>
      <c r="L48" s="25"/>
    </row>
    <row r="49" spans="1:12" ht="11.1" customHeight="1" outlineLevel="4" x14ac:dyDescent="0.2">
      <c r="A49" s="20"/>
      <c r="B49" s="14" t="s">
        <v>27</v>
      </c>
      <c r="C49" s="21"/>
      <c r="D49" s="21"/>
      <c r="E49" s="21"/>
      <c r="F49" s="21"/>
      <c r="G49" s="21"/>
      <c r="H49" s="21"/>
      <c r="I49" s="56"/>
      <c r="J49" s="57">
        <f>SUM($J$50)</f>
        <v>0</v>
      </c>
      <c r="K49" s="18"/>
      <c r="L49" s="22"/>
    </row>
    <row r="50" spans="1:12" ht="61.5" customHeight="1" outlineLevel="4" x14ac:dyDescent="0.2">
      <c r="A50" s="23" t="s">
        <v>28</v>
      </c>
      <c r="B50" s="24" t="s">
        <v>73</v>
      </c>
      <c r="C50" s="75" t="s">
        <v>74</v>
      </c>
      <c r="D50" s="75" t="s">
        <v>209</v>
      </c>
      <c r="E50" s="26" t="s">
        <v>24</v>
      </c>
      <c r="F50" s="27"/>
      <c r="G50" s="28">
        <v>368</v>
      </c>
      <c r="H50" s="28">
        <f>SUM($G$50:$G$50)</f>
        <v>368</v>
      </c>
      <c r="I50" s="58">
        <f t="array" ref="I50">INDEX(М[Цена за ед., руб],MATCH(1,IF(($B50=М[Наим.])*($C50=М[Артикул, марка, произв.])*($D50=М[Хар-ка])*($K50=М[Прим.]),{1},($B50=М[Наим.])*($C50=М[Артикул, марка, произв.])*($D50=М[Хар-ка])*($K50=М[Прим.])),0))</f>
        <v>0</v>
      </c>
      <c r="J50" s="58">
        <f>ROUND($H$50*$I$50,2)</f>
        <v>0</v>
      </c>
      <c r="K50" s="25"/>
      <c r="L50" s="25">
        <f t="array" ref="L50">INDEX(М[Форма закупа],MATCH(1,IF(($B50=М[Наим.])*($C50=М[Артикул, марка, произв.])*($D50=М[Хар-ка])*($K50=М[Прим.]),{1},($B50=М[Наим.])*($C50=М[Артикул, марка, произв.])*($D50=М[Хар-ка])*($K50=М[Прим.])),0))</f>
        <v>0</v>
      </c>
    </row>
    <row r="51" spans="1:12" ht="11.1" customHeight="1" outlineLevel="4" x14ac:dyDescent="0.2">
      <c r="A51" s="20"/>
      <c r="B51" s="14" t="s">
        <v>22</v>
      </c>
      <c r="C51" s="21"/>
      <c r="D51" s="21"/>
      <c r="E51" s="21"/>
      <c r="F51" s="21"/>
      <c r="G51" s="21"/>
      <c r="H51" s="21"/>
      <c r="I51" s="56"/>
      <c r="J51" s="57">
        <f>SUM($J$52)</f>
        <v>0</v>
      </c>
      <c r="K51" s="18"/>
      <c r="L51" s="22"/>
    </row>
    <row r="52" spans="1:12" ht="23.1" customHeight="1" outlineLevel="4" x14ac:dyDescent="0.2">
      <c r="A52" s="23"/>
      <c r="B52" s="24" t="s">
        <v>75</v>
      </c>
      <c r="C52" s="25"/>
      <c r="D52" s="25"/>
      <c r="E52" s="26" t="s">
        <v>24</v>
      </c>
      <c r="F52" s="27"/>
      <c r="G52" s="28">
        <v>294</v>
      </c>
      <c r="H52" s="28">
        <f>SUM($G$52:$G$52)</f>
        <v>294</v>
      </c>
      <c r="I52" s="58">
        <f t="array" ref="I52">INDEX(Р[Цена за ед., руб],MATCH(1,IF(($B52=Р[Наименование])*($K52=Р[Примечание]),{1},($B52=Р[Наименование])*($K52=Р[Примечание])),0))</f>
        <v>0</v>
      </c>
      <c r="J52" s="58">
        <f>ROUND($H$52*$I$52,2)</f>
        <v>0</v>
      </c>
      <c r="K52" s="25"/>
      <c r="L52" s="25"/>
    </row>
    <row r="53" spans="1:12" ht="11.1" customHeight="1" outlineLevel="4" x14ac:dyDescent="0.2">
      <c r="A53" s="20"/>
      <c r="B53" s="14" t="s">
        <v>27</v>
      </c>
      <c r="C53" s="21"/>
      <c r="D53" s="21"/>
      <c r="E53" s="21"/>
      <c r="F53" s="21"/>
      <c r="G53" s="21"/>
      <c r="H53" s="21"/>
      <c r="I53" s="56"/>
      <c r="J53" s="57">
        <f>SUM($J$54:$J$61)</f>
        <v>0</v>
      </c>
      <c r="K53" s="18"/>
      <c r="L53" s="22"/>
    </row>
    <row r="54" spans="1:12" ht="35.1" customHeight="1" outlineLevel="4" x14ac:dyDescent="0.2">
      <c r="A54" s="23" t="s">
        <v>28</v>
      </c>
      <c r="B54" s="24" t="s">
        <v>73</v>
      </c>
      <c r="C54" s="25" t="s">
        <v>53</v>
      </c>
      <c r="D54" s="25" t="s">
        <v>76</v>
      </c>
      <c r="E54" s="26" t="s">
        <v>24</v>
      </c>
      <c r="F54" s="27"/>
      <c r="G54" s="28">
        <v>28</v>
      </c>
      <c r="H54" s="28">
        <f>SUM($G$54:$G$54)</f>
        <v>28</v>
      </c>
      <c r="I54" s="58">
        <f t="array" ref="I54">INDEX(М[Цена за ед., руб],MATCH(1,IF(($B54=М[Наим.])*($C54=М[Артикул, марка, произв.])*($D54=М[Хар-ка])*($K54=М[Прим.]),{1},($B54=М[Наим.])*($C54=М[Артикул, марка, произв.])*($D54=М[Хар-ка])*($K54=М[Прим.])),0))</f>
        <v>0</v>
      </c>
      <c r="J54" s="58">
        <f>ROUND($H$54*$I$54,2)</f>
        <v>0</v>
      </c>
      <c r="K54" s="25"/>
      <c r="L54" s="25">
        <f t="array" ref="L54">INDEX(М[Форма закупа],MATCH(1,IF(($B54=М[Наим.])*($C54=М[Артикул, марка, произв.])*($D54=М[Хар-ка])*($K54=М[Прим.]),{1},($B54=М[Наим.])*($C54=М[Артикул, марка, произв.])*($D54=М[Хар-ка])*($K54=М[Прим.])),0))</f>
        <v>0</v>
      </c>
    </row>
    <row r="55" spans="1:12" ht="35.1" customHeight="1" outlineLevel="4" x14ac:dyDescent="0.2">
      <c r="A55" s="23" t="s">
        <v>33</v>
      </c>
      <c r="B55" s="24" t="s">
        <v>73</v>
      </c>
      <c r="C55" s="25" t="s">
        <v>53</v>
      </c>
      <c r="D55" s="25" t="s">
        <v>77</v>
      </c>
      <c r="E55" s="26" t="s">
        <v>24</v>
      </c>
      <c r="F55" s="27"/>
      <c r="G55" s="28">
        <v>10</v>
      </c>
      <c r="H55" s="28">
        <f>SUM($G$55:$G$55)</f>
        <v>10</v>
      </c>
      <c r="I55" s="58">
        <f t="array" ref="I55">INDEX(М[Цена за ед., руб],MATCH(1,IF(($B55=М[Наим.])*($C55=М[Артикул, марка, произв.])*($D55=М[Хар-ка])*($K55=М[Прим.]),{1},($B55=М[Наим.])*($C55=М[Артикул, марка, произв.])*($D55=М[Хар-ка])*($K55=М[Прим.])),0))</f>
        <v>0</v>
      </c>
      <c r="J55" s="58">
        <f>ROUND($H$55*$I$55,2)</f>
        <v>0</v>
      </c>
      <c r="K55" s="25"/>
      <c r="L55" s="25">
        <f t="array" ref="L55">INDEX(М[Форма закупа],MATCH(1,IF(($B55=М[Наим.])*($C55=М[Артикул, марка, произв.])*($D55=М[Хар-ка])*($K55=М[Прим.]),{1},($B55=М[Наим.])*($C55=М[Артикул, марка, произв.])*($D55=М[Хар-ка])*($K55=М[Прим.])),0))</f>
        <v>0</v>
      </c>
    </row>
    <row r="56" spans="1:12" ht="35.1" customHeight="1" outlineLevel="4" x14ac:dyDescent="0.2">
      <c r="A56" s="23" t="s">
        <v>35</v>
      </c>
      <c r="B56" s="24" t="s">
        <v>73</v>
      </c>
      <c r="C56" s="25" t="s">
        <v>53</v>
      </c>
      <c r="D56" s="25" t="s">
        <v>78</v>
      </c>
      <c r="E56" s="26" t="s">
        <v>24</v>
      </c>
      <c r="F56" s="27"/>
      <c r="G56" s="28">
        <v>1</v>
      </c>
      <c r="H56" s="28">
        <f>SUM($G$56:$G$56)</f>
        <v>1</v>
      </c>
      <c r="I56" s="58">
        <f t="array" ref="I56">INDEX(М[Цена за ед., руб],MATCH(1,IF(($B56=М[Наим.])*($C56=М[Артикул, марка, произв.])*($D56=М[Хар-ка])*($K56=М[Прим.]),{1},($B56=М[Наим.])*($C56=М[Артикул, марка, произв.])*($D56=М[Хар-ка])*($K56=М[Прим.])),0))</f>
        <v>0</v>
      </c>
      <c r="J56" s="58">
        <f>ROUND($H$56*$I$56,2)</f>
        <v>0</v>
      </c>
      <c r="K56" s="25"/>
      <c r="L56" s="25">
        <f t="array" ref="L56">INDEX(М[Форма закупа],MATCH(1,IF(($B56=М[Наим.])*($C56=М[Артикул, марка, произв.])*($D56=М[Хар-ка])*($K56=М[Прим.]),{1},($B56=М[Наим.])*($C56=М[Артикул, марка, произв.])*($D56=М[Хар-ка])*($K56=М[Прим.])),0))</f>
        <v>0</v>
      </c>
    </row>
    <row r="57" spans="1:12" ht="23.1" customHeight="1" outlineLevel="4" x14ac:dyDescent="0.2">
      <c r="A57" s="23" t="s">
        <v>37</v>
      </c>
      <c r="B57" s="24" t="s">
        <v>73</v>
      </c>
      <c r="C57" s="25" t="s">
        <v>53</v>
      </c>
      <c r="D57" s="25" t="s">
        <v>79</v>
      </c>
      <c r="E57" s="26" t="s">
        <v>24</v>
      </c>
      <c r="F57" s="27"/>
      <c r="G57" s="28">
        <v>2</v>
      </c>
      <c r="H57" s="28">
        <f>SUM($G$57:$G$57)</f>
        <v>2</v>
      </c>
      <c r="I57" s="58">
        <f t="array" ref="I57">INDEX(М[Цена за ед., руб],MATCH(1,IF(($B57=М[Наим.])*($C57=М[Артикул, марка, произв.])*($D57=М[Хар-ка])*($K57=М[Прим.]),{1},($B57=М[Наим.])*($C57=М[Артикул, марка, произв.])*($D57=М[Хар-ка])*($K57=М[Прим.])),0))</f>
        <v>0</v>
      </c>
      <c r="J57" s="58">
        <f>ROUND($H$57*$I$57,2)</f>
        <v>0</v>
      </c>
      <c r="K57" s="25"/>
      <c r="L57" s="25">
        <f t="array" ref="L57">INDEX(М[Форма закупа],MATCH(1,IF(($B57=М[Наим.])*($C57=М[Артикул, марка, произв.])*($D57=М[Хар-ка])*($K57=М[Прим.]),{1},($B57=М[Наим.])*($C57=М[Артикул, марка, произв.])*($D57=М[Хар-ка])*($K57=М[Прим.])),0))</f>
        <v>0</v>
      </c>
    </row>
    <row r="58" spans="1:12" ht="23.1" customHeight="1" outlineLevel="4" x14ac:dyDescent="0.2">
      <c r="A58" s="23" t="s">
        <v>39</v>
      </c>
      <c r="B58" s="24" t="s">
        <v>73</v>
      </c>
      <c r="C58" s="25" t="s">
        <v>53</v>
      </c>
      <c r="D58" s="25" t="s">
        <v>80</v>
      </c>
      <c r="E58" s="26" t="s">
        <v>24</v>
      </c>
      <c r="F58" s="27"/>
      <c r="G58" s="28">
        <v>56</v>
      </c>
      <c r="H58" s="28">
        <f>SUM($G$58:$G$58)</f>
        <v>56</v>
      </c>
      <c r="I58" s="58">
        <f t="array" ref="I58">INDEX(М[Цена за ед., руб],MATCH(1,IF(($B58=М[Наим.])*($C58=М[Артикул, марка, произв.])*($D58=М[Хар-ка])*($K58=М[Прим.]),{1},($B58=М[Наим.])*($C58=М[Артикул, марка, произв.])*($D58=М[Хар-ка])*($K58=М[Прим.])),0))</f>
        <v>0</v>
      </c>
      <c r="J58" s="58">
        <f>ROUND($H$58*$I$58,2)</f>
        <v>0</v>
      </c>
      <c r="K58" s="25"/>
      <c r="L58" s="25">
        <f t="array" ref="L58">INDEX(М[Форма закупа],MATCH(1,IF(($B58=М[Наим.])*($C58=М[Артикул, марка, произв.])*($D58=М[Хар-ка])*($K58=М[Прим.]),{1},($B58=М[Наим.])*($C58=М[Артикул, марка, произв.])*($D58=М[Хар-ка])*($K58=М[Прим.])),0))</f>
        <v>0</v>
      </c>
    </row>
    <row r="59" spans="1:12" ht="23.1" customHeight="1" outlineLevel="4" x14ac:dyDescent="0.2">
      <c r="A59" s="23" t="s">
        <v>41</v>
      </c>
      <c r="B59" s="24" t="s">
        <v>73</v>
      </c>
      <c r="C59" s="25" t="s">
        <v>53</v>
      </c>
      <c r="D59" s="25" t="s">
        <v>81</v>
      </c>
      <c r="E59" s="26" t="s">
        <v>24</v>
      </c>
      <c r="F59" s="27"/>
      <c r="G59" s="28">
        <v>10</v>
      </c>
      <c r="H59" s="28">
        <f>SUM($G$59:$G$59)</f>
        <v>10</v>
      </c>
      <c r="I59" s="58">
        <f t="array" ref="I59">INDEX(М[Цена за ед., руб],MATCH(1,IF(($B59=М[Наим.])*($C59=М[Артикул, марка, произв.])*($D59=М[Хар-ка])*($K59=М[Прим.]),{1},($B59=М[Наим.])*($C59=М[Артикул, марка, произв.])*($D59=М[Хар-ка])*($K59=М[Прим.])),0))</f>
        <v>0</v>
      </c>
      <c r="J59" s="58">
        <f>ROUND($H$59*$I$59,2)</f>
        <v>0</v>
      </c>
      <c r="K59" s="25"/>
      <c r="L59" s="25">
        <f t="array" ref="L59">INDEX(М[Форма закупа],MATCH(1,IF(($B59=М[Наим.])*($C59=М[Артикул, марка, произв.])*($D59=М[Хар-ка])*($K59=М[Прим.]),{1},($B59=М[Наим.])*($C59=М[Артикул, марка, произв.])*($D59=М[Хар-ка])*($K59=М[Прим.])),0))</f>
        <v>0</v>
      </c>
    </row>
    <row r="60" spans="1:12" ht="23.1" customHeight="1" outlineLevel="4" x14ac:dyDescent="0.2">
      <c r="A60" s="23" t="s">
        <v>43</v>
      </c>
      <c r="B60" s="24" t="s">
        <v>73</v>
      </c>
      <c r="C60" s="25" t="s">
        <v>53</v>
      </c>
      <c r="D60" s="25" t="s">
        <v>81</v>
      </c>
      <c r="E60" s="26" t="s">
        <v>24</v>
      </c>
      <c r="F60" s="27"/>
      <c r="G60" s="28">
        <v>184</v>
      </c>
      <c r="H60" s="28">
        <f>SUM($G$60:$G$60)</f>
        <v>184</v>
      </c>
      <c r="I60" s="58">
        <f t="array" ref="I60">INDEX(М[Цена за ед., руб],MATCH(1,IF(($B60=М[Наим.])*($C60=М[Артикул, марка, произв.])*($D60=М[Хар-ка])*($K60=М[Прим.]),{1},($B60=М[Наим.])*($C60=М[Артикул, марка, произв.])*($D60=М[Хар-ка])*($K60=М[Прим.])),0))</f>
        <v>0</v>
      </c>
      <c r="J60" s="58">
        <f>ROUND($H$60*$I$60,2)</f>
        <v>0</v>
      </c>
      <c r="K60" s="25" t="s">
        <v>82</v>
      </c>
      <c r="L60" s="25">
        <f t="array" ref="L60">INDEX(М[Форма закупа],MATCH(1,IF(($B60=М[Наим.])*($C60=М[Артикул, марка, произв.])*($D60=М[Хар-ка])*($K60=М[Прим.]),{1},($B60=М[Наим.])*($C60=М[Артикул, марка, произв.])*($D60=М[Хар-ка])*($K60=М[Прим.])),0))</f>
        <v>0</v>
      </c>
    </row>
    <row r="61" spans="1:12" ht="35.1" customHeight="1" outlineLevel="4" x14ac:dyDescent="0.2">
      <c r="A61" s="23" t="s">
        <v>45</v>
      </c>
      <c r="B61" s="24" t="s">
        <v>83</v>
      </c>
      <c r="C61" s="25"/>
      <c r="D61" s="25" t="s">
        <v>84</v>
      </c>
      <c r="E61" s="26" t="s">
        <v>24</v>
      </c>
      <c r="F61" s="27"/>
      <c r="G61" s="28">
        <v>3</v>
      </c>
      <c r="H61" s="28">
        <f>SUM($G$61:$G$61)</f>
        <v>3</v>
      </c>
      <c r="I61" s="58">
        <f t="array" ref="I61">INDEX(М[Цена за ед., руб],MATCH(1,IF(($B61=М[Наим.])*($C61=М[Артикул, марка, произв.])*($D61=М[Хар-ка])*($K61=М[Прим.]),{1},($B61=М[Наим.])*($C61=М[Артикул, марка, произв.])*($D61=М[Хар-ка])*($K61=М[Прим.])),0))</f>
        <v>0</v>
      </c>
      <c r="J61" s="58">
        <f>ROUND($H$61*$I$61,2)</f>
        <v>0</v>
      </c>
      <c r="K61" s="25"/>
      <c r="L61" s="25">
        <f t="array" ref="L61">INDEX(М[Форма закупа],MATCH(1,IF(($B61=М[Наим.])*($C61=М[Артикул, марка, произв.])*($D61=М[Хар-ка])*($K61=М[Прим.]),{1},($B61=М[Наим.])*($C61=М[Артикул, марка, произв.])*($D61=М[Хар-ка])*($K61=М[Прим.])),0))</f>
        <v>0</v>
      </c>
    </row>
    <row r="62" spans="1:12" ht="11.1" customHeight="1" outlineLevel="4" x14ac:dyDescent="0.2">
      <c r="A62" s="20"/>
      <c r="B62" s="14" t="s">
        <v>22</v>
      </c>
      <c r="C62" s="21"/>
      <c r="D62" s="21"/>
      <c r="E62" s="21"/>
      <c r="F62" s="21"/>
      <c r="G62" s="21"/>
      <c r="H62" s="21"/>
      <c r="I62" s="56"/>
      <c r="J62" s="57">
        <f>SUM($J$63)</f>
        <v>0</v>
      </c>
      <c r="K62" s="18"/>
      <c r="L62" s="22"/>
    </row>
    <row r="63" spans="1:12" ht="23.1" customHeight="1" outlineLevel="4" x14ac:dyDescent="0.2">
      <c r="A63" s="23"/>
      <c r="B63" s="24" t="s">
        <v>85</v>
      </c>
      <c r="C63" s="25"/>
      <c r="D63" s="25"/>
      <c r="E63" s="26" t="s">
        <v>24</v>
      </c>
      <c r="F63" s="27"/>
      <c r="G63" s="28">
        <v>32</v>
      </c>
      <c r="H63" s="28">
        <f>SUM($G$63:$G$63)</f>
        <v>32</v>
      </c>
      <c r="I63" s="58">
        <f t="array" ref="I63">INDEX(Р[Цена за ед., руб],MATCH(1,IF(($B63=Р[Наименование])*($K63=Р[Примечание]),{1},($B63=Р[Наименование])*($K63=Р[Примечание])),0))</f>
        <v>0</v>
      </c>
      <c r="J63" s="58">
        <f>ROUND($H$63*$I$63,2)</f>
        <v>0</v>
      </c>
      <c r="K63" s="25"/>
      <c r="L63" s="25"/>
    </row>
    <row r="64" spans="1:12" ht="11.1" customHeight="1" outlineLevel="4" x14ac:dyDescent="0.2">
      <c r="A64" s="20"/>
      <c r="B64" s="14" t="s">
        <v>27</v>
      </c>
      <c r="C64" s="21"/>
      <c r="D64" s="21"/>
      <c r="E64" s="21"/>
      <c r="F64" s="21"/>
      <c r="G64" s="21"/>
      <c r="H64" s="21"/>
      <c r="I64" s="56"/>
      <c r="J64" s="57">
        <f>SUM($J$65:$J$69)</f>
        <v>0</v>
      </c>
      <c r="K64" s="18"/>
      <c r="L64" s="22"/>
    </row>
    <row r="65" spans="1:12" ht="35.1" customHeight="1" outlineLevel="4" x14ac:dyDescent="0.2">
      <c r="A65" s="23" t="s">
        <v>28</v>
      </c>
      <c r="B65" s="24" t="s">
        <v>73</v>
      </c>
      <c r="C65" s="25" t="s">
        <v>53</v>
      </c>
      <c r="D65" s="25" t="s">
        <v>86</v>
      </c>
      <c r="E65" s="26" t="s">
        <v>24</v>
      </c>
      <c r="F65" s="27"/>
      <c r="G65" s="28">
        <v>8</v>
      </c>
      <c r="H65" s="28">
        <f>SUM($G$65:$G$65)</f>
        <v>8</v>
      </c>
      <c r="I65" s="58">
        <f t="array" ref="I65">INDEX(М[Цена за ед., руб],MATCH(1,IF(($B65=М[Наим.])*($C65=М[Артикул, марка, произв.])*($D65=М[Хар-ка])*($K65=М[Прим.]),{1},($B65=М[Наим.])*($C65=М[Артикул, марка, произв.])*($D65=М[Хар-ка])*($K65=М[Прим.])),0))</f>
        <v>0</v>
      </c>
      <c r="J65" s="58">
        <f>ROUND($H$65*$I$65,2)</f>
        <v>0</v>
      </c>
      <c r="K65" s="25"/>
      <c r="L65" s="25">
        <f t="array" ref="L65">INDEX(М[Форма закупа],MATCH(1,IF(($B65=М[Наим.])*($C65=М[Артикул, марка, произв.])*($D65=М[Хар-ка])*($K65=М[Прим.]),{1},($B65=М[Наим.])*($C65=М[Артикул, марка, произв.])*($D65=М[Хар-ка])*($K65=М[Прим.])),0))</f>
        <v>0</v>
      </c>
    </row>
    <row r="66" spans="1:12" ht="35.1" customHeight="1" outlineLevel="4" x14ac:dyDescent="0.2">
      <c r="A66" s="23" t="s">
        <v>33</v>
      </c>
      <c r="B66" s="24" t="s">
        <v>73</v>
      </c>
      <c r="C66" s="25" t="s">
        <v>87</v>
      </c>
      <c r="D66" s="25" t="s">
        <v>88</v>
      </c>
      <c r="E66" s="26" t="s">
        <v>24</v>
      </c>
      <c r="F66" s="27"/>
      <c r="G66" s="28">
        <v>1</v>
      </c>
      <c r="H66" s="28">
        <f>SUM($G$66:$G$66)</f>
        <v>1</v>
      </c>
      <c r="I66" s="58">
        <f t="array" ref="I66">INDEX(М[Цена за ед., руб],MATCH(1,IF(($B66=М[Наим.])*($C66=М[Артикул, марка, произв.])*($D66=М[Хар-ка])*($K66=М[Прим.]),{1},($B66=М[Наим.])*($C66=М[Артикул, марка, произв.])*($D66=М[Хар-ка])*($K66=М[Прим.])),0))</f>
        <v>0</v>
      </c>
      <c r="J66" s="58">
        <f>ROUND($H$66*$I$66,2)</f>
        <v>0</v>
      </c>
      <c r="K66" s="25"/>
      <c r="L66" s="25">
        <f t="array" ref="L66">INDEX(М[Форма закупа],MATCH(1,IF(($B66=М[Наим.])*($C66=М[Артикул, марка, произв.])*($D66=М[Хар-ка])*($K66=М[Прим.]),{1},($B66=М[Наим.])*($C66=М[Артикул, марка, произв.])*($D66=М[Хар-ка])*($K66=М[Прим.])),0))</f>
        <v>0</v>
      </c>
    </row>
    <row r="67" spans="1:12" ht="11.1" customHeight="1" outlineLevel="4" x14ac:dyDescent="0.2">
      <c r="A67" s="23" t="s">
        <v>35</v>
      </c>
      <c r="B67" s="24" t="s">
        <v>73</v>
      </c>
      <c r="C67" s="25" t="s">
        <v>87</v>
      </c>
      <c r="D67" s="25" t="s">
        <v>89</v>
      </c>
      <c r="E67" s="26" t="s">
        <v>24</v>
      </c>
      <c r="F67" s="27"/>
      <c r="G67" s="28">
        <v>5</v>
      </c>
      <c r="H67" s="28">
        <f>SUM($G$67:$G$67)</f>
        <v>5</v>
      </c>
      <c r="I67" s="58">
        <f t="array" ref="I67">INDEX(М[Цена за ед., руб],MATCH(1,IF(($B67=М[Наим.])*($C67=М[Артикул, марка, произв.])*($D67=М[Хар-ка])*($K67=М[Прим.]),{1},($B67=М[Наим.])*($C67=М[Артикул, марка, произв.])*($D67=М[Хар-ка])*($K67=М[Прим.])),0))</f>
        <v>0</v>
      </c>
      <c r="J67" s="58">
        <f>ROUND($H$67*$I$67,2)</f>
        <v>0</v>
      </c>
      <c r="K67" s="25"/>
      <c r="L67" s="25">
        <f t="array" ref="L67">INDEX(М[Форма закупа],MATCH(1,IF(($B67=М[Наим.])*($C67=М[Артикул, марка, произв.])*($D67=М[Хар-ка])*($K67=М[Прим.]),{1},($B67=М[Наим.])*($C67=М[Артикул, марка, произв.])*($D67=М[Хар-ка])*($K67=М[Прим.])),0))</f>
        <v>0</v>
      </c>
    </row>
    <row r="68" spans="1:12" ht="23.1" customHeight="1" outlineLevel="4" x14ac:dyDescent="0.2">
      <c r="A68" s="23" t="s">
        <v>37</v>
      </c>
      <c r="B68" s="24" t="s">
        <v>73</v>
      </c>
      <c r="C68" s="25" t="s">
        <v>53</v>
      </c>
      <c r="D68" s="25" t="s">
        <v>90</v>
      </c>
      <c r="E68" s="26" t="s">
        <v>24</v>
      </c>
      <c r="F68" s="27"/>
      <c r="G68" s="28">
        <v>4</v>
      </c>
      <c r="H68" s="28">
        <f>SUM($G$68:$G$68)</f>
        <v>4</v>
      </c>
      <c r="I68" s="58">
        <f t="array" ref="I68">INDEX(М[Цена за ед., руб],MATCH(1,IF(($B68=М[Наим.])*($C68=М[Артикул, марка, произв.])*($D68=М[Хар-ка])*($K68=М[Прим.]),{1},($B68=М[Наим.])*($C68=М[Артикул, марка, произв.])*($D68=М[Хар-ка])*($K68=М[Прим.])),0))</f>
        <v>0</v>
      </c>
      <c r="J68" s="58">
        <f>ROUND($H$68*$I$68,2)</f>
        <v>0</v>
      </c>
      <c r="K68" s="25"/>
      <c r="L68" s="25">
        <f t="array" ref="L68">INDEX(М[Форма закупа],MATCH(1,IF(($B68=М[Наим.])*($C68=М[Артикул, марка, произв.])*($D68=М[Хар-ка])*($K68=М[Прим.]),{1},($B68=М[Наим.])*($C68=М[Артикул, марка, произв.])*($D68=М[Хар-ка])*($K68=М[Прим.])),0))</f>
        <v>0</v>
      </c>
    </row>
    <row r="69" spans="1:12" ht="11.1" customHeight="1" outlineLevel="4" x14ac:dyDescent="0.2">
      <c r="A69" s="23" t="s">
        <v>39</v>
      </c>
      <c r="B69" s="24" t="s">
        <v>73</v>
      </c>
      <c r="C69" s="25" t="s">
        <v>87</v>
      </c>
      <c r="D69" s="25" t="s">
        <v>91</v>
      </c>
      <c r="E69" s="26" t="s">
        <v>24</v>
      </c>
      <c r="F69" s="27"/>
      <c r="G69" s="28">
        <v>14</v>
      </c>
      <c r="H69" s="28">
        <f>SUM($G$69:$G$69)</f>
        <v>14</v>
      </c>
      <c r="I69" s="58">
        <f t="array" ref="I69">INDEX(М[Цена за ед., руб],MATCH(1,IF(($B69=М[Наим.])*($C69=М[Артикул, марка, произв.])*($D69=М[Хар-ка])*($K69=М[Прим.]),{1},($B69=М[Наим.])*($C69=М[Артикул, марка, произв.])*($D69=М[Хар-ка])*($K69=М[Прим.])),0))</f>
        <v>0</v>
      </c>
      <c r="J69" s="58">
        <f>ROUND($H$69*$I$69,2)</f>
        <v>0</v>
      </c>
      <c r="K69" s="25"/>
      <c r="L69" s="25">
        <f t="array" ref="L69">INDEX(М[Форма закупа],MATCH(1,IF(($B69=М[Наим.])*($C69=М[Артикул, марка, произв.])*($D69=М[Хар-ка])*($K69=М[Прим.]),{1},($B69=М[Наим.])*($C69=М[Артикул, марка, произв.])*($D69=М[Хар-ка])*($K69=М[Прим.])),0))</f>
        <v>0</v>
      </c>
    </row>
    <row r="70" spans="1:12" ht="11.1" customHeight="1" outlineLevel="4" x14ac:dyDescent="0.2">
      <c r="A70" s="20"/>
      <c r="B70" s="14" t="s">
        <v>22</v>
      </c>
      <c r="C70" s="21"/>
      <c r="D70" s="21"/>
      <c r="E70" s="21"/>
      <c r="F70" s="21"/>
      <c r="G70" s="21"/>
      <c r="H70" s="21"/>
      <c r="I70" s="56"/>
      <c r="J70" s="57">
        <f>SUM($J$71)</f>
        <v>0</v>
      </c>
      <c r="K70" s="18"/>
      <c r="L70" s="22"/>
    </row>
    <row r="71" spans="1:12" ht="23.1" customHeight="1" outlineLevel="4" x14ac:dyDescent="0.2">
      <c r="A71" s="23"/>
      <c r="B71" s="24" t="s">
        <v>92</v>
      </c>
      <c r="C71" s="25"/>
      <c r="D71" s="25"/>
      <c r="E71" s="26" t="s">
        <v>24</v>
      </c>
      <c r="F71" s="27"/>
      <c r="G71" s="28">
        <v>2</v>
      </c>
      <c r="H71" s="28">
        <f>SUM($G$71:$G$71)</f>
        <v>2</v>
      </c>
      <c r="I71" s="58">
        <f t="array" ref="I71">INDEX(Р[Цена за ед., руб],MATCH(1,IF(($B71=Р[Наименование])*($K71=Р[Примечание]),{1},($B71=Р[Наименование])*($K71=Р[Примечание])),0))</f>
        <v>0</v>
      </c>
      <c r="J71" s="58">
        <f>ROUND($H$71*$I$71,2)</f>
        <v>0</v>
      </c>
      <c r="K71" s="25"/>
      <c r="L71" s="25"/>
    </row>
    <row r="72" spans="1:12" ht="11.1" customHeight="1" outlineLevel="4" x14ac:dyDescent="0.2">
      <c r="A72" s="20"/>
      <c r="B72" s="14" t="s">
        <v>27</v>
      </c>
      <c r="C72" s="21"/>
      <c r="D72" s="21"/>
      <c r="E72" s="21"/>
      <c r="F72" s="21"/>
      <c r="G72" s="21"/>
      <c r="H72" s="21"/>
      <c r="I72" s="56"/>
      <c r="J72" s="57">
        <f>SUM($J$73:$J$74)</f>
        <v>0</v>
      </c>
      <c r="K72" s="18"/>
      <c r="L72" s="22"/>
    </row>
    <row r="73" spans="1:12" ht="35.1" customHeight="1" outlineLevel="4" x14ac:dyDescent="0.2">
      <c r="A73" s="23" t="s">
        <v>28</v>
      </c>
      <c r="B73" s="24" t="s">
        <v>93</v>
      </c>
      <c r="C73" s="25" t="s">
        <v>94</v>
      </c>
      <c r="D73" s="25" t="s">
        <v>95</v>
      </c>
      <c r="E73" s="26" t="s">
        <v>24</v>
      </c>
      <c r="F73" s="30">
        <v>1</v>
      </c>
      <c r="G73" s="28">
        <v>1</v>
      </c>
      <c r="H73" s="28">
        <f>SUM($G$73:$G$73)</f>
        <v>1</v>
      </c>
      <c r="I73" s="58">
        <f t="array" ref="I73">INDEX(М[Цена за ед., руб],MATCH(1,IF(($B73=М[Наим.])*($C73=М[Артикул, марка, произв.])*($D73=М[Хар-ка])*($K73=М[Прим.]),{1},($B73=М[Наим.])*($C73=М[Артикул, марка, произв.])*($D73=М[Хар-ка])*($K73=М[Прим.])),0))</f>
        <v>0</v>
      </c>
      <c r="J73" s="58">
        <f>ROUND($H$73*$I$73,2)</f>
        <v>0</v>
      </c>
      <c r="K73" s="25" t="s">
        <v>96</v>
      </c>
      <c r="L73" s="25">
        <f t="array" ref="L73">INDEX(М[Форма закупа],MATCH(1,IF(($B73=М[Наим.])*($C73=М[Артикул, марка, произв.])*($D73=М[Хар-ка])*($K73=М[Прим.]),{1},($B73=М[Наим.])*($C73=М[Артикул, марка, произв.])*($D73=М[Хар-ка])*($K73=М[Прим.])),0))</f>
        <v>0</v>
      </c>
    </row>
    <row r="74" spans="1:12" ht="35.1" customHeight="1" outlineLevel="4" x14ac:dyDescent="0.2">
      <c r="A74" s="23" t="s">
        <v>33</v>
      </c>
      <c r="B74" s="24" t="s">
        <v>93</v>
      </c>
      <c r="C74" s="25" t="s">
        <v>94</v>
      </c>
      <c r="D74" s="25" t="s">
        <v>97</v>
      </c>
      <c r="E74" s="26" t="s">
        <v>24</v>
      </c>
      <c r="F74" s="27"/>
      <c r="G74" s="28">
        <v>1</v>
      </c>
      <c r="H74" s="28">
        <f>SUM($G$74:$G$74)</f>
        <v>1</v>
      </c>
      <c r="I74" s="58">
        <f t="array" ref="I74">INDEX(М[Цена за ед., руб],MATCH(1,IF(($B74=М[Наим.])*($C74=М[Артикул, марка, произв.])*($D74=М[Хар-ка])*($K74=М[Прим.]),{1},($B74=М[Наим.])*($C74=М[Артикул, марка, произв.])*($D74=М[Хар-ка])*($K74=М[Прим.])),0))</f>
        <v>0</v>
      </c>
      <c r="J74" s="58">
        <f>ROUND($H$74*$I$74,2)</f>
        <v>0</v>
      </c>
      <c r="K74" s="25" t="s">
        <v>98</v>
      </c>
      <c r="L74" s="25">
        <f t="array" ref="L74">INDEX(М[Форма закупа],MATCH(1,IF(($B74=М[Наим.])*($C74=М[Артикул, марка, произв.])*($D74=М[Хар-ка])*($K74=М[Прим.]),{1},($B74=М[Наим.])*($C74=М[Артикул, марка, произв.])*($D74=М[Хар-ка])*($K74=М[Прим.])),0))</f>
        <v>0</v>
      </c>
    </row>
    <row r="75" spans="1:12" s="83" customFormat="1" ht="11.1" customHeight="1" outlineLevel="4" x14ac:dyDescent="0.2">
      <c r="A75" s="76"/>
      <c r="B75" s="77" t="s">
        <v>22</v>
      </c>
      <c r="C75" s="78"/>
      <c r="D75" s="78"/>
      <c r="E75" s="78"/>
      <c r="F75" s="78"/>
      <c r="G75" s="78"/>
      <c r="H75" s="78"/>
      <c r="I75" s="79"/>
      <c r="J75" s="80">
        <f>SUM($J$76)</f>
        <v>0</v>
      </c>
      <c r="K75" s="81"/>
      <c r="L75" s="82"/>
    </row>
    <row r="76" spans="1:12" s="83" customFormat="1" ht="11.1" customHeight="1" outlineLevel="4" x14ac:dyDescent="0.2">
      <c r="A76" s="84"/>
      <c r="B76" s="85" t="s">
        <v>99</v>
      </c>
      <c r="C76" s="74"/>
      <c r="D76" s="74"/>
      <c r="E76" s="86" t="s">
        <v>24</v>
      </c>
      <c r="F76" s="87"/>
      <c r="G76" s="88">
        <v>2</v>
      </c>
      <c r="H76" s="88">
        <f>SUM($G$76:$G$76)</f>
        <v>2</v>
      </c>
      <c r="I76" s="89">
        <f t="array" ref="I76">INDEX(Р[Цена за ед., руб],MATCH(1,IF(($B76=Р[Наименование])*($K76=Р[Примечание]),{1},($B76=Р[Наименование])*($K76=Р[Примечание])),0))</f>
        <v>0</v>
      </c>
      <c r="J76" s="89">
        <f>ROUND($H$76*$I$76,2)</f>
        <v>0</v>
      </c>
      <c r="K76" s="74"/>
      <c r="L76" s="74"/>
    </row>
    <row r="77" spans="1:12" s="83" customFormat="1" ht="11.1" customHeight="1" outlineLevel="4" x14ac:dyDescent="0.2">
      <c r="A77" s="76"/>
      <c r="B77" s="77" t="s">
        <v>27</v>
      </c>
      <c r="C77" s="78"/>
      <c r="D77" s="78"/>
      <c r="E77" s="78"/>
      <c r="F77" s="78"/>
      <c r="G77" s="78"/>
      <c r="H77" s="78"/>
      <c r="I77" s="79"/>
      <c r="J77" s="80">
        <f>SUM($J$78)</f>
        <v>0</v>
      </c>
      <c r="K77" s="81"/>
      <c r="L77" s="82"/>
    </row>
    <row r="78" spans="1:12" s="83" customFormat="1" ht="23.1" customHeight="1" outlineLevel="4" x14ac:dyDescent="0.2">
      <c r="A78" s="84" t="s">
        <v>28</v>
      </c>
      <c r="B78" s="85" t="s">
        <v>100</v>
      </c>
      <c r="C78" s="74"/>
      <c r="D78" s="74" t="s">
        <v>101</v>
      </c>
      <c r="E78" s="86" t="s">
        <v>24</v>
      </c>
      <c r="F78" s="87"/>
      <c r="G78" s="88">
        <v>2</v>
      </c>
      <c r="H78" s="88">
        <f>SUM($G$78:$G$78)</f>
        <v>2</v>
      </c>
      <c r="I78" s="89">
        <f t="array" ref="I78">INDEX(М[Цена за ед., руб],MATCH(1,IF(($B78=М[Наим.])*($C78=М[Артикул, марка, произв.])*($D78=М[Хар-ка])*($K78=М[Прим.]),{1},($B78=М[Наим.])*($C78=М[Артикул, марка, произв.])*($D78=М[Хар-ка])*($K78=М[Прим.])),0))</f>
        <v>0</v>
      </c>
      <c r="J78" s="89">
        <f>ROUND($H$78*$I$78,2)</f>
        <v>0</v>
      </c>
      <c r="K78" s="74"/>
      <c r="L78" s="74">
        <f t="array" ref="L78">INDEX(М[Форма закупа],MATCH(1,IF(($B78=М[Наим.])*($C78=М[Артикул, марка, произв.])*($D78=М[Хар-ка])*($K78=М[Прим.]),{1},($B78=М[Наим.])*($C78=М[Артикул, марка, произв.])*($D78=М[Хар-ка])*($K78=М[Прим.])),0))</f>
        <v>0</v>
      </c>
    </row>
    <row r="79" spans="1:12" ht="11.1" customHeight="1" outlineLevel="4" x14ac:dyDescent="0.2">
      <c r="A79" s="20"/>
      <c r="B79" s="14" t="s">
        <v>22</v>
      </c>
      <c r="C79" s="21"/>
      <c r="D79" s="21"/>
      <c r="E79" s="21"/>
      <c r="F79" s="21"/>
      <c r="G79" s="21"/>
      <c r="H79" s="21"/>
      <c r="I79" s="56"/>
      <c r="J79" s="57">
        <f>SUM($J$80)</f>
        <v>0</v>
      </c>
      <c r="K79" s="18"/>
      <c r="L79" s="22"/>
    </row>
    <row r="80" spans="1:12" ht="11.1" customHeight="1" outlineLevel="4" x14ac:dyDescent="0.2">
      <c r="A80" s="23"/>
      <c r="B80" s="24" t="s">
        <v>102</v>
      </c>
      <c r="C80" s="25"/>
      <c r="D80" s="25"/>
      <c r="E80" s="26" t="s">
        <v>24</v>
      </c>
      <c r="F80" s="27"/>
      <c r="G80" s="28">
        <v>1</v>
      </c>
      <c r="H80" s="28">
        <f>SUM($G$80:$G$80)</f>
        <v>1</v>
      </c>
      <c r="I80" s="58">
        <f t="array" ref="I80">INDEX(Р[Цена за ед., руб],MATCH(1,IF(($B80=Р[Наименование])*($K80=Р[Примечание]),{1},($B80=Р[Наименование])*($K80=Р[Примечание])),0))</f>
        <v>0</v>
      </c>
      <c r="J80" s="58">
        <f>ROUND($H$80*$I$80,2)</f>
        <v>0</v>
      </c>
      <c r="K80" s="25"/>
      <c r="L80" s="25"/>
    </row>
    <row r="81" spans="1:12" ht="11.1" customHeight="1" outlineLevel="4" x14ac:dyDescent="0.2">
      <c r="A81" s="20"/>
      <c r="B81" s="14" t="s">
        <v>27</v>
      </c>
      <c r="C81" s="21"/>
      <c r="D81" s="21"/>
      <c r="E81" s="21"/>
      <c r="F81" s="21"/>
      <c r="G81" s="21"/>
      <c r="H81" s="21"/>
      <c r="I81" s="56"/>
      <c r="J81" s="57">
        <f>SUM($J$82:$J$84)</f>
        <v>0</v>
      </c>
      <c r="K81" s="18"/>
      <c r="L81" s="22"/>
    </row>
    <row r="82" spans="1:12" ht="11.1" customHeight="1" outlineLevel="4" x14ac:dyDescent="0.2">
      <c r="A82" s="23" t="s">
        <v>28</v>
      </c>
      <c r="B82" s="24" t="s">
        <v>103</v>
      </c>
      <c r="C82" s="25"/>
      <c r="D82" s="25"/>
      <c r="E82" s="26" t="s">
        <v>104</v>
      </c>
      <c r="F82" s="27"/>
      <c r="G82" s="28">
        <v>1</v>
      </c>
      <c r="H82" s="28">
        <f>SUM($G$82:$G$82)</f>
        <v>1</v>
      </c>
      <c r="I82" s="58">
        <f t="array" ref="I82">INDEX(М[Цена за ед., руб],MATCH(1,IF(($B82=М[Наим.])*($C82=М[Артикул, марка, произв.])*($D82=М[Хар-ка])*($K82=М[Прим.]),{1},($B82=М[Наим.])*($C82=М[Артикул, марка, произв.])*($D82=М[Хар-ка])*($K82=М[Прим.])),0))</f>
        <v>0</v>
      </c>
      <c r="J82" s="58">
        <f>ROUND($H$82*$I$82,2)</f>
        <v>0</v>
      </c>
      <c r="K82" s="25" t="s">
        <v>105</v>
      </c>
      <c r="L82" s="25">
        <f t="array" ref="L82">INDEX(М[Форма закупа],MATCH(1,IF(($B82=М[Наим.])*($C82=М[Артикул, марка, произв.])*($D82=М[Хар-ка])*($K82=М[Прим.]),{1},($B82=М[Наим.])*($C82=М[Артикул, марка, произв.])*($D82=М[Хар-ка])*($K82=М[Прим.])),0))</f>
        <v>0</v>
      </c>
    </row>
    <row r="83" spans="1:12" ht="23.1" customHeight="1" outlineLevel="4" x14ac:dyDescent="0.2">
      <c r="A83" s="23" t="s">
        <v>33</v>
      </c>
      <c r="B83" s="24" t="s">
        <v>106</v>
      </c>
      <c r="C83" s="25"/>
      <c r="D83" s="25" t="s">
        <v>107</v>
      </c>
      <c r="E83" s="26" t="s">
        <v>24</v>
      </c>
      <c r="F83" s="27"/>
      <c r="G83" s="28">
        <v>1</v>
      </c>
      <c r="H83" s="28">
        <f>SUM($G$83:$G$83)</f>
        <v>1</v>
      </c>
      <c r="I83" s="58">
        <f t="array" ref="I83">INDEX(М[Цена за ед., руб],MATCH(1,IF(($B83=М[Наим.])*($C83=М[Артикул, марка, произв.])*($D83=М[Хар-ка])*($K83=М[Прим.]),{1},($B83=М[Наим.])*($C83=М[Артикул, марка, произв.])*($D83=М[Хар-ка])*($K83=М[Прим.])),0))</f>
        <v>0</v>
      </c>
      <c r="J83" s="58">
        <f>ROUND($H$83*$I$83,2)</f>
        <v>0</v>
      </c>
      <c r="K83" s="25"/>
      <c r="L83" s="25">
        <f t="array" ref="L83">INDEX(М[Форма закупа],MATCH(1,IF(($B83=М[Наим.])*($C83=М[Артикул, марка, произв.])*($D83=М[Хар-ка])*($K83=М[Прим.]),{1},($B83=М[Наим.])*($C83=М[Артикул, марка, произв.])*($D83=М[Хар-ка])*($K83=М[Прим.])),0))</f>
        <v>0</v>
      </c>
    </row>
    <row r="84" spans="1:12" ht="47.1" customHeight="1" outlineLevel="4" x14ac:dyDescent="0.2">
      <c r="A84" s="23" t="s">
        <v>35</v>
      </c>
      <c r="B84" s="24" t="s">
        <v>108</v>
      </c>
      <c r="C84" s="25" t="s">
        <v>109</v>
      </c>
      <c r="D84" s="25" t="s">
        <v>110</v>
      </c>
      <c r="E84" s="26" t="s">
        <v>24</v>
      </c>
      <c r="F84" s="27"/>
      <c r="G84" s="28">
        <v>1</v>
      </c>
      <c r="H84" s="28">
        <f>SUM($G$84:$G$84)</f>
        <v>1</v>
      </c>
      <c r="I84" s="58">
        <f t="array" ref="I84">INDEX(М[Цена за ед., руб],MATCH(1,IF(($B84=М[Наим.])*($C84=М[Артикул, марка, произв.])*($D84=М[Хар-ка])*($K84=М[Прим.]),{1},($B84=М[Наим.])*($C84=М[Артикул, марка, произв.])*($D84=М[Хар-ка])*($K84=М[Прим.])),0))</f>
        <v>0</v>
      </c>
      <c r="J84" s="58">
        <f>ROUND($H$84*$I$84,2)</f>
        <v>0</v>
      </c>
      <c r="K84" s="25"/>
      <c r="L84" s="25">
        <f t="array" ref="L84">INDEX(М[Форма закупа],MATCH(1,IF(($B84=М[Наим.])*($C84=М[Артикул, марка, произв.])*($D84=М[Хар-ка])*($K84=М[Прим.]),{1},($B84=М[Наим.])*($C84=М[Артикул, марка, произв.])*($D84=М[Хар-ка])*($K84=М[Прим.])),0))</f>
        <v>0</v>
      </c>
    </row>
    <row r="85" spans="1:12" ht="11.1" customHeight="1" outlineLevel="4" x14ac:dyDescent="0.2">
      <c r="A85" s="20"/>
      <c r="B85" s="14" t="s">
        <v>22</v>
      </c>
      <c r="C85" s="21"/>
      <c r="D85" s="21"/>
      <c r="E85" s="21"/>
      <c r="F85" s="21"/>
      <c r="G85" s="21"/>
      <c r="H85" s="21"/>
      <c r="I85" s="56"/>
      <c r="J85" s="57">
        <f>SUM($J$86)</f>
        <v>0</v>
      </c>
      <c r="K85" s="18"/>
      <c r="L85" s="22"/>
    </row>
    <row r="86" spans="1:12" ht="11.1" customHeight="1" outlineLevel="4" x14ac:dyDescent="0.2">
      <c r="A86" s="23"/>
      <c r="B86" s="24" t="s">
        <v>111</v>
      </c>
      <c r="C86" s="25"/>
      <c r="D86" s="25"/>
      <c r="E86" s="26" t="s">
        <v>26</v>
      </c>
      <c r="F86" s="27"/>
      <c r="G86" s="29">
        <v>6279</v>
      </c>
      <c r="H86" s="29">
        <f>SUM($G$86:$G$86)</f>
        <v>6279</v>
      </c>
      <c r="I86" s="58">
        <f t="array" ref="I86">INDEX(Р[Цена за ед., руб],MATCH(1,IF(($B86=Р[Наименование])*($K86=Р[Примечание]),{1},($B86=Р[Наименование])*($K86=Р[Примечание])),0))</f>
        <v>0</v>
      </c>
      <c r="J86" s="58">
        <f>ROUND($H$86*$I$86,2)</f>
        <v>0</v>
      </c>
      <c r="K86" s="25"/>
      <c r="L86" s="25"/>
    </row>
    <row r="87" spans="1:12" ht="11.1" customHeight="1" outlineLevel="4" x14ac:dyDescent="0.2">
      <c r="A87" s="20"/>
      <c r="B87" s="14" t="s">
        <v>27</v>
      </c>
      <c r="C87" s="21"/>
      <c r="D87" s="21"/>
      <c r="E87" s="21"/>
      <c r="F87" s="21"/>
      <c r="G87" s="21"/>
      <c r="H87" s="21"/>
      <c r="I87" s="56"/>
      <c r="J87" s="57">
        <f>SUM($J$88)</f>
        <v>0</v>
      </c>
      <c r="K87" s="18"/>
      <c r="L87" s="22"/>
    </row>
    <row r="88" spans="1:12" ht="23.1" customHeight="1" outlineLevel="4" x14ac:dyDescent="0.2">
      <c r="A88" s="23" t="s">
        <v>28</v>
      </c>
      <c r="B88" s="24" t="s">
        <v>112</v>
      </c>
      <c r="C88" s="25" t="s">
        <v>113</v>
      </c>
      <c r="D88" s="25" t="s">
        <v>114</v>
      </c>
      <c r="E88" s="26" t="s">
        <v>32</v>
      </c>
      <c r="F88" s="27"/>
      <c r="G88" s="29">
        <v>6279</v>
      </c>
      <c r="H88" s="29">
        <f>SUM($G$88:$G$88)</f>
        <v>6279</v>
      </c>
      <c r="I88" s="58">
        <f t="array" ref="I88">INDEX(М[Цена за ед., руб],MATCH(1,IF(($B88=М[Наим.])*($C88=М[Артикул, марка, произв.])*($D88=М[Хар-ка])*($K88=М[Прим.]),{1},($B88=М[Наим.])*($C88=М[Артикул, марка, произв.])*($D88=М[Хар-ка])*($K88=М[Прим.])),0))</f>
        <v>0</v>
      </c>
      <c r="J88" s="58">
        <f>ROUND($H$88*$I$88,2)</f>
        <v>0</v>
      </c>
      <c r="K88" s="25"/>
      <c r="L88" s="25">
        <f t="array" ref="L88">INDEX(М[Форма закупа],MATCH(1,IF(($B88=М[Наим.])*($C88=М[Артикул, марка, произв.])*($D88=М[Хар-ка])*($K88=М[Прим.]),{1},($B88=М[Наим.])*($C88=М[Артикул, марка, произв.])*($D88=М[Хар-ка])*($K88=М[Прим.])),0))</f>
        <v>0</v>
      </c>
    </row>
    <row r="89" spans="1:12" ht="11.1" customHeight="1" outlineLevel="4" x14ac:dyDescent="0.2">
      <c r="A89" s="20"/>
      <c r="B89" s="14" t="s">
        <v>22</v>
      </c>
      <c r="C89" s="21"/>
      <c r="D89" s="21"/>
      <c r="E89" s="21"/>
      <c r="F89" s="21"/>
      <c r="G89" s="21"/>
      <c r="H89" s="21"/>
      <c r="I89" s="56"/>
      <c r="J89" s="57">
        <f>SUM($J$90)</f>
        <v>0</v>
      </c>
      <c r="K89" s="18"/>
      <c r="L89" s="22"/>
    </row>
    <row r="90" spans="1:12" ht="11.1" customHeight="1" outlineLevel="4" x14ac:dyDescent="0.2">
      <c r="A90" s="23"/>
      <c r="B90" s="24" t="s">
        <v>115</v>
      </c>
      <c r="C90" s="25"/>
      <c r="D90" s="25"/>
      <c r="E90" s="26" t="s">
        <v>24</v>
      </c>
      <c r="F90" s="27"/>
      <c r="G90" s="28">
        <v>11</v>
      </c>
      <c r="H90" s="28">
        <f>SUM($G$90:$G$90)</f>
        <v>11</v>
      </c>
      <c r="I90" s="58">
        <f t="array" ref="I90">INDEX(Р[Цена за ед., руб],MATCH(1,IF(($B90=Р[Наименование])*($K90=Р[Примечание]),{1},($B90=Р[Наименование])*($K90=Р[Примечание])),0))</f>
        <v>0</v>
      </c>
      <c r="J90" s="58">
        <f>ROUND($H$90*$I$90,2)</f>
        <v>0</v>
      </c>
      <c r="K90" s="25"/>
      <c r="L90" s="25"/>
    </row>
    <row r="91" spans="1:12" ht="11.1" customHeight="1" outlineLevel="4" x14ac:dyDescent="0.2">
      <c r="A91" s="20"/>
      <c r="B91" s="14" t="s">
        <v>27</v>
      </c>
      <c r="C91" s="21"/>
      <c r="D91" s="21"/>
      <c r="E91" s="21"/>
      <c r="F91" s="21"/>
      <c r="G91" s="21"/>
      <c r="H91" s="21"/>
      <c r="I91" s="56"/>
      <c r="J91" s="57">
        <f>SUM($J$92:$J$93)</f>
        <v>0</v>
      </c>
      <c r="K91" s="18"/>
      <c r="L91" s="22"/>
    </row>
    <row r="92" spans="1:12" ht="11.1" customHeight="1" outlineLevel="4" x14ac:dyDescent="0.2">
      <c r="A92" s="23" t="s">
        <v>28</v>
      </c>
      <c r="B92" s="24" t="s">
        <v>116</v>
      </c>
      <c r="C92" s="25" t="s">
        <v>65</v>
      </c>
      <c r="D92" s="25" t="s">
        <v>89</v>
      </c>
      <c r="E92" s="26" t="s">
        <v>24</v>
      </c>
      <c r="F92" s="27"/>
      <c r="G92" s="28">
        <v>1</v>
      </c>
      <c r="H92" s="28">
        <f>SUM($G$92:$G$92)</f>
        <v>1</v>
      </c>
      <c r="I92" s="58">
        <f t="array" ref="I92">INDEX(М[Цена за ед., руб],MATCH(1,IF(($B92=М[Наим.])*($C92=М[Артикул, марка, произв.])*($D92=М[Хар-ка])*($K92=М[Прим.]),{1},($B92=М[Наим.])*($C92=М[Артикул, марка, произв.])*($D92=М[Хар-ка])*($K92=М[Прим.])),0))</f>
        <v>0</v>
      </c>
      <c r="J92" s="58">
        <f>ROUND($H$92*$I$92,2)</f>
        <v>0</v>
      </c>
      <c r="K92" s="25"/>
      <c r="L92" s="25">
        <f t="array" ref="L92">INDEX(М[Форма закупа],MATCH(1,IF(($B92=М[Наим.])*($C92=М[Артикул, марка, произв.])*($D92=М[Хар-ка])*($K92=М[Прим.]),{1},($B92=М[Наим.])*($C92=М[Артикул, марка, произв.])*($D92=М[Хар-ка])*($K92=М[Прим.])),0))</f>
        <v>0</v>
      </c>
    </row>
    <row r="93" spans="1:12" ht="23.1" customHeight="1" outlineLevel="4" x14ac:dyDescent="0.2">
      <c r="A93" s="23" t="s">
        <v>33</v>
      </c>
      <c r="B93" s="24" t="s">
        <v>116</v>
      </c>
      <c r="C93" s="25" t="s">
        <v>53</v>
      </c>
      <c r="D93" s="25" t="s">
        <v>117</v>
      </c>
      <c r="E93" s="26" t="s">
        <v>24</v>
      </c>
      <c r="F93" s="27"/>
      <c r="G93" s="28">
        <v>10</v>
      </c>
      <c r="H93" s="28">
        <f>SUM($G$93:$G$93)</f>
        <v>10</v>
      </c>
      <c r="I93" s="58">
        <f t="array" ref="I93">INDEX(М[Цена за ед., руб],MATCH(1,IF(($B93=М[Наим.])*($C93=М[Артикул, марка, произв.])*($D93=М[Хар-ка])*($K93=М[Прим.]),{1},($B93=М[Наим.])*($C93=М[Артикул, марка, произв.])*($D93=М[Хар-ка])*($K93=М[Прим.])),0))</f>
        <v>0</v>
      </c>
      <c r="J93" s="58">
        <f>ROUND($H$93*$I$93,2)</f>
        <v>0</v>
      </c>
      <c r="K93" s="25"/>
      <c r="L93" s="25">
        <f t="array" ref="L93">INDEX(М[Форма закупа],MATCH(1,IF(($B93=М[Наим.])*($C93=М[Артикул, марка, произв.])*($D93=М[Хар-ка])*($K93=М[Прим.]),{1},($B93=М[Наим.])*($C93=М[Артикул, марка, произв.])*($D93=М[Хар-ка])*($K93=М[Прим.])),0))</f>
        <v>0</v>
      </c>
    </row>
    <row r="94" spans="1:12" ht="11.1" customHeight="1" outlineLevel="4" x14ac:dyDescent="0.2">
      <c r="A94" s="20"/>
      <c r="B94" s="14" t="s">
        <v>22</v>
      </c>
      <c r="C94" s="21"/>
      <c r="D94" s="21"/>
      <c r="E94" s="21"/>
      <c r="F94" s="21"/>
      <c r="G94" s="21"/>
      <c r="H94" s="21"/>
      <c r="I94" s="56"/>
      <c r="J94" s="57">
        <f>SUM($J$95)</f>
        <v>0</v>
      </c>
      <c r="K94" s="18"/>
      <c r="L94" s="22"/>
    </row>
    <row r="95" spans="1:12" ht="11.1" customHeight="1" outlineLevel="4" x14ac:dyDescent="0.2">
      <c r="A95" s="23"/>
      <c r="B95" s="24" t="s">
        <v>118</v>
      </c>
      <c r="C95" s="25"/>
      <c r="D95" s="25"/>
      <c r="E95" s="26" t="s">
        <v>32</v>
      </c>
      <c r="F95" s="27"/>
      <c r="G95" s="28">
        <v>488</v>
      </c>
      <c r="H95" s="28">
        <f>SUM($G$95:$G$95)</f>
        <v>488</v>
      </c>
      <c r="I95" s="58">
        <f t="array" ref="I95">INDEX(Р[Цена за ед., руб],MATCH(1,IF(($B95=Р[Наименование])*($K95=Р[Примечание]),{1},($B95=Р[Наименование])*($K95=Р[Примечание])),0))</f>
        <v>0</v>
      </c>
      <c r="J95" s="58">
        <f>ROUND($H$95*$I$95,2)</f>
        <v>0</v>
      </c>
      <c r="K95" s="25"/>
      <c r="L95" s="25"/>
    </row>
    <row r="96" spans="1:12" ht="11.1" customHeight="1" outlineLevel="4" x14ac:dyDescent="0.2">
      <c r="A96" s="20"/>
      <c r="B96" s="14" t="s">
        <v>27</v>
      </c>
      <c r="C96" s="21"/>
      <c r="D96" s="21"/>
      <c r="E96" s="21"/>
      <c r="F96" s="21"/>
      <c r="G96" s="21"/>
      <c r="H96" s="21"/>
      <c r="I96" s="56"/>
      <c r="J96" s="57">
        <f>SUM($J$97:$J$100)</f>
        <v>0</v>
      </c>
      <c r="K96" s="18"/>
      <c r="L96" s="22"/>
    </row>
    <row r="97" spans="1:12" ht="35.1" customHeight="1" outlineLevel="4" x14ac:dyDescent="0.2">
      <c r="A97" s="23" t="s">
        <v>28</v>
      </c>
      <c r="B97" s="24" t="s">
        <v>119</v>
      </c>
      <c r="C97" s="25"/>
      <c r="D97" s="25" t="s">
        <v>120</v>
      </c>
      <c r="E97" s="26" t="s">
        <v>32</v>
      </c>
      <c r="F97" s="27"/>
      <c r="G97" s="28">
        <v>101</v>
      </c>
      <c r="H97" s="28">
        <f>SUM($G$97:$G$97)</f>
        <v>101</v>
      </c>
      <c r="I97" s="58">
        <f t="array" ref="I97">INDEX(М[Цена за ед., руб],MATCH(1,IF(($B97=М[Наим.])*($C97=М[Артикул, марка, произв.])*($D97=М[Хар-ка])*($K97=М[Прим.]),{1},($B97=М[Наим.])*($C97=М[Артикул, марка, произв.])*($D97=М[Хар-ка])*($K97=М[Прим.])),0))</f>
        <v>0</v>
      </c>
      <c r="J97" s="58">
        <f>ROUND($H$97*$I$97,2)</f>
        <v>0</v>
      </c>
      <c r="K97" s="25"/>
      <c r="L97" s="25">
        <f t="array" ref="L97">INDEX(М[Форма закупа],MATCH(1,IF(($B97=М[Наим.])*($C97=М[Артикул, марка, произв.])*($D97=М[Хар-ка])*($K97=М[Прим.]),{1},($B97=М[Наим.])*($C97=М[Артикул, марка, произв.])*($D97=М[Хар-ка])*($K97=М[Прим.])),0))</f>
        <v>0</v>
      </c>
    </row>
    <row r="98" spans="1:12" ht="35.1" customHeight="1" outlineLevel="4" x14ac:dyDescent="0.2">
      <c r="A98" s="23" t="s">
        <v>33</v>
      </c>
      <c r="B98" s="24" t="s">
        <v>119</v>
      </c>
      <c r="C98" s="25"/>
      <c r="D98" s="25" t="s">
        <v>121</v>
      </c>
      <c r="E98" s="26" t="s">
        <v>32</v>
      </c>
      <c r="F98" s="27"/>
      <c r="G98" s="28">
        <v>173</v>
      </c>
      <c r="H98" s="28">
        <f>SUM($G$98:$G$98)</f>
        <v>173</v>
      </c>
      <c r="I98" s="58">
        <f t="array" ref="I98">INDEX(М[Цена за ед., руб],MATCH(1,IF(($B98=М[Наим.])*($C98=М[Артикул, марка, произв.])*($D98=М[Хар-ка])*($K98=М[Прим.]),{1},($B98=М[Наим.])*($C98=М[Артикул, марка, произв.])*($D98=М[Хар-ка])*($K98=М[Прим.])),0))</f>
        <v>0</v>
      </c>
      <c r="J98" s="58">
        <f>ROUND($H$98*$I$98,2)</f>
        <v>0</v>
      </c>
      <c r="K98" s="25"/>
      <c r="L98" s="25">
        <f t="array" ref="L98">INDEX(М[Форма закупа],MATCH(1,IF(($B98=М[Наим.])*($C98=М[Артикул, марка, произв.])*($D98=М[Хар-ка])*($K98=М[Прим.]),{1},($B98=М[Наим.])*($C98=М[Артикул, марка, произв.])*($D98=М[Хар-ка])*($K98=М[Прим.])),0))</f>
        <v>0</v>
      </c>
    </row>
    <row r="99" spans="1:12" ht="35.1" customHeight="1" outlineLevel="4" x14ac:dyDescent="0.2">
      <c r="A99" s="23" t="s">
        <v>35</v>
      </c>
      <c r="B99" s="24" t="s">
        <v>119</v>
      </c>
      <c r="C99" s="25"/>
      <c r="D99" s="25" t="s">
        <v>122</v>
      </c>
      <c r="E99" s="26" t="s">
        <v>32</v>
      </c>
      <c r="F99" s="27"/>
      <c r="G99" s="28">
        <v>104</v>
      </c>
      <c r="H99" s="28">
        <f>SUM($G$99:$G$99)</f>
        <v>104</v>
      </c>
      <c r="I99" s="58">
        <f t="array" ref="I99">INDEX(М[Цена за ед., руб],MATCH(1,IF(($B99=М[Наим.])*($C99=М[Артикул, марка, произв.])*($D99=М[Хар-ка])*($K99=М[Прим.]),{1},($B99=М[Наим.])*($C99=М[Артикул, марка, произв.])*($D99=М[Хар-ка])*($K99=М[Прим.])),0))</f>
        <v>0</v>
      </c>
      <c r="J99" s="58">
        <f>ROUND($H$99*$I$99,2)</f>
        <v>0</v>
      </c>
      <c r="K99" s="25"/>
      <c r="L99" s="25">
        <f t="array" ref="L99">INDEX(М[Форма закупа],MATCH(1,IF(($B99=М[Наим.])*($C99=М[Артикул, марка, произв.])*($D99=М[Хар-ка])*($K99=М[Прим.]),{1},($B99=М[Наим.])*($C99=М[Артикул, марка, произв.])*($D99=М[Хар-ка])*($K99=М[Прим.])),0))</f>
        <v>0</v>
      </c>
    </row>
    <row r="100" spans="1:12" ht="35.1" customHeight="1" outlineLevel="4" x14ac:dyDescent="0.2">
      <c r="A100" s="23" t="s">
        <v>37</v>
      </c>
      <c r="B100" s="24" t="s">
        <v>119</v>
      </c>
      <c r="C100" s="25"/>
      <c r="D100" s="25" t="s">
        <v>123</v>
      </c>
      <c r="E100" s="26" t="s">
        <v>32</v>
      </c>
      <c r="F100" s="27"/>
      <c r="G100" s="28">
        <v>110</v>
      </c>
      <c r="H100" s="28">
        <f>SUM($G$100:$G$100)</f>
        <v>110</v>
      </c>
      <c r="I100" s="58">
        <f t="array" ref="I100">INDEX(М[Цена за ед., руб],MATCH(1,IF(($B100=М[Наим.])*($C100=М[Артикул, марка, произв.])*($D100=М[Хар-ка])*($K100=М[Прим.]),{1},($B100=М[Наим.])*($C100=М[Артикул, марка, произв.])*($D100=М[Хар-ка])*($K100=М[Прим.])),0))</f>
        <v>0</v>
      </c>
      <c r="J100" s="58">
        <f>ROUND($H$100*$I$100,2)</f>
        <v>0</v>
      </c>
      <c r="K100" s="25"/>
      <c r="L100" s="25">
        <f t="array" ref="L100">INDEX(М[Форма закупа],MATCH(1,IF(($B100=М[Наим.])*($C100=М[Артикул, марка, произв.])*($D100=М[Хар-ка])*($K100=М[Прим.]),{1},($B100=М[Наим.])*($C100=М[Артикул, марка, произв.])*($D100=М[Хар-ка])*($K100=М[Прим.])),0))</f>
        <v>0</v>
      </c>
    </row>
    <row r="101" spans="1:12" ht="11.1" customHeight="1" outlineLevel="4" x14ac:dyDescent="0.2">
      <c r="A101" s="20"/>
      <c r="B101" s="14" t="s">
        <v>22</v>
      </c>
      <c r="C101" s="21"/>
      <c r="D101" s="21"/>
      <c r="E101" s="21"/>
      <c r="F101" s="21"/>
      <c r="G101" s="21"/>
      <c r="H101" s="21"/>
      <c r="I101" s="56"/>
      <c r="J101" s="57">
        <f>SUM($J$102)</f>
        <v>0</v>
      </c>
      <c r="K101" s="18"/>
      <c r="L101" s="22"/>
    </row>
    <row r="102" spans="1:12" ht="11.1" customHeight="1" outlineLevel="4" x14ac:dyDescent="0.2">
      <c r="A102" s="23"/>
      <c r="B102" s="24" t="s">
        <v>124</v>
      </c>
      <c r="C102" s="25"/>
      <c r="D102" s="25"/>
      <c r="E102" s="26" t="s">
        <v>26</v>
      </c>
      <c r="F102" s="27"/>
      <c r="G102" s="28">
        <v>12</v>
      </c>
      <c r="H102" s="28">
        <f>SUM($G$102:$G$102)</f>
        <v>12</v>
      </c>
      <c r="I102" s="58">
        <f t="array" ref="I102">INDEX(Р[Цена за ед., руб],MATCH(1,IF(($B102=Р[Наименование])*($K102=Р[Примечание]),{1},($B102=Р[Наименование])*($K102=Р[Примечание])),0))</f>
        <v>0</v>
      </c>
      <c r="J102" s="58">
        <f>ROUND($H$102*$I$102,2)</f>
        <v>0</v>
      </c>
      <c r="K102" s="25"/>
      <c r="L102" s="25"/>
    </row>
    <row r="103" spans="1:12" ht="11.1" customHeight="1" outlineLevel="4" x14ac:dyDescent="0.2">
      <c r="A103" s="20"/>
      <c r="B103" s="14" t="s">
        <v>27</v>
      </c>
      <c r="C103" s="21"/>
      <c r="D103" s="21"/>
      <c r="E103" s="21"/>
      <c r="F103" s="21"/>
      <c r="G103" s="21"/>
      <c r="H103" s="21"/>
      <c r="I103" s="56"/>
      <c r="J103" s="57">
        <f>SUM($J$104:$J$105)</f>
        <v>0</v>
      </c>
      <c r="K103" s="18"/>
      <c r="L103" s="22"/>
    </row>
    <row r="104" spans="1:12" ht="23.1" customHeight="1" outlineLevel="4" x14ac:dyDescent="0.2">
      <c r="A104" s="23" t="s">
        <v>28</v>
      </c>
      <c r="B104" s="24" t="s">
        <v>125</v>
      </c>
      <c r="C104" s="25"/>
      <c r="D104" s="25" t="s">
        <v>126</v>
      </c>
      <c r="E104" s="26" t="s">
        <v>32</v>
      </c>
      <c r="F104" s="27"/>
      <c r="G104" s="28">
        <v>4</v>
      </c>
      <c r="H104" s="28">
        <f>SUM($G$104:$G$104)</f>
        <v>4</v>
      </c>
      <c r="I104" s="58">
        <f t="array" ref="I104">INDEX(М[Цена за ед., руб],MATCH(1,IF(($B104=М[Наим.])*($C104=М[Артикул, марка, произв.])*($D104=М[Хар-ка])*($K104=М[Прим.]),{1},($B104=М[Наим.])*($C104=М[Артикул, марка, произв.])*($D104=М[Хар-ка])*($K104=М[Прим.])),0))</f>
        <v>0</v>
      </c>
      <c r="J104" s="58">
        <f>ROUND($H$104*$I$104,2)</f>
        <v>0</v>
      </c>
      <c r="K104" s="25"/>
      <c r="L104" s="25">
        <f t="array" ref="L104">INDEX(М[Форма закупа],MATCH(1,IF(($B104=М[Наим.])*($C104=М[Артикул, марка, произв.])*($D104=М[Хар-ка])*($K104=М[Прим.]),{1},($B104=М[Наим.])*($C104=М[Артикул, марка, произв.])*($D104=М[Хар-ка])*($K104=М[Прим.])),0))</f>
        <v>0</v>
      </c>
    </row>
    <row r="105" spans="1:12" ht="23.1" customHeight="1" outlineLevel="4" x14ac:dyDescent="0.2">
      <c r="A105" s="23" t="s">
        <v>33</v>
      </c>
      <c r="B105" s="24" t="s">
        <v>125</v>
      </c>
      <c r="C105" s="25"/>
      <c r="D105" s="25" t="s">
        <v>127</v>
      </c>
      <c r="E105" s="26" t="s">
        <v>32</v>
      </c>
      <c r="F105" s="27"/>
      <c r="G105" s="28">
        <v>8</v>
      </c>
      <c r="H105" s="28">
        <f>SUM($G$105:$G$105)</f>
        <v>8</v>
      </c>
      <c r="I105" s="58">
        <f t="array" ref="I105">INDEX(М[Цена за ед., руб],MATCH(1,IF(($B105=М[Наим.])*($C105=М[Артикул, марка, произв.])*($D105=М[Хар-ка])*($K105=М[Прим.]),{1},($B105=М[Наим.])*($C105=М[Артикул, марка, произв.])*($D105=М[Хар-ка])*($K105=М[Прим.])),0))</f>
        <v>0</v>
      </c>
      <c r="J105" s="58">
        <f>ROUND($H$105*$I$105,2)</f>
        <v>0</v>
      </c>
      <c r="K105" s="25"/>
      <c r="L105" s="25">
        <f t="array" ref="L105">INDEX(М[Форма закупа],MATCH(1,IF(($B105=М[Наим.])*($C105=М[Артикул, марка, произв.])*($D105=М[Хар-ка])*($K105=М[Прим.]),{1},($B105=М[Наим.])*($C105=М[Артикул, марка, произв.])*($D105=М[Хар-ка])*($K105=М[Прим.])),0))</f>
        <v>0</v>
      </c>
    </row>
    <row r="106" spans="1:12" ht="11.1" customHeight="1" outlineLevel="4" x14ac:dyDescent="0.2">
      <c r="A106" s="20"/>
      <c r="B106" s="14" t="s">
        <v>22</v>
      </c>
      <c r="C106" s="21"/>
      <c r="D106" s="21"/>
      <c r="E106" s="21"/>
      <c r="F106" s="21"/>
      <c r="G106" s="21"/>
      <c r="H106" s="21"/>
      <c r="I106" s="56"/>
      <c r="J106" s="57">
        <f>SUM($J$107)</f>
        <v>0</v>
      </c>
      <c r="K106" s="18"/>
      <c r="L106" s="22"/>
    </row>
    <row r="107" spans="1:12" ht="11.1" customHeight="1" outlineLevel="4" x14ac:dyDescent="0.2">
      <c r="A107" s="23"/>
      <c r="B107" s="24" t="s">
        <v>128</v>
      </c>
      <c r="C107" s="25"/>
      <c r="D107" s="25"/>
      <c r="E107" s="26" t="s">
        <v>32</v>
      </c>
      <c r="F107" s="27"/>
      <c r="G107" s="31">
        <v>14.5</v>
      </c>
      <c r="H107" s="31">
        <f>SUM($G$107:$G$107)</f>
        <v>14.5</v>
      </c>
      <c r="I107" s="58">
        <f t="array" ref="I107">INDEX(Р[Цена за ед., руб],MATCH(1,IF(($B107=Р[Наименование])*($K107=Р[Примечание]),{1},($B107=Р[Наименование])*($K107=Р[Примечание])),0))</f>
        <v>0</v>
      </c>
      <c r="J107" s="58">
        <f>ROUND($H$107*$I$107,2)</f>
        <v>0</v>
      </c>
      <c r="K107" s="25"/>
      <c r="L107" s="25"/>
    </row>
    <row r="108" spans="1:12" ht="11.1" customHeight="1" outlineLevel="4" x14ac:dyDescent="0.2">
      <c r="A108" s="20"/>
      <c r="B108" s="14" t="s">
        <v>27</v>
      </c>
      <c r="C108" s="21"/>
      <c r="D108" s="21"/>
      <c r="E108" s="21"/>
      <c r="F108" s="21"/>
      <c r="G108" s="21"/>
      <c r="H108" s="21"/>
      <c r="I108" s="56"/>
      <c r="J108" s="57">
        <f>SUM($J$109:$J$111)</f>
        <v>0</v>
      </c>
      <c r="K108" s="18"/>
      <c r="L108" s="22"/>
    </row>
    <row r="109" spans="1:12" ht="23.1" customHeight="1" outlineLevel="4" x14ac:dyDescent="0.2">
      <c r="A109" s="23" t="s">
        <v>28</v>
      </c>
      <c r="B109" s="24" t="s">
        <v>129</v>
      </c>
      <c r="C109" s="25"/>
      <c r="D109" s="25" t="s">
        <v>130</v>
      </c>
      <c r="E109" s="26" t="s">
        <v>26</v>
      </c>
      <c r="F109" s="27"/>
      <c r="G109" s="28">
        <v>12</v>
      </c>
      <c r="H109" s="28">
        <f>SUM($G$109:$G$109)</f>
        <v>12</v>
      </c>
      <c r="I109" s="58">
        <f t="array" ref="I109">INDEX(М[Цена за ед., руб],MATCH(1,IF(($B109=М[Наим.])*($C109=М[Артикул, марка, произв.])*($D109=М[Хар-ка])*($K109=М[Прим.]),{1},($B109=М[Наим.])*($C109=М[Артикул, марка, произв.])*($D109=М[Хар-ка])*($K109=М[Прим.])),0))</f>
        <v>0</v>
      </c>
      <c r="J109" s="58">
        <f>ROUND($H$109*$I$109,2)</f>
        <v>0</v>
      </c>
      <c r="K109" s="25"/>
      <c r="L109" s="25">
        <f t="array" ref="L109">INDEX(М[Форма закупа],MATCH(1,IF(($B109=М[Наим.])*($C109=М[Артикул, марка, произв.])*($D109=М[Хар-ка])*($K109=М[Прим.]),{1},($B109=М[Наим.])*($C109=М[Артикул, марка, произв.])*($D109=М[Хар-ка])*($K109=М[Прим.])),0))</f>
        <v>0</v>
      </c>
    </row>
    <row r="110" spans="1:12" ht="23.1" customHeight="1" outlineLevel="4" x14ac:dyDescent="0.2">
      <c r="A110" s="23" t="s">
        <v>33</v>
      </c>
      <c r="B110" s="24" t="s">
        <v>129</v>
      </c>
      <c r="C110" s="25"/>
      <c r="D110" s="25" t="s">
        <v>131</v>
      </c>
      <c r="E110" s="26" t="s">
        <v>26</v>
      </c>
      <c r="F110" s="27"/>
      <c r="G110" s="31">
        <v>0.5</v>
      </c>
      <c r="H110" s="31">
        <f>SUM($G$110:$G$110)</f>
        <v>0.5</v>
      </c>
      <c r="I110" s="58">
        <f t="array" ref="I110">INDEX(М[Цена за ед., руб],MATCH(1,IF(($B110=М[Наим.])*($C110=М[Артикул, марка, произв.])*($D110=М[Хар-ка])*($K110=М[Прим.]),{1},($B110=М[Наим.])*($C110=М[Артикул, марка, произв.])*($D110=М[Хар-ка])*($K110=М[Прим.])),0))</f>
        <v>0</v>
      </c>
      <c r="J110" s="58">
        <f>ROUND($H$110*$I$110,2)</f>
        <v>0</v>
      </c>
      <c r="K110" s="25"/>
      <c r="L110" s="25">
        <f t="array" ref="L110">INDEX(М[Форма закупа],MATCH(1,IF(($B110=М[Наим.])*($C110=М[Артикул, марка, произв.])*($D110=М[Хар-ка])*($K110=М[Прим.]),{1},($B110=М[Наим.])*($C110=М[Артикул, марка, произв.])*($D110=М[Хар-ка])*($K110=М[Прим.])),0))</f>
        <v>0</v>
      </c>
    </row>
    <row r="111" spans="1:12" ht="23.1" customHeight="1" outlineLevel="4" x14ac:dyDescent="0.2">
      <c r="A111" s="23" t="s">
        <v>35</v>
      </c>
      <c r="B111" s="24" t="s">
        <v>129</v>
      </c>
      <c r="C111" s="25"/>
      <c r="D111" s="25" t="s">
        <v>132</v>
      </c>
      <c r="E111" s="26" t="s">
        <v>26</v>
      </c>
      <c r="F111" s="27"/>
      <c r="G111" s="28">
        <v>2</v>
      </c>
      <c r="H111" s="28">
        <f>SUM($G$111:$G$111)</f>
        <v>2</v>
      </c>
      <c r="I111" s="58">
        <f t="array" ref="I111">INDEX(М[Цена за ед., руб],MATCH(1,IF(($B111=М[Наим.])*($C111=М[Артикул, марка, произв.])*($D111=М[Хар-ка])*($K111=М[Прим.]),{1},($B111=М[Наим.])*($C111=М[Артикул, марка, произв.])*($D111=М[Хар-ка])*($K111=М[Прим.])),0))</f>
        <v>0</v>
      </c>
      <c r="J111" s="58">
        <f>ROUND($H$111*$I$111,2)</f>
        <v>0</v>
      </c>
      <c r="K111" s="25"/>
      <c r="L111" s="25">
        <f t="array" ref="L111">INDEX(М[Форма закупа],MATCH(1,IF(($B111=М[Наим.])*($C111=М[Артикул, марка, произв.])*($D111=М[Хар-ка])*($K111=М[Прим.]),{1},($B111=М[Наим.])*($C111=М[Артикул, марка, произв.])*($D111=М[Хар-ка])*($K111=М[Прим.])),0))</f>
        <v>0</v>
      </c>
    </row>
    <row r="112" spans="1:12" ht="11.1" customHeight="1" outlineLevel="4" x14ac:dyDescent="0.2">
      <c r="A112" s="20"/>
      <c r="B112" s="14" t="s">
        <v>22</v>
      </c>
      <c r="C112" s="21"/>
      <c r="D112" s="21"/>
      <c r="E112" s="21"/>
      <c r="F112" s="21"/>
      <c r="G112" s="21"/>
      <c r="H112" s="21"/>
      <c r="I112" s="56"/>
      <c r="J112" s="57">
        <f>SUM($J$113)</f>
        <v>0</v>
      </c>
      <c r="K112" s="18"/>
      <c r="L112" s="22"/>
    </row>
    <row r="113" spans="1:12" ht="11.1" customHeight="1" outlineLevel="4" x14ac:dyDescent="0.2">
      <c r="A113" s="23"/>
      <c r="B113" s="24" t="s">
        <v>133</v>
      </c>
      <c r="C113" s="25"/>
      <c r="D113" s="25"/>
      <c r="E113" s="26" t="s">
        <v>26</v>
      </c>
      <c r="F113" s="27"/>
      <c r="G113" s="28">
        <v>81</v>
      </c>
      <c r="H113" s="28">
        <f>SUM($G$113:$G$113)</f>
        <v>81</v>
      </c>
      <c r="I113" s="58">
        <f t="array" ref="I113">INDEX(Р[Цена за ед., руб],MATCH(1,IF(($B113=Р[Наименование])*($K113=Р[Примечание]),{1},($B113=Р[Наименование])*($K113=Р[Примечание])),0))</f>
        <v>0</v>
      </c>
      <c r="J113" s="58">
        <f>ROUND($H$113*$I$113,2)</f>
        <v>0</v>
      </c>
      <c r="K113" s="25"/>
      <c r="L113" s="25"/>
    </row>
    <row r="114" spans="1:12" ht="11.1" customHeight="1" outlineLevel="4" x14ac:dyDescent="0.2">
      <c r="A114" s="20"/>
      <c r="B114" s="14" t="s">
        <v>27</v>
      </c>
      <c r="C114" s="21"/>
      <c r="D114" s="21"/>
      <c r="E114" s="21"/>
      <c r="F114" s="21"/>
      <c r="G114" s="21"/>
      <c r="H114" s="21"/>
      <c r="I114" s="56"/>
      <c r="J114" s="57">
        <f>SUM($J$115:$J$120)</f>
        <v>0</v>
      </c>
      <c r="K114" s="18"/>
      <c r="L114" s="22"/>
    </row>
    <row r="115" spans="1:12" ht="23.1" customHeight="1" outlineLevel="4" x14ac:dyDescent="0.2">
      <c r="A115" s="23" t="s">
        <v>28</v>
      </c>
      <c r="B115" s="24" t="s">
        <v>129</v>
      </c>
      <c r="C115" s="25"/>
      <c r="D115" s="25" t="s">
        <v>134</v>
      </c>
      <c r="E115" s="26" t="s">
        <v>26</v>
      </c>
      <c r="F115" s="27"/>
      <c r="G115" s="28">
        <v>4</v>
      </c>
      <c r="H115" s="28">
        <f>SUM($G$115:$G$115)</f>
        <v>4</v>
      </c>
      <c r="I115" s="58">
        <f t="array" ref="I115">INDEX(М[Цена за ед., руб],MATCH(1,IF(($B115=М[Наим.])*($C115=М[Артикул, марка, произв.])*($D115=М[Хар-ка])*($K115=М[Прим.]),{1},($B115=М[Наим.])*($C115=М[Артикул, марка, произв.])*($D115=М[Хар-ка])*($K115=М[Прим.])),0))</f>
        <v>0</v>
      </c>
      <c r="J115" s="58">
        <f>ROUND($H$115*$I$115,2)</f>
        <v>0</v>
      </c>
      <c r="K115" s="25"/>
      <c r="L115" s="25">
        <f t="array" ref="L115">INDEX(М[Форма закупа],MATCH(1,IF(($B115=М[Наим.])*($C115=М[Артикул, марка, произв.])*($D115=М[Хар-ка])*($K115=М[Прим.]),{1},($B115=М[Наим.])*($C115=М[Артикул, марка, произв.])*($D115=М[Хар-ка])*($K115=М[Прим.])),0))</f>
        <v>0</v>
      </c>
    </row>
    <row r="116" spans="1:12" ht="23.1" customHeight="1" outlineLevel="4" x14ac:dyDescent="0.2">
      <c r="A116" s="23" t="s">
        <v>33</v>
      </c>
      <c r="B116" s="24" t="s">
        <v>129</v>
      </c>
      <c r="C116" s="25"/>
      <c r="D116" s="25" t="s">
        <v>135</v>
      </c>
      <c r="E116" s="26" t="s">
        <v>26</v>
      </c>
      <c r="F116" s="27"/>
      <c r="G116" s="28">
        <v>4</v>
      </c>
      <c r="H116" s="28">
        <f>SUM($G$116:$G$116)</f>
        <v>4</v>
      </c>
      <c r="I116" s="58">
        <f t="array" ref="I116">INDEX(М[Цена за ед., руб],MATCH(1,IF(($B116=М[Наим.])*($C116=М[Артикул, марка, произв.])*($D116=М[Хар-ка])*($K116=М[Прим.]),{1},($B116=М[Наим.])*($C116=М[Артикул, марка, произв.])*($D116=М[Хар-ка])*($K116=М[Прим.])),0))</f>
        <v>0</v>
      </c>
      <c r="J116" s="58">
        <f>ROUND($H$116*$I$116,2)</f>
        <v>0</v>
      </c>
      <c r="K116" s="25"/>
      <c r="L116" s="25">
        <f t="array" ref="L116">INDEX(М[Форма закупа],MATCH(1,IF(($B116=М[Наим.])*($C116=М[Артикул, марка, произв.])*($D116=М[Хар-ка])*($K116=М[Прим.]),{1},($B116=М[Наим.])*($C116=М[Артикул, марка, произв.])*($D116=М[Хар-ка])*($K116=М[Прим.])),0))</f>
        <v>0</v>
      </c>
    </row>
    <row r="117" spans="1:12" ht="23.1" customHeight="1" outlineLevel="4" x14ac:dyDescent="0.2">
      <c r="A117" s="23" t="s">
        <v>35</v>
      </c>
      <c r="B117" s="24" t="s">
        <v>129</v>
      </c>
      <c r="C117" s="25"/>
      <c r="D117" s="25" t="s">
        <v>136</v>
      </c>
      <c r="E117" s="26" t="s">
        <v>26</v>
      </c>
      <c r="F117" s="27"/>
      <c r="G117" s="28">
        <v>41</v>
      </c>
      <c r="H117" s="28">
        <f>SUM($G$117:$G$117)</f>
        <v>41</v>
      </c>
      <c r="I117" s="58">
        <f t="array" ref="I117">INDEX(М[Цена за ед., руб],MATCH(1,IF(($B117=М[Наим.])*($C117=М[Артикул, марка, произв.])*($D117=М[Хар-ка])*($K117=М[Прим.]),{1},($B117=М[Наим.])*($C117=М[Артикул, марка, произв.])*($D117=М[Хар-ка])*($K117=М[Прим.])),0))</f>
        <v>0</v>
      </c>
      <c r="J117" s="58">
        <f>ROUND($H$117*$I$117,2)</f>
        <v>0</v>
      </c>
      <c r="K117" s="25"/>
      <c r="L117" s="25">
        <f t="array" ref="L117">INDEX(М[Форма закупа],MATCH(1,IF(($B117=М[Наим.])*($C117=М[Артикул, марка, произв.])*($D117=М[Хар-ка])*($K117=М[Прим.]),{1},($B117=М[Наим.])*($C117=М[Артикул, марка, произв.])*($D117=М[Хар-ка])*($K117=М[Прим.])),0))</f>
        <v>0</v>
      </c>
    </row>
    <row r="118" spans="1:12" ht="23.1" customHeight="1" outlineLevel="4" x14ac:dyDescent="0.2">
      <c r="A118" s="23" t="s">
        <v>37</v>
      </c>
      <c r="B118" s="24" t="s">
        <v>129</v>
      </c>
      <c r="C118" s="25"/>
      <c r="D118" s="25" t="s">
        <v>137</v>
      </c>
      <c r="E118" s="26" t="s">
        <v>26</v>
      </c>
      <c r="F118" s="27"/>
      <c r="G118" s="28">
        <v>24</v>
      </c>
      <c r="H118" s="28">
        <f>SUM($G$118:$G$118)</f>
        <v>24</v>
      </c>
      <c r="I118" s="58">
        <f t="array" ref="I118">INDEX(М[Цена за ед., руб],MATCH(1,IF(($B118=М[Наим.])*($C118=М[Артикул, марка, произв.])*($D118=М[Хар-ка])*($K118=М[Прим.]),{1},($B118=М[Наим.])*($C118=М[Артикул, марка, произв.])*($D118=М[Хар-ка])*($K118=М[Прим.])),0))</f>
        <v>0</v>
      </c>
      <c r="J118" s="58">
        <f>ROUND($H$118*$I$118,2)</f>
        <v>0</v>
      </c>
      <c r="K118" s="25"/>
      <c r="L118" s="25">
        <f t="array" ref="L118">INDEX(М[Форма закупа],MATCH(1,IF(($B118=М[Наим.])*($C118=М[Артикул, марка, произв.])*($D118=М[Хар-ка])*($K118=М[Прим.]),{1},($B118=М[Наим.])*($C118=М[Артикул, марка, произв.])*($D118=М[Хар-ка])*($K118=М[Прим.])),0))</f>
        <v>0</v>
      </c>
    </row>
    <row r="119" spans="1:12" ht="11.1" customHeight="1" outlineLevel="4" x14ac:dyDescent="0.2">
      <c r="A119" s="23" t="s">
        <v>39</v>
      </c>
      <c r="B119" s="24" t="s">
        <v>138</v>
      </c>
      <c r="C119" s="25"/>
      <c r="D119" s="25" t="s">
        <v>139</v>
      </c>
      <c r="E119" s="26" t="s">
        <v>32</v>
      </c>
      <c r="F119" s="27"/>
      <c r="G119" s="28">
        <v>4</v>
      </c>
      <c r="H119" s="28">
        <f>SUM($G$119:$G$119)</f>
        <v>4</v>
      </c>
      <c r="I119" s="58">
        <f t="array" ref="I119">INDEX(М[Цена за ед., руб],MATCH(1,IF(($B119=М[Наим.])*($C119=М[Артикул, марка, произв.])*($D119=М[Хар-ка])*($K119=М[Прим.]),{1},($B119=М[Наим.])*($C119=М[Артикул, марка, произв.])*($D119=М[Хар-ка])*($K119=М[Прим.])),0))</f>
        <v>0</v>
      </c>
      <c r="J119" s="58">
        <f>ROUND($H$119*$I$119,2)</f>
        <v>0</v>
      </c>
      <c r="K119" s="25"/>
      <c r="L119" s="25">
        <f t="array" ref="L119">INDEX(М[Форма закупа],MATCH(1,IF(($B119=М[Наим.])*($C119=М[Артикул, марка, произв.])*($D119=М[Хар-ка])*($K119=М[Прим.]),{1},($B119=М[Наим.])*($C119=М[Артикул, марка, произв.])*($D119=М[Хар-ка])*($K119=М[Прим.])),0))</f>
        <v>0</v>
      </c>
    </row>
    <row r="120" spans="1:12" ht="23.1" customHeight="1" outlineLevel="4" x14ac:dyDescent="0.2">
      <c r="A120" s="23" t="s">
        <v>41</v>
      </c>
      <c r="B120" s="24" t="s">
        <v>138</v>
      </c>
      <c r="C120" s="25"/>
      <c r="D120" s="25" t="s">
        <v>140</v>
      </c>
      <c r="E120" s="26" t="s">
        <v>32</v>
      </c>
      <c r="F120" s="27"/>
      <c r="G120" s="28">
        <v>4</v>
      </c>
      <c r="H120" s="28">
        <f>SUM($G$120:$G$120)</f>
        <v>4</v>
      </c>
      <c r="I120" s="58">
        <f t="array" ref="I120">INDEX(М[Цена за ед., руб],MATCH(1,IF(($B120=М[Наим.])*($C120=М[Артикул, марка, произв.])*($D120=М[Хар-ка])*($K120=М[Прим.]),{1},($B120=М[Наим.])*($C120=М[Артикул, марка, произв.])*($D120=М[Хар-ка])*($K120=М[Прим.])),0))</f>
        <v>0</v>
      </c>
      <c r="J120" s="58">
        <f>ROUND($H$120*$I$120,2)</f>
        <v>0</v>
      </c>
      <c r="K120" s="25"/>
      <c r="L120" s="25">
        <f t="array" ref="L120">INDEX(М[Форма закупа],MATCH(1,IF(($B120=М[Наим.])*($C120=М[Артикул, марка, произв.])*($D120=М[Хар-ка])*($K120=М[Прим.]),{1},($B120=М[Наим.])*($C120=М[Артикул, марка, произв.])*($D120=М[Хар-ка])*($K120=М[Прим.])),0))</f>
        <v>0</v>
      </c>
    </row>
    <row r="121" spans="1:12" ht="11.1" customHeight="1" outlineLevel="3" x14ac:dyDescent="0.2">
      <c r="A121" s="13" t="s">
        <v>145</v>
      </c>
      <c r="B121" s="14" t="s">
        <v>146</v>
      </c>
      <c r="C121" s="15"/>
      <c r="D121" s="15"/>
      <c r="E121" s="16"/>
      <c r="F121" s="17"/>
      <c r="G121" s="18"/>
      <c r="H121" s="18"/>
      <c r="I121" s="55"/>
      <c r="J121" s="55">
        <f>SUM($J$124,$J$122)</f>
        <v>0</v>
      </c>
      <c r="K121" s="19"/>
      <c r="L121" s="19"/>
    </row>
    <row r="122" spans="1:12" ht="11.1" customHeight="1" outlineLevel="4" x14ac:dyDescent="0.2">
      <c r="A122" s="20"/>
      <c r="B122" s="14" t="s">
        <v>22</v>
      </c>
      <c r="C122" s="21"/>
      <c r="D122" s="21"/>
      <c r="E122" s="21"/>
      <c r="F122" s="21"/>
      <c r="G122" s="21"/>
      <c r="H122" s="21"/>
      <c r="I122" s="56"/>
      <c r="J122" s="57">
        <f>SUM($J$123)</f>
        <v>0</v>
      </c>
      <c r="K122" s="18"/>
      <c r="L122" s="22"/>
    </row>
    <row r="123" spans="1:12" ht="11.1" customHeight="1" outlineLevel="4" x14ac:dyDescent="0.2">
      <c r="A123" s="23"/>
      <c r="B123" s="24" t="s">
        <v>147</v>
      </c>
      <c r="C123" s="25"/>
      <c r="D123" s="25"/>
      <c r="E123" s="26" t="s">
        <v>104</v>
      </c>
      <c r="F123" s="27"/>
      <c r="G123" s="28">
        <v>1</v>
      </c>
      <c r="H123" s="28">
        <f>SUM($G$123:$G$123)</f>
        <v>1</v>
      </c>
      <c r="I123" s="58">
        <f t="array" ref="I123">INDEX(Р[Цена за ед., руб],MATCH(1,IF(($B123=Р[Наименование])*($K123=Р[Примечание]),{1},($B123=Р[Наименование])*($K123=Р[Примечание])),0))</f>
        <v>0</v>
      </c>
      <c r="J123" s="58">
        <f>ROUND($H$123*$I$123,2)</f>
        <v>0</v>
      </c>
      <c r="K123" s="25"/>
      <c r="L123" s="25"/>
    </row>
    <row r="124" spans="1:12" ht="11.1" customHeight="1" outlineLevel="4" x14ac:dyDescent="0.2">
      <c r="A124" s="20"/>
      <c r="B124" s="14" t="s">
        <v>27</v>
      </c>
      <c r="C124" s="21"/>
      <c r="D124" s="21"/>
      <c r="E124" s="21"/>
      <c r="F124" s="21"/>
      <c r="G124" s="21"/>
      <c r="H124" s="21"/>
      <c r="I124" s="56"/>
      <c r="J124" s="57">
        <f>SUM($J$125:$J$128)</f>
        <v>0</v>
      </c>
      <c r="K124" s="18"/>
      <c r="L124" s="22"/>
    </row>
    <row r="125" spans="1:12" ht="35.1" customHeight="1" outlineLevel="4" x14ac:dyDescent="0.2">
      <c r="A125" s="23" t="s">
        <v>28</v>
      </c>
      <c r="B125" s="24" t="s">
        <v>119</v>
      </c>
      <c r="C125" s="25"/>
      <c r="D125" s="25" t="s">
        <v>121</v>
      </c>
      <c r="E125" s="26" t="s">
        <v>32</v>
      </c>
      <c r="F125" s="27"/>
      <c r="G125" s="28">
        <v>12</v>
      </c>
      <c r="H125" s="28">
        <f>SUM($G$125:$G$125)</f>
        <v>12</v>
      </c>
      <c r="I125" s="58">
        <f t="array" ref="I125">INDEX(М[Цена за ед., руб],MATCH(1,IF(($B125=М[Наим.])*($C125=М[Артикул, марка, произв.])*($D125=М[Хар-ка])*($K125=М[Прим.]),{1},($B125=М[Наим.])*($C125=М[Артикул, марка, произв.])*($D125=М[Хар-ка])*($K125=М[Прим.])),0))</f>
        <v>0</v>
      </c>
      <c r="J125" s="58">
        <f>ROUND($H$125*$I$125,2)</f>
        <v>0</v>
      </c>
      <c r="K125" s="25"/>
      <c r="L125" s="25">
        <f t="array" ref="L125">INDEX(М[Форма закупа],MATCH(1,IF(($B125=М[Наим.])*($C125=М[Артикул, марка, произв.])*($D125=М[Хар-ка])*($K125=М[Прим.]),{1},($B125=М[Наим.])*($C125=М[Артикул, марка, произв.])*($D125=М[Хар-ка])*($K125=М[Прим.])),0))</f>
        <v>0</v>
      </c>
    </row>
    <row r="126" spans="1:12" ht="23.1" customHeight="1" outlineLevel="4" x14ac:dyDescent="0.2">
      <c r="A126" s="23" t="s">
        <v>33</v>
      </c>
      <c r="B126" s="24" t="s">
        <v>73</v>
      </c>
      <c r="C126" s="25" t="s">
        <v>53</v>
      </c>
      <c r="D126" s="25" t="s">
        <v>81</v>
      </c>
      <c r="E126" s="26" t="s">
        <v>24</v>
      </c>
      <c r="F126" s="27"/>
      <c r="G126" s="28">
        <v>5</v>
      </c>
      <c r="H126" s="28">
        <f>SUM($G$126:$G$126)</f>
        <v>5</v>
      </c>
      <c r="I126" s="58">
        <f t="array" ref="I126">INDEX(М[Цена за ед., руб],MATCH(1,IF(($B126=М[Наим.])*($C126=М[Артикул, марка, произв.])*($D126=М[Хар-ка])*($K126=М[Прим.]),{1},($B126=М[Наим.])*($C126=М[Артикул, марка, произв.])*($D126=М[Хар-ка])*($K126=М[Прим.])),0))</f>
        <v>0</v>
      </c>
      <c r="J126" s="58">
        <f>ROUND($H$126*$I$126,2)</f>
        <v>0</v>
      </c>
      <c r="K126" s="25"/>
      <c r="L126" s="25">
        <f t="array" ref="L126">INDEX(М[Форма закупа],MATCH(1,IF(($B126=М[Наим.])*($C126=М[Артикул, марка, произв.])*($D126=М[Хар-ка])*($K126=М[Прим.]),{1},($B126=М[Наим.])*($C126=М[Артикул, марка, произв.])*($D126=М[Хар-ка])*($K126=М[Прим.])),0))</f>
        <v>0</v>
      </c>
    </row>
    <row r="127" spans="1:12" ht="23.1" customHeight="1" outlineLevel="4" x14ac:dyDescent="0.2">
      <c r="A127" s="23" t="s">
        <v>35</v>
      </c>
      <c r="B127" s="24" t="s">
        <v>116</v>
      </c>
      <c r="C127" s="25" t="s">
        <v>53</v>
      </c>
      <c r="D127" s="25" t="s">
        <v>117</v>
      </c>
      <c r="E127" s="26" t="s">
        <v>24</v>
      </c>
      <c r="F127" s="27"/>
      <c r="G127" s="28">
        <v>2</v>
      </c>
      <c r="H127" s="28">
        <f>SUM($G$127:$G$127)</f>
        <v>2</v>
      </c>
      <c r="I127" s="58">
        <f t="array" ref="I127">INDEX(М[Цена за ед., руб],MATCH(1,IF(($B127=М[Наим.])*($C127=М[Артикул, марка, произв.])*($D127=М[Хар-ка])*($K127=М[Прим.]),{1},($B127=М[Наим.])*($C127=М[Артикул, марка, произв.])*($D127=М[Хар-ка])*($K127=М[Прим.])),0))</f>
        <v>0</v>
      </c>
      <c r="J127" s="58">
        <f>ROUND($H$127*$I$127,2)</f>
        <v>0</v>
      </c>
      <c r="K127" s="25"/>
      <c r="L127" s="25">
        <f t="array" ref="L127">INDEX(М[Форма закупа],MATCH(1,IF(($B127=М[Наим.])*($C127=М[Артикул, марка, произв.])*($D127=М[Хар-ка])*($K127=М[Прим.]),{1},($B127=М[Наим.])*($C127=М[Артикул, марка, произв.])*($D127=М[Хар-ка])*($K127=М[Прим.])),0))</f>
        <v>0</v>
      </c>
    </row>
    <row r="128" spans="1:12" ht="47.1" customHeight="1" outlineLevel="4" x14ac:dyDescent="0.2">
      <c r="A128" s="23" t="s">
        <v>37</v>
      </c>
      <c r="B128" s="24" t="s">
        <v>62</v>
      </c>
      <c r="C128" s="25" t="s">
        <v>53</v>
      </c>
      <c r="D128" s="25" t="s">
        <v>63</v>
      </c>
      <c r="E128" s="26" t="s">
        <v>24</v>
      </c>
      <c r="F128" s="27"/>
      <c r="G128" s="28">
        <v>2</v>
      </c>
      <c r="H128" s="28">
        <f>SUM($G$128:$G$128)</f>
        <v>2</v>
      </c>
      <c r="I128" s="58">
        <f t="array" ref="I128">INDEX(М[Цена за ед., руб],MATCH(1,IF(($B128=М[Наим.])*($C128=М[Артикул, марка, произв.])*($D128=М[Хар-ка])*($K128=М[Прим.]),{1},($B128=М[Наим.])*($C128=М[Артикул, марка, произв.])*($D128=М[Хар-ка])*($K128=М[Прим.])),0))</f>
        <v>0</v>
      </c>
      <c r="J128" s="58">
        <f>ROUND($H$128*$I$128,2)</f>
        <v>0</v>
      </c>
      <c r="K128" s="25"/>
      <c r="L128" s="25">
        <f t="array" ref="L128">INDEX(М[Форма закупа],MATCH(1,IF(($B128=М[Наим.])*($C128=М[Артикул, марка, произв.])*($D128=М[Хар-ка])*($K128=М[Прим.]),{1},($B128=М[Наим.])*($C128=М[Артикул, марка, произв.])*($D128=М[Хар-ка])*($K128=М[Прим.])),0))</f>
        <v>0</v>
      </c>
    </row>
    <row r="129" spans="1:12" ht="35.1" customHeight="1" outlineLevel="2" x14ac:dyDescent="0.2">
      <c r="A129" s="13" t="s">
        <v>152</v>
      </c>
      <c r="B129" s="14" t="s">
        <v>153</v>
      </c>
      <c r="C129" s="15"/>
      <c r="D129" s="15"/>
      <c r="E129" s="16"/>
      <c r="F129" s="17"/>
      <c r="G129" s="18"/>
      <c r="H129" s="18"/>
      <c r="I129" s="55"/>
      <c r="J129" s="55">
        <f>SUM($J$199,$J$160,$J$130)</f>
        <v>0</v>
      </c>
      <c r="K129" s="19"/>
      <c r="L129" s="19"/>
    </row>
    <row r="130" spans="1:12" ht="11.1" customHeight="1" outlineLevel="3" x14ac:dyDescent="0.2">
      <c r="A130" s="13" t="s">
        <v>154</v>
      </c>
      <c r="B130" s="14" t="s">
        <v>155</v>
      </c>
      <c r="C130" s="15"/>
      <c r="D130" s="15"/>
      <c r="E130" s="16"/>
      <c r="F130" s="17"/>
      <c r="G130" s="18"/>
      <c r="H130" s="18"/>
      <c r="I130" s="55"/>
      <c r="J130" s="55">
        <f>SUM($J$156,$J$154,$J$152,$J$149,$J$147,$J$143,$J$141,$J$139,$J$137,$J$135,$J$133,$J$131)</f>
        <v>0</v>
      </c>
      <c r="K130" s="19"/>
      <c r="L130" s="19"/>
    </row>
    <row r="131" spans="1:12" ht="11.1" customHeight="1" outlineLevel="4" x14ac:dyDescent="0.2">
      <c r="A131" s="20"/>
      <c r="B131" s="14" t="s">
        <v>22</v>
      </c>
      <c r="C131" s="21"/>
      <c r="D131" s="21"/>
      <c r="E131" s="21"/>
      <c r="F131" s="21"/>
      <c r="G131" s="21"/>
      <c r="H131" s="21"/>
      <c r="I131" s="56"/>
      <c r="J131" s="57">
        <f>SUM($J$132)</f>
        <v>0</v>
      </c>
      <c r="K131" s="18"/>
      <c r="L131" s="22"/>
    </row>
    <row r="132" spans="1:12" ht="11.1" customHeight="1" outlineLevel="4" x14ac:dyDescent="0.2">
      <c r="A132" s="23"/>
      <c r="B132" s="24" t="s">
        <v>156</v>
      </c>
      <c r="C132" s="25"/>
      <c r="D132" s="25"/>
      <c r="E132" s="26" t="s">
        <v>24</v>
      </c>
      <c r="F132" s="27"/>
      <c r="G132" s="28">
        <v>88</v>
      </c>
      <c r="H132" s="28">
        <f>SUM($G$132:$G$132)</f>
        <v>88</v>
      </c>
      <c r="I132" s="58">
        <f t="array" ref="I132">INDEX(Р[Цена за ед., руб],MATCH(1,IF(($B132=Р[Наименование])*($K132=Р[Примечание]),{1},($B132=Р[Наименование])*($K132=Р[Примечание])),0))</f>
        <v>0</v>
      </c>
      <c r="J132" s="58">
        <f>ROUND($H$132*$I$132,2)</f>
        <v>0</v>
      </c>
      <c r="K132" s="25"/>
      <c r="L132" s="25"/>
    </row>
    <row r="133" spans="1:12" ht="11.1" customHeight="1" outlineLevel="4" x14ac:dyDescent="0.2">
      <c r="A133" s="20"/>
      <c r="B133" s="14" t="s">
        <v>22</v>
      </c>
      <c r="C133" s="21"/>
      <c r="D133" s="21"/>
      <c r="E133" s="21"/>
      <c r="F133" s="21"/>
      <c r="G133" s="21"/>
      <c r="H133" s="21"/>
      <c r="I133" s="56"/>
      <c r="J133" s="57">
        <f>SUM($J$134)</f>
        <v>0</v>
      </c>
      <c r="K133" s="18"/>
      <c r="L133" s="22"/>
    </row>
    <row r="134" spans="1:12" ht="11.1" customHeight="1" outlineLevel="4" x14ac:dyDescent="0.2">
      <c r="A134" s="23"/>
      <c r="B134" s="24" t="s">
        <v>157</v>
      </c>
      <c r="C134" s="25"/>
      <c r="D134" s="25"/>
      <c r="E134" s="26" t="s">
        <v>158</v>
      </c>
      <c r="F134" s="27"/>
      <c r="G134" s="28">
        <v>10</v>
      </c>
      <c r="H134" s="28">
        <f>SUM($G$134:$G$134)</f>
        <v>10</v>
      </c>
      <c r="I134" s="58">
        <f t="array" ref="I134">INDEX(Р[Цена за ед., руб],MATCH(1,IF(($B134=Р[Наименование])*($K134=Р[Примечание]),{1},($B134=Р[Наименование])*($K134=Р[Примечание])),0))</f>
        <v>0</v>
      </c>
      <c r="J134" s="58">
        <f>ROUND($H$134*$I$134,2)</f>
        <v>0</v>
      </c>
      <c r="K134" s="25"/>
      <c r="L134" s="25"/>
    </row>
    <row r="135" spans="1:12" ht="11.1" customHeight="1" outlineLevel="4" x14ac:dyDescent="0.2">
      <c r="A135" s="20"/>
      <c r="B135" s="14" t="s">
        <v>27</v>
      </c>
      <c r="C135" s="21"/>
      <c r="D135" s="21"/>
      <c r="E135" s="21"/>
      <c r="F135" s="21"/>
      <c r="G135" s="21"/>
      <c r="H135" s="21"/>
      <c r="I135" s="56"/>
      <c r="J135" s="57">
        <f>SUM($J$136)</f>
        <v>0</v>
      </c>
      <c r="K135" s="18"/>
      <c r="L135" s="22"/>
    </row>
    <row r="136" spans="1:12" ht="23.1" customHeight="1" outlineLevel="4" x14ac:dyDescent="0.2">
      <c r="A136" s="23" t="s">
        <v>28</v>
      </c>
      <c r="B136" s="24" t="s">
        <v>159</v>
      </c>
      <c r="C136" s="25"/>
      <c r="D136" s="25" t="s">
        <v>160</v>
      </c>
      <c r="E136" s="26" t="s">
        <v>158</v>
      </c>
      <c r="F136" s="27"/>
      <c r="G136" s="28">
        <v>10</v>
      </c>
      <c r="H136" s="28">
        <f>SUM($G$136:$G$136)</f>
        <v>10</v>
      </c>
      <c r="I136" s="58">
        <f t="array" ref="I136">INDEX(М[Цена за ед., руб],MATCH(1,IF(($B136=М[Наим.])*($C136=М[Артикул, марка, произв.])*($D136=М[Хар-ка])*($K136=М[Прим.]),{1},($B136=М[Наим.])*($C136=М[Артикул, марка, произв.])*($D136=М[Хар-ка])*($K136=М[Прим.])),0))</f>
        <v>0</v>
      </c>
      <c r="J136" s="58">
        <f>ROUND($H$136*$I$136,2)</f>
        <v>0</v>
      </c>
      <c r="K136" s="25" t="s">
        <v>161</v>
      </c>
      <c r="L136" s="25">
        <f t="array" ref="L136">INDEX(М[Форма закупа],MATCH(1,IF(($B136=М[Наим.])*($C136=М[Артикул, марка, произв.])*($D136=М[Хар-ка])*($K136=М[Прим.]),{1},($B136=М[Наим.])*($C136=М[Артикул, марка, произв.])*($D136=М[Хар-ка])*($K136=М[Прим.])),0))</f>
        <v>0</v>
      </c>
    </row>
    <row r="137" spans="1:12" ht="11.1" customHeight="1" outlineLevel="4" x14ac:dyDescent="0.2">
      <c r="A137" s="20"/>
      <c r="B137" s="14" t="s">
        <v>22</v>
      </c>
      <c r="C137" s="21"/>
      <c r="D137" s="21"/>
      <c r="E137" s="21"/>
      <c r="F137" s="21"/>
      <c r="G137" s="21"/>
      <c r="H137" s="21"/>
      <c r="I137" s="56"/>
      <c r="J137" s="57">
        <f>SUM($J$138)</f>
        <v>0</v>
      </c>
      <c r="K137" s="18"/>
      <c r="L137" s="22"/>
    </row>
    <row r="138" spans="1:12" ht="11.1" customHeight="1" outlineLevel="4" x14ac:dyDescent="0.2">
      <c r="A138" s="23"/>
      <c r="B138" s="24" t="s">
        <v>162</v>
      </c>
      <c r="C138" s="25"/>
      <c r="D138" s="25"/>
      <c r="E138" s="26" t="s">
        <v>24</v>
      </c>
      <c r="F138" s="27"/>
      <c r="G138" s="28">
        <v>78</v>
      </c>
      <c r="H138" s="28">
        <f>SUM($G$138:$G$138)</f>
        <v>78</v>
      </c>
      <c r="I138" s="58">
        <f t="array" ref="I138">INDEX(Р[Цена за ед., руб],MATCH(1,IF(($B138=Р[Наименование])*($K138=Р[Примечание]),{1},($B138=Р[Наименование])*($K138=Р[Примечание])),0))</f>
        <v>0</v>
      </c>
      <c r="J138" s="58">
        <f>ROUND($H$138*$I$138,2)</f>
        <v>0</v>
      </c>
      <c r="K138" s="25"/>
      <c r="L138" s="25"/>
    </row>
    <row r="139" spans="1:12" ht="11.1" customHeight="1" outlineLevel="4" x14ac:dyDescent="0.2">
      <c r="A139" s="20"/>
      <c r="B139" s="14" t="s">
        <v>27</v>
      </c>
      <c r="C139" s="21"/>
      <c r="D139" s="21"/>
      <c r="E139" s="21"/>
      <c r="F139" s="21"/>
      <c r="G139" s="21"/>
      <c r="H139" s="21"/>
      <c r="I139" s="56"/>
      <c r="J139" s="57">
        <f>SUM($J$140)</f>
        <v>0</v>
      </c>
      <c r="K139" s="18"/>
      <c r="L139" s="22"/>
    </row>
    <row r="140" spans="1:12" ht="11.1" customHeight="1" outlineLevel="4" x14ac:dyDescent="0.2">
      <c r="A140" s="23" t="s">
        <v>28</v>
      </c>
      <c r="B140" s="24" t="s">
        <v>163</v>
      </c>
      <c r="C140" s="25"/>
      <c r="D140" s="74" t="s">
        <v>164</v>
      </c>
      <c r="E140" s="26" t="s">
        <v>24</v>
      </c>
      <c r="F140" s="27"/>
      <c r="G140" s="28">
        <v>78</v>
      </c>
      <c r="H140" s="28">
        <f>SUM($G$140:$G$140)</f>
        <v>78</v>
      </c>
      <c r="I140" s="58">
        <f t="array" ref="I140">INDEX(М[Цена за ед., руб],MATCH(1,IF(($B140=М[Наим.])*($C140=М[Артикул, марка, произв.])*($D140=М[Хар-ка])*($K140=М[Прим.]),{1},($B140=М[Наим.])*($C140=М[Артикул, марка, произв.])*($D140=М[Хар-ка])*($K140=М[Прим.])),0))</f>
        <v>0</v>
      </c>
      <c r="J140" s="58">
        <f>ROUND($H$140*$I$140,2)</f>
        <v>0</v>
      </c>
      <c r="K140" s="25"/>
      <c r="L140" s="25">
        <f t="array" ref="L140">INDEX(М[Форма закупа],MATCH(1,IF(($B140=М[Наим.])*($C140=М[Артикул, марка, произв.])*($D140=М[Хар-ка])*($K140=М[Прим.]),{1},($B140=М[Наим.])*($C140=М[Артикул, марка, произв.])*($D140=М[Хар-ка])*($K140=М[Прим.])),0))</f>
        <v>0</v>
      </c>
    </row>
    <row r="141" spans="1:12" ht="11.1" customHeight="1" outlineLevel="4" x14ac:dyDescent="0.2">
      <c r="A141" s="20"/>
      <c r="B141" s="14" t="s">
        <v>22</v>
      </c>
      <c r="C141" s="21"/>
      <c r="D141" s="21"/>
      <c r="E141" s="21"/>
      <c r="F141" s="21"/>
      <c r="G141" s="21"/>
      <c r="H141" s="21"/>
      <c r="I141" s="56"/>
      <c r="J141" s="57">
        <f>SUM($J$142)</f>
        <v>0</v>
      </c>
      <c r="K141" s="18"/>
      <c r="L141" s="22"/>
    </row>
    <row r="142" spans="1:12" ht="11.1" customHeight="1" outlineLevel="4" x14ac:dyDescent="0.2">
      <c r="A142" s="23"/>
      <c r="B142" s="24" t="s">
        <v>102</v>
      </c>
      <c r="C142" s="25"/>
      <c r="D142" s="25"/>
      <c r="E142" s="26" t="s">
        <v>24</v>
      </c>
      <c r="F142" s="27"/>
      <c r="G142" s="28">
        <v>190</v>
      </c>
      <c r="H142" s="28">
        <f>SUM($G$142:$G$142)</f>
        <v>190</v>
      </c>
      <c r="I142" s="58">
        <f t="array" ref="I142">INDEX(Р[Цена за ед., руб],MATCH(1,IF(($B142=Р[Наименование])*($K142=Р[Примечание]),{1},($B142=Р[Наименование])*($K142=Р[Примечание])),0))</f>
        <v>0</v>
      </c>
      <c r="J142" s="58">
        <f>ROUND($H$142*$I$142,2)</f>
        <v>0</v>
      </c>
      <c r="K142" s="25"/>
      <c r="L142" s="25"/>
    </row>
    <row r="143" spans="1:12" ht="11.1" customHeight="1" outlineLevel="4" x14ac:dyDescent="0.2">
      <c r="A143" s="20"/>
      <c r="B143" s="14" t="s">
        <v>27</v>
      </c>
      <c r="C143" s="21"/>
      <c r="D143" s="21"/>
      <c r="E143" s="21"/>
      <c r="F143" s="21"/>
      <c r="G143" s="21"/>
      <c r="H143" s="21"/>
      <c r="I143" s="56"/>
      <c r="J143" s="57">
        <f>SUM($J$144:$J$146)</f>
        <v>0</v>
      </c>
      <c r="K143" s="18"/>
      <c r="L143" s="22"/>
    </row>
    <row r="144" spans="1:12" ht="11.1" customHeight="1" outlineLevel="4" x14ac:dyDescent="0.2">
      <c r="A144" s="23" t="s">
        <v>28</v>
      </c>
      <c r="B144" s="24" t="s">
        <v>103</v>
      </c>
      <c r="C144" s="25"/>
      <c r="D144" s="25"/>
      <c r="E144" s="26" t="s">
        <v>104</v>
      </c>
      <c r="F144" s="27"/>
      <c r="G144" s="28">
        <v>190</v>
      </c>
      <c r="H144" s="28">
        <f>SUM($G$144:$G$144)</f>
        <v>190</v>
      </c>
      <c r="I144" s="58">
        <f t="array" ref="I144">INDEX(М[Цена за ед., руб],MATCH(1,IF(($B144=М[Наим.])*($C144=М[Артикул, марка, произв.])*($D144=М[Хар-ка])*($K144=М[Прим.]),{1},($B144=М[Наим.])*($C144=М[Артикул, марка, произв.])*($D144=М[Хар-ка])*($K144=М[Прим.])),0))</f>
        <v>0</v>
      </c>
      <c r="J144" s="58">
        <f>ROUND($H$144*$I$144,2)</f>
        <v>0</v>
      </c>
      <c r="K144" s="25" t="s">
        <v>165</v>
      </c>
      <c r="L144" s="25">
        <f t="array" ref="L144">INDEX(М[Форма закупа],MATCH(1,IF(($B144=М[Наим.])*($C144=М[Артикул, марка, произв.])*($D144=М[Хар-ка])*($K144=М[Прим.]),{1},($B144=М[Наим.])*($C144=М[Артикул, марка, произв.])*($D144=М[Хар-ка])*($K144=М[Прим.])),0))</f>
        <v>0</v>
      </c>
    </row>
    <row r="145" spans="1:12" ht="23.1" customHeight="1" outlineLevel="4" x14ac:dyDescent="0.2">
      <c r="A145" s="23" t="s">
        <v>33</v>
      </c>
      <c r="B145" s="24" t="s">
        <v>106</v>
      </c>
      <c r="C145" s="25"/>
      <c r="D145" s="25" t="s">
        <v>166</v>
      </c>
      <c r="E145" s="26" t="s">
        <v>24</v>
      </c>
      <c r="F145" s="27"/>
      <c r="G145" s="28">
        <v>190</v>
      </c>
      <c r="H145" s="28">
        <f>SUM($G$145:$G$145)</f>
        <v>190</v>
      </c>
      <c r="I145" s="58">
        <f t="array" ref="I145">INDEX(М[Цена за ед., руб],MATCH(1,IF(($B145=М[Наим.])*($C145=М[Артикул, марка, произв.])*($D145=М[Хар-ка])*($K145=М[Прим.]),{1},($B145=М[Наим.])*($C145=М[Артикул, марка, произв.])*($D145=М[Хар-ка])*($K145=М[Прим.])),0))</f>
        <v>0</v>
      </c>
      <c r="J145" s="58">
        <f>ROUND($H$145*$I$145,2)</f>
        <v>0</v>
      </c>
      <c r="K145" s="25"/>
      <c r="L145" s="25">
        <f t="array" ref="L145">INDEX(М[Форма закупа],MATCH(1,IF(($B145=М[Наим.])*($C145=М[Артикул, марка, произв.])*($D145=М[Хар-ка])*($K145=М[Прим.]),{1},($B145=М[Наим.])*($C145=М[Артикул, марка, произв.])*($D145=М[Хар-ка])*($K145=М[Прим.])),0))</f>
        <v>0</v>
      </c>
    </row>
    <row r="146" spans="1:12" ht="47.1" customHeight="1" outlineLevel="4" x14ac:dyDescent="0.2">
      <c r="A146" s="23" t="s">
        <v>35</v>
      </c>
      <c r="B146" s="24" t="s">
        <v>108</v>
      </c>
      <c r="C146" s="25" t="s">
        <v>109</v>
      </c>
      <c r="D146" s="25" t="s">
        <v>167</v>
      </c>
      <c r="E146" s="26" t="s">
        <v>24</v>
      </c>
      <c r="F146" s="27"/>
      <c r="G146" s="28">
        <v>190</v>
      </c>
      <c r="H146" s="28">
        <f>SUM($G$146:$G$146)</f>
        <v>190</v>
      </c>
      <c r="I146" s="58">
        <f t="array" ref="I146">INDEX(М[Цена за ед., руб],MATCH(1,IF(($B146=М[Наим.])*($C146=М[Артикул, марка, произв.])*($D146=М[Хар-ка])*($K146=М[Прим.]),{1},($B146=М[Наим.])*($C146=М[Артикул, марка, произв.])*($D146=М[Хар-ка])*($K146=М[Прим.])),0))</f>
        <v>0</v>
      </c>
      <c r="J146" s="58">
        <f>ROUND($H$146*$I$146,2)</f>
        <v>0</v>
      </c>
      <c r="K146" s="25"/>
      <c r="L146" s="25">
        <f t="array" ref="L146">INDEX(М[Форма закупа],MATCH(1,IF(($B146=М[Наим.])*($C146=М[Артикул, марка, произв.])*($D146=М[Хар-ка])*($K146=М[Прим.]),{1},($B146=М[Наим.])*($C146=М[Артикул, марка, произв.])*($D146=М[Хар-ка])*($K146=М[Прим.])),0))</f>
        <v>0</v>
      </c>
    </row>
    <row r="147" spans="1:12" ht="11.1" customHeight="1" outlineLevel="4" x14ac:dyDescent="0.2">
      <c r="A147" s="20"/>
      <c r="B147" s="14" t="s">
        <v>22</v>
      </c>
      <c r="C147" s="21"/>
      <c r="D147" s="21"/>
      <c r="E147" s="21"/>
      <c r="F147" s="21"/>
      <c r="G147" s="21"/>
      <c r="H147" s="21"/>
      <c r="I147" s="56"/>
      <c r="J147" s="57">
        <f>SUM($J$148)</f>
        <v>0</v>
      </c>
      <c r="K147" s="18"/>
      <c r="L147" s="22"/>
    </row>
    <row r="148" spans="1:12" ht="11.1" customHeight="1" outlineLevel="4" x14ac:dyDescent="0.2">
      <c r="A148" s="23"/>
      <c r="B148" s="24" t="s">
        <v>168</v>
      </c>
      <c r="C148" s="25"/>
      <c r="D148" s="25"/>
      <c r="E148" s="26" t="s">
        <v>26</v>
      </c>
      <c r="F148" s="27"/>
      <c r="G148" s="28">
        <v>250</v>
      </c>
      <c r="H148" s="28">
        <f>SUM($G$148:$G$148)</f>
        <v>250</v>
      </c>
      <c r="I148" s="58">
        <f t="array" ref="I148">INDEX(Р[Цена за ед., руб],MATCH(1,IF(($B148=Р[Наименование])*($K148=Р[Примечание]),{1},($B148=Р[Наименование])*($K148=Р[Примечание])),0))</f>
        <v>0</v>
      </c>
      <c r="J148" s="58">
        <f>ROUND($H$148*$I$148,2)</f>
        <v>0</v>
      </c>
      <c r="K148" s="25"/>
      <c r="L148" s="25"/>
    </row>
    <row r="149" spans="1:12" ht="11.1" customHeight="1" outlineLevel="4" x14ac:dyDescent="0.2">
      <c r="A149" s="20"/>
      <c r="B149" s="14" t="s">
        <v>27</v>
      </c>
      <c r="C149" s="21"/>
      <c r="D149" s="21"/>
      <c r="E149" s="21"/>
      <c r="F149" s="21"/>
      <c r="G149" s="21"/>
      <c r="H149" s="21"/>
      <c r="I149" s="56"/>
      <c r="J149" s="57">
        <f>SUM($J$150:$J$151)</f>
        <v>0</v>
      </c>
      <c r="K149" s="18"/>
      <c r="L149" s="22"/>
    </row>
    <row r="150" spans="1:12" ht="35.1" customHeight="1" outlineLevel="4" x14ac:dyDescent="0.2">
      <c r="A150" s="23" t="s">
        <v>28</v>
      </c>
      <c r="B150" s="24" t="s">
        <v>29</v>
      </c>
      <c r="C150" s="25" t="s">
        <v>30</v>
      </c>
      <c r="D150" s="25" t="s">
        <v>42</v>
      </c>
      <c r="E150" s="26" t="s">
        <v>32</v>
      </c>
      <c r="F150" s="27"/>
      <c r="G150" s="28">
        <v>230</v>
      </c>
      <c r="H150" s="28">
        <f>SUM($G$150:$G$150)</f>
        <v>230</v>
      </c>
      <c r="I150" s="58">
        <f t="array" ref="I150">INDEX(М[Цена за ед., руб],MATCH(1,IF(($B150=М[Наим.])*($C150=М[Артикул, марка, произв.])*($D150=М[Хар-ка])*($K150=М[Прим.]),{1},($B150=М[Наим.])*($C150=М[Артикул, марка, произв.])*($D150=М[Хар-ка])*($K150=М[Прим.])),0))</f>
        <v>0</v>
      </c>
      <c r="J150" s="58">
        <f>ROUND($H$150*$I$150,2)</f>
        <v>0</v>
      </c>
      <c r="K150" s="25"/>
      <c r="L150" s="25">
        <f t="array" ref="L150">INDEX(М[Форма закупа],MATCH(1,IF(($B150=М[Наим.])*($C150=М[Артикул, марка, произв.])*($D150=М[Хар-ка])*($K150=М[Прим.]),{1},($B150=М[Наим.])*($C150=М[Артикул, марка, произв.])*($D150=М[Хар-ка])*($K150=М[Прим.])),0))</f>
        <v>0</v>
      </c>
    </row>
    <row r="151" spans="1:12" ht="35.1" customHeight="1" outlineLevel="4" x14ac:dyDescent="0.2">
      <c r="A151" s="23" t="s">
        <v>33</v>
      </c>
      <c r="B151" s="24" t="s">
        <v>29</v>
      </c>
      <c r="C151" s="25" t="s">
        <v>30</v>
      </c>
      <c r="D151" s="25" t="s">
        <v>169</v>
      </c>
      <c r="E151" s="26" t="s">
        <v>32</v>
      </c>
      <c r="F151" s="27"/>
      <c r="G151" s="28">
        <v>20</v>
      </c>
      <c r="H151" s="28">
        <f>SUM($G$151:$G$151)</f>
        <v>20</v>
      </c>
      <c r="I151" s="58">
        <f t="array" ref="I151">INDEX(М[Цена за ед., руб],MATCH(1,IF(($B151=М[Наим.])*($C151=М[Артикул, марка, произв.])*($D151=М[Хар-ка])*($K151=М[Прим.]),{1},($B151=М[Наим.])*($C151=М[Артикул, марка, произв.])*($D151=М[Хар-ка])*($K151=М[Прим.])),0))</f>
        <v>0</v>
      </c>
      <c r="J151" s="58">
        <f>ROUND($H$151*$I$151,2)</f>
        <v>0</v>
      </c>
      <c r="K151" s="25"/>
      <c r="L151" s="25">
        <f t="array" ref="L151">INDEX(М[Форма закупа],MATCH(1,IF(($B151=М[Наим.])*($C151=М[Артикул, марка, произв.])*($D151=М[Хар-ка])*($K151=М[Прим.]),{1},($B151=М[Наим.])*($C151=М[Артикул, марка, произв.])*($D151=М[Хар-ка])*($K151=М[Прим.])),0))</f>
        <v>0</v>
      </c>
    </row>
    <row r="152" spans="1:12" ht="11.1" customHeight="1" outlineLevel="4" x14ac:dyDescent="0.2">
      <c r="A152" s="20"/>
      <c r="B152" s="14" t="s">
        <v>22</v>
      </c>
      <c r="C152" s="21"/>
      <c r="D152" s="21"/>
      <c r="E152" s="21"/>
      <c r="F152" s="21"/>
      <c r="G152" s="21"/>
      <c r="H152" s="21"/>
      <c r="I152" s="56"/>
      <c r="J152" s="57">
        <f>SUM($J$153)</f>
        <v>0</v>
      </c>
      <c r="K152" s="18"/>
      <c r="L152" s="22"/>
    </row>
    <row r="153" spans="1:12" ht="11.1" customHeight="1" outlineLevel="4" x14ac:dyDescent="0.2">
      <c r="A153" s="23"/>
      <c r="B153" s="24" t="s">
        <v>170</v>
      </c>
      <c r="C153" s="25"/>
      <c r="D153" s="25"/>
      <c r="E153" s="26" t="s">
        <v>24</v>
      </c>
      <c r="F153" s="27"/>
      <c r="G153" s="28">
        <v>138</v>
      </c>
      <c r="H153" s="28">
        <f>SUM($G$153:$G$153)</f>
        <v>138</v>
      </c>
      <c r="I153" s="58">
        <f t="array" ref="I153">INDEX(Р[Цена за ед., руб],MATCH(1,IF(($B153=Р[Наименование])*($K153=Р[Примечание]),{1},($B153=Р[Наименование])*($K153=Р[Примечание])),0))</f>
        <v>0</v>
      </c>
      <c r="J153" s="58">
        <f>ROUND($H$153*$I$153,2)</f>
        <v>0</v>
      </c>
      <c r="K153" s="25"/>
      <c r="L153" s="25"/>
    </row>
    <row r="154" spans="1:12" ht="11.1" customHeight="1" outlineLevel="4" x14ac:dyDescent="0.2">
      <c r="A154" s="20"/>
      <c r="B154" s="14" t="s">
        <v>22</v>
      </c>
      <c r="C154" s="21"/>
      <c r="D154" s="21"/>
      <c r="E154" s="21"/>
      <c r="F154" s="21"/>
      <c r="G154" s="21"/>
      <c r="H154" s="21"/>
      <c r="I154" s="56"/>
      <c r="J154" s="57">
        <f>SUM($J$155)</f>
        <v>0</v>
      </c>
      <c r="K154" s="18"/>
      <c r="L154" s="22"/>
    </row>
    <row r="155" spans="1:12" ht="11.1" customHeight="1" outlineLevel="4" x14ac:dyDescent="0.2">
      <c r="A155" s="23"/>
      <c r="B155" s="24" t="s">
        <v>118</v>
      </c>
      <c r="C155" s="25"/>
      <c r="D155" s="25"/>
      <c r="E155" s="26" t="s">
        <v>32</v>
      </c>
      <c r="F155" s="27"/>
      <c r="G155" s="28">
        <v>252</v>
      </c>
      <c r="H155" s="28">
        <f>SUM($G$155:$G$155)</f>
        <v>252</v>
      </c>
      <c r="I155" s="58">
        <f t="array" ref="I155">INDEX(Р[Цена за ед., руб],MATCH(1,IF(($B155=Р[Наименование])*($K155=Р[Примечание]),{1},($B155=Р[Наименование])*($K155=Р[Примечание])),0))</f>
        <v>0</v>
      </c>
      <c r="J155" s="58">
        <f>ROUND($H$155*$I$155,2)</f>
        <v>0</v>
      </c>
      <c r="K155" s="25"/>
      <c r="L155" s="25"/>
    </row>
    <row r="156" spans="1:12" ht="11.1" customHeight="1" outlineLevel="4" x14ac:dyDescent="0.2">
      <c r="A156" s="20"/>
      <c r="B156" s="14" t="s">
        <v>27</v>
      </c>
      <c r="C156" s="21"/>
      <c r="D156" s="21"/>
      <c r="E156" s="21"/>
      <c r="F156" s="21"/>
      <c r="G156" s="21"/>
      <c r="H156" s="21"/>
      <c r="I156" s="56"/>
      <c r="J156" s="57">
        <f>SUM($J$157:$J$159)</f>
        <v>0</v>
      </c>
      <c r="K156" s="18"/>
      <c r="L156" s="22"/>
    </row>
    <row r="157" spans="1:12" ht="35.1" customHeight="1" outlineLevel="4" x14ac:dyDescent="0.2">
      <c r="A157" s="23" t="s">
        <v>28</v>
      </c>
      <c r="B157" s="24" t="s">
        <v>119</v>
      </c>
      <c r="C157" s="25"/>
      <c r="D157" s="25" t="s">
        <v>121</v>
      </c>
      <c r="E157" s="26" t="s">
        <v>32</v>
      </c>
      <c r="F157" s="27"/>
      <c r="G157" s="28">
        <v>2</v>
      </c>
      <c r="H157" s="28">
        <f>SUM($G$157:$G$157)</f>
        <v>2</v>
      </c>
      <c r="I157" s="58">
        <f t="array" ref="I157">INDEX(М[Цена за ед., руб],MATCH(1,IF(($B157=М[Наим.])*($C157=М[Артикул, марка, произв.])*($D157=М[Хар-ка])*($K157=М[Прим.]),{1},($B157=М[Наим.])*($C157=М[Артикул, марка, произв.])*($D157=М[Хар-ка])*($K157=М[Прим.])),0))</f>
        <v>0</v>
      </c>
      <c r="J157" s="58">
        <f>ROUND($H$157*$I$157,2)</f>
        <v>0</v>
      </c>
      <c r="K157" s="25"/>
      <c r="L157" s="25">
        <f t="array" ref="L157">INDEX(М[Форма закупа],MATCH(1,IF(($B157=М[Наим.])*($C157=М[Артикул, марка, произв.])*($D157=М[Хар-ка])*($K157=М[Прим.]),{1},($B157=М[Наим.])*($C157=М[Артикул, марка, произв.])*($D157=М[Хар-ка])*($K157=М[Прим.])),0))</f>
        <v>0</v>
      </c>
    </row>
    <row r="158" spans="1:12" ht="35.1" customHeight="1" outlineLevel="4" x14ac:dyDescent="0.2">
      <c r="A158" s="23" t="s">
        <v>33</v>
      </c>
      <c r="B158" s="24" t="s">
        <v>119</v>
      </c>
      <c r="C158" s="25"/>
      <c r="D158" s="25" t="s">
        <v>171</v>
      </c>
      <c r="E158" s="26" t="s">
        <v>32</v>
      </c>
      <c r="F158" s="27"/>
      <c r="G158" s="28">
        <v>20</v>
      </c>
      <c r="H158" s="28">
        <f>SUM($G$158:$G$158)</f>
        <v>20</v>
      </c>
      <c r="I158" s="58">
        <f t="array" ref="I158">INDEX(М[Цена за ед., руб],MATCH(1,IF(($B158=М[Наим.])*($C158=М[Артикул, марка, произв.])*($D158=М[Хар-ка])*($K158=М[Прим.]),{1},($B158=М[Наим.])*($C158=М[Артикул, марка, произв.])*($D158=М[Хар-ка])*($K158=М[Прим.])),0))</f>
        <v>0</v>
      </c>
      <c r="J158" s="58">
        <f>ROUND($H$158*$I$158,2)</f>
        <v>0</v>
      </c>
      <c r="K158" s="25"/>
      <c r="L158" s="25">
        <f t="array" ref="L158">INDEX(М[Форма закупа],MATCH(1,IF(($B158=М[Наим.])*($C158=М[Артикул, марка, произв.])*($D158=М[Хар-ка])*($K158=М[Прим.]),{1},($B158=М[Наим.])*($C158=М[Артикул, марка, произв.])*($D158=М[Хар-ка])*($K158=М[Прим.])),0))</f>
        <v>0</v>
      </c>
    </row>
    <row r="159" spans="1:12" ht="35.1" customHeight="1" outlineLevel="4" x14ac:dyDescent="0.2">
      <c r="A159" s="23" t="s">
        <v>35</v>
      </c>
      <c r="B159" s="24" t="s">
        <v>119</v>
      </c>
      <c r="C159" s="25"/>
      <c r="D159" s="25" t="s">
        <v>123</v>
      </c>
      <c r="E159" s="26" t="s">
        <v>32</v>
      </c>
      <c r="F159" s="27"/>
      <c r="G159" s="28">
        <v>230</v>
      </c>
      <c r="H159" s="28">
        <f>SUM($G$159:$G$159)</f>
        <v>230</v>
      </c>
      <c r="I159" s="58">
        <f t="array" ref="I159">INDEX(М[Цена за ед., руб],MATCH(1,IF(($B159=М[Наим.])*($C159=М[Артикул, марка, произв.])*($D159=М[Хар-ка])*($K159=М[Прим.]),{1},($B159=М[Наим.])*($C159=М[Артикул, марка, произв.])*($D159=М[Хар-ка])*($K159=М[Прим.])),0))</f>
        <v>0</v>
      </c>
      <c r="J159" s="58">
        <f>ROUND($H$159*$I$159,2)</f>
        <v>0</v>
      </c>
      <c r="K159" s="25"/>
      <c r="L159" s="25">
        <f t="array" ref="L159">INDEX(М[Форма закупа],MATCH(1,IF(($B159=М[Наим.])*($C159=М[Артикул, марка, произв.])*($D159=М[Хар-ка])*($K159=М[Прим.]),{1},($B159=М[Наим.])*($C159=М[Артикул, марка, произв.])*($D159=М[Хар-ка])*($K159=М[Прим.])),0))</f>
        <v>0</v>
      </c>
    </row>
    <row r="160" spans="1:12" ht="11.1" customHeight="1" outlineLevel="3" x14ac:dyDescent="0.2">
      <c r="A160" s="13" t="s">
        <v>172</v>
      </c>
      <c r="B160" s="14" t="s">
        <v>173</v>
      </c>
      <c r="C160" s="15"/>
      <c r="D160" s="15"/>
      <c r="E160" s="16"/>
      <c r="F160" s="17"/>
      <c r="G160" s="18"/>
      <c r="H160" s="18"/>
      <c r="I160" s="55"/>
      <c r="J160" s="55">
        <f>SUM($J$195,$J$193,$J$191,$J$187,$J$185,$J$183,$J$181,$J$179,$J$177,$J$175,$J$173,$J$171,$J$169,$J$165,$J$163,$J$161)</f>
        <v>0</v>
      </c>
      <c r="K160" s="19"/>
      <c r="L160" s="19"/>
    </row>
    <row r="161" spans="1:12" ht="11.1" customHeight="1" outlineLevel="4" x14ac:dyDescent="0.2">
      <c r="A161" s="20"/>
      <c r="B161" s="14" t="s">
        <v>22</v>
      </c>
      <c r="C161" s="21"/>
      <c r="D161" s="21"/>
      <c r="E161" s="21"/>
      <c r="F161" s="21"/>
      <c r="G161" s="21"/>
      <c r="H161" s="21"/>
      <c r="I161" s="56"/>
      <c r="J161" s="57">
        <f>SUM($J$162)</f>
        <v>0</v>
      </c>
      <c r="K161" s="18"/>
      <c r="L161" s="22"/>
    </row>
    <row r="162" spans="1:12" ht="11.1" customHeight="1" outlineLevel="4" x14ac:dyDescent="0.2">
      <c r="A162" s="23"/>
      <c r="B162" s="24" t="s">
        <v>156</v>
      </c>
      <c r="C162" s="25"/>
      <c r="D162" s="25"/>
      <c r="E162" s="26" t="s">
        <v>24</v>
      </c>
      <c r="F162" s="27"/>
      <c r="G162" s="28">
        <v>103</v>
      </c>
      <c r="H162" s="28">
        <f>SUM($G$162:$G$162)</f>
        <v>103</v>
      </c>
      <c r="I162" s="58">
        <f t="array" ref="I162">INDEX(Р[Цена за ед., руб],MATCH(1,IF(($B162=Р[Наименование])*($K162=Р[Примечание]),{1},($B162=Р[Наименование])*($K162=Р[Примечание])),0))</f>
        <v>0</v>
      </c>
      <c r="J162" s="58">
        <f>ROUND($H$162*$I$162,2)</f>
        <v>0</v>
      </c>
      <c r="K162" s="25"/>
      <c r="L162" s="25"/>
    </row>
    <row r="163" spans="1:12" ht="11.1" customHeight="1" outlineLevel="4" x14ac:dyDescent="0.2">
      <c r="A163" s="20"/>
      <c r="B163" s="14" t="s">
        <v>22</v>
      </c>
      <c r="C163" s="21"/>
      <c r="D163" s="21"/>
      <c r="E163" s="21"/>
      <c r="F163" s="21"/>
      <c r="G163" s="21"/>
      <c r="H163" s="21"/>
      <c r="I163" s="56"/>
      <c r="J163" s="57">
        <f>SUM($J$164)</f>
        <v>0</v>
      </c>
      <c r="K163" s="18"/>
      <c r="L163" s="22"/>
    </row>
    <row r="164" spans="1:12" ht="11.1" customHeight="1" outlineLevel="4" x14ac:dyDescent="0.2">
      <c r="A164" s="23"/>
      <c r="B164" s="24" t="s">
        <v>25</v>
      </c>
      <c r="C164" s="25"/>
      <c r="D164" s="25"/>
      <c r="E164" s="26" t="s">
        <v>26</v>
      </c>
      <c r="F164" s="27"/>
      <c r="G164" s="28">
        <v>334</v>
      </c>
      <c r="H164" s="28">
        <f>SUM($G$164:$G$164)</f>
        <v>334</v>
      </c>
      <c r="I164" s="58">
        <f t="array" ref="I164">INDEX(Р[Цена за ед., руб],MATCH(1,IF(($B164=Р[Наименование])*($K164=Р[Примечание]),{1},($B164=Р[Наименование])*($K164=Р[Примечание])),0))</f>
        <v>0</v>
      </c>
      <c r="J164" s="58">
        <f>ROUND($H$164*$I$164,2)</f>
        <v>0</v>
      </c>
      <c r="K164" s="25"/>
      <c r="L164" s="25"/>
    </row>
    <row r="165" spans="1:12" ht="11.1" customHeight="1" outlineLevel="4" x14ac:dyDescent="0.2">
      <c r="A165" s="20"/>
      <c r="B165" s="14" t="s">
        <v>27</v>
      </c>
      <c r="C165" s="21"/>
      <c r="D165" s="21"/>
      <c r="E165" s="21"/>
      <c r="F165" s="21"/>
      <c r="G165" s="21"/>
      <c r="H165" s="21"/>
      <c r="I165" s="56"/>
      <c r="J165" s="57">
        <f>SUM($J$166:$J$168)</f>
        <v>0</v>
      </c>
      <c r="K165" s="18"/>
      <c r="L165" s="22"/>
    </row>
    <row r="166" spans="1:12" ht="35.1" customHeight="1" outlineLevel="4" x14ac:dyDescent="0.2">
      <c r="A166" s="23" t="s">
        <v>28</v>
      </c>
      <c r="B166" s="24" t="s">
        <v>29</v>
      </c>
      <c r="C166" s="25" t="s">
        <v>30</v>
      </c>
      <c r="D166" s="25" t="s">
        <v>42</v>
      </c>
      <c r="E166" s="26" t="s">
        <v>32</v>
      </c>
      <c r="F166" s="27"/>
      <c r="G166" s="28">
        <v>310</v>
      </c>
      <c r="H166" s="28">
        <f>SUM($G$166:$G$166)</f>
        <v>310</v>
      </c>
      <c r="I166" s="58">
        <f t="array" ref="I166">INDEX(М[Цена за ед., руб],MATCH(1,IF(($B166=М[Наим.])*($C166=М[Артикул, марка, произв.])*($D166=М[Хар-ка])*($K166=М[Прим.]),{1},($B166=М[Наим.])*($C166=М[Артикул, марка, произв.])*($D166=М[Хар-ка])*($K166=М[Прим.])),0))</f>
        <v>0</v>
      </c>
      <c r="J166" s="58">
        <f>ROUND($H$166*$I$166,2)</f>
        <v>0</v>
      </c>
      <c r="K166" s="25"/>
      <c r="L166" s="25">
        <f t="array" ref="L166">INDEX(М[Форма закупа],MATCH(1,IF(($B166=М[Наим.])*($C166=М[Артикул, марка, произв.])*($D166=М[Хар-ка])*($K166=М[Прим.]),{1},($B166=М[Наим.])*($C166=М[Артикул, марка, произв.])*($D166=М[Хар-ка])*($K166=М[Прим.])),0))</f>
        <v>0</v>
      </c>
    </row>
    <row r="167" spans="1:12" ht="35.1" customHeight="1" outlineLevel="4" x14ac:dyDescent="0.2">
      <c r="A167" s="23" t="s">
        <v>33</v>
      </c>
      <c r="B167" s="24" t="s">
        <v>29</v>
      </c>
      <c r="C167" s="25" t="s">
        <v>30</v>
      </c>
      <c r="D167" s="25" t="s">
        <v>48</v>
      </c>
      <c r="E167" s="26" t="s">
        <v>32</v>
      </c>
      <c r="F167" s="27"/>
      <c r="G167" s="28">
        <v>4</v>
      </c>
      <c r="H167" s="28">
        <f>SUM($G$167:$G$167)</f>
        <v>4</v>
      </c>
      <c r="I167" s="58">
        <f t="array" ref="I167">INDEX(М[Цена за ед., руб],MATCH(1,IF(($B167=М[Наим.])*($C167=М[Артикул, марка, произв.])*($D167=М[Хар-ка])*($K167=М[Прим.]),{1},($B167=М[Наим.])*($C167=М[Артикул, марка, произв.])*($D167=М[Хар-ка])*($K167=М[Прим.])),0))</f>
        <v>0</v>
      </c>
      <c r="J167" s="58">
        <f>ROUND($H$167*$I$167,2)</f>
        <v>0</v>
      </c>
      <c r="K167" s="25"/>
      <c r="L167" s="25">
        <f t="array" ref="L167">INDEX(М[Форма закупа],MATCH(1,IF(($B167=М[Наим.])*($C167=М[Артикул, марка, произв.])*($D167=М[Хар-ка])*($K167=М[Прим.]),{1},($B167=М[Наим.])*($C167=М[Артикул, марка, произв.])*($D167=М[Хар-ка])*($K167=М[Прим.])),0))</f>
        <v>0</v>
      </c>
    </row>
    <row r="168" spans="1:12" ht="35.1" customHeight="1" outlineLevel="4" x14ac:dyDescent="0.2">
      <c r="A168" s="23" t="s">
        <v>35</v>
      </c>
      <c r="B168" s="24" t="s">
        <v>29</v>
      </c>
      <c r="C168" s="25" t="s">
        <v>30</v>
      </c>
      <c r="D168" s="25" t="s">
        <v>169</v>
      </c>
      <c r="E168" s="26" t="s">
        <v>32</v>
      </c>
      <c r="F168" s="27"/>
      <c r="G168" s="28">
        <v>20</v>
      </c>
      <c r="H168" s="28">
        <f>SUM($G$168:$G$168)</f>
        <v>20</v>
      </c>
      <c r="I168" s="58">
        <f t="array" ref="I168">INDEX(М[Цена за ед., руб],MATCH(1,IF(($B168=М[Наим.])*($C168=М[Артикул, марка, произв.])*($D168=М[Хар-ка])*($K168=М[Прим.]),{1},($B168=М[Наим.])*($C168=М[Артикул, марка, произв.])*($D168=М[Хар-ка])*($K168=М[Прим.])),0))</f>
        <v>0</v>
      </c>
      <c r="J168" s="58">
        <f>ROUND($H$168*$I$168,2)</f>
        <v>0</v>
      </c>
      <c r="K168" s="25"/>
      <c r="L168" s="25">
        <f t="array" ref="L168">INDEX(М[Форма закупа],MATCH(1,IF(($B168=М[Наим.])*($C168=М[Артикул, марка, произв.])*($D168=М[Хар-ка])*($K168=М[Прим.]),{1},($B168=М[Наим.])*($C168=М[Артикул, марка, произв.])*($D168=М[Хар-ка])*($K168=М[Прим.])),0))</f>
        <v>0</v>
      </c>
    </row>
    <row r="169" spans="1:12" ht="11.1" customHeight="1" outlineLevel="4" x14ac:dyDescent="0.2">
      <c r="A169" s="20"/>
      <c r="B169" s="14" t="s">
        <v>22</v>
      </c>
      <c r="C169" s="21"/>
      <c r="D169" s="21"/>
      <c r="E169" s="21"/>
      <c r="F169" s="21"/>
      <c r="G169" s="21"/>
      <c r="H169" s="21"/>
      <c r="I169" s="56"/>
      <c r="J169" s="57">
        <f>SUM($J$170)</f>
        <v>0</v>
      </c>
      <c r="K169" s="18"/>
      <c r="L169" s="22"/>
    </row>
    <row r="170" spans="1:12" ht="23.1" customHeight="1" outlineLevel="4" x14ac:dyDescent="0.2">
      <c r="A170" s="23"/>
      <c r="B170" s="24" t="s">
        <v>51</v>
      </c>
      <c r="C170" s="25"/>
      <c r="D170" s="25"/>
      <c r="E170" s="26" t="s">
        <v>24</v>
      </c>
      <c r="F170" s="27"/>
      <c r="G170" s="28">
        <v>4</v>
      </c>
      <c r="H170" s="28">
        <f>SUM($G$170:$G$170)</f>
        <v>4</v>
      </c>
      <c r="I170" s="58">
        <f t="array" ref="I170">INDEX(Р[Цена за ед., руб],MATCH(1,IF(($B170=Р[Наименование])*($K170=Р[Примечание]),{1},($B170=Р[Наименование])*($K170=Р[Примечание])),0))</f>
        <v>0</v>
      </c>
      <c r="J170" s="58">
        <f>ROUND($H$170*$I$170,2)</f>
        <v>0</v>
      </c>
      <c r="K170" s="25"/>
      <c r="L170" s="25"/>
    </row>
    <row r="171" spans="1:12" ht="11.1" customHeight="1" outlineLevel="4" x14ac:dyDescent="0.2">
      <c r="A171" s="20"/>
      <c r="B171" s="14" t="s">
        <v>27</v>
      </c>
      <c r="C171" s="21"/>
      <c r="D171" s="21"/>
      <c r="E171" s="21"/>
      <c r="F171" s="21"/>
      <c r="G171" s="21"/>
      <c r="H171" s="21"/>
      <c r="I171" s="56"/>
      <c r="J171" s="57">
        <f>SUM($J$172)</f>
        <v>0</v>
      </c>
      <c r="K171" s="18"/>
      <c r="L171" s="22"/>
    </row>
    <row r="172" spans="1:12" ht="23.1" customHeight="1" outlineLevel="4" x14ac:dyDescent="0.2">
      <c r="A172" s="23" t="s">
        <v>28</v>
      </c>
      <c r="B172" s="24" t="s">
        <v>52</v>
      </c>
      <c r="C172" s="25" t="s">
        <v>53</v>
      </c>
      <c r="D172" s="25" t="s">
        <v>54</v>
      </c>
      <c r="E172" s="26" t="s">
        <v>24</v>
      </c>
      <c r="F172" s="27"/>
      <c r="G172" s="28">
        <v>4</v>
      </c>
      <c r="H172" s="28">
        <f>SUM($G$172:$G$172)</f>
        <v>4</v>
      </c>
      <c r="I172" s="58">
        <f t="array" ref="I172">INDEX(М[Цена за ед., руб],MATCH(1,IF(($B172=М[Наим.])*($C172=М[Артикул, марка, произв.])*($D172=М[Хар-ка])*($K172=М[Прим.]),{1},($B172=М[Наим.])*($C172=М[Артикул, марка, произв.])*($D172=М[Хар-ка])*($K172=М[Прим.])),0))</f>
        <v>0</v>
      </c>
      <c r="J172" s="58">
        <f>ROUND($H$172*$I$172,2)</f>
        <v>0</v>
      </c>
      <c r="K172" s="25"/>
      <c r="L172" s="25">
        <f t="array" ref="L172">INDEX(М[Форма закупа],MATCH(1,IF(($B172=М[Наим.])*($C172=М[Артикул, марка, произв.])*($D172=М[Хар-ка])*($K172=М[Прим.]),{1},($B172=М[Наим.])*($C172=М[Артикул, марка, произв.])*($D172=М[Хар-ка])*($K172=М[Прим.])),0))</f>
        <v>0</v>
      </c>
    </row>
    <row r="173" spans="1:12" ht="11.1" customHeight="1" outlineLevel="4" x14ac:dyDescent="0.2">
      <c r="A173" s="20"/>
      <c r="B173" s="14" t="s">
        <v>22</v>
      </c>
      <c r="C173" s="21"/>
      <c r="D173" s="21"/>
      <c r="E173" s="21"/>
      <c r="F173" s="21"/>
      <c r="G173" s="21"/>
      <c r="H173" s="21"/>
      <c r="I173" s="56"/>
      <c r="J173" s="57">
        <f>SUM($J$174)</f>
        <v>0</v>
      </c>
      <c r="K173" s="18"/>
      <c r="L173" s="22"/>
    </row>
    <row r="174" spans="1:12" ht="11.1" customHeight="1" outlineLevel="4" x14ac:dyDescent="0.2">
      <c r="A174" s="23"/>
      <c r="B174" s="24" t="s">
        <v>157</v>
      </c>
      <c r="C174" s="25"/>
      <c r="D174" s="25"/>
      <c r="E174" s="26" t="s">
        <v>158</v>
      </c>
      <c r="F174" s="27"/>
      <c r="G174" s="28">
        <v>10</v>
      </c>
      <c r="H174" s="28">
        <f>SUM($G$174:$G$174)</f>
        <v>10</v>
      </c>
      <c r="I174" s="58">
        <f t="array" ref="I174">INDEX(Р[Цена за ед., руб],MATCH(1,IF(($B174=Р[Наименование])*($K174=Р[Примечание]),{1},($B174=Р[Наименование])*($K174=Р[Примечание])),0))</f>
        <v>0</v>
      </c>
      <c r="J174" s="58">
        <f>ROUND($H$174*$I$174,2)</f>
        <v>0</v>
      </c>
      <c r="K174" s="25"/>
      <c r="L174" s="25"/>
    </row>
    <row r="175" spans="1:12" ht="11.1" customHeight="1" outlineLevel="4" x14ac:dyDescent="0.2">
      <c r="A175" s="20"/>
      <c r="B175" s="14" t="s">
        <v>27</v>
      </c>
      <c r="C175" s="21"/>
      <c r="D175" s="21"/>
      <c r="E175" s="21"/>
      <c r="F175" s="21"/>
      <c r="G175" s="21"/>
      <c r="H175" s="21"/>
      <c r="I175" s="56"/>
      <c r="J175" s="57">
        <f>SUM($J$176)</f>
        <v>0</v>
      </c>
      <c r="K175" s="18"/>
      <c r="L175" s="22"/>
    </row>
    <row r="176" spans="1:12" ht="23.1" customHeight="1" outlineLevel="4" x14ac:dyDescent="0.2">
      <c r="A176" s="23" t="s">
        <v>28</v>
      </c>
      <c r="B176" s="24" t="s">
        <v>159</v>
      </c>
      <c r="C176" s="25"/>
      <c r="D176" s="25" t="s">
        <v>160</v>
      </c>
      <c r="E176" s="26" t="s">
        <v>158</v>
      </c>
      <c r="F176" s="27"/>
      <c r="G176" s="28">
        <v>10</v>
      </c>
      <c r="H176" s="28">
        <f>SUM($G$176:$G$176)</f>
        <v>10</v>
      </c>
      <c r="I176" s="58">
        <f t="array" ref="I176">INDEX(М[Цена за ед., руб],MATCH(1,IF(($B176=М[Наим.])*($C176=М[Артикул, марка, произв.])*($D176=М[Хар-ка])*($K176=М[Прим.]),{1},($B176=М[Наим.])*($C176=М[Артикул, марка, произв.])*($D176=М[Хар-ка])*($K176=М[Прим.])),0))</f>
        <v>0</v>
      </c>
      <c r="J176" s="58">
        <f>ROUND($H$176*$I$176,2)</f>
        <v>0</v>
      </c>
      <c r="K176" s="25" t="s">
        <v>161</v>
      </c>
      <c r="L176" s="25">
        <f t="array" ref="L176">INDEX(М[Форма закупа],MATCH(1,IF(($B176=М[Наим.])*($C176=М[Артикул, марка, произв.])*($D176=М[Хар-ка])*($K176=М[Прим.]),{1},($B176=М[Наим.])*($C176=М[Артикул, марка, произв.])*($D176=М[Хар-ка])*($K176=М[Прим.])),0))</f>
        <v>0</v>
      </c>
    </row>
    <row r="177" spans="1:12" ht="11.1" customHeight="1" outlineLevel="4" x14ac:dyDescent="0.2">
      <c r="A177" s="20"/>
      <c r="B177" s="14" t="s">
        <v>22</v>
      </c>
      <c r="C177" s="21"/>
      <c r="D177" s="21"/>
      <c r="E177" s="21"/>
      <c r="F177" s="21"/>
      <c r="G177" s="21"/>
      <c r="H177" s="21"/>
      <c r="I177" s="56"/>
      <c r="J177" s="57">
        <f>SUM($J$178)</f>
        <v>0</v>
      </c>
      <c r="K177" s="18"/>
      <c r="L177" s="22"/>
    </row>
    <row r="178" spans="1:12" ht="23.1" customHeight="1" outlineLevel="4" x14ac:dyDescent="0.2">
      <c r="A178" s="23"/>
      <c r="B178" s="24" t="s">
        <v>75</v>
      </c>
      <c r="C178" s="25"/>
      <c r="D178" s="25"/>
      <c r="E178" s="26" t="s">
        <v>24</v>
      </c>
      <c r="F178" s="27"/>
      <c r="G178" s="28">
        <v>4</v>
      </c>
      <c r="H178" s="28">
        <f>SUM($G$178:$G$178)</f>
        <v>4</v>
      </c>
      <c r="I178" s="58">
        <f t="array" ref="I178">INDEX(Р[Цена за ед., руб],MATCH(1,IF(($B178=Р[Наименование])*($K178=Р[Примечание]),{1},($B178=Р[Наименование])*($K178=Р[Примечание])),0))</f>
        <v>0</v>
      </c>
      <c r="J178" s="58">
        <f>ROUND($H$178*$I$178,2)</f>
        <v>0</v>
      </c>
      <c r="K178" s="25"/>
      <c r="L178" s="25"/>
    </row>
    <row r="179" spans="1:12" ht="11.1" customHeight="1" outlineLevel="4" x14ac:dyDescent="0.2">
      <c r="A179" s="20"/>
      <c r="B179" s="14" t="s">
        <v>27</v>
      </c>
      <c r="C179" s="21"/>
      <c r="D179" s="21"/>
      <c r="E179" s="21"/>
      <c r="F179" s="21"/>
      <c r="G179" s="21"/>
      <c r="H179" s="21"/>
      <c r="I179" s="56"/>
      <c r="J179" s="57">
        <f>SUM($J$180)</f>
        <v>0</v>
      </c>
      <c r="K179" s="18"/>
      <c r="L179" s="22"/>
    </row>
    <row r="180" spans="1:12" ht="23.1" customHeight="1" outlineLevel="4" x14ac:dyDescent="0.2">
      <c r="A180" s="23" t="s">
        <v>28</v>
      </c>
      <c r="B180" s="24" t="s">
        <v>73</v>
      </c>
      <c r="C180" s="25" t="s">
        <v>53</v>
      </c>
      <c r="D180" s="25" t="s">
        <v>80</v>
      </c>
      <c r="E180" s="26" t="s">
        <v>24</v>
      </c>
      <c r="F180" s="27"/>
      <c r="G180" s="28">
        <v>4</v>
      </c>
      <c r="H180" s="28">
        <f>SUM($G$180:$G$180)</f>
        <v>4</v>
      </c>
      <c r="I180" s="58">
        <f t="array" ref="I180">INDEX(М[Цена за ед., руб],MATCH(1,IF(($B180=М[Наим.])*($C180=М[Артикул, марка, произв.])*($D180=М[Хар-ка])*($K180=М[Прим.]),{1},($B180=М[Наим.])*($C180=М[Артикул, марка, произв.])*($D180=М[Хар-ка])*($K180=М[Прим.])),0))</f>
        <v>0</v>
      </c>
      <c r="J180" s="58">
        <f>ROUND($H$180*$I$180,2)</f>
        <v>0</v>
      </c>
      <c r="K180" s="25"/>
      <c r="L180" s="25">
        <f t="array" ref="L180">INDEX(М[Форма закупа],MATCH(1,IF(($B180=М[Наим.])*($C180=М[Артикул, марка, произв.])*($D180=М[Хар-ка])*($K180=М[Прим.]),{1},($B180=М[Наим.])*($C180=М[Артикул, марка, произв.])*($D180=М[Хар-ка])*($K180=М[Прим.])),0))</f>
        <v>0</v>
      </c>
    </row>
    <row r="181" spans="1:12" ht="11.1" customHeight="1" outlineLevel="4" x14ac:dyDescent="0.2">
      <c r="A181" s="20"/>
      <c r="B181" s="14" t="s">
        <v>22</v>
      </c>
      <c r="C181" s="21"/>
      <c r="D181" s="21"/>
      <c r="E181" s="21"/>
      <c r="F181" s="21"/>
      <c r="G181" s="21"/>
      <c r="H181" s="21"/>
      <c r="I181" s="56"/>
      <c r="J181" s="57">
        <f>SUM($J$182)</f>
        <v>0</v>
      </c>
      <c r="K181" s="18"/>
      <c r="L181" s="22"/>
    </row>
    <row r="182" spans="1:12" ht="11.1" customHeight="1" outlineLevel="4" x14ac:dyDescent="0.2">
      <c r="A182" s="23"/>
      <c r="B182" s="24" t="s">
        <v>162</v>
      </c>
      <c r="C182" s="25"/>
      <c r="D182" s="25"/>
      <c r="E182" s="26" t="s">
        <v>24</v>
      </c>
      <c r="F182" s="27"/>
      <c r="G182" s="28">
        <v>78</v>
      </c>
      <c r="H182" s="28">
        <f>SUM($G$182:$G$182)</f>
        <v>78</v>
      </c>
      <c r="I182" s="58">
        <f t="array" ref="I182">INDEX(Р[Цена за ед., руб],MATCH(1,IF(($B182=Р[Наименование])*($K182=Р[Примечание]),{1},($B182=Р[Наименование])*($K182=Р[Примечание])),0))</f>
        <v>0</v>
      </c>
      <c r="J182" s="58">
        <f>ROUND($H$182*$I$182,2)</f>
        <v>0</v>
      </c>
      <c r="K182" s="25"/>
      <c r="L182" s="25"/>
    </row>
    <row r="183" spans="1:12" ht="11.1" customHeight="1" outlineLevel="4" x14ac:dyDescent="0.2">
      <c r="A183" s="20"/>
      <c r="B183" s="14" t="s">
        <v>27</v>
      </c>
      <c r="C183" s="21"/>
      <c r="D183" s="21"/>
      <c r="E183" s="21"/>
      <c r="F183" s="21"/>
      <c r="G183" s="21"/>
      <c r="H183" s="21"/>
      <c r="I183" s="56"/>
      <c r="J183" s="57">
        <f>SUM($J$184)</f>
        <v>0</v>
      </c>
      <c r="K183" s="18"/>
      <c r="L183" s="22"/>
    </row>
    <row r="184" spans="1:12" ht="11.1" customHeight="1" outlineLevel="4" x14ac:dyDescent="0.2">
      <c r="A184" s="23" t="s">
        <v>28</v>
      </c>
      <c r="B184" s="24" t="s">
        <v>163</v>
      </c>
      <c r="C184" s="25"/>
      <c r="D184" s="25" t="s">
        <v>164</v>
      </c>
      <c r="E184" s="26" t="s">
        <v>24</v>
      </c>
      <c r="F184" s="27"/>
      <c r="G184" s="28">
        <v>78</v>
      </c>
      <c r="H184" s="28">
        <f>SUM($G$184:$G$184)</f>
        <v>78</v>
      </c>
      <c r="I184" s="58">
        <f t="array" ref="I184">INDEX(М[Цена за ед., руб],MATCH(1,IF(($B184=М[Наим.])*($C184=М[Артикул, марка, произв.])*($D184=М[Хар-ка])*($K184=М[Прим.]),{1},($B184=М[Наим.])*($C184=М[Артикул, марка, произв.])*($D184=М[Хар-ка])*($K184=М[Прим.])),0))</f>
        <v>0</v>
      </c>
      <c r="J184" s="58">
        <f>ROUND($H$184*$I$184,2)</f>
        <v>0</v>
      </c>
      <c r="K184" s="25"/>
      <c r="L184" s="25">
        <f t="array" ref="L184">INDEX(М[Форма закупа],MATCH(1,IF(($B184=М[Наим.])*($C184=М[Артикул, марка, произв.])*($D184=М[Хар-ка])*($K184=М[Прим.]),{1},($B184=М[Наим.])*($C184=М[Артикул, марка, произв.])*($D184=М[Хар-ка])*($K184=М[Прим.])),0))</f>
        <v>0</v>
      </c>
    </row>
    <row r="185" spans="1:12" ht="11.1" customHeight="1" outlineLevel="4" x14ac:dyDescent="0.2">
      <c r="A185" s="20"/>
      <c r="B185" s="14" t="s">
        <v>22</v>
      </c>
      <c r="C185" s="21"/>
      <c r="D185" s="21"/>
      <c r="E185" s="21"/>
      <c r="F185" s="21"/>
      <c r="G185" s="21"/>
      <c r="H185" s="21"/>
      <c r="I185" s="56"/>
      <c r="J185" s="57">
        <f>SUM($J$186)</f>
        <v>0</v>
      </c>
      <c r="K185" s="18"/>
      <c r="L185" s="22"/>
    </row>
    <row r="186" spans="1:12" ht="11.1" customHeight="1" outlineLevel="4" x14ac:dyDescent="0.2">
      <c r="A186" s="23"/>
      <c r="B186" s="24" t="s">
        <v>102</v>
      </c>
      <c r="C186" s="25"/>
      <c r="D186" s="25"/>
      <c r="E186" s="26" t="s">
        <v>24</v>
      </c>
      <c r="F186" s="27"/>
      <c r="G186" s="28">
        <v>190</v>
      </c>
      <c r="H186" s="28">
        <f>SUM($G$186:$G$186)</f>
        <v>190</v>
      </c>
      <c r="I186" s="58">
        <f t="array" ref="I186">INDEX(Р[Цена за ед., руб],MATCH(1,IF(($B186=Р[Наименование])*($K186=Р[Примечание]),{1},($B186=Р[Наименование])*($K186=Р[Примечание])),0))</f>
        <v>0</v>
      </c>
      <c r="J186" s="58">
        <f>ROUND($H$186*$I$186,2)</f>
        <v>0</v>
      </c>
      <c r="K186" s="25"/>
      <c r="L186" s="25"/>
    </row>
    <row r="187" spans="1:12" ht="11.1" customHeight="1" outlineLevel="4" x14ac:dyDescent="0.2">
      <c r="A187" s="20"/>
      <c r="B187" s="14" t="s">
        <v>27</v>
      </c>
      <c r="C187" s="21"/>
      <c r="D187" s="21"/>
      <c r="E187" s="21"/>
      <c r="F187" s="21"/>
      <c r="G187" s="21"/>
      <c r="H187" s="21"/>
      <c r="I187" s="56"/>
      <c r="J187" s="57">
        <f>SUM($J$188:$J$190)</f>
        <v>0</v>
      </c>
      <c r="K187" s="18"/>
      <c r="L187" s="22"/>
    </row>
    <row r="188" spans="1:12" ht="11.1" customHeight="1" outlineLevel="4" x14ac:dyDescent="0.2">
      <c r="A188" s="23" t="s">
        <v>28</v>
      </c>
      <c r="B188" s="24" t="s">
        <v>103</v>
      </c>
      <c r="C188" s="25"/>
      <c r="D188" s="25"/>
      <c r="E188" s="26" t="s">
        <v>104</v>
      </c>
      <c r="F188" s="27"/>
      <c r="G188" s="28">
        <v>190</v>
      </c>
      <c r="H188" s="28">
        <f>SUM($G$188:$G$188)</f>
        <v>190</v>
      </c>
      <c r="I188" s="58">
        <f t="array" ref="I188">INDEX(М[Цена за ед., руб],MATCH(1,IF(($B188=М[Наим.])*($C188=М[Артикул, марка, произв.])*($D188=М[Хар-ка])*($K188=М[Прим.]),{1},($B188=М[Наим.])*($C188=М[Артикул, марка, произв.])*($D188=М[Хар-ка])*($K188=М[Прим.])),0))</f>
        <v>0</v>
      </c>
      <c r="J188" s="58">
        <f>ROUND($H$188*$I$188,2)</f>
        <v>0</v>
      </c>
      <c r="K188" s="25" t="s">
        <v>174</v>
      </c>
      <c r="L188" s="25">
        <f t="array" ref="L188">INDEX(М[Форма закупа],MATCH(1,IF(($B188=М[Наим.])*($C188=М[Артикул, марка, произв.])*($D188=М[Хар-ка])*($K188=М[Прим.]),{1},($B188=М[Наим.])*($C188=М[Артикул, марка, произв.])*($D188=М[Хар-ка])*($K188=М[Прим.])),0))</f>
        <v>0</v>
      </c>
    </row>
    <row r="189" spans="1:12" ht="23.1" customHeight="1" outlineLevel="4" x14ac:dyDescent="0.2">
      <c r="A189" s="23" t="s">
        <v>33</v>
      </c>
      <c r="B189" s="24" t="s">
        <v>106</v>
      </c>
      <c r="C189" s="25"/>
      <c r="D189" s="25" t="s">
        <v>166</v>
      </c>
      <c r="E189" s="26" t="s">
        <v>24</v>
      </c>
      <c r="F189" s="27"/>
      <c r="G189" s="28">
        <v>190</v>
      </c>
      <c r="H189" s="28">
        <f>SUM($G$189:$G$189)</f>
        <v>190</v>
      </c>
      <c r="I189" s="58">
        <f t="array" ref="I189">INDEX(М[Цена за ед., руб],MATCH(1,IF(($B189=М[Наим.])*($C189=М[Артикул, марка, произв.])*($D189=М[Хар-ка])*($K189=М[Прим.]),{1},($B189=М[Наим.])*($C189=М[Артикул, марка, произв.])*($D189=М[Хар-ка])*($K189=М[Прим.])),0))</f>
        <v>0</v>
      </c>
      <c r="J189" s="58">
        <f>ROUND($H$189*$I$189,2)</f>
        <v>0</v>
      </c>
      <c r="K189" s="25"/>
      <c r="L189" s="25">
        <f t="array" ref="L189">INDEX(М[Форма закупа],MATCH(1,IF(($B189=М[Наим.])*($C189=М[Артикул, марка, произв.])*($D189=М[Хар-ка])*($K189=М[Прим.]),{1},($B189=М[Наим.])*($C189=М[Артикул, марка, произв.])*($D189=М[Хар-ка])*($K189=М[Прим.])),0))</f>
        <v>0</v>
      </c>
    </row>
    <row r="190" spans="1:12" ht="47.1" customHeight="1" outlineLevel="4" x14ac:dyDescent="0.2">
      <c r="A190" s="23" t="s">
        <v>35</v>
      </c>
      <c r="B190" s="24" t="s">
        <v>108</v>
      </c>
      <c r="C190" s="25" t="s">
        <v>109</v>
      </c>
      <c r="D190" s="25" t="s">
        <v>167</v>
      </c>
      <c r="E190" s="26" t="s">
        <v>24</v>
      </c>
      <c r="F190" s="27"/>
      <c r="G190" s="28">
        <v>190</v>
      </c>
      <c r="H190" s="28">
        <f>SUM($G$190:$G$190)</f>
        <v>190</v>
      </c>
      <c r="I190" s="58">
        <f t="array" ref="I190">INDEX(М[Цена за ед., руб],MATCH(1,IF(($B190=М[Наим.])*($C190=М[Артикул, марка, произв.])*($D190=М[Хар-ка])*($K190=М[Прим.]),{1},($B190=М[Наим.])*($C190=М[Артикул, марка, произв.])*($D190=М[Хар-ка])*($K190=М[Прим.])),0))</f>
        <v>0</v>
      </c>
      <c r="J190" s="58">
        <f>ROUND($H$190*$I$190,2)</f>
        <v>0</v>
      </c>
      <c r="K190" s="25"/>
      <c r="L190" s="25">
        <f t="array" ref="L190">INDEX(М[Форма закупа],MATCH(1,IF(($B190=М[Наим.])*($C190=М[Артикул, марка, произв.])*($D190=М[Хар-ка])*($K190=М[Прим.]),{1},($B190=М[Наим.])*($C190=М[Артикул, марка, произв.])*($D190=М[Хар-ка])*($K190=М[Прим.])),0))</f>
        <v>0</v>
      </c>
    </row>
    <row r="191" spans="1:12" ht="11.1" customHeight="1" outlineLevel="4" x14ac:dyDescent="0.2">
      <c r="A191" s="20"/>
      <c r="B191" s="14" t="s">
        <v>22</v>
      </c>
      <c r="C191" s="21"/>
      <c r="D191" s="21"/>
      <c r="E191" s="21"/>
      <c r="F191" s="21"/>
      <c r="G191" s="21"/>
      <c r="H191" s="21"/>
      <c r="I191" s="56"/>
      <c r="J191" s="57">
        <f>SUM($J$192)</f>
        <v>0</v>
      </c>
      <c r="K191" s="18"/>
      <c r="L191" s="22"/>
    </row>
    <row r="192" spans="1:12" ht="11.1" customHeight="1" outlineLevel="4" x14ac:dyDescent="0.2">
      <c r="A192" s="23"/>
      <c r="B192" s="24" t="s">
        <v>170</v>
      </c>
      <c r="C192" s="25"/>
      <c r="D192" s="25"/>
      <c r="E192" s="26" t="s">
        <v>24</v>
      </c>
      <c r="F192" s="27"/>
      <c r="G192" s="28">
        <v>138</v>
      </c>
      <c r="H192" s="28">
        <f>SUM($G$192:$G$192)</f>
        <v>138</v>
      </c>
      <c r="I192" s="58">
        <f t="array" ref="I192">INDEX(Р[Цена за ед., руб],MATCH(1,IF(($B192=Р[Наименование])*($K192=Р[Примечание]),{1},($B192=Р[Наименование])*($K192=Р[Примечание])),0))</f>
        <v>0</v>
      </c>
      <c r="J192" s="58">
        <f>ROUND($H$192*$I$192,2)</f>
        <v>0</v>
      </c>
      <c r="K192" s="25"/>
      <c r="L192" s="25"/>
    </row>
    <row r="193" spans="1:12" ht="11.1" customHeight="1" outlineLevel="4" x14ac:dyDescent="0.2">
      <c r="A193" s="20"/>
      <c r="B193" s="14" t="s">
        <v>22</v>
      </c>
      <c r="C193" s="21"/>
      <c r="D193" s="21"/>
      <c r="E193" s="21"/>
      <c r="F193" s="21"/>
      <c r="G193" s="21"/>
      <c r="H193" s="21"/>
      <c r="I193" s="56"/>
      <c r="J193" s="57">
        <f>SUM($J$194)</f>
        <v>0</v>
      </c>
      <c r="K193" s="18"/>
      <c r="L193" s="22"/>
    </row>
    <row r="194" spans="1:12" ht="11.1" customHeight="1" outlineLevel="4" x14ac:dyDescent="0.2">
      <c r="A194" s="23"/>
      <c r="B194" s="24" t="s">
        <v>118</v>
      </c>
      <c r="C194" s="25"/>
      <c r="D194" s="25"/>
      <c r="E194" s="26" t="s">
        <v>32</v>
      </c>
      <c r="F194" s="27"/>
      <c r="G194" s="28">
        <v>332</v>
      </c>
      <c r="H194" s="28">
        <f>SUM($G$194:$G$194)</f>
        <v>332</v>
      </c>
      <c r="I194" s="58">
        <f t="array" ref="I194">INDEX(Р[Цена за ед., руб],MATCH(1,IF(($B194=Р[Наименование])*($K194=Р[Примечание]),{1},($B194=Р[Наименование])*($K194=Р[Примечание])),0))</f>
        <v>0</v>
      </c>
      <c r="J194" s="58">
        <f>ROUND($H$194*$I$194,2)</f>
        <v>0</v>
      </c>
      <c r="K194" s="25"/>
      <c r="L194" s="25"/>
    </row>
    <row r="195" spans="1:12" ht="11.1" customHeight="1" outlineLevel="4" x14ac:dyDescent="0.2">
      <c r="A195" s="20"/>
      <c r="B195" s="14" t="s">
        <v>27</v>
      </c>
      <c r="C195" s="21"/>
      <c r="D195" s="21"/>
      <c r="E195" s="21"/>
      <c r="F195" s="21"/>
      <c r="G195" s="21"/>
      <c r="H195" s="21"/>
      <c r="I195" s="56"/>
      <c r="J195" s="57">
        <f>SUM($J$196:$J$198)</f>
        <v>0</v>
      </c>
      <c r="K195" s="18"/>
      <c r="L195" s="22"/>
    </row>
    <row r="196" spans="1:12" ht="35.1" customHeight="1" outlineLevel="4" x14ac:dyDescent="0.2">
      <c r="A196" s="23" t="s">
        <v>28</v>
      </c>
      <c r="B196" s="24" t="s">
        <v>119</v>
      </c>
      <c r="C196" s="25"/>
      <c r="D196" s="25" t="s">
        <v>121</v>
      </c>
      <c r="E196" s="26" t="s">
        <v>32</v>
      </c>
      <c r="F196" s="27"/>
      <c r="G196" s="28">
        <v>2</v>
      </c>
      <c r="H196" s="28">
        <f>SUM($G$196:$G$196)</f>
        <v>2</v>
      </c>
      <c r="I196" s="58">
        <f t="array" ref="I196">INDEX(М[Цена за ед., руб],MATCH(1,IF(($B196=М[Наим.])*($C196=М[Артикул, марка, произв.])*($D196=М[Хар-ка])*($K196=М[Прим.]),{1},($B196=М[Наим.])*($C196=М[Артикул, марка, произв.])*($D196=М[Хар-ка])*($K196=М[Прим.])),0))</f>
        <v>0</v>
      </c>
      <c r="J196" s="58">
        <f>ROUND($H$196*$I$196,2)</f>
        <v>0</v>
      </c>
      <c r="K196" s="25"/>
      <c r="L196" s="25">
        <f t="array" ref="L196">INDEX(М[Форма закупа],MATCH(1,IF(($B196=М[Наим.])*($C196=М[Артикул, марка, произв.])*($D196=М[Хар-ка])*($K196=М[Прим.]),{1},($B196=М[Наим.])*($C196=М[Артикул, марка, произв.])*($D196=М[Хар-ка])*($K196=М[Прим.])),0))</f>
        <v>0</v>
      </c>
    </row>
    <row r="197" spans="1:12" ht="35.1" customHeight="1" outlineLevel="4" x14ac:dyDescent="0.2">
      <c r="A197" s="23" t="s">
        <v>33</v>
      </c>
      <c r="B197" s="24" t="s">
        <v>119</v>
      </c>
      <c r="C197" s="25"/>
      <c r="D197" s="25" t="s">
        <v>171</v>
      </c>
      <c r="E197" s="26" t="s">
        <v>32</v>
      </c>
      <c r="F197" s="27"/>
      <c r="G197" s="28">
        <v>20</v>
      </c>
      <c r="H197" s="28">
        <f>SUM($G$197:$G$197)</f>
        <v>20</v>
      </c>
      <c r="I197" s="58">
        <f t="array" ref="I197">INDEX(М[Цена за ед., руб],MATCH(1,IF(($B197=М[Наим.])*($C197=М[Артикул, марка, произв.])*($D197=М[Хар-ка])*($K197=М[Прим.]),{1},($B197=М[Наим.])*($C197=М[Артикул, марка, произв.])*($D197=М[Хар-ка])*($K197=М[Прим.])),0))</f>
        <v>0</v>
      </c>
      <c r="J197" s="58">
        <f>ROUND($H$197*$I$197,2)</f>
        <v>0</v>
      </c>
      <c r="K197" s="25"/>
      <c r="L197" s="25">
        <f t="array" ref="L197">INDEX(М[Форма закупа],MATCH(1,IF(($B197=М[Наим.])*($C197=М[Артикул, марка, произв.])*($D197=М[Хар-ка])*($K197=М[Прим.]),{1},($B197=М[Наим.])*($C197=М[Артикул, марка, произв.])*($D197=М[Хар-ка])*($K197=М[Прим.])),0))</f>
        <v>0</v>
      </c>
    </row>
    <row r="198" spans="1:12" ht="35.1" customHeight="1" outlineLevel="4" x14ac:dyDescent="0.2">
      <c r="A198" s="23" t="s">
        <v>35</v>
      </c>
      <c r="B198" s="24" t="s">
        <v>119</v>
      </c>
      <c r="C198" s="25"/>
      <c r="D198" s="25" t="s">
        <v>123</v>
      </c>
      <c r="E198" s="26" t="s">
        <v>32</v>
      </c>
      <c r="F198" s="27"/>
      <c r="G198" s="28">
        <v>310</v>
      </c>
      <c r="H198" s="28">
        <f>SUM($G$198:$G$198)</f>
        <v>310</v>
      </c>
      <c r="I198" s="58">
        <f t="array" ref="I198">INDEX(М[Цена за ед., руб],MATCH(1,IF(($B198=М[Наим.])*($C198=М[Артикул, марка, произв.])*($D198=М[Хар-ка])*($K198=М[Прим.]),{1},($B198=М[Наим.])*($C198=М[Артикул, марка, произв.])*($D198=М[Хар-ка])*($K198=М[Прим.])),0))</f>
        <v>0</v>
      </c>
      <c r="J198" s="58">
        <f>ROUND($H$198*$I$198,2)</f>
        <v>0</v>
      </c>
      <c r="K198" s="25"/>
      <c r="L198" s="25">
        <f t="array" ref="L198">INDEX(М[Форма закупа],MATCH(1,IF(($B198=М[Наим.])*($C198=М[Артикул, марка, произв.])*($D198=М[Хар-ка])*($K198=М[Прим.]),{1},($B198=М[Наим.])*($C198=М[Артикул, марка, произв.])*($D198=М[Хар-ка])*($K198=М[Прим.])),0))</f>
        <v>0</v>
      </c>
    </row>
    <row r="199" spans="1:12" ht="11.1" customHeight="1" outlineLevel="3" x14ac:dyDescent="0.2">
      <c r="A199" s="13" t="s">
        <v>175</v>
      </c>
      <c r="B199" s="14" t="s">
        <v>176</v>
      </c>
      <c r="C199" s="15"/>
      <c r="D199" s="15"/>
      <c r="E199" s="16"/>
      <c r="F199" s="17"/>
      <c r="G199" s="18"/>
      <c r="H199" s="18"/>
      <c r="I199" s="55"/>
      <c r="J199" s="55">
        <f>SUM($J$222,$J$220,$J$218,$J$216,$J$213,$J$211,$J$209,$J$207,$J$204,$J$202,$J$200)</f>
        <v>0</v>
      </c>
      <c r="K199" s="19"/>
      <c r="L199" s="19"/>
    </row>
    <row r="200" spans="1:12" ht="11.1" customHeight="1" outlineLevel="4" x14ac:dyDescent="0.2">
      <c r="A200" s="20"/>
      <c r="B200" s="14" t="s">
        <v>22</v>
      </c>
      <c r="C200" s="21"/>
      <c r="D200" s="21"/>
      <c r="E200" s="21"/>
      <c r="F200" s="21"/>
      <c r="G200" s="21"/>
      <c r="H200" s="21"/>
      <c r="I200" s="56"/>
      <c r="J200" s="57">
        <f>SUM($J$201)</f>
        <v>0</v>
      </c>
      <c r="K200" s="18"/>
      <c r="L200" s="22"/>
    </row>
    <row r="201" spans="1:12" ht="11.1" customHeight="1" outlineLevel="4" x14ac:dyDescent="0.2">
      <c r="A201" s="23"/>
      <c r="B201" s="24" t="s">
        <v>156</v>
      </c>
      <c r="C201" s="25"/>
      <c r="D201" s="25"/>
      <c r="E201" s="26" t="s">
        <v>24</v>
      </c>
      <c r="F201" s="27"/>
      <c r="G201" s="28">
        <v>112</v>
      </c>
      <c r="H201" s="28">
        <f>SUM($G$201:$G$201)</f>
        <v>112</v>
      </c>
      <c r="I201" s="58">
        <f t="array" ref="I201">INDEX(Р[Цена за ед., руб],MATCH(1,IF(($B201=Р[Наименование])*($K201=Р[Примечание]),{1},($B201=Р[Наименование])*($K201=Р[Примечание])),0))</f>
        <v>0</v>
      </c>
      <c r="J201" s="58">
        <f>ROUND($H$201*$I$201,2)</f>
        <v>0</v>
      </c>
      <c r="K201" s="25"/>
      <c r="L201" s="25"/>
    </row>
    <row r="202" spans="1:12" ht="11.1" customHeight="1" outlineLevel="4" x14ac:dyDescent="0.2">
      <c r="A202" s="20"/>
      <c r="B202" s="14" t="s">
        <v>22</v>
      </c>
      <c r="C202" s="21"/>
      <c r="D202" s="21"/>
      <c r="E202" s="21"/>
      <c r="F202" s="21"/>
      <c r="G202" s="21"/>
      <c r="H202" s="21"/>
      <c r="I202" s="56"/>
      <c r="J202" s="57">
        <f>SUM($J$203)</f>
        <v>0</v>
      </c>
      <c r="K202" s="18"/>
      <c r="L202" s="22"/>
    </row>
    <row r="203" spans="1:12" ht="11.1" customHeight="1" outlineLevel="4" x14ac:dyDescent="0.2">
      <c r="A203" s="23"/>
      <c r="B203" s="24" t="s">
        <v>25</v>
      </c>
      <c r="C203" s="25"/>
      <c r="D203" s="25"/>
      <c r="E203" s="26" t="s">
        <v>26</v>
      </c>
      <c r="F203" s="27"/>
      <c r="G203" s="28">
        <v>282</v>
      </c>
      <c r="H203" s="28">
        <f>SUM($G$203:$G$203)</f>
        <v>282</v>
      </c>
      <c r="I203" s="58">
        <f t="array" ref="I203">INDEX(Р[Цена за ед., руб],MATCH(1,IF(($B203=Р[Наименование])*($K203=Р[Примечание]),{1},($B203=Р[Наименование])*($K203=Р[Примечание])),0))</f>
        <v>0</v>
      </c>
      <c r="J203" s="58">
        <f>ROUND($H$203*$I$203,2)</f>
        <v>0</v>
      </c>
      <c r="K203" s="25"/>
      <c r="L203" s="25"/>
    </row>
    <row r="204" spans="1:12" ht="11.1" customHeight="1" outlineLevel="4" x14ac:dyDescent="0.2">
      <c r="A204" s="20"/>
      <c r="B204" s="14" t="s">
        <v>27</v>
      </c>
      <c r="C204" s="21"/>
      <c r="D204" s="21"/>
      <c r="E204" s="21"/>
      <c r="F204" s="21"/>
      <c r="G204" s="21"/>
      <c r="H204" s="21"/>
      <c r="I204" s="56"/>
      <c r="J204" s="57">
        <f>SUM($J$205:$J$206)</f>
        <v>0</v>
      </c>
      <c r="K204" s="18"/>
      <c r="L204" s="22"/>
    </row>
    <row r="205" spans="1:12" ht="35.1" customHeight="1" outlineLevel="4" x14ac:dyDescent="0.2">
      <c r="A205" s="23" t="s">
        <v>28</v>
      </c>
      <c r="B205" s="24" t="s">
        <v>29</v>
      </c>
      <c r="C205" s="25" t="s">
        <v>30</v>
      </c>
      <c r="D205" s="25" t="s">
        <v>177</v>
      </c>
      <c r="E205" s="26" t="s">
        <v>32</v>
      </c>
      <c r="F205" s="27"/>
      <c r="G205" s="28">
        <v>280</v>
      </c>
      <c r="H205" s="28">
        <f>SUM($G$205:$G$205)</f>
        <v>280</v>
      </c>
      <c r="I205" s="58">
        <f t="array" ref="I205">INDEX(М[Цена за ед., руб],MATCH(1,IF(($B205=М[Наим.])*($C205=М[Артикул, марка, произв.])*($D205=М[Хар-ка])*($K205=М[Прим.]),{1},($B205=М[Наим.])*($C205=М[Артикул, марка, произв.])*($D205=М[Хар-ка])*($K205=М[Прим.])),0))</f>
        <v>0</v>
      </c>
      <c r="J205" s="58">
        <f>ROUND($H$205*$I$205,2)</f>
        <v>0</v>
      </c>
      <c r="K205" s="25"/>
      <c r="L205" s="25">
        <f t="array" ref="L205">INDEX(М[Форма закупа],MATCH(1,IF(($B205=М[Наим.])*($C205=М[Артикул, марка, произв.])*($D205=М[Хар-ка])*($K205=М[Прим.]),{1},($B205=М[Наим.])*($C205=М[Артикул, марка, произв.])*($D205=М[Хар-ка])*($K205=М[Прим.])),0))</f>
        <v>0</v>
      </c>
    </row>
    <row r="206" spans="1:12" ht="35.1" customHeight="1" outlineLevel="4" x14ac:dyDescent="0.2">
      <c r="A206" s="23" t="s">
        <v>33</v>
      </c>
      <c r="B206" s="24" t="s">
        <v>29</v>
      </c>
      <c r="C206" s="25" t="s">
        <v>30</v>
      </c>
      <c r="D206" s="25" t="s">
        <v>48</v>
      </c>
      <c r="E206" s="26" t="s">
        <v>32</v>
      </c>
      <c r="F206" s="27"/>
      <c r="G206" s="28">
        <v>2</v>
      </c>
      <c r="H206" s="28">
        <f>SUM($G$206:$G$206)</f>
        <v>2</v>
      </c>
      <c r="I206" s="58">
        <f t="array" ref="I206">INDEX(М[Цена за ед., руб],MATCH(1,IF(($B206=М[Наим.])*($C206=М[Артикул, марка, произв.])*($D206=М[Хар-ка])*($K206=М[Прим.]),{1},($B206=М[Наим.])*($C206=М[Артикул, марка, произв.])*($D206=М[Хар-ка])*($K206=М[Прим.])),0))</f>
        <v>0</v>
      </c>
      <c r="J206" s="58">
        <f>ROUND($H$206*$I$206,2)</f>
        <v>0</v>
      </c>
      <c r="K206" s="25"/>
      <c r="L206" s="25">
        <f t="array" ref="L206">INDEX(М[Форма закупа],MATCH(1,IF(($B206=М[Наим.])*($C206=М[Артикул, марка, произв.])*($D206=М[Хар-ка])*($K206=М[Прим.]),{1},($B206=М[Наим.])*($C206=М[Артикул, марка, произв.])*($D206=М[Хар-ка])*($K206=М[Прим.])),0))</f>
        <v>0</v>
      </c>
    </row>
    <row r="207" spans="1:12" ht="11.1" customHeight="1" outlineLevel="4" x14ac:dyDescent="0.2">
      <c r="A207" s="20"/>
      <c r="B207" s="14" t="s">
        <v>22</v>
      </c>
      <c r="C207" s="21"/>
      <c r="D207" s="21"/>
      <c r="E207" s="21"/>
      <c r="F207" s="21"/>
      <c r="G207" s="21"/>
      <c r="H207" s="21"/>
      <c r="I207" s="56"/>
      <c r="J207" s="57">
        <f>SUM($J$208)</f>
        <v>0</v>
      </c>
      <c r="K207" s="18"/>
      <c r="L207" s="22"/>
    </row>
    <row r="208" spans="1:12" ht="11.1" customHeight="1" outlineLevel="4" x14ac:dyDescent="0.2">
      <c r="A208" s="23"/>
      <c r="B208" s="24" t="s">
        <v>157</v>
      </c>
      <c r="C208" s="25"/>
      <c r="D208" s="25"/>
      <c r="E208" s="26" t="s">
        <v>158</v>
      </c>
      <c r="F208" s="27"/>
      <c r="G208" s="28">
        <v>10</v>
      </c>
      <c r="H208" s="28">
        <f>SUM($G$208:$G$208)</f>
        <v>10</v>
      </c>
      <c r="I208" s="58">
        <f t="array" ref="I208">INDEX(Р[Цена за ед., руб],MATCH(1,IF(($B208=Р[Наименование])*($K208=Р[Примечание]),{1},($B208=Р[Наименование])*($K208=Р[Примечание])),0))</f>
        <v>0</v>
      </c>
      <c r="J208" s="58">
        <f>ROUND($H$208*$I$208,2)</f>
        <v>0</v>
      </c>
      <c r="K208" s="25"/>
      <c r="L208" s="25"/>
    </row>
    <row r="209" spans="1:12" ht="11.1" customHeight="1" outlineLevel="4" x14ac:dyDescent="0.2">
      <c r="A209" s="20"/>
      <c r="B209" s="14" t="s">
        <v>27</v>
      </c>
      <c r="C209" s="21"/>
      <c r="D209" s="21"/>
      <c r="E209" s="21"/>
      <c r="F209" s="21"/>
      <c r="G209" s="21"/>
      <c r="H209" s="21"/>
      <c r="I209" s="56"/>
      <c r="J209" s="57">
        <f>SUM($J$210)</f>
        <v>0</v>
      </c>
      <c r="K209" s="18"/>
      <c r="L209" s="22"/>
    </row>
    <row r="210" spans="1:12" ht="23.1" customHeight="1" outlineLevel="4" x14ac:dyDescent="0.2">
      <c r="A210" s="23" t="s">
        <v>28</v>
      </c>
      <c r="B210" s="24" t="s">
        <v>159</v>
      </c>
      <c r="C210" s="25"/>
      <c r="D210" s="25" t="s">
        <v>160</v>
      </c>
      <c r="E210" s="26" t="s">
        <v>158</v>
      </c>
      <c r="F210" s="27"/>
      <c r="G210" s="28">
        <v>10</v>
      </c>
      <c r="H210" s="28">
        <f>SUM($G$210:$G$210)</f>
        <v>10</v>
      </c>
      <c r="I210" s="58">
        <f t="array" ref="I210">INDEX(М[Цена за ед., руб],MATCH(1,IF(($B210=М[Наим.])*($C210=М[Артикул, марка, произв.])*($D210=М[Хар-ка])*($K210=М[Прим.]),{1},($B210=М[Наим.])*($C210=М[Артикул, марка, произв.])*($D210=М[Хар-ка])*($K210=М[Прим.])),0))</f>
        <v>0</v>
      </c>
      <c r="J210" s="58">
        <f>ROUND($H$210*$I$210,2)</f>
        <v>0</v>
      </c>
      <c r="K210" s="25" t="s">
        <v>161</v>
      </c>
      <c r="L210" s="25">
        <f t="array" ref="L210">INDEX(М[Форма закупа],MATCH(1,IF(($B210=М[Наим.])*($C210=М[Артикул, марка, произв.])*($D210=М[Хар-ка])*($K210=М[Прим.]),{1},($B210=М[Наим.])*($C210=М[Артикул, марка, произв.])*($D210=М[Хар-ка])*($K210=М[Прим.])),0))</f>
        <v>0</v>
      </c>
    </row>
    <row r="211" spans="1:12" ht="11.1" customHeight="1" outlineLevel="4" x14ac:dyDescent="0.2">
      <c r="A211" s="20"/>
      <c r="B211" s="14" t="s">
        <v>22</v>
      </c>
      <c r="C211" s="21"/>
      <c r="D211" s="21"/>
      <c r="E211" s="21"/>
      <c r="F211" s="21"/>
      <c r="G211" s="21"/>
      <c r="H211" s="21"/>
      <c r="I211" s="56"/>
      <c r="J211" s="57">
        <f>SUM($J$212)</f>
        <v>0</v>
      </c>
      <c r="K211" s="18"/>
      <c r="L211" s="22"/>
    </row>
    <row r="212" spans="1:12" ht="23.1" customHeight="1" outlineLevel="4" x14ac:dyDescent="0.2">
      <c r="A212" s="23"/>
      <c r="B212" s="24" t="s">
        <v>75</v>
      </c>
      <c r="C212" s="25"/>
      <c r="D212" s="25"/>
      <c r="E212" s="26" t="s">
        <v>24</v>
      </c>
      <c r="F212" s="27"/>
      <c r="G212" s="28">
        <v>8</v>
      </c>
      <c r="H212" s="28">
        <f>SUM($G$212:$G$212)</f>
        <v>8</v>
      </c>
      <c r="I212" s="58">
        <f t="array" ref="I212">INDEX(Р[Цена за ед., руб],MATCH(1,IF(($B212=Р[Наименование])*($K212=Р[Примечание]),{1},($B212=Р[Наименование])*($K212=Р[Примечание])),0))</f>
        <v>0</v>
      </c>
      <c r="J212" s="58">
        <f>ROUND($H$212*$I$212,2)</f>
        <v>0</v>
      </c>
      <c r="K212" s="25"/>
      <c r="L212" s="25"/>
    </row>
    <row r="213" spans="1:12" ht="11.1" customHeight="1" outlineLevel="4" x14ac:dyDescent="0.2">
      <c r="A213" s="20"/>
      <c r="B213" s="14" t="s">
        <v>27</v>
      </c>
      <c r="C213" s="21"/>
      <c r="D213" s="21"/>
      <c r="E213" s="21"/>
      <c r="F213" s="21"/>
      <c r="G213" s="21"/>
      <c r="H213" s="21"/>
      <c r="I213" s="56"/>
      <c r="J213" s="57">
        <f>SUM($J$214:$J$215)</f>
        <v>0</v>
      </c>
      <c r="K213" s="18"/>
      <c r="L213" s="22"/>
    </row>
    <row r="214" spans="1:12" ht="35.1" customHeight="1" outlineLevel="4" x14ac:dyDescent="0.2">
      <c r="A214" s="23" t="s">
        <v>28</v>
      </c>
      <c r="B214" s="24" t="s">
        <v>73</v>
      </c>
      <c r="C214" s="25" t="s">
        <v>53</v>
      </c>
      <c r="D214" s="25" t="s">
        <v>78</v>
      </c>
      <c r="E214" s="26" t="s">
        <v>24</v>
      </c>
      <c r="F214" s="27"/>
      <c r="G214" s="28">
        <v>4</v>
      </c>
      <c r="H214" s="28">
        <f>SUM($G$214:$G$214)</f>
        <v>4</v>
      </c>
      <c r="I214" s="58">
        <f t="array" ref="I214">INDEX(М[Цена за ед., руб],MATCH(1,IF(($B214=М[Наим.])*($C214=М[Артикул, марка, произв.])*($D214=М[Хар-ка])*($K214=М[Прим.]),{1},($B214=М[Наим.])*($C214=М[Артикул, марка, произв.])*($D214=М[Хар-ка])*($K214=М[Прим.])),0))</f>
        <v>0</v>
      </c>
      <c r="J214" s="58">
        <f>ROUND($H$214*$I$214,2)</f>
        <v>0</v>
      </c>
      <c r="K214" s="25"/>
      <c r="L214" s="25">
        <f t="array" ref="L214">INDEX(М[Форма закупа],MATCH(1,IF(($B214=М[Наим.])*($C214=М[Артикул, марка, произв.])*($D214=М[Хар-ка])*($K214=М[Прим.]),{1},($B214=М[Наим.])*($C214=М[Артикул, марка, произв.])*($D214=М[Хар-ка])*($K214=М[Прим.])),0))</f>
        <v>0</v>
      </c>
    </row>
    <row r="215" spans="1:12" ht="23.1" customHeight="1" outlineLevel="4" x14ac:dyDescent="0.2">
      <c r="A215" s="23" t="s">
        <v>33</v>
      </c>
      <c r="B215" s="24" t="s">
        <v>73</v>
      </c>
      <c r="C215" s="25" t="s">
        <v>53</v>
      </c>
      <c r="D215" s="25" t="s">
        <v>80</v>
      </c>
      <c r="E215" s="26" t="s">
        <v>24</v>
      </c>
      <c r="F215" s="27"/>
      <c r="G215" s="28">
        <v>4</v>
      </c>
      <c r="H215" s="28">
        <f>SUM($G$215:$G$215)</f>
        <v>4</v>
      </c>
      <c r="I215" s="58">
        <f t="array" ref="I215">INDEX(М[Цена за ед., руб],MATCH(1,IF(($B215=М[Наим.])*($C215=М[Артикул, марка, произв.])*($D215=М[Хар-ка])*($K215=М[Прим.]),{1},($B215=М[Наим.])*($C215=М[Артикул, марка, произв.])*($D215=М[Хар-ка])*($K215=М[Прим.])),0))</f>
        <v>0</v>
      </c>
      <c r="J215" s="58">
        <f>ROUND($H$215*$I$215,2)</f>
        <v>0</v>
      </c>
      <c r="K215" s="25"/>
      <c r="L215" s="25">
        <f t="array" ref="L215">INDEX(М[Форма закупа],MATCH(1,IF(($B215=М[Наим.])*($C215=М[Артикул, марка, произв.])*($D215=М[Хар-ка])*($K215=М[Прим.]),{1},($B215=М[Наим.])*($C215=М[Артикул, марка, произв.])*($D215=М[Хар-ка])*($K215=М[Прим.])),0))</f>
        <v>0</v>
      </c>
    </row>
    <row r="216" spans="1:12" ht="11.1" customHeight="1" outlineLevel="4" x14ac:dyDescent="0.2">
      <c r="A216" s="20"/>
      <c r="B216" s="14" t="s">
        <v>22</v>
      </c>
      <c r="C216" s="21"/>
      <c r="D216" s="21"/>
      <c r="E216" s="21"/>
      <c r="F216" s="21"/>
      <c r="G216" s="21"/>
      <c r="H216" s="21"/>
      <c r="I216" s="56"/>
      <c r="J216" s="57">
        <f>SUM($J$217)</f>
        <v>0</v>
      </c>
      <c r="K216" s="18"/>
      <c r="L216" s="22"/>
    </row>
    <row r="217" spans="1:12" ht="11.1" customHeight="1" outlineLevel="4" x14ac:dyDescent="0.2">
      <c r="A217" s="23"/>
      <c r="B217" s="24" t="s">
        <v>162</v>
      </c>
      <c r="C217" s="25"/>
      <c r="D217" s="25"/>
      <c r="E217" s="26" t="s">
        <v>24</v>
      </c>
      <c r="F217" s="27"/>
      <c r="G217" s="28">
        <v>78</v>
      </c>
      <c r="H217" s="28">
        <f>SUM($G$217:$G$217)</f>
        <v>78</v>
      </c>
      <c r="I217" s="58">
        <f t="array" ref="I217">INDEX(Р[Цена за ед., руб],MATCH(1,IF(($B217=Р[Наименование])*($K217=Р[Примечание]),{1},($B217=Р[Наименование])*($K217=Р[Примечание])),0))</f>
        <v>0</v>
      </c>
      <c r="J217" s="58">
        <f>ROUND($H$217*$I$217,2)</f>
        <v>0</v>
      </c>
      <c r="K217" s="25"/>
      <c r="L217" s="25"/>
    </row>
    <row r="218" spans="1:12" ht="11.1" customHeight="1" outlineLevel="4" x14ac:dyDescent="0.2">
      <c r="A218" s="20"/>
      <c r="B218" s="14" t="s">
        <v>27</v>
      </c>
      <c r="C218" s="21"/>
      <c r="D218" s="21"/>
      <c r="E218" s="21"/>
      <c r="F218" s="21"/>
      <c r="G218" s="21"/>
      <c r="H218" s="21"/>
      <c r="I218" s="56"/>
      <c r="J218" s="57">
        <f>SUM($J$219)</f>
        <v>0</v>
      </c>
      <c r="K218" s="18"/>
      <c r="L218" s="22"/>
    </row>
    <row r="219" spans="1:12" ht="11.1" customHeight="1" outlineLevel="4" x14ac:dyDescent="0.2">
      <c r="A219" s="23" t="s">
        <v>28</v>
      </c>
      <c r="B219" s="24" t="s">
        <v>163</v>
      </c>
      <c r="C219" s="25"/>
      <c r="D219" s="25" t="s">
        <v>178</v>
      </c>
      <c r="E219" s="26" t="s">
        <v>24</v>
      </c>
      <c r="F219" s="27"/>
      <c r="G219" s="28">
        <v>78</v>
      </c>
      <c r="H219" s="28">
        <f>SUM($G$219:$G$219)</f>
        <v>78</v>
      </c>
      <c r="I219" s="58">
        <f t="array" ref="I219">INDEX(М[Цена за ед., руб],MATCH(1,IF(($B219=М[Наим.])*($C219=М[Артикул, марка, произв.])*($D219=М[Хар-ка])*($K219=М[Прим.]),{1},($B219=М[Наим.])*($C219=М[Артикул, марка, произв.])*($D219=М[Хар-ка])*($K219=М[Прим.])),0))</f>
        <v>0</v>
      </c>
      <c r="J219" s="58">
        <f>ROUND($H$219*$I$219,2)</f>
        <v>0</v>
      </c>
      <c r="K219" s="25"/>
      <c r="L219" s="25">
        <f t="array" ref="L219">INDEX(М[Форма закупа],MATCH(1,IF(($B219=М[Наим.])*($C219=М[Артикул, марка, произв.])*($D219=М[Хар-ка])*($K219=М[Прим.]),{1},($B219=М[Наим.])*($C219=М[Артикул, марка, произв.])*($D219=М[Хар-ка])*($K219=М[Прим.])),0))</f>
        <v>0</v>
      </c>
    </row>
    <row r="220" spans="1:12" ht="11.1" customHeight="1" outlineLevel="4" x14ac:dyDescent="0.2">
      <c r="A220" s="20"/>
      <c r="B220" s="14" t="s">
        <v>22</v>
      </c>
      <c r="C220" s="21"/>
      <c r="D220" s="21"/>
      <c r="E220" s="21"/>
      <c r="F220" s="21"/>
      <c r="G220" s="21"/>
      <c r="H220" s="21"/>
      <c r="I220" s="56"/>
      <c r="J220" s="57">
        <f>SUM($J$221)</f>
        <v>0</v>
      </c>
      <c r="K220" s="18"/>
      <c r="L220" s="22"/>
    </row>
    <row r="221" spans="1:12" ht="11.1" customHeight="1" outlineLevel="4" x14ac:dyDescent="0.2">
      <c r="A221" s="23"/>
      <c r="B221" s="24" t="s">
        <v>118</v>
      </c>
      <c r="C221" s="25"/>
      <c r="D221" s="25"/>
      <c r="E221" s="26" t="s">
        <v>32</v>
      </c>
      <c r="F221" s="27"/>
      <c r="G221" s="28">
        <v>282</v>
      </c>
      <c r="H221" s="28">
        <f>SUM($G$221:$G$221)</f>
        <v>282</v>
      </c>
      <c r="I221" s="58">
        <f t="array" ref="I221">INDEX(Р[Цена за ед., руб],MATCH(1,IF(($B221=Р[Наименование])*($K221=Р[Примечание]),{1},($B221=Р[Наименование])*($K221=Р[Примечание])),0))</f>
        <v>0</v>
      </c>
      <c r="J221" s="58">
        <f>ROUND($H$221*$I$221,2)</f>
        <v>0</v>
      </c>
      <c r="K221" s="25"/>
      <c r="L221" s="25"/>
    </row>
    <row r="222" spans="1:12" ht="11.1" customHeight="1" outlineLevel="4" x14ac:dyDescent="0.2">
      <c r="A222" s="20"/>
      <c r="B222" s="14" t="s">
        <v>27</v>
      </c>
      <c r="C222" s="21"/>
      <c r="D222" s="21"/>
      <c r="E222" s="21"/>
      <c r="F222" s="21"/>
      <c r="G222" s="21"/>
      <c r="H222" s="21"/>
      <c r="I222" s="56"/>
      <c r="J222" s="57">
        <f>SUM($J$223:$J$224)</f>
        <v>0</v>
      </c>
      <c r="K222" s="18"/>
      <c r="L222" s="22"/>
    </row>
    <row r="223" spans="1:12" ht="35.1" customHeight="1" outlineLevel="4" x14ac:dyDescent="0.2">
      <c r="A223" s="23" t="s">
        <v>28</v>
      </c>
      <c r="B223" s="24" t="s">
        <v>119</v>
      </c>
      <c r="C223" s="25"/>
      <c r="D223" s="25" t="s">
        <v>121</v>
      </c>
      <c r="E223" s="26" t="s">
        <v>32</v>
      </c>
      <c r="F223" s="27"/>
      <c r="G223" s="28">
        <v>2</v>
      </c>
      <c r="H223" s="28">
        <f>SUM($G$223:$G$223)</f>
        <v>2</v>
      </c>
      <c r="I223" s="58">
        <f t="array" ref="I223">INDEX(М[Цена за ед., руб],MATCH(1,IF(($B223=М[Наим.])*($C223=М[Артикул, марка, произв.])*($D223=М[Хар-ка])*($K223=М[Прим.]),{1},($B223=М[Наим.])*($C223=М[Артикул, марка, произв.])*($D223=М[Хар-ка])*($K223=М[Прим.])),0))</f>
        <v>0</v>
      </c>
      <c r="J223" s="58">
        <f>ROUND($H$223*$I$223,2)</f>
        <v>0</v>
      </c>
      <c r="K223" s="25"/>
      <c r="L223" s="25">
        <f t="array" ref="L223">INDEX(М[Форма закупа],MATCH(1,IF(($B223=М[Наим.])*($C223=М[Артикул, марка, произв.])*($D223=М[Хар-ка])*($K223=М[Прим.]),{1},($B223=М[Наим.])*($C223=М[Артикул, марка, произв.])*($D223=М[Хар-ка])*($K223=М[Прим.])),0))</f>
        <v>0</v>
      </c>
    </row>
    <row r="224" spans="1:12" ht="35.1" customHeight="1" outlineLevel="4" x14ac:dyDescent="0.2">
      <c r="A224" s="23" t="s">
        <v>33</v>
      </c>
      <c r="B224" s="24" t="s">
        <v>119</v>
      </c>
      <c r="C224" s="25"/>
      <c r="D224" s="25" t="s">
        <v>122</v>
      </c>
      <c r="E224" s="26" t="s">
        <v>32</v>
      </c>
      <c r="F224" s="27"/>
      <c r="G224" s="28">
        <v>280</v>
      </c>
      <c r="H224" s="28">
        <f>SUM($G$224:$G$224)</f>
        <v>280</v>
      </c>
      <c r="I224" s="58">
        <f t="array" ref="I224">INDEX(М[Цена за ед., руб],MATCH(1,IF(($B224=М[Наим.])*($C224=М[Артикул, марка, произв.])*($D224=М[Хар-ка])*($K224=М[Прим.]),{1},($B224=М[Наим.])*($C224=М[Артикул, марка, произв.])*($D224=М[Хар-ка])*($K224=М[Прим.])),0))</f>
        <v>0</v>
      </c>
      <c r="J224" s="58">
        <f>ROUND($H$224*$I$224,2)</f>
        <v>0</v>
      </c>
      <c r="K224" s="25"/>
      <c r="L224" s="25">
        <f t="array" ref="L224">INDEX(М[Форма закупа],MATCH(1,IF(($B224=М[Наим.])*($C224=М[Артикул, марка, произв.])*($D224=М[Хар-ка])*($K224=М[Прим.]),{1},($B224=М[Наим.])*($C224=М[Артикул, марка, произв.])*($D224=М[Хар-ка])*($K224=М[Прим.])),0))</f>
        <v>0</v>
      </c>
    </row>
    <row r="225" spans="1:12" ht="11.1" customHeight="1" outlineLevel="2" x14ac:dyDescent="0.2">
      <c r="A225" s="13" t="s">
        <v>179</v>
      </c>
      <c r="B225" s="14" t="s">
        <v>180</v>
      </c>
      <c r="C225" s="15"/>
      <c r="D225" s="15"/>
      <c r="E225" s="16"/>
      <c r="F225" s="17"/>
      <c r="G225" s="18"/>
      <c r="H225" s="18"/>
      <c r="I225" s="55"/>
      <c r="J225" s="55">
        <f ca="1">SUM($J$226)</f>
        <v>0</v>
      </c>
      <c r="K225" s="19"/>
      <c r="L225" s="19"/>
    </row>
    <row r="226" spans="1:12" ht="11.1" customHeight="1" outlineLevel="3" x14ac:dyDescent="0.2">
      <c r="A226" s="13" t="s">
        <v>181</v>
      </c>
      <c r="B226" s="14" t="s">
        <v>180</v>
      </c>
      <c r="C226" s="15"/>
      <c r="D226" s="15"/>
      <c r="E226" s="16"/>
      <c r="F226" s="17"/>
      <c r="G226" s="18"/>
      <c r="H226" s="18"/>
      <c r="I226" s="55"/>
      <c r="J226" s="55">
        <f ca="1">SUM($J$229,$J$227,$J$231,$J$237)</f>
        <v>0</v>
      </c>
      <c r="K226" s="19"/>
      <c r="L226" s="19"/>
    </row>
    <row r="227" spans="1:12" ht="11.1" customHeight="1" outlineLevel="4" x14ac:dyDescent="0.2">
      <c r="A227" s="20"/>
      <c r="B227" s="14" t="s">
        <v>22</v>
      </c>
      <c r="C227" s="21"/>
      <c r="D227" s="21"/>
      <c r="E227" s="21"/>
      <c r="F227" s="21"/>
      <c r="G227" s="21"/>
      <c r="H227" s="21"/>
      <c r="I227" s="56"/>
      <c r="J227" s="57">
        <f>SUM($J$228)</f>
        <v>0</v>
      </c>
      <c r="K227" s="18"/>
      <c r="L227" s="22"/>
    </row>
    <row r="228" spans="1:12" ht="11.1" customHeight="1" outlineLevel="4" x14ac:dyDescent="0.2">
      <c r="A228" s="23"/>
      <c r="B228" s="24" t="s">
        <v>199</v>
      </c>
      <c r="C228" s="25"/>
      <c r="D228" s="25"/>
      <c r="E228" s="26" t="s">
        <v>104</v>
      </c>
      <c r="F228" s="27"/>
      <c r="G228" s="28">
        <v>1</v>
      </c>
      <c r="H228" s="28">
        <f>SUM($G$228:$G$228)</f>
        <v>1</v>
      </c>
      <c r="I228" s="58">
        <f t="array" ref="I228">INDEX(Р[Цена за ед., руб],MATCH(1,IF(($B228=Р[Наименование])*($K228=Р[Примечание]),{1},($B228=Р[Наименование])*($K228=Р[Примечание])),0))</f>
        <v>0</v>
      </c>
      <c r="J228" s="58">
        <f>ROUND($H$228*$I$228,2)</f>
        <v>0</v>
      </c>
      <c r="K228" s="25"/>
      <c r="L228" s="25"/>
    </row>
    <row r="229" spans="1:12" ht="11.1" customHeight="1" outlineLevel="4" x14ac:dyDescent="0.2">
      <c r="A229" s="20"/>
      <c r="B229" s="14" t="s">
        <v>27</v>
      </c>
      <c r="C229" s="21"/>
      <c r="D229" s="21"/>
      <c r="E229" s="21"/>
      <c r="F229" s="21"/>
      <c r="G229" s="21"/>
      <c r="H229" s="21"/>
      <c r="I229" s="56"/>
      <c r="J229" s="57">
        <f>SUM($J$230)</f>
        <v>0</v>
      </c>
      <c r="K229" s="18"/>
      <c r="L229" s="22"/>
    </row>
    <row r="230" spans="1:12" ht="11.1" customHeight="1" outlineLevel="4" x14ac:dyDescent="0.2">
      <c r="A230" s="23" t="s">
        <v>28</v>
      </c>
      <c r="B230" s="24" t="s">
        <v>182</v>
      </c>
      <c r="C230" s="25"/>
      <c r="D230" s="25" t="s">
        <v>183</v>
      </c>
      <c r="E230" s="26" t="s">
        <v>184</v>
      </c>
      <c r="F230" s="27"/>
      <c r="G230" s="28">
        <v>60</v>
      </c>
      <c r="H230" s="28">
        <f>SUM($G$230:$G$230)</f>
        <v>60</v>
      </c>
      <c r="I230" s="58">
        <f t="array" ref="I230">INDEX(М[Цена за ед., руб],MATCH(1,IF(($B230=М[Наим.])*($C230=М[Артикул, марка, произв.])*($D230=М[Хар-ка])*($K230=М[Прим.]),{1},($B230=М[Наим.])*($C230=М[Артикул, марка, произв.])*($D230=М[Хар-ка])*($K230=М[Прим.])),0))</f>
        <v>0</v>
      </c>
      <c r="J230" s="58">
        <f>ROUND($H$230*$I$230,2)</f>
        <v>0</v>
      </c>
      <c r="K230" s="25" t="s">
        <v>185</v>
      </c>
      <c r="L230" s="25">
        <f t="array" ref="L230">INDEX(М[Форма закупа],MATCH(1,IF(($B230=М[Наим.])*($C230=М[Артикул, марка, произв.])*($D230=М[Хар-ка])*($K230=М[Прим.]),{1},($B230=М[Наим.])*($C230=М[Артикул, марка, произв.])*($D230=М[Хар-ка])*($K230=М[Прим.])),0))</f>
        <v>0</v>
      </c>
    </row>
    <row r="231" spans="1:12" s="67" customFormat="1" ht="11.1" customHeight="1" outlineLevel="4" x14ac:dyDescent="0.2">
      <c r="A231" s="60"/>
      <c r="B231" s="61" t="s">
        <v>27</v>
      </c>
      <c r="C231" s="62"/>
      <c r="D231" s="62"/>
      <c r="E231" s="62"/>
      <c r="F231" s="62"/>
      <c r="G231" s="62"/>
      <c r="H231" s="62"/>
      <c r="I231" s="63"/>
      <c r="J231" s="64">
        <f ca="1">SUM($J$232:$J$236)</f>
        <v>0</v>
      </c>
      <c r="K231" s="65"/>
      <c r="L231" s="66"/>
    </row>
    <row r="232" spans="1:12" s="67" customFormat="1" ht="20.100000000000001" customHeight="1" outlineLevel="4" x14ac:dyDescent="0.2">
      <c r="A232" s="68">
        <v>1</v>
      </c>
      <c r="B232" s="69" t="s">
        <v>203</v>
      </c>
      <c r="C232" s="70"/>
      <c r="D232" s="70"/>
      <c r="E232" s="71" t="s">
        <v>144</v>
      </c>
      <c r="F232" s="72"/>
      <c r="G232" s="72"/>
      <c r="H232" s="92">
        <f ca="1">SUMIF(М[[Наим.]:[Сумма, руб]],B232,М[Количество])</f>
        <v>0</v>
      </c>
      <c r="I232" s="73"/>
      <c r="J232" s="73">
        <f ca="1">ROUND(J88*H232%,3)</f>
        <v>0</v>
      </c>
      <c r="K232" s="74" t="s">
        <v>220</v>
      </c>
      <c r="L232" s="70">
        <f t="array" ref="L232">INDEX(М[Форма закупа],MATCH(1,IF(($B232=М[Наим.])*($C232=М[Артикул, марка, произв.])*($D232=М[Хар-ка])*($K232=М[Прим.]),{1},($B232=М[Наим.])*($C232=М[Артикул, марка, произв.])*($D232=М[Хар-ка])*($K232=М[Прим.])),0))</f>
        <v>0</v>
      </c>
    </row>
    <row r="233" spans="1:12" s="67" customFormat="1" ht="20.100000000000001" customHeight="1" outlineLevel="4" x14ac:dyDescent="0.2">
      <c r="A233" s="68">
        <v>2</v>
      </c>
      <c r="B233" s="69" t="s">
        <v>200</v>
      </c>
      <c r="C233" s="70"/>
      <c r="D233" s="70"/>
      <c r="E233" s="71" t="s">
        <v>144</v>
      </c>
      <c r="F233" s="72"/>
      <c r="G233" s="72"/>
      <c r="H233" s="92">
        <f ca="1">SUMIF(М[[Наим.]:[Сумма, руб]],B233,М[Количество])</f>
        <v>0</v>
      </c>
      <c r="I233" s="73"/>
      <c r="J233" s="73">
        <f ca="1">ROUND(SUM(J97,J98,J99,J100,J125,J157,J158,J159,J196,J197,J198,J223:J224,J22409)*H233%,3)</f>
        <v>0</v>
      </c>
      <c r="K233" s="74" t="s">
        <v>220</v>
      </c>
      <c r="L233" s="70">
        <f t="array" ref="L233">INDEX(М[Форма закупа],MATCH(1,IF(($B233=М[Наим.])*($C233=М[Артикул, марка, произв.])*($D233=М[Хар-ка])*($K233=М[Прим.]),{1},($B233=М[Наим.])*($C233=М[Артикул, марка, произв.])*($D233=М[Хар-ка])*($K233=М[Прим.])),0))</f>
        <v>0</v>
      </c>
    </row>
    <row r="234" spans="1:12" s="67" customFormat="1" ht="20.100000000000001" customHeight="1" outlineLevel="4" x14ac:dyDescent="0.2">
      <c r="A234" s="68">
        <v>3</v>
      </c>
      <c r="B234" s="69" t="s">
        <v>143</v>
      </c>
      <c r="C234" s="70"/>
      <c r="D234" s="70"/>
      <c r="E234" s="71" t="s">
        <v>144</v>
      </c>
      <c r="F234" s="72"/>
      <c r="G234" s="72"/>
      <c r="H234" s="92">
        <f ca="1">SUMIF(М[[Наим.]:[Сумма, руб]],B234,М[Количество])</f>
        <v>0</v>
      </c>
      <c r="I234" s="73"/>
      <c r="J234" s="73">
        <f ca="1">ROUND(SUM(J104,J105)*H234%,3)</f>
        <v>0</v>
      </c>
      <c r="K234" s="74" t="s">
        <v>220</v>
      </c>
      <c r="L234" s="70">
        <f t="array" ref="L234">INDEX(М[Форма закупа],MATCH(1,IF(($B234=М[Наим.])*($C234=М[Артикул, марка, произв.])*($D234=М[Хар-ка])*($K234=М[Прим.]),{1},($B234=М[Наим.])*($C234=М[Артикул, марка, произв.])*($D234=М[Хар-ка])*($K234=М[Прим.])),0))</f>
        <v>0</v>
      </c>
    </row>
    <row r="235" spans="1:12" s="67" customFormat="1" ht="20.100000000000001" customHeight="1" outlineLevel="4" x14ac:dyDescent="0.2">
      <c r="A235" s="68">
        <v>4</v>
      </c>
      <c r="B235" s="69" t="s">
        <v>201</v>
      </c>
      <c r="C235" s="70"/>
      <c r="D235" s="70"/>
      <c r="E235" s="71" t="s">
        <v>144</v>
      </c>
      <c r="F235" s="72"/>
      <c r="G235" s="72"/>
      <c r="H235" s="92">
        <f ca="1">SUMIF(М[[Наим.]:[Сумма, руб]],B235,М[Количество])</f>
        <v>0</v>
      </c>
      <c r="I235" s="73"/>
      <c r="J235" s="73">
        <f ca="1">ROUND(SUM(J109,J110,J111,J115,J116,J117,J118,J119,J120)*H235%,3)</f>
        <v>0</v>
      </c>
      <c r="K235" s="74" t="s">
        <v>220</v>
      </c>
      <c r="L235" s="70">
        <f t="array" ref="L235">INDEX(М[Форма закупа],MATCH(1,IF(($B235=М[Наим.])*($C235=М[Артикул, марка, произв.])*($D235=М[Хар-ка])*($K235=М[Прим.]),{1},($B235=М[Наим.])*($C235=М[Артикул, марка, произв.])*($D235=М[Хар-ка])*($K235=М[Прим.])),0))</f>
        <v>0</v>
      </c>
    </row>
    <row r="236" spans="1:12" s="91" customFormat="1" ht="20.100000000000001" customHeight="1" outlineLevel="4" x14ac:dyDescent="0.2">
      <c r="A236" s="68">
        <v>5</v>
      </c>
      <c r="B236" s="90" t="s">
        <v>202</v>
      </c>
      <c r="C236" s="70"/>
      <c r="D236" s="70"/>
      <c r="E236" s="71" t="s">
        <v>144</v>
      </c>
      <c r="F236" s="72"/>
      <c r="G236" s="72"/>
      <c r="H236" s="92">
        <f ca="1">SUMIF(М[[Наим.]:[Сумма, руб]],B236,М[Количество])</f>
        <v>0</v>
      </c>
      <c r="I236" s="73"/>
      <c r="J236" s="73">
        <f ca="1">ROUND(SUM(J17:J26,J30,J34:J37,J41:J42,J46,J50,J54:J61,J65:J69,J73:J74,J78,J82:J84,J88,J92:J93,J97:J100,J104:J105,J109:J111,J115:J120,J125:J128,J136,J140,J144,J145:J146,J150:J151,J157:J159,J166:J168,J172,J176,J180,J184,J188,J189:J190,J196:J198,J205:J206,J210,J214:J215,J219,J223:J224,J230)*H236%,3)</f>
        <v>0</v>
      </c>
      <c r="K236" s="74" t="s">
        <v>220</v>
      </c>
      <c r="L236" s="70">
        <f t="array" ref="L236">INDEX(М[Форма закупа],MATCH(1,IF(($B236=М[Наим.])*($C236=М[Артикул, марка, произв.])*($D236=М[Хар-ка])*($K236=М[Прим.]),{1},($B236=М[Наим.])*($C236=М[Артикул, марка, произв.])*($D236=М[Хар-ка])*($K236=М[Прим.])),0))</f>
        <v>0</v>
      </c>
    </row>
    <row r="237" spans="1:12" s="83" customFormat="1" ht="11.1" customHeight="1" outlineLevel="4" x14ac:dyDescent="0.2">
      <c r="A237" s="76"/>
      <c r="B237" s="77" t="s">
        <v>27</v>
      </c>
      <c r="C237" s="78"/>
      <c r="D237" s="78"/>
      <c r="E237" s="78"/>
      <c r="F237" s="78"/>
      <c r="G237" s="78"/>
      <c r="H237" s="78"/>
      <c r="I237" s="79"/>
      <c r="J237" s="80">
        <f>SUM($J$238)</f>
        <v>0</v>
      </c>
      <c r="K237" s="81"/>
      <c r="L237" s="82"/>
    </row>
    <row r="238" spans="1:12" s="83" customFormat="1" ht="11.1" customHeight="1" outlineLevel="4" x14ac:dyDescent="0.2">
      <c r="A238" s="84" t="s">
        <v>28</v>
      </c>
      <c r="B238" s="85" t="s">
        <v>141</v>
      </c>
      <c r="C238" s="74"/>
      <c r="D238" s="74" t="s">
        <v>142</v>
      </c>
      <c r="E238" s="86" t="s">
        <v>24</v>
      </c>
      <c r="F238" s="87"/>
      <c r="G238" s="88">
        <v>184</v>
      </c>
      <c r="H238" s="88">
        <f>SUM($G$238:$G$238)</f>
        <v>184</v>
      </c>
      <c r="I238" s="89">
        <f t="array" ref="I238">INDEX(М[Цена за ед., руб],MATCH(1,IF(($B238=М[Наим.])*($C238=М[Артикул, марка, произв.])*($D238=М[Хар-ка])*($K238=М[Прим.]),{1},($B238=М[Наим.])*($C238=М[Артикул, марка, произв.])*($D238=М[Хар-ка])*($K238=М[Прим.])),0))</f>
        <v>0</v>
      </c>
      <c r="J238" s="89">
        <f>ROUND($H$238*$I$238,2)</f>
        <v>0</v>
      </c>
      <c r="K238" s="74"/>
      <c r="L238" s="74">
        <f t="array" ref="L238">INDEX(М[Форма закупа],MATCH(1,IF(($B238=М[Наим.])*($C238=М[Артикул, марка, произв.])*($D238=М[Хар-ка])*($K238=М[Прим.]),{1},($B238=М[Наим.])*($C238=М[Артикул, марка, произв.])*($D238=М[Хар-ка])*($K238=М[Прим.])),0))</f>
        <v>0</v>
      </c>
    </row>
    <row r="239" spans="1:12" ht="11.1" customHeight="1" outlineLevel="2" x14ac:dyDescent="0.2">
      <c r="A239" s="13" t="s">
        <v>148</v>
      </c>
      <c r="B239" s="14" t="s">
        <v>149</v>
      </c>
      <c r="C239" s="15"/>
      <c r="D239" s="15"/>
      <c r="E239" s="16"/>
      <c r="F239" s="17"/>
      <c r="G239" s="18"/>
      <c r="H239" s="18"/>
      <c r="I239" s="55"/>
      <c r="J239" s="55">
        <f>SUM($J$240)</f>
        <v>0</v>
      </c>
      <c r="K239" s="19"/>
      <c r="L239" s="19"/>
    </row>
    <row r="240" spans="1:12" ht="11.1" customHeight="1" outlineLevel="3" x14ac:dyDescent="0.2">
      <c r="A240" s="13" t="s">
        <v>150</v>
      </c>
      <c r="B240" s="14" t="s">
        <v>149</v>
      </c>
      <c r="C240" s="15"/>
      <c r="D240" s="15"/>
      <c r="E240" s="16"/>
      <c r="F240" s="17"/>
      <c r="G240" s="18"/>
      <c r="H240" s="18"/>
      <c r="I240" s="55"/>
      <c r="J240" s="55">
        <f>SUM($J$241)</f>
        <v>0</v>
      </c>
      <c r="K240" s="19"/>
      <c r="L240" s="19"/>
    </row>
    <row r="241" spans="1:143" ht="11.1" customHeight="1" outlineLevel="4" x14ac:dyDescent="0.2">
      <c r="A241" s="20"/>
      <c r="B241" s="14" t="s">
        <v>22</v>
      </c>
      <c r="C241" s="21"/>
      <c r="D241" s="21"/>
      <c r="E241" s="21"/>
      <c r="F241" s="21"/>
      <c r="G241" s="21"/>
      <c r="H241" s="21"/>
      <c r="I241" s="56"/>
      <c r="J241" s="57">
        <f>SUM($J$242)</f>
        <v>0</v>
      </c>
      <c r="K241" s="18"/>
      <c r="L241" s="22"/>
    </row>
    <row r="242" spans="1:143" ht="35.1" customHeight="1" outlineLevel="4" x14ac:dyDescent="0.2">
      <c r="A242" s="23"/>
      <c r="B242" s="24" t="s">
        <v>151</v>
      </c>
      <c r="C242" s="25"/>
      <c r="D242" s="25"/>
      <c r="E242" s="26" t="s">
        <v>104</v>
      </c>
      <c r="F242" s="27"/>
      <c r="G242" s="28">
        <v>1</v>
      </c>
      <c r="H242" s="28">
        <f>SUM($G$242:$G$242)</f>
        <v>1</v>
      </c>
      <c r="I242" s="58">
        <f t="array" ref="I242">INDEX(Р[Цена за ед., руб],MATCH(1,IF(($B242=Р[Наименование])*($K242=Р[Примечание]),{1},($B242=Р[Наименование])*($K242=Р[Примечание])),0))</f>
        <v>0</v>
      </c>
      <c r="J242" s="58">
        <f>ROUND($H$242*$I$242,2)</f>
        <v>0</v>
      </c>
      <c r="K242" s="25"/>
      <c r="L242" s="25"/>
    </row>
    <row r="243" spans="1:143" ht="11.1" customHeight="1" x14ac:dyDescent="0.2">
      <c r="A243" s="136" t="s">
        <v>205</v>
      </c>
      <c r="B243" s="137"/>
      <c r="C243" s="137"/>
      <c r="D243" s="137"/>
      <c r="E243" s="137"/>
      <c r="F243" s="137"/>
      <c r="G243" s="137"/>
      <c r="H243" s="137"/>
      <c r="I243" s="138"/>
      <c r="J243" s="59">
        <f ca="1">$J$9</f>
        <v>0</v>
      </c>
      <c r="K243" s="32"/>
      <c r="L243" s="32"/>
      <c r="M243" s="67"/>
    </row>
    <row r="244" spans="1:143" ht="11.1" customHeight="1" x14ac:dyDescent="0.2">
      <c r="A244" s="139" t="s">
        <v>206</v>
      </c>
      <c r="B244" s="140"/>
      <c r="C244" s="140"/>
      <c r="D244" s="140"/>
      <c r="E244" s="140"/>
      <c r="F244" s="140"/>
      <c r="G244" s="140"/>
      <c r="H244" s="140"/>
      <c r="I244" s="141"/>
      <c r="J244" s="59">
        <f>SUM($J$227,$J$220,$J$216,$J$211,$J$207,$J$202,$J$200,$J$193,$J$191,$J$185,$J$181,$J$177,$J$173,$J$169,$J$163,$J$161,$J$154,$J$152,$J$147,$J$141,$J$137,$J$133,$J$131,$J$241,$J$122,$J$112,$J$106,$J$101,$J$94,$J$89,$J$85,$J$79,$J$75,$J$70,$J$62,$J$51,$J$47,$J$43,$J$38,$J$31,$J$27,$J$14,$J$12)</f>
        <v>0</v>
      </c>
      <c r="K244" s="32"/>
      <c r="L244" s="32"/>
    </row>
    <row r="245" spans="1:143" ht="11.1" customHeight="1" x14ac:dyDescent="0.2">
      <c r="A245" s="139" t="s">
        <v>207</v>
      </c>
      <c r="B245" s="140"/>
      <c r="C245" s="140"/>
      <c r="D245" s="140"/>
      <c r="E245" s="140"/>
      <c r="F245" s="140"/>
      <c r="G245" s="140"/>
      <c r="H245" s="140"/>
      <c r="I245" s="141"/>
      <c r="J245" s="59">
        <f ca="1">SUM($J$229,$J$222,$J$218,$J$213,$J$209,$J$204,$J$195,$J$187,$J$183,$J$179,$J$175,$J$171,$J$165,$J$231,$J$156,$J$149,$J$143,$J$139,$J$135,$J$124,$J$237,$J$114,$J$108,$J$103,$J$96,$J$91,$J$87,$J$81,$J$77,$J$72,$J$64,$J$53,$J$49,$J$45,$J$40,$J$33,$J$29,$J$16)</f>
        <v>0</v>
      </c>
      <c r="K245" s="32"/>
      <c r="L245" s="32"/>
    </row>
    <row r="246" spans="1:143" ht="11.1" customHeight="1" x14ac:dyDescent="0.2">
      <c r="A246" s="139" t="s">
        <v>208</v>
      </c>
      <c r="B246" s="140"/>
      <c r="C246" s="140"/>
      <c r="D246" s="140"/>
      <c r="E246" s="140"/>
      <c r="F246" s="140"/>
      <c r="G246" s="140"/>
      <c r="H246" s="140"/>
      <c r="I246" s="141"/>
      <c r="J246" s="99"/>
      <c r="K246" s="119" t="s">
        <v>219</v>
      </c>
      <c r="L246" s="32"/>
    </row>
    <row r="247" spans="1:143" ht="11.1" customHeight="1" x14ac:dyDescent="0.2">
      <c r="A247" s="33"/>
      <c r="B247" s="124" t="s">
        <v>186</v>
      </c>
      <c r="C247" s="124"/>
      <c r="D247" s="124"/>
      <c r="E247" s="124"/>
      <c r="F247" s="124"/>
      <c r="G247" s="124"/>
      <c r="H247" s="124"/>
      <c r="I247" s="125"/>
      <c r="J247" s="125"/>
      <c r="K247" s="124"/>
      <c r="L247" s="33"/>
    </row>
    <row r="248" spans="1:143" ht="11.1" customHeight="1" x14ac:dyDescent="0.2">
      <c r="B248" s="126"/>
      <c r="C248" s="126"/>
      <c r="D248" s="126"/>
      <c r="E248" s="126"/>
      <c r="F248" s="126"/>
      <c r="G248" s="126"/>
      <c r="H248" s="126"/>
      <c r="I248" s="127"/>
      <c r="J248" s="127"/>
      <c r="K248" s="126"/>
    </row>
    <row r="250" spans="1:143" s="104" customFormat="1" ht="15" x14ac:dyDescent="0.2">
      <c r="A250" s="101"/>
      <c r="B250" s="102" t="s">
        <v>210</v>
      </c>
      <c r="C250" s="103"/>
      <c r="D250" s="103"/>
      <c r="F250" s="105"/>
      <c r="G250" s="105"/>
      <c r="H250" s="105"/>
      <c r="I250" s="105"/>
      <c r="J250" s="105"/>
      <c r="K250" s="105"/>
      <c r="L250" s="106"/>
      <c r="M250" s="107"/>
      <c r="N250" s="107"/>
      <c r="AN250" s="107"/>
      <c r="AO250" s="107"/>
      <c r="AP250" s="107"/>
      <c r="AQ250" s="107"/>
      <c r="AR250" s="107"/>
      <c r="AS250" s="107"/>
      <c r="AT250" s="107"/>
      <c r="AU250" s="107"/>
      <c r="AV250" s="107"/>
      <c r="AW250" s="107"/>
      <c r="AX250" s="107"/>
      <c r="AY250" s="107"/>
      <c r="AZ250" s="107"/>
      <c r="BA250" s="107"/>
      <c r="BB250" s="107"/>
      <c r="BC250" s="107"/>
      <c r="BD250" s="107"/>
      <c r="BE250" s="107"/>
      <c r="BF250" s="107"/>
      <c r="BG250" s="107"/>
      <c r="BH250" s="107"/>
      <c r="BI250" s="107"/>
      <c r="BJ250" s="107"/>
      <c r="BK250" s="107"/>
      <c r="BL250" s="107"/>
      <c r="BM250" s="107"/>
      <c r="BN250" s="107"/>
      <c r="BO250" s="107"/>
      <c r="BP250" s="107"/>
      <c r="BQ250" s="107"/>
      <c r="BR250" s="107"/>
      <c r="BS250" s="107"/>
      <c r="BT250" s="107"/>
      <c r="BU250" s="107"/>
      <c r="BV250" s="107"/>
      <c r="BW250" s="107"/>
      <c r="BX250" s="107"/>
      <c r="BY250" s="107"/>
      <c r="BZ250" s="107"/>
      <c r="CA250" s="107"/>
      <c r="CB250" s="107"/>
      <c r="CC250" s="107"/>
      <c r="CD250" s="107"/>
      <c r="CE250" s="107"/>
      <c r="CF250" s="107"/>
      <c r="CG250" s="107"/>
      <c r="CH250" s="107"/>
      <c r="CI250" s="107"/>
      <c r="CJ250" s="107"/>
      <c r="CK250" s="107"/>
      <c r="CL250" s="107"/>
      <c r="CM250" s="107"/>
      <c r="CN250" s="107"/>
      <c r="CO250" s="107"/>
      <c r="CP250" s="107"/>
      <c r="CQ250" s="107"/>
      <c r="CR250" s="107"/>
    </row>
    <row r="251" spans="1:143" s="104" customFormat="1" ht="26.25" customHeight="1" x14ac:dyDescent="0.2">
      <c r="A251" s="108" t="s">
        <v>211</v>
      </c>
      <c r="B251" s="122" t="s">
        <v>212</v>
      </c>
      <c r="C251" s="122"/>
      <c r="D251" s="122"/>
      <c r="E251" s="122"/>
      <c r="F251" s="122"/>
      <c r="G251" s="122"/>
      <c r="H251" s="122"/>
      <c r="I251" s="122"/>
      <c r="J251" s="122"/>
      <c r="K251" s="122"/>
      <c r="L251" s="122"/>
      <c r="M251" s="122"/>
      <c r="N251" s="122"/>
      <c r="O251" s="122"/>
      <c r="P251" s="122"/>
      <c r="Q251" s="109"/>
      <c r="R251" s="109"/>
      <c r="S251" s="109"/>
      <c r="T251" s="109"/>
      <c r="U251" s="109"/>
      <c r="V251" s="109"/>
      <c r="W251" s="109"/>
      <c r="X251" s="109"/>
      <c r="Y251" s="109"/>
      <c r="Z251" s="109"/>
      <c r="AA251" s="109"/>
      <c r="AB251" s="109"/>
      <c r="AC251" s="109"/>
      <c r="AD251" s="109"/>
      <c r="AE251" s="109"/>
      <c r="AF251" s="109"/>
      <c r="AG251" s="110"/>
      <c r="AH251" s="110"/>
      <c r="AI251" s="110"/>
      <c r="AJ251" s="110"/>
      <c r="AK251" s="110"/>
      <c r="AL251" s="110"/>
      <c r="AM251" s="110"/>
      <c r="AN251" s="111"/>
      <c r="AO251" s="111"/>
      <c r="AP251" s="111"/>
      <c r="AQ251" s="111"/>
      <c r="AR251" s="111"/>
      <c r="AS251" s="111"/>
      <c r="AT251" s="111"/>
      <c r="AU251" s="111"/>
      <c r="AV251" s="111"/>
      <c r="AW251" s="111"/>
      <c r="AX251" s="111"/>
      <c r="AY251" s="111"/>
      <c r="AZ251" s="111"/>
      <c r="BA251" s="111"/>
      <c r="BB251" s="111"/>
      <c r="BC251" s="111"/>
      <c r="BD251" s="111"/>
      <c r="BE251" s="111"/>
      <c r="BF251" s="111"/>
      <c r="BG251" s="111"/>
      <c r="BH251" s="111"/>
      <c r="BI251" s="111"/>
      <c r="BJ251" s="111"/>
      <c r="BK251" s="111"/>
      <c r="BL251" s="111"/>
      <c r="BM251" s="111"/>
      <c r="BN251" s="111"/>
      <c r="BO251" s="111"/>
      <c r="BP251" s="111"/>
      <c r="BQ251" s="111"/>
      <c r="BR251" s="111"/>
      <c r="BS251" s="111"/>
      <c r="BT251" s="111"/>
      <c r="BU251" s="111"/>
      <c r="BV251" s="111"/>
      <c r="BW251" s="111"/>
      <c r="BX251" s="111"/>
      <c r="BY251" s="111"/>
      <c r="BZ251" s="111"/>
      <c r="CA251" s="111"/>
      <c r="CB251" s="111"/>
      <c r="CC251" s="111"/>
      <c r="CD251" s="111"/>
      <c r="CE251" s="111"/>
      <c r="CF251" s="111"/>
      <c r="CG251" s="111"/>
      <c r="CH251" s="111"/>
      <c r="CI251" s="111"/>
      <c r="CJ251" s="111"/>
      <c r="CK251" s="111"/>
      <c r="CL251" s="111"/>
      <c r="CM251" s="111"/>
      <c r="CN251" s="111"/>
      <c r="CO251" s="111"/>
      <c r="CP251" s="111"/>
      <c r="CQ251" s="111"/>
      <c r="CR251" s="111"/>
      <c r="CS251" s="109"/>
      <c r="CT251" s="109"/>
      <c r="CU251" s="109"/>
      <c r="CV251" s="109"/>
      <c r="CW251" s="109"/>
      <c r="CX251" s="109"/>
      <c r="CY251" s="109"/>
      <c r="CZ251" s="109"/>
      <c r="DA251" s="109"/>
      <c r="DB251" s="109"/>
      <c r="DC251" s="109"/>
      <c r="DD251" s="109"/>
      <c r="DE251" s="109"/>
      <c r="DF251" s="109"/>
      <c r="DG251" s="109"/>
      <c r="DH251" s="109"/>
      <c r="DI251" s="109"/>
      <c r="DJ251" s="109"/>
      <c r="DK251" s="109"/>
      <c r="DL251" s="109"/>
      <c r="DM251" s="109"/>
      <c r="DN251" s="109"/>
      <c r="DO251" s="109"/>
      <c r="DP251" s="109"/>
      <c r="DQ251" s="109"/>
      <c r="DR251" s="109"/>
      <c r="DS251" s="109"/>
      <c r="DT251" s="109"/>
      <c r="DU251" s="109"/>
      <c r="DV251" s="109"/>
      <c r="DW251" s="109"/>
      <c r="DX251" s="109"/>
      <c r="DY251" s="109"/>
      <c r="DZ251" s="109"/>
      <c r="EA251" s="109"/>
      <c r="EB251" s="109"/>
      <c r="EC251" s="109"/>
      <c r="ED251" s="109"/>
      <c r="EE251" s="109"/>
      <c r="EF251" s="109"/>
      <c r="EG251" s="109"/>
      <c r="EH251" s="109"/>
      <c r="EI251" s="109"/>
      <c r="EJ251" s="109"/>
      <c r="EK251" s="109"/>
      <c r="EL251" s="109"/>
      <c r="EM251" s="109"/>
    </row>
    <row r="252" spans="1:143" s="114" customFormat="1" ht="15.75" x14ac:dyDescent="0.25">
      <c r="A252" s="112" t="s">
        <v>211</v>
      </c>
      <c r="B252" s="123" t="s">
        <v>213</v>
      </c>
      <c r="C252" s="123"/>
      <c r="D252" s="123"/>
      <c r="E252" s="123"/>
      <c r="F252" s="123"/>
      <c r="G252" s="123"/>
      <c r="H252" s="123"/>
      <c r="I252" s="123"/>
      <c r="J252" s="123"/>
      <c r="K252" s="123"/>
      <c r="L252" s="123"/>
      <c r="M252" s="123"/>
      <c r="N252" s="123"/>
      <c r="O252" s="123"/>
      <c r="P252" s="123"/>
      <c r="Q252" s="113"/>
      <c r="R252" s="113"/>
      <c r="S252" s="113"/>
      <c r="T252" s="113"/>
      <c r="U252" s="113"/>
      <c r="V252" s="113"/>
      <c r="W252" s="113"/>
      <c r="DI252" s="115"/>
    </row>
    <row r="253" spans="1:143" s="104" customFormat="1" ht="36.75" customHeight="1" x14ac:dyDescent="0.2">
      <c r="A253" s="116" t="s">
        <v>211</v>
      </c>
      <c r="B253" s="122" t="s">
        <v>214</v>
      </c>
      <c r="C253" s="122"/>
      <c r="D253" s="122"/>
      <c r="E253" s="122"/>
      <c r="F253" s="122"/>
      <c r="G253" s="122"/>
      <c r="H253" s="122"/>
      <c r="I253" s="122"/>
      <c r="J253" s="122"/>
      <c r="K253" s="122"/>
      <c r="L253" s="122"/>
      <c r="M253" s="122"/>
      <c r="N253" s="122"/>
      <c r="O253" s="122"/>
      <c r="P253" s="122"/>
      <c r="AN253" s="107"/>
      <c r="AO253" s="107"/>
      <c r="AP253" s="107"/>
      <c r="AQ253" s="107"/>
      <c r="AR253" s="107"/>
      <c r="AS253" s="107"/>
      <c r="AT253" s="107"/>
      <c r="AU253" s="107"/>
      <c r="AV253" s="107"/>
      <c r="AW253" s="107"/>
      <c r="AX253" s="107"/>
      <c r="AY253" s="107"/>
      <c r="AZ253" s="107"/>
      <c r="BA253" s="107"/>
      <c r="BB253" s="107"/>
      <c r="BC253" s="107"/>
      <c r="BD253" s="107"/>
      <c r="BE253" s="107"/>
      <c r="BF253" s="107"/>
      <c r="BG253" s="107"/>
      <c r="BH253" s="107"/>
      <c r="BI253" s="107"/>
      <c r="BJ253" s="107"/>
      <c r="BK253" s="107"/>
      <c r="BL253" s="107"/>
      <c r="BM253" s="107"/>
      <c r="BN253" s="107"/>
      <c r="BO253" s="107"/>
      <c r="BP253" s="107"/>
      <c r="BQ253" s="107"/>
      <c r="BR253" s="107"/>
      <c r="BS253" s="107"/>
      <c r="BT253" s="107"/>
      <c r="BU253" s="107"/>
      <c r="BV253" s="107"/>
      <c r="BW253" s="107"/>
      <c r="BX253" s="107"/>
      <c r="BY253" s="107"/>
      <c r="BZ253" s="107"/>
      <c r="CA253" s="107"/>
      <c r="CB253" s="107"/>
      <c r="CC253" s="107"/>
      <c r="CD253" s="107"/>
      <c r="CE253" s="107"/>
      <c r="CF253" s="107"/>
      <c r="CG253" s="107"/>
      <c r="CH253" s="107"/>
      <c r="CI253" s="107"/>
      <c r="CJ253" s="107"/>
      <c r="CK253" s="107"/>
      <c r="CL253" s="107"/>
      <c r="CM253" s="107"/>
      <c r="CN253" s="107"/>
      <c r="CO253" s="107"/>
      <c r="CP253" s="107"/>
      <c r="CQ253" s="107"/>
      <c r="CR253" s="107"/>
    </row>
    <row r="254" spans="1:143" s="104" customFormat="1" ht="49.5" customHeight="1" x14ac:dyDescent="0.2">
      <c r="A254" s="117" t="s">
        <v>211</v>
      </c>
      <c r="B254" s="122" t="s">
        <v>215</v>
      </c>
      <c r="C254" s="122"/>
      <c r="D254" s="122"/>
      <c r="E254" s="122"/>
      <c r="F254" s="122"/>
      <c r="G254" s="122"/>
      <c r="H254" s="122"/>
      <c r="I254" s="122"/>
      <c r="J254" s="122"/>
      <c r="K254" s="122"/>
      <c r="L254" s="122"/>
      <c r="M254" s="122"/>
      <c r="N254" s="122"/>
      <c r="O254" s="122"/>
      <c r="P254" s="122"/>
      <c r="AN254" s="107"/>
      <c r="AO254" s="107"/>
      <c r="AP254" s="107"/>
      <c r="AQ254" s="107"/>
      <c r="AR254" s="107"/>
      <c r="AS254" s="107"/>
      <c r="AT254" s="107"/>
      <c r="AU254" s="107"/>
      <c r="AV254" s="107"/>
      <c r="AW254" s="107"/>
      <c r="AX254" s="107"/>
      <c r="AY254" s="107"/>
      <c r="AZ254" s="107"/>
      <c r="BA254" s="107"/>
      <c r="BB254" s="107"/>
      <c r="BC254" s="107"/>
      <c r="BD254" s="107"/>
      <c r="BE254" s="107"/>
      <c r="BF254" s="107"/>
      <c r="BG254" s="107"/>
      <c r="BH254" s="107"/>
      <c r="BI254" s="107"/>
      <c r="BJ254" s="107"/>
      <c r="BK254" s="107"/>
      <c r="BL254" s="107"/>
      <c r="BM254" s="107"/>
      <c r="BN254" s="107"/>
      <c r="BO254" s="107"/>
      <c r="BP254" s="107"/>
      <c r="BQ254" s="107"/>
      <c r="BR254" s="107"/>
      <c r="BS254" s="107"/>
      <c r="BT254" s="107"/>
      <c r="BU254" s="107"/>
      <c r="BV254" s="107"/>
      <c r="BW254" s="107"/>
      <c r="BX254" s="107"/>
      <c r="BY254" s="107"/>
      <c r="BZ254" s="107"/>
      <c r="CA254" s="107"/>
      <c r="CB254" s="107"/>
      <c r="CC254" s="107"/>
      <c r="CD254" s="107"/>
      <c r="CE254" s="107"/>
      <c r="CF254" s="107"/>
      <c r="CG254" s="107"/>
      <c r="CH254" s="107"/>
      <c r="CI254" s="107"/>
      <c r="CJ254" s="107"/>
      <c r="CK254" s="107"/>
      <c r="CL254" s="107"/>
      <c r="CM254" s="107"/>
      <c r="CN254" s="107"/>
      <c r="CO254" s="107"/>
      <c r="CP254" s="107"/>
      <c r="CQ254" s="107"/>
      <c r="CR254" s="107"/>
    </row>
    <row r="255" spans="1:143" s="104" customFormat="1" ht="33" customHeight="1" x14ac:dyDescent="0.2">
      <c r="A255" s="116" t="s">
        <v>211</v>
      </c>
      <c r="B255" s="122" t="s">
        <v>216</v>
      </c>
      <c r="C255" s="122"/>
      <c r="D255" s="122"/>
      <c r="E255" s="122"/>
      <c r="F255" s="122"/>
      <c r="G255" s="122"/>
      <c r="H255" s="122"/>
      <c r="I255" s="122"/>
      <c r="J255" s="122"/>
      <c r="K255" s="122"/>
      <c r="L255" s="122"/>
      <c r="M255" s="122"/>
      <c r="N255" s="122"/>
      <c r="O255" s="122"/>
      <c r="P255" s="122"/>
      <c r="AN255" s="107"/>
      <c r="AO255" s="107"/>
      <c r="AP255" s="107"/>
      <c r="AQ255" s="107"/>
      <c r="AR255" s="107"/>
      <c r="AS255" s="107"/>
      <c r="AT255" s="107"/>
      <c r="AU255" s="107"/>
      <c r="AV255" s="107"/>
      <c r="AW255" s="107"/>
      <c r="AX255" s="107"/>
      <c r="AY255" s="107"/>
      <c r="AZ255" s="107"/>
      <c r="BA255" s="107"/>
      <c r="BB255" s="107"/>
      <c r="BC255" s="107"/>
      <c r="BD255" s="107"/>
      <c r="BE255" s="107"/>
      <c r="BF255" s="107"/>
      <c r="BG255" s="107"/>
      <c r="BH255" s="107"/>
      <c r="BI255" s="107"/>
      <c r="BJ255" s="107"/>
      <c r="BK255" s="107"/>
      <c r="BL255" s="107"/>
      <c r="BM255" s="107"/>
      <c r="BN255" s="107"/>
      <c r="BO255" s="107"/>
      <c r="BP255" s="107"/>
      <c r="BQ255" s="107"/>
      <c r="BR255" s="107"/>
      <c r="BS255" s="107"/>
      <c r="BT255" s="107"/>
      <c r="BU255" s="107"/>
      <c r="BV255" s="107"/>
      <c r="BW255" s="107"/>
      <c r="BX255" s="107"/>
      <c r="BY255" s="107"/>
      <c r="BZ255" s="107"/>
      <c r="CA255" s="107"/>
      <c r="CB255" s="107"/>
      <c r="CC255" s="107"/>
      <c r="CD255" s="107"/>
      <c r="CE255" s="107"/>
      <c r="CF255" s="107"/>
      <c r="CG255" s="107"/>
      <c r="CH255" s="107"/>
      <c r="CI255" s="107"/>
      <c r="CJ255" s="107"/>
      <c r="CK255" s="107"/>
      <c r="CL255" s="107"/>
      <c r="CM255" s="107"/>
      <c r="CN255" s="107"/>
      <c r="CO255" s="107"/>
      <c r="CP255" s="107"/>
      <c r="CQ255" s="107"/>
      <c r="CR255" s="107"/>
    </row>
    <row r="256" spans="1:143" ht="22.5" customHeight="1" x14ac:dyDescent="0.2">
      <c r="A256" s="118" t="s">
        <v>211</v>
      </c>
      <c r="B256" s="120" t="s">
        <v>217</v>
      </c>
      <c r="C256" s="120"/>
      <c r="D256" s="120"/>
      <c r="E256" s="120"/>
      <c r="F256" s="120"/>
      <c r="G256" s="120"/>
      <c r="H256" s="120"/>
      <c r="I256" s="120"/>
      <c r="J256" s="120"/>
      <c r="K256" s="120"/>
      <c r="L256" s="120"/>
      <c r="M256" s="120"/>
      <c r="N256" s="120"/>
      <c r="O256" s="120"/>
      <c r="P256" s="120"/>
    </row>
    <row r="257" spans="2:20" ht="39.75" customHeight="1" x14ac:dyDescent="0.2">
      <c r="B257" s="121" t="s">
        <v>218</v>
      </c>
      <c r="C257" s="121"/>
      <c r="D257" s="121"/>
      <c r="E257" s="121"/>
      <c r="F257" s="121"/>
      <c r="G257" s="121"/>
      <c r="H257" s="121"/>
      <c r="I257" s="121"/>
      <c r="J257" s="121"/>
      <c r="K257" s="121"/>
      <c r="L257" s="121"/>
      <c r="M257" s="121"/>
      <c r="N257" s="121"/>
      <c r="O257" s="121"/>
      <c r="P257" s="121"/>
      <c r="Q257" s="121"/>
      <c r="R257" s="121"/>
      <c r="S257" s="121"/>
      <c r="T257" s="121"/>
    </row>
    <row r="258" spans="2:20" ht="11.45" customHeight="1" x14ac:dyDescent="0.2">
      <c r="M258" s="1"/>
      <c r="N258" s="1"/>
      <c r="O258" s="1"/>
      <c r="P258" s="1"/>
    </row>
  </sheetData>
  <autoFilter ref="A7:L247" xr:uid="{00000000-0001-0000-0000-000000000000}"/>
  <mergeCells count="28">
    <mergeCell ref="A6:A7"/>
    <mergeCell ref="B6:B7"/>
    <mergeCell ref="C6:C7"/>
    <mergeCell ref="D6:D7"/>
    <mergeCell ref="E6:E7"/>
    <mergeCell ref="B247:K247"/>
    <mergeCell ref="B248:K248"/>
    <mergeCell ref="K6:K7"/>
    <mergeCell ref="L6:L7"/>
    <mergeCell ref="B2:J2"/>
    <mergeCell ref="B3:J3"/>
    <mergeCell ref="B4:J4"/>
    <mergeCell ref="F6:F7"/>
    <mergeCell ref="G6:G7"/>
    <mergeCell ref="H6:H7"/>
    <mergeCell ref="I6:I7"/>
    <mergeCell ref="J6:J7"/>
    <mergeCell ref="A243:I243"/>
    <mergeCell ref="A244:I244"/>
    <mergeCell ref="A245:I245"/>
    <mergeCell ref="A246:I246"/>
    <mergeCell ref="B256:P256"/>
    <mergeCell ref="B257:T257"/>
    <mergeCell ref="B251:P251"/>
    <mergeCell ref="B252:P252"/>
    <mergeCell ref="B253:P253"/>
    <mergeCell ref="B254:P254"/>
    <mergeCell ref="B255:P255"/>
  </mergeCells>
  <phoneticPr fontId="5" type="noConversion"/>
  <conditionalFormatting sqref="DA250:DH251 DA253:DH255">
    <cfRule type="cellIs" dxfId="20" priority="2" operator="lessThan">
      <formula>0</formula>
    </cfRule>
    <cfRule type="cellIs" dxfId="19" priority="3" operator="equal">
      <formula>0</formula>
    </cfRule>
  </conditionalFormatting>
  <conditionalFormatting sqref="DJ252:DY252">
    <cfRule type="cellIs" dxfId="18" priority="1" operator="lessThan">
      <formula>0</formula>
    </cfRule>
  </conditionalFormatting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44"/>
  <sheetViews>
    <sheetView workbookViewId="0">
      <pane ySplit="3" topLeftCell="A4" activePane="bottomLeft" state="frozen"/>
      <selection pane="bottomLeft" activeCell="G42" sqref="G42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146" t="s">
        <v>187</v>
      </c>
      <c r="B1" s="146"/>
      <c r="C1" s="146"/>
      <c r="D1" s="146"/>
      <c r="E1" s="146"/>
      <c r="F1" s="146"/>
    </row>
    <row r="3" spans="1:6" ht="11.1" customHeight="1" x14ac:dyDescent="0.2">
      <c r="A3" s="41" t="s">
        <v>4</v>
      </c>
      <c r="B3" s="2" t="s">
        <v>7</v>
      </c>
      <c r="C3" s="2" t="s">
        <v>10</v>
      </c>
      <c r="D3" s="48" t="s">
        <v>11</v>
      </c>
      <c r="E3" s="48" t="s">
        <v>12</v>
      </c>
      <c r="F3" s="42" t="s">
        <v>13</v>
      </c>
    </row>
    <row r="4" spans="1:6" ht="11.1" customHeight="1" x14ac:dyDescent="0.2">
      <c r="A4" s="39" t="s">
        <v>23</v>
      </c>
      <c r="B4" s="34" t="s">
        <v>24</v>
      </c>
      <c r="C4" s="35">
        <v>12</v>
      </c>
      <c r="D4" s="49"/>
      <c r="E4" s="49">
        <f>ROUND(Р[[#This Row],[Количество]]*Р[[#This Row],[Цена за ед., руб]],2)</f>
        <v>0</v>
      </c>
      <c r="F4" s="40"/>
    </row>
    <row r="5" spans="1:6" ht="11.1" customHeight="1" x14ac:dyDescent="0.2">
      <c r="A5" s="39" t="s">
        <v>25</v>
      </c>
      <c r="B5" s="34" t="s">
        <v>26</v>
      </c>
      <c r="C5" s="37">
        <v>7413</v>
      </c>
      <c r="D5" s="49"/>
      <c r="E5" s="49">
        <f>ROUND(Р[[#This Row],[Количество]]*Р[[#This Row],[Цена за ед., руб]],2)</f>
        <v>0</v>
      </c>
      <c r="F5" s="40"/>
    </row>
    <row r="6" spans="1:6" ht="11.1" customHeight="1" x14ac:dyDescent="0.2">
      <c r="A6" s="39" t="s">
        <v>51</v>
      </c>
      <c r="B6" s="34" t="s">
        <v>24</v>
      </c>
      <c r="C6" s="35">
        <v>14</v>
      </c>
      <c r="D6" s="49"/>
      <c r="E6" s="49">
        <f>ROUND(Р[[#This Row],[Количество]]*Р[[#This Row],[Цена за ед., руб]],2)</f>
        <v>0</v>
      </c>
      <c r="F6" s="40"/>
    </row>
    <row r="7" spans="1:6" ht="11.1" customHeight="1" x14ac:dyDescent="0.2">
      <c r="A7" s="39" t="s">
        <v>55</v>
      </c>
      <c r="B7" s="34" t="s">
        <v>24</v>
      </c>
      <c r="C7" s="35">
        <v>20</v>
      </c>
      <c r="D7" s="49"/>
      <c r="E7" s="49">
        <f>ROUND(Р[[#This Row],[Количество]]*Р[[#This Row],[Цена за ед., руб]],2)</f>
        <v>0</v>
      </c>
      <c r="F7" s="40"/>
    </row>
    <row r="8" spans="1:6" ht="11.1" customHeight="1" x14ac:dyDescent="0.2">
      <c r="A8" s="39" t="s">
        <v>64</v>
      </c>
      <c r="B8" s="34" t="s">
        <v>24</v>
      </c>
      <c r="C8" s="35">
        <v>5</v>
      </c>
      <c r="D8" s="49"/>
      <c r="E8" s="49">
        <f>ROUND(Р[[#This Row],[Количество]]*Р[[#This Row],[Цена за ед., руб]],2)</f>
        <v>0</v>
      </c>
      <c r="F8" s="40"/>
    </row>
    <row r="9" spans="1:6" ht="11.1" customHeight="1" x14ac:dyDescent="0.2">
      <c r="A9" s="39" t="s">
        <v>68</v>
      </c>
      <c r="B9" s="34" t="s">
        <v>24</v>
      </c>
      <c r="C9" s="35">
        <v>46</v>
      </c>
      <c r="D9" s="49"/>
      <c r="E9" s="49">
        <f>ROUND(Р[[#This Row],[Количество]]*Р[[#This Row],[Цена за ед., руб]],2)</f>
        <v>0</v>
      </c>
      <c r="F9" s="40"/>
    </row>
    <row r="10" spans="1:6" ht="11.1" customHeight="1" x14ac:dyDescent="0.2">
      <c r="A10" s="39" t="s">
        <v>72</v>
      </c>
      <c r="B10" s="34" t="s">
        <v>24</v>
      </c>
      <c r="C10" s="35">
        <v>368</v>
      </c>
      <c r="D10" s="49"/>
      <c r="E10" s="49">
        <f>ROUND(Р[[#This Row],[Количество]]*Р[[#This Row],[Цена за ед., руб]],2)</f>
        <v>0</v>
      </c>
      <c r="F10" s="40"/>
    </row>
    <row r="11" spans="1:6" ht="11.1" customHeight="1" x14ac:dyDescent="0.2">
      <c r="A11" s="39" t="s">
        <v>75</v>
      </c>
      <c r="B11" s="34" t="s">
        <v>24</v>
      </c>
      <c r="C11" s="35">
        <v>306</v>
      </c>
      <c r="D11" s="49"/>
      <c r="E11" s="49">
        <f>ROUND(Р[[#This Row],[Количество]]*Р[[#This Row],[Цена за ед., руб]],2)</f>
        <v>0</v>
      </c>
      <c r="F11" s="40"/>
    </row>
    <row r="12" spans="1:6" ht="11.1" customHeight="1" x14ac:dyDescent="0.2">
      <c r="A12" s="39" t="s">
        <v>85</v>
      </c>
      <c r="B12" s="34" t="s">
        <v>24</v>
      </c>
      <c r="C12" s="35">
        <v>32</v>
      </c>
      <c r="D12" s="49"/>
      <c r="E12" s="49">
        <f>ROUND(Р[[#This Row],[Количество]]*Р[[#This Row],[Цена за ед., руб]],2)</f>
        <v>0</v>
      </c>
      <c r="F12" s="40"/>
    </row>
    <row r="13" spans="1:6" ht="11.1" customHeight="1" x14ac:dyDescent="0.2">
      <c r="A13" s="39" t="s">
        <v>92</v>
      </c>
      <c r="B13" s="34" t="s">
        <v>24</v>
      </c>
      <c r="C13" s="35">
        <v>2</v>
      </c>
      <c r="D13" s="49"/>
      <c r="E13" s="49">
        <f>ROUND(Р[[#This Row],[Количество]]*Р[[#This Row],[Цена за ед., руб]],2)</f>
        <v>0</v>
      </c>
      <c r="F13" s="40"/>
    </row>
    <row r="14" spans="1:6" ht="11.1" customHeight="1" x14ac:dyDescent="0.2">
      <c r="A14" s="39" t="s">
        <v>99</v>
      </c>
      <c r="B14" s="34" t="s">
        <v>24</v>
      </c>
      <c r="C14" s="35">
        <v>2</v>
      </c>
      <c r="D14" s="49"/>
      <c r="E14" s="49">
        <f>ROUND(Р[[#This Row],[Количество]]*Р[[#This Row],[Цена за ед., руб]],2)</f>
        <v>0</v>
      </c>
      <c r="F14" s="40"/>
    </row>
    <row r="15" spans="1:6" ht="11.1" customHeight="1" x14ac:dyDescent="0.2">
      <c r="A15" s="39" t="s">
        <v>102</v>
      </c>
      <c r="B15" s="34" t="s">
        <v>24</v>
      </c>
      <c r="C15" s="35">
        <v>381</v>
      </c>
      <c r="D15" s="49"/>
      <c r="E15" s="49">
        <f>ROUND(Р[[#This Row],[Количество]]*Р[[#This Row],[Цена за ед., руб]],2)</f>
        <v>0</v>
      </c>
      <c r="F15" s="40"/>
    </row>
    <row r="16" spans="1:6" ht="11.1" customHeight="1" x14ac:dyDescent="0.2">
      <c r="A16" s="39" t="s">
        <v>111</v>
      </c>
      <c r="B16" s="34" t="s">
        <v>26</v>
      </c>
      <c r="C16" s="37">
        <v>6279</v>
      </c>
      <c r="D16" s="49"/>
      <c r="E16" s="49">
        <f>ROUND(Р[[#This Row],[Количество]]*Р[[#This Row],[Цена за ед., руб]],2)</f>
        <v>0</v>
      </c>
      <c r="F16" s="40"/>
    </row>
    <row r="17" spans="1:6" ht="11.1" customHeight="1" x14ac:dyDescent="0.2">
      <c r="A17" s="39" t="s">
        <v>115</v>
      </c>
      <c r="B17" s="34" t="s">
        <v>24</v>
      </c>
      <c r="C17" s="35">
        <v>11</v>
      </c>
      <c r="D17" s="49"/>
      <c r="E17" s="49">
        <f>ROUND(Р[[#This Row],[Количество]]*Р[[#This Row],[Цена за ед., руб]],2)</f>
        <v>0</v>
      </c>
      <c r="F17" s="40"/>
    </row>
    <row r="18" spans="1:6" ht="11.1" customHeight="1" x14ac:dyDescent="0.2">
      <c r="A18" s="39" t="s">
        <v>118</v>
      </c>
      <c r="B18" s="34" t="s">
        <v>32</v>
      </c>
      <c r="C18" s="37">
        <v>1354</v>
      </c>
      <c r="D18" s="49"/>
      <c r="E18" s="49">
        <f>ROUND(Р[[#This Row],[Количество]]*Р[[#This Row],[Цена за ед., руб]],2)</f>
        <v>0</v>
      </c>
      <c r="F18" s="40"/>
    </row>
    <row r="19" spans="1:6" ht="11.1" customHeight="1" x14ac:dyDescent="0.2">
      <c r="A19" s="39" t="s">
        <v>124</v>
      </c>
      <c r="B19" s="34" t="s">
        <v>26</v>
      </c>
      <c r="C19" s="35">
        <v>12</v>
      </c>
      <c r="D19" s="49"/>
      <c r="E19" s="49">
        <f>ROUND(Р[[#This Row],[Количество]]*Р[[#This Row],[Цена за ед., руб]],2)</f>
        <v>0</v>
      </c>
      <c r="F19" s="40"/>
    </row>
    <row r="20" spans="1:6" ht="11.1" customHeight="1" x14ac:dyDescent="0.2">
      <c r="A20" s="39" t="s">
        <v>128</v>
      </c>
      <c r="B20" s="34" t="s">
        <v>32</v>
      </c>
      <c r="C20" s="38">
        <v>14.5</v>
      </c>
      <c r="D20" s="49"/>
      <c r="E20" s="49">
        <f>ROUND(Р[[#This Row],[Количество]]*Р[[#This Row],[Цена за ед., руб]],2)</f>
        <v>0</v>
      </c>
      <c r="F20" s="40"/>
    </row>
    <row r="21" spans="1:6" ht="11.1" customHeight="1" x14ac:dyDescent="0.2">
      <c r="A21" s="39" t="s">
        <v>133</v>
      </c>
      <c r="B21" s="34" t="s">
        <v>26</v>
      </c>
      <c r="C21" s="35">
        <v>81</v>
      </c>
      <c r="D21" s="49"/>
      <c r="E21" s="49">
        <f>ROUND(Р[[#This Row],[Количество]]*Р[[#This Row],[Цена за ед., руб]],2)</f>
        <v>0</v>
      </c>
      <c r="F21" s="40"/>
    </row>
    <row r="22" spans="1:6" ht="11.1" customHeight="1" x14ac:dyDescent="0.2">
      <c r="A22" s="39" t="s">
        <v>147</v>
      </c>
      <c r="B22" s="34" t="s">
        <v>104</v>
      </c>
      <c r="C22" s="35">
        <v>1</v>
      </c>
      <c r="D22" s="49"/>
      <c r="E22" s="49">
        <f>ROUND(Р[[#This Row],[Количество]]*Р[[#This Row],[Цена за ед., руб]],2)</f>
        <v>0</v>
      </c>
      <c r="F22" s="40"/>
    </row>
    <row r="23" spans="1:6" ht="23.1" customHeight="1" x14ac:dyDescent="0.2">
      <c r="A23" s="39" t="s">
        <v>151</v>
      </c>
      <c r="B23" s="34" t="s">
        <v>104</v>
      </c>
      <c r="C23" s="35">
        <v>1</v>
      </c>
      <c r="D23" s="49"/>
      <c r="E23" s="49">
        <f>ROUND(Р[[#This Row],[Количество]]*Р[[#This Row],[Цена за ед., руб]],2)</f>
        <v>0</v>
      </c>
      <c r="F23" s="40"/>
    </row>
    <row r="24" spans="1:6" ht="11.1" customHeight="1" x14ac:dyDescent="0.2">
      <c r="A24" s="39" t="s">
        <v>156</v>
      </c>
      <c r="B24" s="34" t="s">
        <v>24</v>
      </c>
      <c r="C24" s="35">
        <v>303</v>
      </c>
      <c r="D24" s="49"/>
      <c r="E24" s="49">
        <f>ROUND(Р[[#This Row],[Количество]]*Р[[#This Row],[Цена за ед., руб]],2)</f>
        <v>0</v>
      </c>
      <c r="F24" s="40"/>
    </row>
    <row r="25" spans="1:6" ht="11.1" customHeight="1" x14ac:dyDescent="0.2">
      <c r="A25" s="39" t="s">
        <v>157</v>
      </c>
      <c r="B25" s="34" t="s">
        <v>158</v>
      </c>
      <c r="C25" s="35">
        <v>30</v>
      </c>
      <c r="D25" s="49"/>
      <c r="E25" s="49">
        <f>ROUND(Р[[#This Row],[Количество]]*Р[[#This Row],[Цена за ед., руб]],2)</f>
        <v>0</v>
      </c>
      <c r="F25" s="40"/>
    </row>
    <row r="26" spans="1:6" ht="11.1" customHeight="1" x14ac:dyDescent="0.2">
      <c r="A26" s="39" t="s">
        <v>162</v>
      </c>
      <c r="B26" s="34" t="s">
        <v>24</v>
      </c>
      <c r="C26" s="35">
        <v>234</v>
      </c>
      <c r="D26" s="49"/>
      <c r="E26" s="49">
        <f>ROUND(Р[[#This Row],[Количество]]*Р[[#This Row],[Цена за ед., руб]],2)</f>
        <v>0</v>
      </c>
      <c r="F26" s="40"/>
    </row>
    <row r="27" spans="1:6" ht="11.1" customHeight="1" x14ac:dyDescent="0.2">
      <c r="A27" s="39" t="s">
        <v>168</v>
      </c>
      <c r="B27" s="34" t="s">
        <v>26</v>
      </c>
      <c r="C27" s="35">
        <v>250</v>
      </c>
      <c r="D27" s="49"/>
      <c r="E27" s="49">
        <f>ROUND(Р[[#This Row],[Количество]]*Р[[#This Row],[Цена за ед., руб]],2)</f>
        <v>0</v>
      </c>
      <c r="F27" s="40"/>
    </row>
    <row r="28" spans="1:6" ht="11.1" customHeight="1" x14ac:dyDescent="0.2">
      <c r="A28" s="39" t="s">
        <v>170</v>
      </c>
      <c r="B28" s="34" t="s">
        <v>24</v>
      </c>
      <c r="C28" s="35">
        <v>276</v>
      </c>
      <c r="D28" s="49"/>
      <c r="E28" s="49">
        <f>ROUND(Р[[#This Row],[Количество]]*Р[[#This Row],[Цена за ед., руб]],2)</f>
        <v>0</v>
      </c>
      <c r="F28" s="40"/>
    </row>
    <row r="29" spans="1:6" ht="11.1" customHeight="1" x14ac:dyDescent="0.2">
      <c r="A29" s="43" t="s">
        <v>199</v>
      </c>
      <c r="B29" s="44" t="s">
        <v>104</v>
      </c>
      <c r="C29" s="45">
        <v>1</v>
      </c>
      <c r="D29" s="49"/>
      <c r="E29" s="50">
        <f>ROUND(Р[[#This Row],[Количество]]*Р[[#This Row],[Цена за ед., руб]],2)</f>
        <v>0</v>
      </c>
      <c r="F29" s="47"/>
    </row>
    <row r="30" spans="1:6" ht="11.45" customHeight="1" x14ac:dyDescent="0.2">
      <c r="A30" s="43" t="s">
        <v>198</v>
      </c>
      <c r="B30" s="44"/>
      <c r="C30" s="46"/>
      <c r="D30" s="50"/>
      <c r="E30" s="50">
        <f>SUBTOTAL(109,Р[Сумма, руб])</f>
        <v>0</v>
      </c>
      <c r="F30" s="47"/>
    </row>
    <row r="32" spans="1:6" ht="11.45" customHeight="1" x14ac:dyDescent="0.2">
      <c r="D32" s="97" t="s">
        <v>204</v>
      </c>
      <c r="E32" s="98">
        <f>Р[[#Totals],[Сумма, руб]]-ЛСР!J244</f>
        <v>0</v>
      </c>
    </row>
    <row r="34" spans="1:6" ht="27.75" customHeight="1" x14ac:dyDescent="0.2">
      <c r="A34"/>
      <c r="B34"/>
      <c r="C34"/>
      <c r="D34"/>
      <c r="E34"/>
      <c r="F34"/>
    </row>
    <row r="35" spans="1:6" ht="27.75" customHeight="1" x14ac:dyDescent="0.2">
      <c r="A35"/>
      <c r="B35"/>
      <c r="C35"/>
      <c r="D35"/>
      <c r="E35"/>
      <c r="F35"/>
    </row>
    <row r="36" spans="1:6" ht="27.75" customHeight="1" x14ac:dyDescent="0.2">
      <c r="A36"/>
      <c r="B36"/>
      <c r="C36"/>
      <c r="D36"/>
      <c r="E36"/>
      <c r="F36"/>
    </row>
    <row r="37" spans="1:6" ht="27.75" customHeight="1" x14ac:dyDescent="0.2">
      <c r="A37"/>
      <c r="B37"/>
      <c r="C37"/>
      <c r="D37"/>
      <c r="E37"/>
      <c r="F37"/>
    </row>
    <row r="38" spans="1:6" ht="27.75" customHeight="1" x14ac:dyDescent="0.2">
      <c r="A38"/>
      <c r="B38"/>
      <c r="C38"/>
      <c r="D38"/>
      <c r="E38"/>
      <c r="F38"/>
    </row>
    <row r="39" spans="1:6" ht="27.75" customHeight="1" x14ac:dyDescent="0.2">
      <c r="A39"/>
      <c r="B39"/>
      <c r="C39"/>
      <c r="D39"/>
      <c r="E39"/>
      <c r="F39"/>
    </row>
    <row r="40" spans="1:6" ht="27.75" customHeight="1" x14ac:dyDescent="0.2">
      <c r="A40"/>
      <c r="B40"/>
      <c r="C40"/>
      <c r="D40"/>
      <c r="E40"/>
      <c r="F40"/>
    </row>
    <row r="41" spans="1:6" ht="27.75" customHeight="1" x14ac:dyDescent="0.2">
      <c r="A41"/>
      <c r="B41"/>
      <c r="C41"/>
      <c r="D41"/>
      <c r="E41"/>
      <c r="F41"/>
    </row>
    <row r="42" spans="1:6" ht="27.75" customHeight="1" x14ac:dyDescent="0.2">
      <c r="A42"/>
      <c r="B42"/>
      <c r="C42"/>
      <c r="D42"/>
      <c r="E42"/>
      <c r="F42"/>
    </row>
    <row r="43" spans="1:6" ht="27.75" customHeight="1" x14ac:dyDescent="0.2">
      <c r="A43"/>
      <c r="B43"/>
      <c r="C43"/>
      <c r="D43"/>
      <c r="E43"/>
      <c r="F43"/>
    </row>
    <row r="44" spans="1:6" ht="27.75" customHeight="1" x14ac:dyDescent="0.2"/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78"/>
  <sheetViews>
    <sheetView workbookViewId="0">
      <pane ySplit="3" topLeftCell="A64" activePane="bottomLeft" state="frozen"/>
      <selection pane="bottomLeft" activeCell="H72" sqref="H72:H75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146" t="s">
        <v>188</v>
      </c>
      <c r="B1" s="146"/>
      <c r="C1" s="146"/>
      <c r="D1" s="146"/>
      <c r="E1" s="146"/>
      <c r="F1" s="146"/>
      <c r="G1" s="146"/>
      <c r="H1" s="146"/>
    </row>
    <row r="2" spans="1:9" ht="11.1" customHeight="1" x14ac:dyDescent="0.2">
      <c r="G2" s="95"/>
    </row>
    <row r="3" spans="1:9" ht="23.1" customHeight="1" x14ac:dyDescent="0.2">
      <c r="A3" s="41" t="s">
        <v>189</v>
      </c>
      <c r="B3" s="51" t="s">
        <v>190</v>
      </c>
      <c r="C3" s="42" t="s">
        <v>191</v>
      </c>
      <c r="D3" s="2" t="s">
        <v>7</v>
      </c>
      <c r="E3" s="2" t="s">
        <v>10</v>
      </c>
      <c r="F3" s="48" t="s">
        <v>11</v>
      </c>
      <c r="G3" s="48" t="s">
        <v>12</v>
      </c>
      <c r="H3" s="2" t="s">
        <v>192</v>
      </c>
      <c r="I3" s="42" t="s">
        <v>193</v>
      </c>
    </row>
    <row r="4" spans="1:9" ht="11.1" customHeight="1" x14ac:dyDescent="0.2">
      <c r="A4" s="39" t="s">
        <v>159</v>
      </c>
      <c r="B4" s="36"/>
      <c r="C4" s="36" t="s">
        <v>160</v>
      </c>
      <c r="D4" s="34" t="s">
        <v>158</v>
      </c>
      <c r="E4" s="35">
        <v>30</v>
      </c>
      <c r="F4" s="49"/>
      <c r="G4" s="49">
        <f>ROUND(М[[#This Row],[Количество]]*М[[#This Row],[Цена за ед., руб]],2)</f>
        <v>0</v>
      </c>
      <c r="H4" s="36" t="s">
        <v>161</v>
      </c>
      <c r="I4" s="40"/>
    </row>
    <row r="5" spans="1:9" ht="11.1" customHeight="1" x14ac:dyDescent="0.2">
      <c r="A5" s="39" t="s">
        <v>129</v>
      </c>
      <c r="B5" s="36"/>
      <c r="C5" s="36" t="s">
        <v>134</v>
      </c>
      <c r="D5" s="34" t="s">
        <v>26</v>
      </c>
      <c r="E5" s="35">
        <v>4</v>
      </c>
      <c r="F5" s="49"/>
      <c r="G5" s="49">
        <f>ROUND(М[[#This Row],[Количество]]*М[[#This Row],[Цена за ед., руб]],2)</f>
        <v>0</v>
      </c>
      <c r="H5" s="36"/>
      <c r="I5" s="40"/>
    </row>
    <row r="6" spans="1:9" ht="11.1" customHeight="1" x14ac:dyDescent="0.2">
      <c r="A6" s="39" t="s">
        <v>129</v>
      </c>
      <c r="B6" s="36"/>
      <c r="C6" s="36" t="s">
        <v>135</v>
      </c>
      <c r="D6" s="34" t="s">
        <v>26</v>
      </c>
      <c r="E6" s="35">
        <v>4</v>
      </c>
      <c r="F6" s="49"/>
      <c r="G6" s="49">
        <f>ROUND(М[[#This Row],[Количество]]*М[[#This Row],[Цена за ед., руб]],2)</f>
        <v>0</v>
      </c>
      <c r="H6" s="36"/>
      <c r="I6" s="40"/>
    </row>
    <row r="7" spans="1:9" ht="11.1" customHeight="1" x14ac:dyDescent="0.2">
      <c r="A7" s="39" t="s">
        <v>129</v>
      </c>
      <c r="B7" s="36"/>
      <c r="C7" s="36" t="s">
        <v>130</v>
      </c>
      <c r="D7" s="34" t="s">
        <v>26</v>
      </c>
      <c r="E7" s="35">
        <v>12</v>
      </c>
      <c r="F7" s="49"/>
      <c r="G7" s="49">
        <f>ROUND(М[[#This Row],[Количество]]*М[[#This Row],[Цена за ед., руб]],2)</f>
        <v>0</v>
      </c>
      <c r="H7" s="36"/>
      <c r="I7" s="40"/>
    </row>
    <row r="8" spans="1:9" ht="11.1" customHeight="1" x14ac:dyDescent="0.2">
      <c r="A8" s="39" t="s">
        <v>129</v>
      </c>
      <c r="B8" s="36"/>
      <c r="C8" s="36" t="s">
        <v>136</v>
      </c>
      <c r="D8" s="34" t="s">
        <v>26</v>
      </c>
      <c r="E8" s="35">
        <v>41</v>
      </c>
      <c r="F8" s="49"/>
      <c r="G8" s="49">
        <f>ROUND(М[[#This Row],[Количество]]*М[[#This Row],[Цена за ед., руб]],2)</f>
        <v>0</v>
      </c>
      <c r="H8" s="36"/>
      <c r="I8" s="40"/>
    </row>
    <row r="9" spans="1:9" ht="11.1" customHeight="1" x14ac:dyDescent="0.2">
      <c r="A9" s="39" t="s">
        <v>129</v>
      </c>
      <c r="B9" s="36"/>
      <c r="C9" s="36" t="s">
        <v>137</v>
      </c>
      <c r="D9" s="34" t="s">
        <v>26</v>
      </c>
      <c r="E9" s="35">
        <v>24</v>
      </c>
      <c r="F9" s="49"/>
      <c r="G9" s="49">
        <f>ROUND(М[[#This Row],[Количество]]*М[[#This Row],[Цена за ед., руб]],2)</f>
        <v>0</v>
      </c>
      <c r="H9" s="36"/>
      <c r="I9" s="40"/>
    </row>
    <row r="10" spans="1:9" ht="11.1" customHeight="1" x14ac:dyDescent="0.2">
      <c r="A10" s="39" t="s">
        <v>129</v>
      </c>
      <c r="B10" s="36"/>
      <c r="C10" s="36" t="s">
        <v>131</v>
      </c>
      <c r="D10" s="34" t="s">
        <v>26</v>
      </c>
      <c r="E10" s="38">
        <v>0.5</v>
      </c>
      <c r="F10" s="49"/>
      <c r="G10" s="49">
        <f>ROUND(М[[#This Row],[Количество]]*М[[#This Row],[Цена за ед., руб]],2)</f>
        <v>0</v>
      </c>
      <c r="H10" s="36"/>
      <c r="I10" s="40"/>
    </row>
    <row r="11" spans="1:9" ht="11.1" customHeight="1" x14ac:dyDescent="0.2">
      <c r="A11" s="39" t="s">
        <v>129</v>
      </c>
      <c r="B11" s="36"/>
      <c r="C11" s="36" t="s">
        <v>132</v>
      </c>
      <c r="D11" s="34" t="s">
        <v>26</v>
      </c>
      <c r="E11" s="35">
        <v>2</v>
      </c>
      <c r="F11" s="49"/>
      <c r="G11" s="49">
        <f>ROUND(М[[#This Row],[Количество]]*М[[#This Row],[Цена за ед., руб]],2)</f>
        <v>0</v>
      </c>
      <c r="H11" s="36"/>
      <c r="I11" s="40"/>
    </row>
    <row r="12" spans="1:9" ht="11.1" customHeight="1" x14ac:dyDescent="0.2">
      <c r="A12" s="39" t="s">
        <v>103</v>
      </c>
      <c r="B12" s="36"/>
      <c r="C12" s="36"/>
      <c r="D12" s="34" t="s">
        <v>104</v>
      </c>
      <c r="E12" s="35">
        <v>1</v>
      </c>
      <c r="F12" s="49"/>
      <c r="G12" s="49">
        <f>ROUND(М[[#This Row],[Количество]]*М[[#This Row],[Цена за ед., руб]],2)</f>
        <v>0</v>
      </c>
      <c r="H12" s="36" t="s">
        <v>105</v>
      </c>
      <c r="I12" s="40"/>
    </row>
    <row r="13" spans="1:9" ht="11.1" customHeight="1" x14ac:dyDescent="0.2">
      <c r="A13" s="39" t="s">
        <v>103</v>
      </c>
      <c r="B13" s="36"/>
      <c r="C13" s="36"/>
      <c r="D13" s="34" t="s">
        <v>104</v>
      </c>
      <c r="E13" s="35">
        <v>380</v>
      </c>
      <c r="F13" s="49"/>
      <c r="G13" s="49">
        <f>ROUND(М[[#This Row],[Количество]]*М[[#This Row],[Цена за ед., руб]],2)</f>
        <v>0</v>
      </c>
      <c r="H13" s="36" t="s">
        <v>165</v>
      </c>
      <c r="I13" s="40"/>
    </row>
    <row r="14" spans="1:9" ht="11.1" customHeight="1" x14ac:dyDescent="0.2">
      <c r="A14" s="39" t="s">
        <v>106</v>
      </c>
      <c r="B14" s="36"/>
      <c r="C14" s="36" t="s">
        <v>107</v>
      </c>
      <c r="D14" s="34" t="s">
        <v>24</v>
      </c>
      <c r="E14" s="35">
        <v>1</v>
      </c>
      <c r="F14" s="49"/>
      <c r="G14" s="49">
        <f>ROUND(М[[#This Row],[Количество]]*М[[#This Row],[Цена за ед., руб]],2)</f>
        <v>0</v>
      </c>
      <c r="H14" s="36"/>
      <c r="I14" s="40"/>
    </row>
    <row r="15" spans="1:9" ht="11.1" customHeight="1" x14ac:dyDescent="0.2">
      <c r="A15" s="39" t="s">
        <v>106</v>
      </c>
      <c r="B15" s="36"/>
      <c r="C15" s="36" t="s">
        <v>166</v>
      </c>
      <c r="D15" s="34" t="s">
        <v>24</v>
      </c>
      <c r="E15" s="35">
        <v>380</v>
      </c>
      <c r="F15" s="49"/>
      <c r="G15" s="49">
        <f>ROUND(М[[#This Row],[Количество]]*М[[#This Row],[Цена за ед., руб]],2)</f>
        <v>0</v>
      </c>
      <c r="H15" s="36"/>
      <c r="I15" s="40"/>
    </row>
    <row r="16" spans="1:9" ht="11.1" customHeight="1" x14ac:dyDescent="0.2">
      <c r="A16" s="39" t="s">
        <v>100</v>
      </c>
      <c r="B16" s="36"/>
      <c r="C16" s="36" t="s">
        <v>101</v>
      </c>
      <c r="D16" s="34" t="s">
        <v>24</v>
      </c>
      <c r="E16" s="35">
        <v>2</v>
      </c>
      <c r="F16" s="49"/>
      <c r="G16" s="49">
        <f>ROUND(М[[#This Row],[Количество]]*М[[#This Row],[Цена за ед., руб]],2)</f>
        <v>0</v>
      </c>
      <c r="H16" s="36"/>
      <c r="I16" s="40"/>
    </row>
    <row r="17" spans="1:9" ht="11.1" customHeight="1" x14ac:dyDescent="0.2">
      <c r="A17" s="39" t="s">
        <v>141</v>
      </c>
      <c r="B17" s="36"/>
      <c r="C17" s="36" t="s">
        <v>142</v>
      </c>
      <c r="D17" s="34" t="s">
        <v>24</v>
      </c>
      <c r="E17" s="35">
        <v>184</v>
      </c>
      <c r="F17" s="49"/>
      <c r="G17" s="49">
        <f>ROUND(М[[#This Row],[Количество]]*М[[#This Row],[Цена за ед., руб]],2)</f>
        <v>0</v>
      </c>
      <c r="H17" s="36"/>
      <c r="I17" s="40"/>
    </row>
    <row r="18" spans="1:9" ht="23.1" customHeight="1" x14ac:dyDescent="0.2">
      <c r="A18" s="39" t="s">
        <v>108</v>
      </c>
      <c r="B18" s="36" t="s">
        <v>109</v>
      </c>
      <c r="C18" s="36" t="s">
        <v>110</v>
      </c>
      <c r="D18" s="34" t="s">
        <v>24</v>
      </c>
      <c r="E18" s="35">
        <v>1</v>
      </c>
      <c r="F18" s="49"/>
      <c r="G18" s="49">
        <f>ROUND(М[[#This Row],[Количество]]*М[[#This Row],[Цена за ед., руб]],2)</f>
        <v>0</v>
      </c>
      <c r="H18" s="36"/>
      <c r="I18" s="40"/>
    </row>
    <row r="19" spans="1:9" ht="23.1" customHeight="1" x14ac:dyDescent="0.2">
      <c r="A19" s="39" t="s">
        <v>108</v>
      </c>
      <c r="B19" s="36" t="s">
        <v>109</v>
      </c>
      <c r="C19" s="36" t="s">
        <v>167</v>
      </c>
      <c r="D19" s="34" t="s">
        <v>24</v>
      </c>
      <c r="E19" s="35">
        <v>380</v>
      </c>
      <c r="F19" s="49"/>
      <c r="G19" s="49">
        <f>ROUND(М[[#This Row],[Количество]]*М[[#This Row],[Цена за ед., руб]],2)</f>
        <v>0</v>
      </c>
      <c r="H19" s="36"/>
      <c r="I19" s="40"/>
    </row>
    <row r="20" spans="1:9" ht="23.1" customHeight="1" x14ac:dyDescent="0.2">
      <c r="A20" s="39" t="s">
        <v>119</v>
      </c>
      <c r="B20" s="36"/>
      <c r="C20" s="36" t="s">
        <v>120</v>
      </c>
      <c r="D20" s="34" t="s">
        <v>32</v>
      </c>
      <c r="E20" s="35">
        <v>101</v>
      </c>
      <c r="F20" s="49"/>
      <c r="G20" s="49">
        <f>ROUND(М[[#This Row],[Количество]]*М[[#This Row],[Цена за ед., руб]],2)</f>
        <v>0</v>
      </c>
      <c r="H20" s="36"/>
      <c r="I20" s="40"/>
    </row>
    <row r="21" spans="1:9" ht="23.1" customHeight="1" x14ac:dyDescent="0.2">
      <c r="A21" s="39" t="s">
        <v>119</v>
      </c>
      <c r="B21" s="36"/>
      <c r="C21" s="36" t="s">
        <v>121</v>
      </c>
      <c r="D21" s="34" t="s">
        <v>32</v>
      </c>
      <c r="E21" s="35">
        <v>191</v>
      </c>
      <c r="F21" s="49"/>
      <c r="G21" s="49">
        <f>ROUND(М[[#This Row],[Количество]]*М[[#This Row],[Цена за ед., руб]],2)</f>
        <v>0</v>
      </c>
      <c r="H21" s="36"/>
      <c r="I21" s="40"/>
    </row>
    <row r="22" spans="1:9" ht="23.1" customHeight="1" x14ac:dyDescent="0.2">
      <c r="A22" s="39" t="s">
        <v>119</v>
      </c>
      <c r="B22" s="36"/>
      <c r="C22" s="36" t="s">
        <v>122</v>
      </c>
      <c r="D22" s="34" t="s">
        <v>32</v>
      </c>
      <c r="E22" s="35">
        <v>384</v>
      </c>
      <c r="F22" s="49"/>
      <c r="G22" s="49">
        <f>ROUND(М[[#This Row],[Количество]]*М[[#This Row],[Цена за ед., руб]],2)</f>
        <v>0</v>
      </c>
      <c r="H22" s="36"/>
      <c r="I22" s="40"/>
    </row>
    <row r="23" spans="1:9" ht="23.1" customHeight="1" x14ac:dyDescent="0.2">
      <c r="A23" s="39" t="s">
        <v>119</v>
      </c>
      <c r="B23" s="36"/>
      <c r="C23" s="36" t="s">
        <v>171</v>
      </c>
      <c r="D23" s="34" t="s">
        <v>32</v>
      </c>
      <c r="E23" s="35">
        <v>40</v>
      </c>
      <c r="F23" s="49"/>
      <c r="G23" s="49">
        <f>ROUND(М[[#This Row],[Количество]]*М[[#This Row],[Цена за ед., руб]],2)</f>
        <v>0</v>
      </c>
      <c r="H23" s="36"/>
      <c r="I23" s="40"/>
    </row>
    <row r="24" spans="1:9" ht="23.1" customHeight="1" x14ac:dyDescent="0.2">
      <c r="A24" s="39" t="s">
        <v>119</v>
      </c>
      <c r="B24" s="36"/>
      <c r="C24" s="36" t="s">
        <v>123</v>
      </c>
      <c r="D24" s="34" t="s">
        <v>32</v>
      </c>
      <c r="E24" s="35">
        <v>650</v>
      </c>
      <c r="F24" s="49"/>
      <c r="G24" s="49">
        <f>ROUND(М[[#This Row],[Количество]]*М[[#This Row],[Цена за ед., руб]],2)</f>
        <v>0</v>
      </c>
      <c r="H24" s="36"/>
      <c r="I24" s="40"/>
    </row>
    <row r="25" spans="1:9" ht="11.1" customHeight="1" x14ac:dyDescent="0.2">
      <c r="A25" s="39" t="s">
        <v>138</v>
      </c>
      <c r="B25" s="36"/>
      <c r="C25" s="36" t="s">
        <v>139</v>
      </c>
      <c r="D25" s="34" t="s">
        <v>32</v>
      </c>
      <c r="E25" s="35">
        <v>4</v>
      </c>
      <c r="F25" s="49"/>
      <c r="G25" s="49">
        <f>ROUND(М[[#This Row],[Количество]]*М[[#This Row],[Цена за ед., руб]],2)</f>
        <v>0</v>
      </c>
      <c r="H25" s="36"/>
      <c r="I25" s="40"/>
    </row>
    <row r="26" spans="1:9" ht="11.1" customHeight="1" x14ac:dyDescent="0.2">
      <c r="A26" s="39" t="s">
        <v>138</v>
      </c>
      <c r="B26" s="36"/>
      <c r="C26" s="36" t="s">
        <v>140</v>
      </c>
      <c r="D26" s="34" t="s">
        <v>32</v>
      </c>
      <c r="E26" s="35">
        <v>4</v>
      </c>
      <c r="F26" s="49"/>
      <c r="G26" s="49">
        <f>ROUND(М[[#This Row],[Количество]]*М[[#This Row],[Цена за ед., руб]],2)</f>
        <v>0</v>
      </c>
      <c r="H26" s="36"/>
      <c r="I26" s="40"/>
    </row>
    <row r="27" spans="1:9" ht="11.1" customHeight="1" x14ac:dyDescent="0.2">
      <c r="A27" s="39" t="s">
        <v>73</v>
      </c>
      <c r="B27" s="36" t="s">
        <v>53</v>
      </c>
      <c r="C27" s="36" t="s">
        <v>76</v>
      </c>
      <c r="D27" s="34" t="s">
        <v>24</v>
      </c>
      <c r="E27" s="35">
        <v>28</v>
      </c>
      <c r="F27" s="49"/>
      <c r="G27" s="49">
        <f>ROUND(М[[#This Row],[Количество]]*М[[#This Row],[Цена за ед., руб]],2)</f>
        <v>0</v>
      </c>
      <c r="H27" s="36"/>
      <c r="I27" s="40"/>
    </row>
    <row r="28" spans="1:9" ht="11.1" customHeight="1" x14ac:dyDescent="0.2">
      <c r="A28" s="39" t="s">
        <v>73</v>
      </c>
      <c r="B28" s="36" t="s">
        <v>53</v>
      </c>
      <c r="C28" s="36" t="s">
        <v>77</v>
      </c>
      <c r="D28" s="34" t="s">
        <v>24</v>
      </c>
      <c r="E28" s="35">
        <v>10</v>
      </c>
      <c r="F28" s="49"/>
      <c r="G28" s="49">
        <f>ROUND(М[[#This Row],[Количество]]*М[[#This Row],[Цена за ед., руб]],2)</f>
        <v>0</v>
      </c>
      <c r="H28" s="36"/>
      <c r="I28" s="40"/>
    </row>
    <row r="29" spans="1:9" ht="11.1" customHeight="1" x14ac:dyDescent="0.2">
      <c r="A29" s="39" t="s">
        <v>73</v>
      </c>
      <c r="B29" s="36" t="s">
        <v>53</v>
      </c>
      <c r="C29" s="36" t="s">
        <v>78</v>
      </c>
      <c r="D29" s="34" t="s">
        <v>24</v>
      </c>
      <c r="E29" s="35">
        <v>5</v>
      </c>
      <c r="F29" s="49"/>
      <c r="G29" s="49">
        <f>ROUND(М[[#This Row],[Количество]]*М[[#This Row],[Цена за ед., руб]],2)</f>
        <v>0</v>
      </c>
      <c r="H29" s="36"/>
      <c r="I29" s="40"/>
    </row>
    <row r="30" spans="1:9" ht="33.75" customHeight="1" x14ac:dyDescent="0.2">
      <c r="A30" s="39" t="s">
        <v>73</v>
      </c>
      <c r="B30" s="36" t="s">
        <v>74</v>
      </c>
      <c r="C30" s="100" t="s">
        <v>209</v>
      </c>
      <c r="D30" s="34" t="s">
        <v>24</v>
      </c>
      <c r="E30" s="35">
        <v>368</v>
      </c>
      <c r="F30" s="49"/>
      <c r="G30" s="49">
        <f>ROUND(М[[#This Row],[Количество]]*М[[#This Row],[Цена за ед., руб]],2)</f>
        <v>0</v>
      </c>
      <c r="H30" s="36"/>
      <c r="I30" s="40"/>
    </row>
    <row r="31" spans="1:9" ht="23.1" customHeight="1" x14ac:dyDescent="0.2">
      <c r="A31" s="39" t="s">
        <v>73</v>
      </c>
      <c r="B31" s="36" t="s">
        <v>53</v>
      </c>
      <c r="C31" s="36" t="s">
        <v>86</v>
      </c>
      <c r="D31" s="34" t="s">
        <v>24</v>
      </c>
      <c r="E31" s="35">
        <v>8</v>
      </c>
      <c r="F31" s="49"/>
      <c r="G31" s="49">
        <f>ROUND(М[[#This Row],[Количество]]*М[[#This Row],[Цена за ед., руб]],2)</f>
        <v>0</v>
      </c>
      <c r="H31" s="36"/>
      <c r="I31" s="40"/>
    </row>
    <row r="32" spans="1:9" ht="11.1" customHeight="1" x14ac:dyDescent="0.2">
      <c r="A32" s="39" t="s">
        <v>73</v>
      </c>
      <c r="B32" s="36" t="s">
        <v>53</v>
      </c>
      <c r="C32" s="36" t="s">
        <v>79</v>
      </c>
      <c r="D32" s="34" t="s">
        <v>24</v>
      </c>
      <c r="E32" s="35">
        <v>2</v>
      </c>
      <c r="F32" s="49"/>
      <c r="G32" s="49">
        <f>ROUND(М[[#This Row],[Количество]]*М[[#This Row],[Цена за ед., руб]],2)</f>
        <v>0</v>
      </c>
      <c r="H32" s="36"/>
      <c r="I32" s="40"/>
    </row>
    <row r="33" spans="1:9" ht="23.1" customHeight="1" x14ac:dyDescent="0.2">
      <c r="A33" s="39" t="s">
        <v>73</v>
      </c>
      <c r="B33" s="36" t="s">
        <v>87</v>
      </c>
      <c r="C33" s="36" t="s">
        <v>88</v>
      </c>
      <c r="D33" s="34" t="s">
        <v>24</v>
      </c>
      <c r="E33" s="35">
        <v>1</v>
      </c>
      <c r="F33" s="49"/>
      <c r="G33" s="49">
        <f>ROUND(М[[#This Row],[Количество]]*М[[#This Row],[Цена за ед., руб]],2)</f>
        <v>0</v>
      </c>
      <c r="H33" s="36"/>
      <c r="I33" s="40"/>
    </row>
    <row r="34" spans="1:9" ht="11.1" customHeight="1" x14ac:dyDescent="0.2">
      <c r="A34" s="39" t="s">
        <v>73</v>
      </c>
      <c r="B34" s="36" t="s">
        <v>53</v>
      </c>
      <c r="C34" s="36" t="s">
        <v>80</v>
      </c>
      <c r="D34" s="34" t="s">
        <v>24</v>
      </c>
      <c r="E34" s="35">
        <v>64</v>
      </c>
      <c r="F34" s="49"/>
      <c r="G34" s="49">
        <f>ROUND(М[[#This Row],[Количество]]*М[[#This Row],[Цена за ед., руб]],2)</f>
        <v>0</v>
      </c>
      <c r="H34" s="36"/>
      <c r="I34" s="40"/>
    </row>
    <row r="35" spans="1:9" ht="11.1" customHeight="1" x14ac:dyDescent="0.2">
      <c r="A35" s="39" t="s">
        <v>73</v>
      </c>
      <c r="B35" s="36" t="s">
        <v>87</v>
      </c>
      <c r="C35" s="36" t="s">
        <v>89</v>
      </c>
      <c r="D35" s="34" t="s">
        <v>24</v>
      </c>
      <c r="E35" s="35">
        <v>5</v>
      </c>
      <c r="F35" s="49"/>
      <c r="G35" s="49">
        <f>ROUND(М[[#This Row],[Количество]]*М[[#This Row],[Цена за ед., руб]],2)</f>
        <v>0</v>
      </c>
      <c r="H35" s="36"/>
      <c r="I35" s="40"/>
    </row>
    <row r="36" spans="1:9" ht="11.1" customHeight="1" x14ac:dyDescent="0.2">
      <c r="A36" s="39" t="s">
        <v>73</v>
      </c>
      <c r="B36" s="36" t="s">
        <v>53</v>
      </c>
      <c r="C36" s="36" t="s">
        <v>90</v>
      </c>
      <c r="D36" s="34" t="s">
        <v>24</v>
      </c>
      <c r="E36" s="35">
        <v>4</v>
      </c>
      <c r="F36" s="49"/>
      <c r="G36" s="49">
        <f>ROUND(М[[#This Row],[Количество]]*М[[#This Row],[Цена за ед., руб]],2)</f>
        <v>0</v>
      </c>
      <c r="H36" s="36"/>
      <c r="I36" s="40"/>
    </row>
    <row r="37" spans="1:9" ht="11.1" customHeight="1" x14ac:dyDescent="0.2">
      <c r="A37" s="39" t="s">
        <v>73</v>
      </c>
      <c r="B37" s="36" t="s">
        <v>87</v>
      </c>
      <c r="C37" s="36" t="s">
        <v>91</v>
      </c>
      <c r="D37" s="34" t="s">
        <v>24</v>
      </c>
      <c r="E37" s="35">
        <v>14</v>
      </c>
      <c r="F37" s="49"/>
      <c r="G37" s="49">
        <f>ROUND(М[[#This Row],[Количество]]*М[[#This Row],[Цена за ед., руб]],2)</f>
        <v>0</v>
      </c>
      <c r="H37" s="36"/>
      <c r="I37" s="40"/>
    </row>
    <row r="38" spans="1:9" ht="11.1" customHeight="1" x14ac:dyDescent="0.2">
      <c r="A38" s="39" t="s">
        <v>73</v>
      </c>
      <c r="B38" s="36" t="s">
        <v>53</v>
      </c>
      <c r="C38" s="36" t="s">
        <v>81</v>
      </c>
      <c r="D38" s="34" t="s">
        <v>24</v>
      </c>
      <c r="E38" s="35">
        <v>15</v>
      </c>
      <c r="F38" s="49"/>
      <c r="G38" s="49">
        <f>ROUND(М[[#This Row],[Количество]]*М[[#This Row],[Цена за ед., руб]],2)</f>
        <v>0</v>
      </c>
      <c r="H38" s="36"/>
      <c r="I38" s="40"/>
    </row>
    <row r="39" spans="1:9" ht="11.1" customHeight="1" x14ac:dyDescent="0.2">
      <c r="A39" s="39" t="s">
        <v>73</v>
      </c>
      <c r="B39" s="36" t="s">
        <v>53</v>
      </c>
      <c r="C39" s="36" t="s">
        <v>81</v>
      </c>
      <c r="D39" s="34" t="s">
        <v>24</v>
      </c>
      <c r="E39" s="35">
        <v>184</v>
      </c>
      <c r="F39" s="49"/>
      <c r="G39" s="49">
        <f>ROUND(М[[#This Row],[Количество]]*М[[#This Row],[Цена за ед., руб]],2)</f>
        <v>0</v>
      </c>
      <c r="H39" s="36" t="s">
        <v>82</v>
      </c>
      <c r="I39" s="40"/>
    </row>
    <row r="40" spans="1:9" ht="11.1" customHeight="1" x14ac:dyDescent="0.2">
      <c r="A40" s="39" t="s">
        <v>52</v>
      </c>
      <c r="B40" s="36" t="s">
        <v>53</v>
      </c>
      <c r="C40" s="36" t="s">
        <v>54</v>
      </c>
      <c r="D40" s="34" t="s">
        <v>24</v>
      </c>
      <c r="E40" s="35">
        <v>14</v>
      </c>
      <c r="F40" s="49"/>
      <c r="G40" s="49">
        <f>ROUND(М[[#This Row],[Количество]]*М[[#This Row],[Цена за ед., руб]],2)</f>
        <v>0</v>
      </c>
      <c r="H40" s="36"/>
      <c r="I40" s="40"/>
    </row>
    <row r="41" spans="1:9" ht="23.1" customHeight="1" x14ac:dyDescent="0.2">
      <c r="A41" s="39" t="s">
        <v>83</v>
      </c>
      <c r="B41" s="36"/>
      <c r="C41" s="36" t="s">
        <v>84</v>
      </c>
      <c r="D41" s="34" t="s">
        <v>24</v>
      </c>
      <c r="E41" s="35">
        <v>3</v>
      </c>
      <c r="F41" s="49"/>
      <c r="G41" s="49">
        <f>ROUND(М[[#This Row],[Количество]]*М[[#This Row],[Цена за ед., руб]],2)</f>
        <v>0</v>
      </c>
      <c r="H41" s="36"/>
      <c r="I41" s="40"/>
    </row>
    <row r="42" spans="1:9" ht="11.1" customHeight="1" x14ac:dyDescent="0.2">
      <c r="A42" s="39" t="s">
        <v>112</v>
      </c>
      <c r="B42" s="36" t="s">
        <v>113</v>
      </c>
      <c r="C42" s="36" t="s">
        <v>114</v>
      </c>
      <c r="D42" s="34" t="s">
        <v>32</v>
      </c>
      <c r="E42" s="37">
        <v>6279</v>
      </c>
      <c r="F42" s="49"/>
      <c r="G42" s="49">
        <f>ROUND(М[[#This Row],[Количество]]*М[[#This Row],[Цена за ед., руб]],2)</f>
        <v>0</v>
      </c>
      <c r="H42" s="36"/>
      <c r="I42" s="40"/>
    </row>
    <row r="43" spans="1:9" ht="35.1" customHeight="1" x14ac:dyDescent="0.2">
      <c r="A43" s="39" t="s">
        <v>69</v>
      </c>
      <c r="B43" s="36"/>
      <c r="C43" s="36" t="s">
        <v>70</v>
      </c>
      <c r="D43" s="34" t="s">
        <v>24</v>
      </c>
      <c r="E43" s="35">
        <v>46</v>
      </c>
      <c r="F43" s="49"/>
      <c r="G43" s="49">
        <f>ROUND(М[[#This Row],[Количество]]*М[[#This Row],[Цена за ед., руб]],2)</f>
        <v>0</v>
      </c>
      <c r="H43" s="36" t="s">
        <v>71</v>
      </c>
      <c r="I43" s="40"/>
    </row>
    <row r="44" spans="1:9" ht="11.1" customHeight="1" x14ac:dyDescent="0.2">
      <c r="A44" s="39" t="s">
        <v>116</v>
      </c>
      <c r="B44" s="36" t="s">
        <v>65</v>
      </c>
      <c r="C44" s="36" t="s">
        <v>89</v>
      </c>
      <c r="D44" s="34" t="s">
        <v>24</v>
      </c>
      <c r="E44" s="35">
        <v>1</v>
      </c>
      <c r="F44" s="49"/>
      <c r="G44" s="49">
        <f>ROUND(М[[#This Row],[Количество]]*М[[#This Row],[Цена за ед., руб]],2)</f>
        <v>0</v>
      </c>
      <c r="H44" s="36"/>
      <c r="I44" s="40"/>
    </row>
    <row r="45" spans="1:9" ht="11.1" customHeight="1" x14ac:dyDescent="0.2">
      <c r="A45" s="39" t="s">
        <v>116</v>
      </c>
      <c r="B45" s="36" t="s">
        <v>53</v>
      </c>
      <c r="C45" s="36" t="s">
        <v>117</v>
      </c>
      <c r="D45" s="34" t="s">
        <v>24</v>
      </c>
      <c r="E45" s="35">
        <v>12</v>
      </c>
      <c r="F45" s="49"/>
      <c r="G45" s="49">
        <f>ROUND(М[[#This Row],[Количество]]*М[[#This Row],[Цена за ед., руб]],2)</f>
        <v>0</v>
      </c>
      <c r="H45" s="36"/>
      <c r="I45" s="40"/>
    </row>
    <row r="46" spans="1:9" ht="35.1" customHeight="1" x14ac:dyDescent="0.2">
      <c r="A46" s="39" t="s">
        <v>93</v>
      </c>
      <c r="B46" s="36" t="s">
        <v>94</v>
      </c>
      <c r="C46" s="36" t="s">
        <v>95</v>
      </c>
      <c r="D46" s="34" t="s">
        <v>24</v>
      </c>
      <c r="E46" s="35">
        <v>1</v>
      </c>
      <c r="F46" s="49"/>
      <c r="G46" s="49">
        <f>ROUND(М[[#This Row],[Количество]]*М[[#This Row],[Цена за ед., руб]],2)</f>
        <v>0</v>
      </c>
      <c r="H46" s="36" t="s">
        <v>96</v>
      </c>
      <c r="I46" s="40"/>
    </row>
    <row r="47" spans="1:9" ht="35.1" customHeight="1" x14ac:dyDescent="0.2">
      <c r="A47" s="39" t="s">
        <v>93</v>
      </c>
      <c r="B47" s="36" t="s">
        <v>94</v>
      </c>
      <c r="C47" s="36" t="s">
        <v>97</v>
      </c>
      <c r="D47" s="34" t="s">
        <v>24</v>
      </c>
      <c r="E47" s="35">
        <v>1</v>
      </c>
      <c r="F47" s="49"/>
      <c r="G47" s="49">
        <f>ROUND(М[[#This Row],[Количество]]*М[[#This Row],[Цена за ед., руб]],2)</f>
        <v>0</v>
      </c>
      <c r="H47" s="36" t="s">
        <v>98</v>
      </c>
      <c r="I47" s="40"/>
    </row>
    <row r="48" spans="1:9" ht="11.1" customHeight="1" x14ac:dyDescent="0.2">
      <c r="A48" s="39" t="s">
        <v>182</v>
      </c>
      <c r="B48" s="36"/>
      <c r="C48" s="36" t="s">
        <v>183</v>
      </c>
      <c r="D48" s="34" t="s">
        <v>184</v>
      </c>
      <c r="E48" s="35">
        <v>60</v>
      </c>
      <c r="F48" s="49"/>
      <c r="G48" s="49">
        <f>ROUND(М[[#This Row],[Количество]]*М[[#This Row],[Цена за ед., руб]],2)</f>
        <v>0</v>
      </c>
      <c r="H48" s="36" t="s">
        <v>185</v>
      </c>
      <c r="I48" s="40"/>
    </row>
    <row r="49" spans="1:9" ht="11.1" customHeight="1" x14ac:dyDescent="0.2">
      <c r="A49" s="39" t="s">
        <v>56</v>
      </c>
      <c r="B49" s="36" t="s">
        <v>57</v>
      </c>
      <c r="C49" s="36" t="s">
        <v>58</v>
      </c>
      <c r="D49" s="34" t="s">
        <v>24</v>
      </c>
      <c r="E49" s="35">
        <v>4</v>
      </c>
      <c r="F49" s="49"/>
      <c r="G49" s="49">
        <f>ROUND(М[[#This Row],[Количество]]*М[[#This Row],[Цена за ед., руб]],2)</f>
        <v>0</v>
      </c>
      <c r="H49" s="36"/>
      <c r="I49" s="40"/>
    </row>
    <row r="50" spans="1:9" ht="11.1" customHeight="1" x14ac:dyDescent="0.2">
      <c r="A50" s="39" t="s">
        <v>56</v>
      </c>
      <c r="B50" s="36" t="s">
        <v>57</v>
      </c>
      <c r="C50" s="36" t="s">
        <v>59</v>
      </c>
      <c r="D50" s="34" t="s">
        <v>24</v>
      </c>
      <c r="E50" s="35">
        <v>4</v>
      </c>
      <c r="F50" s="49"/>
      <c r="G50" s="49">
        <f>ROUND(М[[#This Row],[Количество]]*М[[#This Row],[Цена за ед., руб]],2)</f>
        <v>0</v>
      </c>
      <c r="H50" s="36"/>
      <c r="I50" s="40"/>
    </row>
    <row r="51" spans="1:9" ht="11.1" customHeight="1" x14ac:dyDescent="0.2">
      <c r="A51" s="39" t="s">
        <v>60</v>
      </c>
      <c r="B51" s="36" t="s">
        <v>53</v>
      </c>
      <c r="C51" s="36" t="s">
        <v>61</v>
      </c>
      <c r="D51" s="34" t="s">
        <v>24</v>
      </c>
      <c r="E51" s="35">
        <v>2</v>
      </c>
      <c r="F51" s="49"/>
      <c r="G51" s="49">
        <f>ROUND(М[[#This Row],[Количество]]*М[[#This Row],[Цена за ед., руб]],2)</f>
        <v>0</v>
      </c>
      <c r="H51" s="36"/>
      <c r="I51" s="40"/>
    </row>
    <row r="52" spans="1:9" ht="11.1" customHeight="1" x14ac:dyDescent="0.2">
      <c r="A52" s="39" t="s">
        <v>60</v>
      </c>
      <c r="B52" s="36" t="s">
        <v>65</v>
      </c>
      <c r="C52" s="36" t="s">
        <v>66</v>
      </c>
      <c r="D52" s="34" t="s">
        <v>24</v>
      </c>
      <c r="E52" s="35">
        <v>1</v>
      </c>
      <c r="F52" s="49"/>
      <c r="G52" s="49">
        <f>ROUND(М[[#This Row],[Количество]]*М[[#This Row],[Цена за ед., руб]],2)</f>
        <v>0</v>
      </c>
      <c r="H52" s="36"/>
      <c r="I52" s="40"/>
    </row>
    <row r="53" spans="1:9" ht="11.1" customHeight="1" x14ac:dyDescent="0.2">
      <c r="A53" s="39" t="s">
        <v>60</v>
      </c>
      <c r="B53" s="36" t="s">
        <v>65</v>
      </c>
      <c r="C53" s="36" t="s">
        <v>67</v>
      </c>
      <c r="D53" s="34" t="s">
        <v>24</v>
      </c>
      <c r="E53" s="35">
        <v>4</v>
      </c>
      <c r="F53" s="49"/>
      <c r="G53" s="49">
        <f>ROUND(М[[#This Row],[Количество]]*М[[#This Row],[Цена за ед., руб]],2)</f>
        <v>0</v>
      </c>
      <c r="H53" s="36"/>
      <c r="I53" s="40"/>
    </row>
    <row r="54" spans="1:9" ht="23.1" customHeight="1" x14ac:dyDescent="0.2">
      <c r="A54" s="39" t="s">
        <v>62</v>
      </c>
      <c r="B54" s="36" t="s">
        <v>53</v>
      </c>
      <c r="C54" s="36" t="s">
        <v>63</v>
      </c>
      <c r="D54" s="34" t="s">
        <v>24</v>
      </c>
      <c r="E54" s="35">
        <v>12</v>
      </c>
      <c r="F54" s="49"/>
      <c r="G54" s="49">
        <f>ROUND(М[[#This Row],[Количество]]*М[[#This Row],[Цена за ед., руб]],2)</f>
        <v>0</v>
      </c>
      <c r="H54" s="36"/>
      <c r="I54" s="40"/>
    </row>
    <row r="55" spans="1:9" ht="11.1" customHeight="1" x14ac:dyDescent="0.2">
      <c r="A55" s="39" t="s">
        <v>125</v>
      </c>
      <c r="B55" s="36"/>
      <c r="C55" s="36" t="s">
        <v>126</v>
      </c>
      <c r="D55" s="34" t="s">
        <v>32</v>
      </c>
      <c r="E55" s="35">
        <v>4</v>
      </c>
      <c r="F55" s="49"/>
      <c r="G55" s="49">
        <f>ROUND(М[[#This Row],[Количество]]*М[[#This Row],[Цена за ед., руб]],2)</f>
        <v>0</v>
      </c>
      <c r="H55" s="36"/>
      <c r="I55" s="40"/>
    </row>
    <row r="56" spans="1:9" ht="11.1" customHeight="1" x14ac:dyDescent="0.2">
      <c r="A56" s="39" t="s">
        <v>125</v>
      </c>
      <c r="B56" s="36"/>
      <c r="C56" s="36" t="s">
        <v>127</v>
      </c>
      <c r="D56" s="34" t="s">
        <v>32</v>
      </c>
      <c r="E56" s="35">
        <v>8</v>
      </c>
      <c r="F56" s="49"/>
      <c r="G56" s="49">
        <f>ROUND(М[[#This Row],[Количество]]*М[[#This Row],[Цена за ед., руб]],2)</f>
        <v>0</v>
      </c>
      <c r="H56" s="36"/>
      <c r="I56" s="40"/>
    </row>
    <row r="57" spans="1:9" ht="11.1" customHeight="1" x14ac:dyDescent="0.2">
      <c r="A57" s="39" t="s">
        <v>163</v>
      </c>
      <c r="B57" s="36"/>
      <c r="C57" s="36" t="s">
        <v>164</v>
      </c>
      <c r="D57" s="34" t="s">
        <v>24</v>
      </c>
      <c r="E57" s="35">
        <v>156</v>
      </c>
      <c r="F57" s="49"/>
      <c r="G57" s="49">
        <f>ROUND(М[[#This Row],[Количество]]*М[[#This Row],[Цена за ед., руб]],2)</f>
        <v>0</v>
      </c>
      <c r="H57" s="36"/>
      <c r="I57" s="40"/>
    </row>
    <row r="58" spans="1:9" ht="11.1" customHeight="1" x14ac:dyDescent="0.2">
      <c r="A58" s="39" t="s">
        <v>163</v>
      </c>
      <c r="B58" s="36"/>
      <c r="C58" s="36" t="s">
        <v>178</v>
      </c>
      <c r="D58" s="34" t="s">
        <v>24</v>
      </c>
      <c r="E58" s="35">
        <v>78</v>
      </c>
      <c r="F58" s="49"/>
      <c r="G58" s="49">
        <f>ROUND(М[[#This Row],[Количество]]*М[[#This Row],[Цена за ед., руб]],2)</f>
        <v>0</v>
      </c>
      <c r="H58" s="36"/>
      <c r="I58" s="40"/>
    </row>
    <row r="59" spans="1:9" ht="23.1" customHeight="1" x14ac:dyDescent="0.2">
      <c r="A59" s="39" t="s">
        <v>29</v>
      </c>
      <c r="B59" s="36" t="s">
        <v>30</v>
      </c>
      <c r="C59" s="36" t="s">
        <v>177</v>
      </c>
      <c r="D59" s="34" t="s">
        <v>32</v>
      </c>
      <c r="E59" s="35">
        <v>280</v>
      </c>
      <c r="F59" s="49"/>
      <c r="G59" s="49">
        <f>ROUND(М[[#This Row],[Количество]]*М[[#This Row],[Цена за ед., руб]],2)</f>
        <v>0</v>
      </c>
      <c r="H59" s="36"/>
      <c r="I59" s="40"/>
    </row>
    <row r="60" spans="1:9" ht="23.1" customHeight="1" x14ac:dyDescent="0.2">
      <c r="A60" s="39" t="s">
        <v>29</v>
      </c>
      <c r="B60" s="36" t="s">
        <v>30</v>
      </c>
      <c r="C60" s="36" t="s">
        <v>31</v>
      </c>
      <c r="D60" s="34" t="s">
        <v>32</v>
      </c>
      <c r="E60" s="35">
        <v>48</v>
      </c>
      <c r="F60" s="49"/>
      <c r="G60" s="49">
        <f>ROUND(М[[#This Row],[Количество]]*М[[#This Row],[Цена за ед., руб]],2)</f>
        <v>0</v>
      </c>
      <c r="H60" s="36"/>
      <c r="I60" s="40"/>
    </row>
    <row r="61" spans="1:9" ht="23.1" customHeight="1" x14ac:dyDescent="0.2">
      <c r="A61" s="39" t="s">
        <v>29</v>
      </c>
      <c r="B61" s="36" t="s">
        <v>30</v>
      </c>
      <c r="C61" s="36" t="s">
        <v>34</v>
      </c>
      <c r="D61" s="34" t="s">
        <v>32</v>
      </c>
      <c r="E61" s="35">
        <v>5</v>
      </c>
      <c r="F61" s="49"/>
      <c r="G61" s="49">
        <f>ROUND(М[[#This Row],[Количество]]*М[[#This Row],[Цена за ед., руб]],2)</f>
        <v>0</v>
      </c>
      <c r="H61" s="36"/>
      <c r="I61" s="40"/>
    </row>
    <row r="62" spans="1:9" ht="23.1" customHeight="1" x14ac:dyDescent="0.2">
      <c r="A62" s="39" t="s">
        <v>29</v>
      </c>
      <c r="B62" s="36" t="s">
        <v>30</v>
      </c>
      <c r="C62" s="36" t="s">
        <v>36</v>
      </c>
      <c r="D62" s="34" t="s">
        <v>32</v>
      </c>
      <c r="E62" s="35">
        <v>20</v>
      </c>
      <c r="F62" s="49"/>
      <c r="G62" s="49">
        <f>ROUND(М[[#This Row],[Количество]]*М[[#This Row],[Цена за ед., руб]],2)</f>
        <v>0</v>
      </c>
      <c r="H62" s="36"/>
      <c r="I62" s="40"/>
    </row>
    <row r="63" spans="1:9" ht="23.1" customHeight="1" x14ac:dyDescent="0.2">
      <c r="A63" s="39" t="s">
        <v>29</v>
      </c>
      <c r="B63" s="36" t="s">
        <v>30</v>
      </c>
      <c r="C63" s="36" t="s">
        <v>38</v>
      </c>
      <c r="D63" s="34" t="s">
        <v>32</v>
      </c>
      <c r="E63" s="35">
        <v>12</v>
      </c>
      <c r="F63" s="49"/>
      <c r="G63" s="49">
        <f>ROUND(М[[#This Row],[Количество]]*М[[#This Row],[Цена за ед., руб]],2)</f>
        <v>0</v>
      </c>
      <c r="H63" s="36"/>
      <c r="I63" s="40"/>
    </row>
    <row r="64" spans="1:9" ht="23.1" customHeight="1" x14ac:dyDescent="0.2">
      <c r="A64" s="39" t="s">
        <v>29</v>
      </c>
      <c r="B64" s="36" t="s">
        <v>30</v>
      </c>
      <c r="C64" s="36" t="s">
        <v>40</v>
      </c>
      <c r="D64" s="34" t="s">
        <v>32</v>
      </c>
      <c r="E64" s="35">
        <v>40</v>
      </c>
      <c r="F64" s="49"/>
      <c r="G64" s="49">
        <f>ROUND(М[[#This Row],[Количество]]*М[[#This Row],[Цена за ед., руб]],2)</f>
        <v>0</v>
      </c>
      <c r="H64" s="36"/>
      <c r="I64" s="40"/>
    </row>
    <row r="65" spans="1:9" ht="23.1" customHeight="1" x14ac:dyDescent="0.2">
      <c r="A65" s="39" t="s">
        <v>29</v>
      </c>
      <c r="B65" s="36" t="s">
        <v>30</v>
      </c>
      <c r="C65" s="36" t="s">
        <v>42</v>
      </c>
      <c r="D65" s="34" t="s">
        <v>32</v>
      </c>
      <c r="E65" s="35">
        <v>651</v>
      </c>
      <c r="F65" s="49"/>
      <c r="G65" s="49">
        <f>ROUND(М[[#This Row],[Количество]]*М[[#This Row],[Цена за ед., руб]],2)</f>
        <v>0</v>
      </c>
      <c r="H65" s="36"/>
      <c r="I65" s="40"/>
    </row>
    <row r="66" spans="1:9" ht="23.1" customHeight="1" x14ac:dyDescent="0.2">
      <c r="A66" s="39" t="s">
        <v>29</v>
      </c>
      <c r="B66" s="36" t="s">
        <v>30</v>
      </c>
      <c r="C66" s="36" t="s">
        <v>44</v>
      </c>
      <c r="D66" s="34" t="s">
        <v>32</v>
      </c>
      <c r="E66" s="37">
        <v>6279</v>
      </c>
      <c r="F66" s="49"/>
      <c r="G66" s="49">
        <f>ROUND(М[[#This Row],[Количество]]*М[[#This Row],[Цена за ед., руб]],2)</f>
        <v>0</v>
      </c>
      <c r="H66" s="36"/>
      <c r="I66" s="40"/>
    </row>
    <row r="67" spans="1:9" ht="23.1" customHeight="1" x14ac:dyDescent="0.2">
      <c r="A67" s="39" t="s">
        <v>29</v>
      </c>
      <c r="B67" s="36" t="s">
        <v>30</v>
      </c>
      <c r="C67" s="36" t="s">
        <v>46</v>
      </c>
      <c r="D67" s="34" t="s">
        <v>32</v>
      </c>
      <c r="E67" s="35">
        <v>8</v>
      </c>
      <c r="F67" s="49"/>
      <c r="G67" s="49">
        <f>ROUND(М[[#This Row],[Количество]]*М[[#This Row],[Цена за ед., руб]],2)</f>
        <v>0</v>
      </c>
      <c r="H67" s="36"/>
      <c r="I67" s="40"/>
    </row>
    <row r="68" spans="1:9" ht="23.1" customHeight="1" x14ac:dyDescent="0.2">
      <c r="A68" s="39" t="s">
        <v>29</v>
      </c>
      <c r="B68" s="36" t="s">
        <v>30</v>
      </c>
      <c r="C68" s="36" t="s">
        <v>48</v>
      </c>
      <c r="D68" s="34" t="s">
        <v>32</v>
      </c>
      <c r="E68" s="35">
        <v>176</v>
      </c>
      <c r="F68" s="49"/>
      <c r="G68" s="49">
        <f>ROUND(М[[#This Row],[Количество]]*М[[#This Row],[Цена за ед., руб]],2)</f>
        <v>0</v>
      </c>
      <c r="H68" s="36"/>
      <c r="I68" s="40"/>
    </row>
    <row r="69" spans="1:9" ht="23.1" customHeight="1" x14ac:dyDescent="0.2">
      <c r="A69" s="39" t="s">
        <v>29</v>
      </c>
      <c r="B69" s="36" t="s">
        <v>30</v>
      </c>
      <c r="C69" s="36" t="s">
        <v>50</v>
      </c>
      <c r="D69" s="34" t="s">
        <v>32</v>
      </c>
      <c r="E69" s="35">
        <v>104</v>
      </c>
      <c r="F69" s="49"/>
      <c r="G69" s="49">
        <f>ROUND(М[[#This Row],[Количество]]*М[[#This Row],[Цена за ед., руб]],2)</f>
        <v>0</v>
      </c>
      <c r="H69" s="36"/>
      <c r="I69" s="40"/>
    </row>
    <row r="70" spans="1:9" ht="23.1" customHeight="1" x14ac:dyDescent="0.2">
      <c r="A70" s="43" t="s">
        <v>29</v>
      </c>
      <c r="B70" s="52" t="s">
        <v>30</v>
      </c>
      <c r="C70" s="52" t="s">
        <v>169</v>
      </c>
      <c r="D70" s="44" t="s">
        <v>32</v>
      </c>
      <c r="E70" s="45">
        <v>40</v>
      </c>
      <c r="F70" s="49"/>
      <c r="G70" s="50">
        <f>ROUND(М[[#This Row],[Количество]]*М[[#This Row],[Цена за ед., руб]],2)</f>
        <v>0</v>
      </c>
      <c r="H70" s="52"/>
      <c r="I70" s="47"/>
    </row>
    <row r="71" spans="1:9" ht="23.1" customHeight="1" x14ac:dyDescent="0.2">
      <c r="A71" s="39" t="s">
        <v>203</v>
      </c>
      <c r="B71" s="36"/>
      <c r="C71" s="36"/>
      <c r="D71" s="94" t="s">
        <v>144</v>
      </c>
      <c r="E71" s="93"/>
      <c r="F71" s="49"/>
      <c r="G71" s="49">
        <f ca="1">SUMIF(ЛСР!$B$8:$J$242,М[[#This Row],[Наим.]],ЛСР!$J$8:$J$242)</f>
        <v>0</v>
      </c>
      <c r="H71" s="36" t="s">
        <v>220</v>
      </c>
      <c r="I71" s="47"/>
    </row>
    <row r="72" spans="1:9" ht="23.1" customHeight="1" x14ac:dyDescent="0.2">
      <c r="A72" s="39" t="s">
        <v>200</v>
      </c>
      <c r="B72" s="36"/>
      <c r="C72" s="36"/>
      <c r="D72" s="94" t="s">
        <v>144</v>
      </c>
      <c r="E72" s="93"/>
      <c r="F72" s="49"/>
      <c r="G72" s="49">
        <f ca="1">SUMIF(ЛСР!$B$8:$J$242,М[[#This Row],[Наим.]],ЛСР!$J$8:$J$242)</f>
        <v>0</v>
      </c>
      <c r="H72" s="36" t="s">
        <v>220</v>
      </c>
      <c r="I72" s="47"/>
    </row>
    <row r="73" spans="1:9" ht="23.1" customHeight="1" x14ac:dyDescent="0.2">
      <c r="A73" s="39" t="s">
        <v>143</v>
      </c>
      <c r="B73" s="36"/>
      <c r="C73" s="36"/>
      <c r="D73" s="94" t="s">
        <v>144</v>
      </c>
      <c r="E73" s="93"/>
      <c r="F73" s="49"/>
      <c r="G73" s="49">
        <f ca="1">SUMIF(ЛСР!$B$8:$J$242,М[[#This Row],[Наим.]],ЛСР!$J$8:$J$242)</f>
        <v>0</v>
      </c>
      <c r="H73" s="36" t="s">
        <v>220</v>
      </c>
      <c r="I73" s="47"/>
    </row>
    <row r="74" spans="1:9" ht="23.1" customHeight="1" x14ac:dyDescent="0.2">
      <c r="A74" s="39" t="s">
        <v>201</v>
      </c>
      <c r="B74" s="36"/>
      <c r="C74" s="36"/>
      <c r="D74" s="94" t="s">
        <v>144</v>
      </c>
      <c r="E74" s="93"/>
      <c r="F74" s="49"/>
      <c r="G74" s="49">
        <f ca="1">SUMIF(ЛСР!$B$8:$J$242,М[[#This Row],[Наим.]],ЛСР!$J$8:$J$242)</f>
        <v>0</v>
      </c>
      <c r="H74" s="36" t="s">
        <v>220</v>
      </c>
      <c r="I74" s="47"/>
    </row>
    <row r="75" spans="1:9" ht="23.1" customHeight="1" x14ac:dyDescent="0.2">
      <c r="A75" s="39" t="s">
        <v>202</v>
      </c>
      <c r="B75" s="36"/>
      <c r="C75" s="36"/>
      <c r="D75" s="94" t="s">
        <v>144</v>
      </c>
      <c r="E75" s="93"/>
      <c r="F75" s="49"/>
      <c r="G75" s="49">
        <f ca="1">SUMIF(ЛСР!$B$8:$J$242,М[[#This Row],[Наим.]],ЛСР!$J$8:$J$242)</f>
        <v>0</v>
      </c>
      <c r="H75" s="36" t="s">
        <v>220</v>
      </c>
      <c r="I75" s="47"/>
    </row>
    <row r="76" spans="1:9" ht="11.45" customHeight="1" x14ac:dyDescent="0.2">
      <c r="A76" s="43" t="s">
        <v>198</v>
      </c>
      <c r="B76" s="52"/>
      <c r="C76" s="52"/>
      <c r="D76" s="44"/>
      <c r="E76" s="46"/>
      <c r="F76" s="50"/>
      <c r="G76" s="50">
        <f ca="1">SUBTOTAL(109,М[Сумма, руб])</f>
        <v>0</v>
      </c>
      <c r="H76" s="52"/>
      <c r="I76" s="47"/>
    </row>
    <row r="78" spans="1:9" s="83" customFormat="1" ht="11.45" customHeight="1" x14ac:dyDescent="0.2">
      <c r="A78" s="96"/>
      <c r="B78" s="96"/>
      <c r="C78" s="96"/>
      <c r="D78" s="96"/>
      <c r="E78" s="96"/>
      <c r="F78" s="97" t="s">
        <v>204</v>
      </c>
      <c r="G78" s="98">
        <f ca="1">М[[#Totals],[Сумма, руб]]-ЛСР!J245</f>
        <v>0</v>
      </c>
      <c r="H78" s="96"/>
      <c r="I78" s="96"/>
    </row>
  </sheetData>
  <mergeCells count="1">
    <mergeCell ref="A1:H1"/>
  </mergeCells>
  <dataValidations count="1">
    <dataValidation type="list" errorStyle="information" allowBlank="1" showInputMessage="1" showErrorMessage="1" sqref="I3:I75" xr:uid="{C8E6BA01-725C-4889-89FA-9831535C2095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2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194</v>
      </c>
      <c r="B1" s="1" t="s">
        <v>195</v>
      </c>
    </row>
    <row r="2" spans="1:2" ht="11.1" customHeight="1" x14ac:dyDescent="0.2">
      <c r="A2" s="1" t="s">
        <v>196</v>
      </c>
      <c r="B2" s="1" t="s">
        <v>197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Калимуллина Карина Павловна</cp:lastModifiedBy>
  <dcterms:modified xsi:type="dcterms:W3CDTF">2026-07-22T08:38:44Z</dcterms:modified>
</cp:coreProperties>
</file>