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FDFEF4D1-A2E6-4203-9CF1-861426500177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ЛСР!$A$7:$O$183</definedName>
  </definedNames>
  <calcPr calcId="191029"/>
</workbook>
</file>

<file path=xl/calcChain.xml><?xml version="1.0" encoding="utf-8"?>
<calcChain xmlns="http://schemas.openxmlformats.org/spreadsheetml/2006/main">
  <c r="O172" i="1" l="1" a="1"/>
  <c r="O172" i="1" s="1"/>
  <c r="O171" i="1" a="1"/>
  <c r="O171" i="1" s="1"/>
  <c r="O170" i="1" a="1"/>
  <c r="O170" i="1" s="1"/>
  <c r="K13" i="1"/>
  <c r="L13" i="1" a="1"/>
  <c r="L13" i="1" s="1"/>
  <c r="M13" i="1" s="1"/>
  <c r="M12" i="1" s="1"/>
  <c r="K15" i="1"/>
  <c r="O15" i="1" a="1"/>
  <c r="O15" i="1" s="1"/>
  <c r="L15" i="1" a="1"/>
  <c r="L15" i="1" s="1"/>
  <c r="M15" i="1" s="1"/>
  <c r="K16" i="1"/>
  <c r="O16" i="1" a="1"/>
  <c r="O16" i="1" s="1"/>
  <c r="L16" i="1" a="1"/>
  <c r="L16" i="1" s="1"/>
  <c r="M16" i="1" s="1"/>
  <c r="K18" i="1"/>
  <c r="L18" i="1" a="1"/>
  <c r="L18" i="1" s="1"/>
  <c r="M18" i="1" s="1"/>
  <c r="M17" i="1" s="1"/>
  <c r="K20" i="1"/>
  <c r="O20" i="1" a="1"/>
  <c r="O20" i="1" s="1"/>
  <c r="L20" i="1" a="1"/>
  <c r="L20" i="1" s="1"/>
  <c r="M20" i="1" s="1"/>
  <c r="M19" i="1" s="1"/>
  <c r="K22" i="1"/>
  <c r="L22" i="1" a="1"/>
  <c r="L22" i="1" s="1"/>
  <c r="K24" i="1"/>
  <c r="O24" i="1" a="1"/>
  <c r="O24" i="1" s="1"/>
  <c r="L24" i="1" a="1"/>
  <c r="L24" i="1" s="1"/>
  <c r="M24" i="1" s="1"/>
  <c r="M23" i="1" s="1"/>
  <c r="K26" i="1"/>
  <c r="L26" i="1" a="1"/>
  <c r="L26" i="1" s="1"/>
  <c r="M26" i="1" s="1"/>
  <c r="M25" i="1" s="1"/>
  <c r="K28" i="1"/>
  <c r="O28" i="1" a="1"/>
  <c r="O28" i="1" s="1"/>
  <c r="L28" i="1" a="1"/>
  <c r="L28" i="1" s="1"/>
  <c r="K29" i="1"/>
  <c r="O29" i="1" a="1"/>
  <c r="O29" i="1" s="1"/>
  <c r="L29" i="1" a="1"/>
  <c r="L29" i="1" s="1"/>
  <c r="M29" i="1" s="1"/>
  <c r="K30" i="1"/>
  <c r="O30" i="1" a="1"/>
  <c r="O30" i="1" s="1"/>
  <c r="L30" i="1" a="1"/>
  <c r="L30" i="1" s="1"/>
  <c r="M30" i="1" s="1"/>
  <c r="K32" i="1"/>
  <c r="L32" i="1" a="1"/>
  <c r="L32" i="1" s="1"/>
  <c r="K34" i="1"/>
  <c r="O34" i="1" a="1"/>
  <c r="O34" i="1" s="1"/>
  <c r="L34" i="1" a="1"/>
  <c r="L34" i="1" s="1"/>
  <c r="K36" i="1"/>
  <c r="L36" i="1" a="1"/>
  <c r="L36" i="1" s="1"/>
  <c r="K38" i="1"/>
  <c r="O38" i="1" a="1"/>
  <c r="O38" i="1" s="1"/>
  <c r="L38" i="1" a="1"/>
  <c r="L38" i="1" s="1"/>
  <c r="K39" i="1"/>
  <c r="O39" i="1" a="1"/>
  <c r="O39" i="1" s="1"/>
  <c r="L39" i="1" a="1"/>
  <c r="L39" i="1" s="1"/>
  <c r="K41" i="1"/>
  <c r="L41" i="1" a="1"/>
  <c r="L41" i="1" s="1"/>
  <c r="M41" i="1" s="1"/>
  <c r="M40" i="1" s="1"/>
  <c r="K43" i="1"/>
  <c r="O43" i="1" a="1"/>
  <c r="O43" i="1" s="1"/>
  <c r="L43" i="1" a="1"/>
  <c r="L43" i="1" s="1"/>
  <c r="M43" i="1" s="1"/>
  <c r="K44" i="1"/>
  <c r="O44" i="1" a="1"/>
  <c r="O44" i="1" s="1"/>
  <c r="L44" i="1" a="1"/>
  <c r="L44" i="1" s="1"/>
  <c r="K46" i="1"/>
  <c r="L46" i="1" a="1"/>
  <c r="L46" i="1" s="1"/>
  <c r="M46" i="1" s="1"/>
  <c r="M45" i="1" s="1"/>
  <c r="K48" i="1"/>
  <c r="O48" i="1" a="1"/>
  <c r="O48" i="1" s="1"/>
  <c r="L48" i="1" a="1"/>
  <c r="L48" i="1" s="1"/>
  <c r="K50" i="1"/>
  <c r="L50" i="1" a="1"/>
  <c r="L50" i="1" s="1"/>
  <c r="K52" i="1"/>
  <c r="O52" i="1" a="1"/>
  <c r="O52" i="1" s="1"/>
  <c r="L52" i="1" a="1"/>
  <c r="L52" i="1" s="1"/>
  <c r="K174" i="1"/>
  <c r="O174" i="1" a="1"/>
  <c r="O174" i="1" s="1"/>
  <c r="L174" i="1" a="1"/>
  <c r="L174" i="1" s="1"/>
  <c r="K55" i="1"/>
  <c r="L55" i="1" a="1"/>
  <c r="L55" i="1" s="1"/>
  <c r="M55" i="1" s="1"/>
  <c r="M54" i="1" s="1"/>
  <c r="K57" i="1"/>
  <c r="O57" i="1" a="1"/>
  <c r="O57" i="1" s="1"/>
  <c r="L57" i="1" a="1"/>
  <c r="L57" i="1" s="1"/>
  <c r="M57" i="1" s="1"/>
  <c r="K58" i="1"/>
  <c r="O58" i="1" a="1"/>
  <c r="O58" i="1" s="1"/>
  <c r="L58" i="1" a="1"/>
  <c r="L58" i="1" s="1"/>
  <c r="M58" i="1" s="1"/>
  <c r="K59" i="1"/>
  <c r="O59" i="1" a="1"/>
  <c r="O59" i="1" s="1"/>
  <c r="L59" i="1" a="1"/>
  <c r="L59" i="1" s="1"/>
  <c r="K60" i="1"/>
  <c r="O60" i="1" a="1"/>
  <c r="O60" i="1" s="1"/>
  <c r="L60" i="1" a="1"/>
  <c r="L60" i="1" s="1"/>
  <c r="M60" i="1" s="1"/>
  <c r="K178" i="1"/>
  <c r="L178" i="1" a="1"/>
  <c r="L178" i="1" s="1"/>
  <c r="M178" i="1" s="1"/>
  <c r="M177" i="1" s="1"/>
  <c r="M176" i="1" s="1"/>
  <c r="M175" i="1" s="1"/>
  <c r="K64" i="1"/>
  <c r="L64" i="1" a="1"/>
  <c r="L64" i="1" s="1"/>
  <c r="M64" i="1" s="1"/>
  <c r="M63" i="1" s="1"/>
  <c r="K66" i="1"/>
  <c r="L66" i="1" a="1"/>
  <c r="L66" i="1" s="1"/>
  <c r="M66" i="1" s="1"/>
  <c r="M65" i="1" s="1"/>
  <c r="K68" i="1"/>
  <c r="O68" i="1" a="1"/>
  <c r="O68" i="1" s="1"/>
  <c r="L68" i="1" a="1"/>
  <c r="L68" i="1" s="1"/>
  <c r="M68" i="1" s="1"/>
  <c r="M67" i="1" s="1"/>
  <c r="K70" i="1"/>
  <c r="L70" i="1" a="1"/>
  <c r="L70" i="1" s="1"/>
  <c r="M70" i="1" s="1"/>
  <c r="M69" i="1" s="1"/>
  <c r="K72" i="1"/>
  <c r="O72" i="1" a="1"/>
  <c r="O72" i="1" s="1"/>
  <c r="L72" i="1" a="1"/>
  <c r="L72" i="1" s="1"/>
  <c r="K74" i="1"/>
  <c r="L74" i="1" a="1"/>
  <c r="L74" i="1" s="1"/>
  <c r="K76" i="1"/>
  <c r="O76" i="1" a="1"/>
  <c r="O76" i="1" s="1"/>
  <c r="L76" i="1" a="1"/>
  <c r="L76" i="1" s="1"/>
  <c r="K77" i="1"/>
  <c r="O77" i="1" a="1"/>
  <c r="O77" i="1" s="1"/>
  <c r="L77" i="1" a="1"/>
  <c r="L77" i="1" s="1"/>
  <c r="M77" i="1" s="1"/>
  <c r="K78" i="1"/>
  <c r="O78" i="1" a="1"/>
  <c r="O78" i="1" s="1"/>
  <c r="L78" i="1" a="1"/>
  <c r="L78" i="1" s="1"/>
  <c r="K80" i="1"/>
  <c r="L80" i="1" a="1"/>
  <c r="L80" i="1" s="1"/>
  <c r="M80" i="1" s="1"/>
  <c r="M79" i="1" s="1"/>
  <c r="K82" i="1"/>
  <c r="O82" i="1" a="1"/>
  <c r="O82" i="1" s="1"/>
  <c r="L82" i="1" a="1"/>
  <c r="L82" i="1" s="1"/>
  <c r="M82" i="1" s="1"/>
  <c r="K83" i="1"/>
  <c r="O83" i="1" a="1"/>
  <c r="O83" i="1" s="1"/>
  <c r="L83" i="1" a="1"/>
  <c r="L83" i="1" s="1"/>
  <c r="M83" i="1" s="1"/>
  <c r="K85" i="1"/>
  <c r="L85" i="1" a="1"/>
  <c r="L85" i="1" s="1"/>
  <c r="M85" i="1" s="1"/>
  <c r="M84" i="1" s="1"/>
  <c r="K87" i="1"/>
  <c r="L87" i="1" a="1"/>
  <c r="L87" i="1" s="1"/>
  <c r="M87" i="1" s="1"/>
  <c r="M86" i="1" s="1"/>
  <c r="K89" i="1"/>
  <c r="O89" i="1" a="1"/>
  <c r="O89" i="1" s="1"/>
  <c r="L89" i="1" a="1"/>
  <c r="L89" i="1" s="1"/>
  <c r="M89" i="1" s="1"/>
  <c r="K90" i="1"/>
  <c r="O90" i="1" a="1"/>
  <c r="O90" i="1" s="1"/>
  <c r="L90" i="1" a="1"/>
  <c r="L90" i="1" s="1"/>
  <c r="M90" i="1" s="1"/>
  <c r="K91" i="1"/>
  <c r="O91" i="1" a="1"/>
  <c r="O91" i="1" s="1"/>
  <c r="L91" i="1" a="1"/>
  <c r="L91" i="1" s="1"/>
  <c r="M91" i="1" s="1"/>
  <c r="K94" i="1"/>
  <c r="L94" i="1" a="1"/>
  <c r="L94" i="1" s="1"/>
  <c r="M94" i="1" s="1"/>
  <c r="M93" i="1" s="1"/>
  <c r="K96" i="1"/>
  <c r="L96" i="1" a="1"/>
  <c r="L96" i="1" s="1"/>
  <c r="M96" i="1" s="1"/>
  <c r="M95" i="1" s="1"/>
  <c r="K98" i="1"/>
  <c r="O98" i="1" a="1"/>
  <c r="O98" i="1" s="1"/>
  <c r="L98" i="1" a="1"/>
  <c r="L98" i="1" s="1"/>
  <c r="M98" i="1" s="1"/>
  <c r="K99" i="1"/>
  <c r="O99" i="1" a="1"/>
  <c r="O99" i="1" s="1"/>
  <c r="L99" i="1" a="1"/>
  <c r="L99" i="1" s="1"/>
  <c r="M99" i="1" s="1"/>
  <c r="K100" i="1"/>
  <c r="O100" i="1" a="1"/>
  <c r="O100" i="1" s="1"/>
  <c r="L100" i="1" a="1"/>
  <c r="L100" i="1" s="1"/>
  <c r="M100" i="1" s="1"/>
  <c r="K101" i="1"/>
  <c r="O101" i="1" a="1"/>
  <c r="O101" i="1" s="1"/>
  <c r="L101" i="1" a="1"/>
  <c r="L101" i="1" s="1"/>
  <c r="M101" i="1" s="1"/>
  <c r="K103" i="1"/>
  <c r="L103" i="1" a="1"/>
  <c r="L103" i="1" s="1"/>
  <c r="K105" i="1"/>
  <c r="O105" i="1" a="1"/>
  <c r="O105" i="1" s="1"/>
  <c r="L105" i="1" a="1"/>
  <c r="L105" i="1" s="1"/>
  <c r="M105" i="1" s="1"/>
  <c r="M104" i="1" s="1"/>
  <c r="K107" i="1"/>
  <c r="L107" i="1" a="1"/>
  <c r="L107" i="1" s="1"/>
  <c r="K109" i="1"/>
  <c r="O109" i="1" a="1"/>
  <c r="O109" i="1" s="1"/>
  <c r="L109" i="1" a="1"/>
  <c r="L109" i="1" s="1"/>
  <c r="K111" i="1"/>
  <c r="L111" i="1" a="1"/>
  <c r="L111" i="1" s="1"/>
  <c r="K113" i="1"/>
  <c r="O113" i="1" a="1"/>
  <c r="O113" i="1" s="1"/>
  <c r="L113" i="1" a="1"/>
  <c r="L113" i="1" s="1"/>
  <c r="K115" i="1"/>
  <c r="L115" i="1" a="1"/>
  <c r="L115" i="1" s="1"/>
  <c r="M115" i="1" s="1"/>
  <c r="M114" i="1" s="1"/>
  <c r="K117" i="1"/>
  <c r="O117" i="1" a="1"/>
  <c r="O117" i="1" s="1"/>
  <c r="L117" i="1" a="1"/>
  <c r="L117" i="1" s="1"/>
  <c r="K119" i="1"/>
  <c r="L119" i="1" a="1"/>
  <c r="L119" i="1" s="1"/>
  <c r="M119" i="1" s="1"/>
  <c r="M118" i="1" s="1"/>
  <c r="K121" i="1"/>
  <c r="O121" i="1" a="1"/>
  <c r="O121" i="1" s="1"/>
  <c r="L121" i="1" a="1"/>
  <c r="L121" i="1" s="1"/>
  <c r="K122" i="1"/>
  <c r="O122" i="1" a="1"/>
  <c r="O122" i="1" s="1"/>
  <c r="L122" i="1" a="1"/>
  <c r="L122" i="1" s="1"/>
  <c r="K123" i="1"/>
  <c r="O123" i="1" a="1"/>
  <c r="O123" i="1" s="1"/>
  <c r="L123" i="1" a="1"/>
  <c r="L123" i="1" s="1"/>
  <c r="K125" i="1"/>
  <c r="L125" i="1" a="1"/>
  <c r="L125" i="1" s="1"/>
  <c r="M125" i="1" s="1"/>
  <c r="M124" i="1" s="1"/>
  <c r="K127" i="1"/>
  <c r="L127" i="1" a="1"/>
  <c r="L127" i="1" s="1"/>
  <c r="M127" i="1" s="1"/>
  <c r="M126" i="1" s="1"/>
  <c r="K129" i="1"/>
  <c r="O129" i="1" a="1"/>
  <c r="O129" i="1" s="1"/>
  <c r="L129" i="1" a="1"/>
  <c r="L129" i="1" s="1"/>
  <c r="M129" i="1" s="1"/>
  <c r="K130" i="1"/>
  <c r="O130" i="1" a="1"/>
  <c r="O130" i="1" s="1"/>
  <c r="L130" i="1" a="1"/>
  <c r="L130" i="1" s="1"/>
  <c r="M130" i="1" s="1"/>
  <c r="K131" i="1"/>
  <c r="O131" i="1" a="1"/>
  <c r="O131" i="1" s="1"/>
  <c r="L131" i="1" a="1"/>
  <c r="L131" i="1" s="1"/>
  <c r="M131" i="1" s="1"/>
  <c r="K134" i="1"/>
  <c r="L134" i="1" a="1"/>
  <c r="L134" i="1" s="1"/>
  <c r="M134" i="1" s="1"/>
  <c r="M133" i="1" s="1"/>
  <c r="K136" i="1"/>
  <c r="L136" i="1" a="1"/>
  <c r="L136" i="1" s="1"/>
  <c r="M136" i="1" s="1"/>
  <c r="M135" i="1" s="1"/>
  <c r="K138" i="1"/>
  <c r="O138" i="1" a="1"/>
  <c r="O138" i="1" s="1"/>
  <c r="L138" i="1" a="1"/>
  <c r="L138" i="1" s="1"/>
  <c r="K139" i="1"/>
  <c r="O139" i="1" a="1"/>
  <c r="O139" i="1" s="1"/>
  <c r="L139" i="1" a="1"/>
  <c r="L139" i="1" s="1"/>
  <c r="M139" i="1" s="1"/>
  <c r="K141" i="1"/>
  <c r="L141" i="1" a="1"/>
  <c r="L141" i="1" s="1"/>
  <c r="M141" i="1" s="1"/>
  <c r="M140" i="1" s="1"/>
  <c r="K143" i="1"/>
  <c r="O143" i="1" a="1"/>
  <c r="O143" i="1" s="1"/>
  <c r="L143" i="1" a="1"/>
  <c r="L143" i="1" s="1"/>
  <c r="M143" i="1" s="1"/>
  <c r="M142" i="1" s="1"/>
  <c r="K145" i="1"/>
  <c r="L145" i="1" a="1"/>
  <c r="L145" i="1" s="1"/>
  <c r="M145" i="1" s="1"/>
  <c r="M144" i="1" s="1"/>
  <c r="K147" i="1"/>
  <c r="O147" i="1" a="1"/>
  <c r="O147" i="1" s="1"/>
  <c r="L147" i="1" a="1"/>
  <c r="L147" i="1" s="1"/>
  <c r="M147" i="1" s="1"/>
  <c r="M146" i="1" s="1"/>
  <c r="K149" i="1"/>
  <c r="L149" i="1" a="1"/>
  <c r="L149" i="1" s="1"/>
  <c r="K151" i="1"/>
  <c r="O151" i="1" a="1"/>
  <c r="O151" i="1" s="1"/>
  <c r="L151" i="1" a="1"/>
  <c r="L151" i="1" s="1"/>
  <c r="K152" i="1"/>
  <c r="O152" i="1" a="1"/>
  <c r="O152" i="1" s="1"/>
  <c r="L152" i="1" a="1"/>
  <c r="L152" i="1" s="1"/>
  <c r="K154" i="1"/>
  <c r="L154" i="1" a="1"/>
  <c r="L154" i="1" s="1"/>
  <c r="K156" i="1"/>
  <c r="O156" i="1" a="1"/>
  <c r="O156" i="1" s="1"/>
  <c r="L156" i="1" a="1"/>
  <c r="L156" i="1" s="1"/>
  <c r="K157" i="1"/>
  <c r="O157" i="1" a="1"/>
  <c r="O157" i="1" s="1"/>
  <c r="L157" i="1" a="1"/>
  <c r="L157" i="1" s="1"/>
  <c r="M157" i="1" s="1"/>
  <c r="K159" i="1"/>
  <c r="L159" i="1" a="1"/>
  <c r="L159" i="1"/>
  <c r="K161" i="1"/>
  <c r="O161" i="1" a="1"/>
  <c r="O161" i="1"/>
  <c r="L161" i="1" a="1"/>
  <c r="L161" i="1" s="1"/>
  <c r="M161" i="1" s="1"/>
  <c r="K162" i="1"/>
  <c r="O162" i="1" a="1"/>
  <c r="O162" i="1" s="1"/>
  <c r="L162" i="1" a="1"/>
  <c r="L162" i="1" s="1"/>
  <c r="M162" i="1" s="1"/>
  <c r="K166" i="1"/>
  <c r="L166" i="1" a="1"/>
  <c r="L166" i="1" s="1"/>
  <c r="M166" i="1" s="1"/>
  <c r="M165" i="1" s="1"/>
  <c r="K168" i="1"/>
  <c r="O168" i="1" a="1"/>
  <c r="O168" i="1" s="1"/>
  <c r="L168" i="1" a="1"/>
  <c r="L168" i="1" s="1"/>
  <c r="M168" i="1" s="1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2" i="2"/>
  <c r="M44" i="1" l="1"/>
  <c r="M42" i="1" s="1"/>
  <c r="M103" i="1"/>
  <c r="M102" i="1" s="1"/>
  <c r="M28" i="1"/>
  <c r="M27" i="1" s="1"/>
  <c r="M59" i="1"/>
  <c r="M56" i="1" s="1"/>
  <c r="M53" i="1" s="1"/>
  <c r="M34" i="1"/>
  <c r="M32" i="1"/>
  <c r="M31" i="1" s="1"/>
  <c r="M76" i="1"/>
  <c r="M113" i="1"/>
  <c r="M112" i="1" s="1"/>
  <c r="M167" i="1"/>
  <c r="M152" i="1"/>
  <c r="M74" i="1"/>
  <c r="M73" i="1" s="1"/>
  <c r="M111" i="1"/>
  <c r="M110" i="1" s="1"/>
  <c r="M151" i="1"/>
  <c r="M36" i="1"/>
  <c r="M35" i="1" s="1"/>
  <c r="M72" i="1"/>
  <c r="M71" i="1" s="1"/>
  <c r="M109" i="1"/>
  <c r="M108" i="1" s="1"/>
  <c r="M149" i="1"/>
  <c r="M148" i="1" s="1"/>
  <c r="M159" i="1"/>
  <c r="M158" i="1" s="1"/>
  <c r="M52" i="1"/>
  <c r="M156" i="1"/>
  <c r="M155" i="1" s="1"/>
  <c r="M22" i="1"/>
  <c r="M21" i="1" s="1"/>
  <c r="M117" i="1"/>
  <c r="M116" i="1" s="1"/>
  <c r="M97" i="1"/>
  <c r="M50" i="1"/>
  <c r="M49" i="1" s="1"/>
  <c r="M81" i="1"/>
  <c r="M138" i="1"/>
  <c r="M137" i="1" s="1"/>
  <c r="M160" i="1"/>
  <c r="M39" i="1"/>
  <c r="M128" i="1"/>
  <c r="M48" i="1"/>
  <c r="M47" i="1" s="1"/>
  <c r="M174" i="1"/>
  <c r="M173" i="1" s="1"/>
  <c r="M88" i="1"/>
  <c r="M107" i="1"/>
  <c r="M106" i="1" s="1"/>
  <c r="M121" i="1"/>
  <c r="M122" i="1"/>
  <c r="M123" i="1"/>
  <c r="M154" i="1"/>
  <c r="M153" i="1" s="1"/>
  <c r="M38" i="1"/>
  <c r="M78" i="1"/>
  <c r="M14" i="1"/>
  <c r="M75" i="1" l="1"/>
  <c r="M62" i="1" s="1"/>
  <c r="M150" i="1"/>
  <c r="M132" i="1" s="1"/>
  <c r="M33" i="1"/>
  <c r="M51" i="1"/>
  <c r="M180" i="1"/>
  <c r="E24" i="2" s="1"/>
  <c r="M37" i="1"/>
  <c r="M11" i="1" s="1"/>
  <c r="M10" i="1" s="1"/>
  <c r="M120" i="1"/>
  <c r="M92" i="1" l="1"/>
  <c r="M61" i="1" s="1"/>
  <c r="K170" i="1" l="1"/>
  <c r="M170" i="1" s="1"/>
  <c r="K172" i="1"/>
  <c r="M172" i="1" s="1"/>
  <c r="K171" i="1"/>
  <c r="M171" i="1" s="1"/>
  <c r="M169" i="1" l="1"/>
  <c r="M181" i="1" l="1"/>
  <c r="M164" i="1"/>
  <c r="M163" i="1" s="1"/>
  <c r="M9" i="1" s="1"/>
  <c r="G39" i="3" l="1"/>
  <c r="G40" i="3"/>
  <c r="G41" i="3"/>
  <c r="M179" i="1"/>
  <c r="G42" i="3" l="1"/>
  <c r="G44" i="3" s="1"/>
</calcChain>
</file>

<file path=xl/sharedStrings.xml><?xml version="1.0" encoding="utf-8"?>
<sst xmlns="http://schemas.openxmlformats.org/spreadsheetml/2006/main" count="654" uniqueCount="161">
  <si>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</si>
  <si>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1, 2, 3, 4</t>
  </si>
  <si>
    <t>Ведомость объемов работ и расхода материалов по работе: Устройство системы водоснабжения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</si>
  <si>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</si>
  <si>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</si>
  <si>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</si>
  <si>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</si>
  <si>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</si>
  <si>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</si>
  <si>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</si>
  <si>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</si>
  <si>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</si>
  <si>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</si>
  <si>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</si>
  <si>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</si>
  <si>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</si>
  <si>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</si>
  <si>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</si>
  <si>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</si>
  <si>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</si>
  <si>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</si>
  <si>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</si>
  <si>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</si>
  <si>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</si>
  <si>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</si>
  <si>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</si>
  <si>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Изоляция трубопровода</t>
  </si>
  <si>
    <t>м</t>
  </si>
  <si>
    <t>Материалы:</t>
  </si>
  <si>
    <t>1</t>
  </si>
  <si>
    <t>Теплоизоляция трубная</t>
  </si>
  <si>
    <t>K-FLEX</t>
  </si>
  <si>
    <t>22х13мм вспененный полиэтилен</t>
  </si>
  <si>
    <t>пог. м</t>
  </si>
  <si>
    <t>2</t>
  </si>
  <si>
    <t>28х13мм вспененный полиэтилен</t>
  </si>
  <si>
    <t>Монтаж автоматического воздухоотводчика</t>
  </si>
  <si>
    <t>шт</t>
  </si>
  <si>
    <t>Воздухоотводчик</t>
  </si>
  <si>
    <t>Valtec</t>
  </si>
  <si>
    <t>автоматический Ду-15 10bar</t>
  </si>
  <si>
    <t>Монтаж клапана (фланцевые, резьбовые) до 32 мм</t>
  </si>
  <si>
    <t>Клапан регулирующий</t>
  </si>
  <si>
    <t>понижения давления резьбовой Ду-15Ру-10 бар</t>
  </si>
  <si>
    <t>Монтаж коллектора</t>
  </si>
  <si>
    <t>Коллектор (в сборе) распределительный</t>
  </si>
  <si>
    <t>Д-50 с 5-ю выходами (диаметр подключения Ду32)</t>
  </si>
  <si>
    <t>В комплекте с кранами, фильтрами, редукторами давления, вставками под счетчик.</t>
  </si>
  <si>
    <t>Д-50 с 6-ю выходами (диаметр подключения Ду32)</t>
  </si>
  <si>
    <t>3</t>
  </si>
  <si>
    <t>Д-50 с 2-мя выходами (диаметр подключения Ду32)</t>
  </si>
  <si>
    <t>Монтаж крана с электроприводом</t>
  </si>
  <si>
    <t>Кран шаровой</t>
  </si>
  <si>
    <t>Gidrolock</t>
  </si>
  <si>
    <t>муфтовый с электроприводом В/В Ду-15 полнопроходной</t>
  </si>
  <si>
    <t>Монтаж кранов (фланцевые, резьбовые) до 32 мм</t>
  </si>
  <si>
    <t>ВР-ВР Ду-15 полнопроходной</t>
  </si>
  <si>
    <t>ВР-НР Ду-15 полнопроходной</t>
  </si>
  <si>
    <t>Монтаж трубы из сшитого полиэтилена</t>
  </si>
  <si>
    <t>Труба сшитый полиэтилен</t>
  </si>
  <si>
    <t>DN-20х2,8 PN-10bar PEXа</t>
  </si>
  <si>
    <t>ONE PLUS</t>
  </si>
  <si>
    <t>Монтаж фильтра</t>
  </si>
  <si>
    <t>Фильтр сетчатый</t>
  </si>
  <si>
    <t>муфтовый ВР-ВР Ду-15 латунь</t>
  </si>
  <si>
    <t>Прокладка трубы ППН</t>
  </si>
  <si>
    <t>Труба полипропиленовая</t>
  </si>
  <si>
    <t>PPH PN20 DN25х5,4 арм.стекловолокно</t>
  </si>
  <si>
    <t>УВП</t>
  </si>
  <si>
    <t>в сумке</t>
  </si>
  <si>
    <t>%</t>
  </si>
  <si>
    <t>11.02.02.27</t>
  </si>
  <si>
    <t>Устройство водоснабжения в КУИ</t>
  </si>
  <si>
    <t>Монтажные работы</t>
  </si>
  <si>
    <t>компл.</t>
  </si>
  <si>
    <t>4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</si>
  <si>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</si>
  <si>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</si>
  <si>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</si>
  <si>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</si>
  <si>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11.02.04</t>
  </si>
  <si>
    <t>Устройство стояков для горизонтальной системы водоснабжения</t>
  </si>
  <si>
    <t>11.02.04.01</t>
  </si>
  <si>
    <t>Устройство водоснабжения В-1</t>
  </si>
  <si>
    <t>Бурение отверстий до 80мм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</si>
  <si>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</si>
  <si>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</si>
  <si>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</si>
  <si>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</si>
  <si>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</si>
  <si>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муфты противопожарной</t>
  </si>
  <si>
    <t>Муфта противопожарная</t>
  </si>
  <si>
    <t>ПМ-63</t>
  </si>
  <si>
    <t>Монтаж счетчика</t>
  </si>
  <si>
    <t>Присоединители для счетчика</t>
  </si>
  <si>
    <t>Вставка ремонтная</t>
  </si>
  <si>
    <t>для счетчика Ду15 мм</t>
  </si>
  <si>
    <t>Счетчик воды</t>
  </si>
  <si>
    <t>Пульсар</t>
  </si>
  <si>
    <t>с импульсным выходом Ду-15 Qn-1,5м3/час L-110мм</t>
  </si>
  <si>
    <t>с обратным клапаном</t>
  </si>
  <si>
    <t>Монтаж трубной изоляции</t>
  </si>
  <si>
    <t>63х13мм вспененный полиэтилен</t>
  </si>
  <si>
    <t>42х13мм вспененный полиэтилен</t>
  </si>
  <si>
    <t>Пробивка отверстий</t>
  </si>
  <si>
    <t>PPH PN20 DN40х6,7 арм.стекловолокно</t>
  </si>
  <si>
    <t>PPH PN20 DN63х10,5 арм.стекловолокно</t>
  </si>
  <si>
    <t>11.02.04.02</t>
  </si>
  <si>
    <t>Устройство водоснабжения Т-3</t>
  </si>
  <si>
    <t>11.02.04.03</t>
  </si>
  <si>
    <t>Устройство водоснабжения Т-4</t>
  </si>
  <si>
    <t>32х13мм вспененный полиэтилен</t>
  </si>
  <si>
    <t>Ду-25 полнопроходный с НГ</t>
  </si>
  <si>
    <t>ПМ32</t>
  </si>
  <si>
    <t>PPH PN20 DN32х5,4 арм.стекловолокно</t>
  </si>
  <si>
    <t>11.02.99</t>
  </si>
  <si>
    <t>Прочие работы</t>
  </si>
  <si>
    <t>11.02.99.00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</si>
  <si>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</si>
  <si>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</si>
  <si>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</si>
  <si>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</si>
  <si>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</si>
  <si>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</si>
  <si>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</si>
  <si>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</si>
  <si>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</si>
  <si>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</si>
  <si>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</si>
  <si>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</si>
  <si>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</si>
  <si>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</si>
  <si>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</si>
  <si>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</si>
  <si>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ГП-72.106.01.11.02 Секция 1_Устройство системы водоснабжения №2</t>
  </si>
  <si>
    <t>0833a4c4-be1f-11f0-8b59-a036bcbd010b</t>
  </si>
  <si>
    <t>ГП-72.106.02.11.02 Секция 2_Устройство системы водоснабжения №1</t>
  </si>
  <si>
    <t>a8b2e076-be34-11f0-8b59-a036bcbd010b</t>
  </si>
  <si>
    <t>ГП-72.106.03.11.02 Секция 3_Устройство системы водоснабжения №1</t>
  </si>
  <si>
    <t>64c2a1f5-bebf-11f0-8b59-a036bcbd010b</t>
  </si>
  <si>
    <t>ГП-72.106.04.11.02 Секция 4_Устройство системы водоснабжения №1</t>
  </si>
  <si>
    <t>44947a92-bec3-11f0-8b59-a036bcbd010b</t>
  </si>
  <si>
    <t>Итог</t>
  </si>
  <si>
    <t>Фитинги для ПЭ (сшитый) трубы</t>
  </si>
  <si>
    <t>Фитинги для ППН трубы</t>
  </si>
  <si>
    <t>Прочие материалы</t>
  </si>
  <si>
    <t>Проверка:</t>
  </si>
  <si>
    <t>ИТОГО по сметному расчету, в тч НДС:</t>
  </si>
  <si>
    <t>в тч НДС ____%</t>
  </si>
  <si>
    <t>Прочие работы (навигация)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</si>
  <si>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</si>
  <si>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</si>
  <si>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</si>
  <si>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</si>
  <si>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</si>
  <si>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</si>
  <si>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</si>
  <si>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</si>
  <si>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</si>
  <si>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указать %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</si>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</sst>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7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1" fillId="0" borderId="0"/>
    <xf numFmtId="0" fontId="1" fillId="0" borderId="0"/>
    <xf numFmtId="0" fontId="12" fillId="0" borderId="0"/>
    <xf numFmtId="0" fontId="1" fillId="0" borderId="0"/>
  </cellStyleXfs>
  <cellXfs count="129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center" vertical="center"/>
    </xf>
    <xf numFmtId="1" fontId="5" fillId="9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4" fontId="3" fillId="6" borderId="7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5" fillId="5" borderId="5" xfId="0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/>
    </xf>
    <xf numFmtId="0" fontId="6" fillId="0" borderId="12" xfId="0" applyFont="1" applyBorder="1" applyAlignment="1">
      <alignment horizontal="left" wrapText="1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" fontId="8" fillId="0" borderId="0" xfId="1" applyNumberFormat="1" applyFont="1" applyAlignment="1">
      <alignment horizontal="center" vertical="center"/>
    </xf>
    <xf numFmtId="0" fontId="12" fillId="0" borderId="0" xfId="3" applyAlignment="1">
      <alignment vertical="center"/>
    </xf>
    <xf numFmtId="0" fontId="13" fillId="0" borderId="0" xfId="3" applyFont="1" applyAlignment="1">
      <alignment vertical="center"/>
    </xf>
    <xf numFmtId="4" fontId="13" fillId="0" borderId="0" xfId="3" applyNumberFormat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8" fillId="0" borderId="0" xfId="3" applyFont="1"/>
    <xf numFmtId="0" fontId="14" fillId="0" borderId="0" xfId="3" applyFont="1"/>
    <xf numFmtId="4" fontId="14" fillId="0" borderId="0" xfId="3" applyNumberFormat="1" applyFont="1"/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6" fillId="8" borderId="0" xfId="0" applyFont="1" applyFill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AF6D01E4-2BA4-41AD-884B-34A222D2841A}"/>
    <cellStyle name="Обычный 3 2 2 4" xfId="2" xr:uid="{09A10FB0-195B-4951-8F3C-F7924EB0602B}"/>
    <cellStyle name="Обычный 3 2 2 4 2" xfId="4" xr:uid="{31EDC310-4100-4204-BC9A-CDFA1120CB26}"/>
    <cellStyle name="Обычный 5" xfId="1" xr:uid="{AECDB894-8831-4C7B-AF8D-FCE685950EC0}"/>
  </cellStyles>
  <dxfs count="41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5F4881-0393-4333-9CFE-45AEBA640637}" name="Р" displayName="Р" ref="A3:F22" totalsRowCount="1" headerRowDxfId="40" headerRowBorderDxfId="39" tableBorderDxfId="38" totalsRowBorderDxfId="37">
  <autoFilter ref="A3:F21" xr:uid="{8B5F4881-0393-4333-9CFE-45AEBA640637}"/>
  <tableColumns count="6">
    <tableColumn id="1" xr3:uid="{43E16240-06D4-477D-9633-E3D5C5AD4671}" name="Наименование" totalsRowLabel="Итог" dataDxfId="36" totalsRowDxfId="35"/>
    <tableColumn id="2" xr3:uid="{2E512F21-214A-47FF-9B3E-1DF38D3CA440}" name="Ед. изм." dataDxfId="34" totalsRowDxfId="33"/>
    <tableColumn id="3" xr3:uid="{CE2A80DD-52F2-421E-BA85-1362549669B0}" name="Количество" dataDxfId="32" totalsRowDxfId="31"/>
    <tableColumn id="4" xr3:uid="{E3A3E467-167A-4E1B-83A7-D85BC722D74E}" name="Цена за ед., руб" dataDxfId="30" totalsRowDxfId="29"/>
    <tableColumn id="5" xr3:uid="{54B44C1B-827A-4D34-895F-F5F43E0AB824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4118DC92-F431-4CF1-8A21-13F3EFF36662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E40A2C-DBF9-4294-A7A6-8404A22DF0A2}" name="М" displayName="М" ref="A3:I42" totalsRowCount="1" headerRowDxfId="24" headerRowBorderDxfId="23" tableBorderDxfId="22" totalsRowBorderDxfId="21">
  <autoFilter ref="A3:I41" xr:uid="{D3E40A2C-DBF9-4294-A7A6-8404A22DF0A2}"/>
  <tableColumns count="9">
    <tableColumn id="1" xr3:uid="{3729BAC8-081A-483F-B2F2-E670D0AA64CD}" name="Наим." totalsRowLabel="Итог" dataDxfId="20" totalsRowDxfId="8"/>
    <tableColumn id="2" xr3:uid="{02865B8D-4C2F-453C-A92E-F43E4FE21B41}" name="Артикул, марка, произв." dataDxfId="19" totalsRowDxfId="7"/>
    <tableColumn id="3" xr3:uid="{88E19D09-6AE8-484C-B029-88018E8EF49E}" name="Хар-ка" dataDxfId="18" totalsRowDxfId="6"/>
    <tableColumn id="4" xr3:uid="{C185BBC5-E104-4802-92C4-3060031D1689}" name="Ед. изм." dataDxfId="17" totalsRowDxfId="5"/>
    <tableColumn id="5" xr3:uid="{51C52FCF-722C-4253-ABAC-F6664A6273F1}" name="Количество" dataDxfId="16" totalsRowDxfId="4"/>
    <tableColumn id="6" xr3:uid="{7EEAA475-CCA4-4E01-873C-6D9E5F2D8423}" name="Цена за ед., руб" dataDxfId="15" totalsRowDxfId="3"/>
    <tableColumn id="7" xr3:uid="{CD7B4F8F-FD9D-4C36-B84D-0E6969BA56DC}" name="Сумма, руб" totalsRowFunction="sum" dataDxfId="14" totalsRowDxfId="2">
      <calculatedColumnFormula>ROUND(М[[#This Row],[Количество]]*М[[#This Row],[Цена за ед., руб]],2)</calculatedColumnFormula>
    </tableColumn>
    <tableColumn id="8" xr3:uid="{2CA25A26-1DBE-444B-9719-E81C5B053D0C}" name="Прим." dataDxfId="13" totalsRowDxfId="1"/>
    <tableColumn id="9" xr3:uid="{BD467BCF-CB79-4920-95F7-4984A14250CC}" name="Форма закупа" dataDxfId="12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EM192"/>
  <sheetViews>
    <sheetView tabSelected="1" workbookViewId="0">
      <pane ySplit="7" topLeftCell="A155" activePane="bottomLeft" state="frozen"/>
      <selection pane="bottomLeft" activeCell="O170" sqref="O170:O172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0" width="10.5" style="1" customWidth="1"/>
    <col min="11" max="11" width="14.6640625" style="1" customWidth="1"/>
    <col min="12" max="12" width="16" style="1" customWidth="1"/>
    <col min="13" max="13" width="17" style="1" customWidth="1"/>
    <col min="14" max="14" width="35" style="1" customWidth="1"/>
    <col min="15" max="15" width="23.33203125" style="1" customWidth="1"/>
  </cols>
  <sheetData>
    <row r="2" spans="1:15" x14ac:dyDescent="0.2">
      <c r="B2" s="120" t="s">
        <v>0</v>
      </c>
      <c r="C2" s="120"/>
      <c r="D2" s="120"/>
      <c r="E2" s="120"/>
      <c r="F2" s="120"/>
      <c r="G2" s="120"/>
      <c r="H2" s="120"/>
      <c r="I2" s="120"/>
      <c r="J2" s="120"/>
    </row>
    <row r="3" spans="1:15" x14ac:dyDescent="0.2">
      <c r="B3" s="121" t="s">
        <v>1</v>
      </c>
      <c r="C3" s="121"/>
      <c r="D3" s="121"/>
      <c r="E3" s="121"/>
      <c r="F3" s="121"/>
      <c r="G3" s="121"/>
      <c r="H3" s="121"/>
      <c r="I3" s="121"/>
      <c r="J3" s="121"/>
    </row>
    <row r="4" spans="1:15" x14ac:dyDescent="0.2">
      <c r="B4" s="121" t="s">
        <v>2</v>
      </c>
      <c r="C4" s="121"/>
      <c r="D4" s="121"/>
      <c r="E4" s="121"/>
      <c r="F4" s="121"/>
      <c r="G4" s="121"/>
      <c r="H4" s="121"/>
      <c r="I4" s="121"/>
      <c r="J4" s="121"/>
    </row>
    <row r="6" spans="1:15" x14ac:dyDescent="0.2">
      <c r="A6" s="116" t="s">
        <v>3</v>
      </c>
      <c r="B6" s="116" t="s">
        <v>4</v>
      </c>
      <c r="C6" s="122" t="s">
        <v>5</v>
      </c>
      <c r="D6" s="124" t="s">
        <v>6</v>
      </c>
      <c r="E6" s="116" t="s">
        <v>7</v>
      </c>
      <c r="F6" s="118" t="s">
        <v>8</v>
      </c>
      <c r="G6" s="126" t="s">
        <v>9</v>
      </c>
      <c r="H6" s="126" t="s">
        <v>10</v>
      </c>
      <c r="I6" s="126" t="s">
        <v>11</v>
      </c>
      <c r="J6" s="126" t="s">
        <v>12</v>
      </c>
      <c r="K6" s="116" t="s">
        <v>13</v>
      </c>
      <c r="L6" s="118" t="s">
        <v>14</v>
      </c>
      <c r="M6" s="118" t="s">
        <v>15</v>
      </c>
      <c r="N6" s="116" t="s">
        <v>16</v>
      </c>
      <c r="O6" s="118" t="s">
        <v>17</v>
      </c>
    </row>
    <row r="7" spans="1:15" x14ac:dyDescent="0.2">
      <c r="A7" s="117"/>
      <c r="B7" s="117"/>
      <c r="C7" s="123"/>
      <c r="D7" s="125"/>
      <c r="E7" s="117"/>
      <c r="F7" s="119"/>
      <c r="G7" s="127"/>
      <c r="H7" s="127"/>
      <c r="I7" s="127"/>
      <c r="J7" s="127"/>
      <c r="K7" s="117"/>
      <c r="L7" s="119"/>
      <c r="M7" s="119"/>
      <c r="N7" s="117"/>
      <c r="O7" s="119"/>
    </row>
    <row r="8" spans="1:15" x14ac:dyDescent="0.2">
      <c r="A8" s="3" t="s">
        <v>18</v>
      </c>
      <c r="B8" s="4" t="s">
        <v>19</v>
      </c>
      <c r="C8" s="5"/>
      <c r="D8" s="5"/>
      <c r="E8" s="6"/>
      <c r="F8" s="7"/>
      <c r="G8" s="7"/>
      <c r="H8" s="7"/>
      <c r="I8" s="7"/>
      <c r="J8" s="7"/>
      <c r="K8" s="7"/>
      <c r="L8" s="50"/>
      <c r="M8" s="50"/>
      <c r="N8" s="5"/>
      <c r="O8" s="5"/>
    </row>
    <row r="9" spans="1:15" outlineLevel="1" x14ac:dyDescent="0.2">
      <c r="A9" s="8" t="s">
        <v>20</v>
      </c>
      <c r="B9" s="9" t="s">
        <v>21</v>
      </c>
      <c r="C9" s="10"/>
      <c r="D9" s="10"/>
      <c r="E9" s="11"/>
      <c r="F9" s="12"/>
      <c r="G9" s="12"/>
      <c r="H9" s="12"/>
      <c r="I9" s="12"/>
      <c r="J9" s="12"/>
      <c r="K9" s="12"/>
      <c r="L9" s="51"/>
      <c r="M9" s="51">
        <f ca="1">SUM($M$163,$M$61,$M$175,$M$10)</f>
        <v>0</v>
      </c>
      <c r="N9" s="10"/>
      <c r="O9" s="10"/>
    </row>
    <row r="10" spans="1:15" ht="22.5" outlineLevel="2" x14ac:dyDescent="0.2">
      <c r="A10" s="13" t="s">
        <v>22</v>
      </c>
      <c r="B10" s="14" t="s">
        <v>23</v>
      </c>
      <c r="C10" s="15"/>
      <c r="D10" s="15"/>
      <c r="E10" s="16"/>
      <c r="F10" s="17"/>
      <c r="G10" s="18"/>
      <c r="H10" s="18"/>
      <c r="I10" s="18"/>
      <c r="J10" s="18"/>
      <c r="K10" s="18"/>
      <c r="L10" s="52"/>
      <c r="M10" s="52">
        <f>SUM($M$53,$M$11)</f>
        <v>0</v>
      </c>
      <c r="N10" s="19"/>
      <c r="O10" s="19"/>
    </row>
    <row r="11" spans="1:15" ht="22.5" outlineLevel="3" x14ac:dyDescent="0.2">
      <c r="A11" s="13" t="s">
        <v>24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18"/>
      <c r="L11" s="52"/>
      <c r="M11" s="52">
        <f>SUM($M$173,$M$51,$M$49,$M$47,$M$45,$M$42,$M$40,$M$37,$M$35,$M$33,$M$31,$M$27,$M$25,$M$23,$M$21,$M$19,$M$17,$M$14,$M$12)</f>
        <v>0</v>
      </c>
      <c r="N11" s="19"/>
      <c r="O11" s="19"/>
    </row>
    <row r="12" spans="1:15" outlineLevel="4" x14ac:dyDescent="0.2">
      <c r="A12" s="20"/>
      <c r="B12" s="14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53"/>
      <c r="M12" s="54">
        <f>SUM($M$13)</f>
        <v>0</v>
      </c>
      <c r="N12" s="18"/>
      <c r="O12" s="22"/>
    </row>
    <row r="13" spans="1:15" outlineLevel="4" x14ac:dyDescent="0.2">
      <c r="A13" s="23"/>
      <c r="B13" s="24" t="s">
        <v>26</v>
      </c>
      <c r="C13" s="25"/>
      <c r="D13" s="25"/>
      <c r="E13" s="26" t="s">
        <v>27</v>
      </c>
      <c r="F13" s="27"/>
      <c r="G13" s="28">
        <v>2648</v>
      </c>
      <c r="H13" s="28">
        <v>2948</v>
      </c>
      <c r="I13" s="28">
        <v>3542</v>
      </c>
      <c r="J13" s="28">
        <v>4051</v>
      </c>
      <c r="K13" s="28">
        <f>SUM($G$13:$J$13)</f>
        <v>13189</v>
      </c>
      <c r="L13" s="55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55">
        <f>ROUND($K$13*$L$13,2)</f>
        <v>0</v>
      </c>
      <c r="N13" s="25"/>
      <c r="O13" s="25"/>
    </row>
    <row r="14" spans="1:15" outlineLevel="4" x14ac:dyDescent="0.2">
      <c r="A14" s="20"/>
      <c r="B14" s="14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53"/>
      <c r="M14" s="54">
        <f>SUM($M$15:$M$16)</f>
        <v>0</v>
      </c>
      <c r="N14" s="18"/>
      <c r="O14" s="22"/>
    </row>
    <row r="15" spans="1:15" ht="33.75" outlineLevel="4" x14ac:dyDescent="0.2">
      <c r="A15" s="23" t="s">
        <v>29</v>
      </c>
      <c r="B15" s="24" t="s">
        <v>30</v>
      </c>
      <c r="C15" s="25" t="s">
        <v>31</v>
      </c>
      <c r="D15" s="25" t="s">
        <v>32</v>
      </c>
      <c r="E15" s="26" t="s">
        <v>33</v>
      </c>
      <c r="F15" s="27"/>
      <c r="G15" s="28">
        <v>2640</v>
      </c>
      <c r="H15" s="28">
        <v>2940</v>
      </c>
      <c r="I15" s="28">
        <v>3523</v>
      </c>
      <c r="J15" s="28">
        <v>4035</v>
      </c>
      <c r="K15" s="28">
        <f>SUM($G$15:$J$15)</f>
        <v>13138</v>
      </c>
      <c r="L15" s="55">
        <f t="array" ref="L15">INDEX(М[Цена за ед., руб],MATCH(1,IF(($B15=М[Наим.])*($C15=М[Артикул,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  <c r="M15" s="55">
        <f>ROUND($K$15*$L$15,2)</f>
        <v>0</v>
      </c>
      <c r="N15" s="25"/>
      <c r="O15" s="25">
        <f t="array" ref="O15">INDEX(М[Форма закупа],MATCH(1,IF(($B15=М[Наим.])*($C15=М[Артикул,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</row>
    <row r="16" spans="1:15" ht="33.75" outlineLevel="4" x14ac:dyDescent="0.2">
      <c r="A16" s="23" t="s">
        <v>34</v>
      </c>
      <c r="B16" s="24" t="s">
        <v>30</v>
      </c>
      <c r="C16" s="25" t="s">
        <v>31</v>
      </c>
      <c r="D16" s="25" t="s">
        <v>35</v>
      </c>
      <c r="E16" s="26" t="s">
        <v>33</v>
      </c>
      <c r="F16" s="27"/>
      <c r="G16" s="29">
        <v>8</v>
      </c>
      <c r="H16" s="29">
        <v>8</v>
      </c>
      <c r="I16" s="29">
        <v>19</v>
      </c>
      <c r="J16" s="29">
        <v>16</v>
      </c>
      <c r="K16" s="29">
        <f>SUM($G$16:$J$16)</f>
        <v>51</v>
      </c>
      <c r="L16" s="55">
        <f t="array" ref="L16">INDEX(М[Цена за ед., руб],MATCH(1,IF(($B16=М[Наим.])*($C16=М[Артикул, марка, произв.])*($D16=М[Хар-ка])*($N16=М[Прим.]),{1},($B16=М[Наим.])*($C16=М[Артикул, марка, произв.])*($D16=М[Хар-ка])*($N16=М[Прим.])),0))</f>
        <v>0</v>
      </c>
      <c r="M16" s="55">
        <f>ROUND($K$16*$L$16,2)</f>
        <v>0</v>
      </c>
      <c r="N16" s="25"/>
      <c r="O16" s="25">
        <f t="array" ref="O16">INDEX(М[Форма закупа],MATCH(1,IF(($B16=М[Наим.])*($C16=М[Артикул, марка, произв.])*($D16=М[Хар-ка])*($N16=М[Прим.]),{1},($B16=М[Наим.])*($C16=М[Артикул, марка, произв.])*($D16=М[Хар-ка])*($N16=М[Прим.])),0))</f>
        <v>0</v>
      </c>
    </row>
    <row r="17" spans="1:15" outlineLevel="4" x14ac:dyDescent="0.2">
      <c r="A17" s="20"/>
      <c r="B17" s="14" t="s">
        <v>25</v>
      </c>
      <c r="C17" s="21"/>
      <c r="D17" s="21"/>
      <c r="E17" s="21"/>
      <c r="F17" s="21"/>
      <c r="G17" s="21"/>
      <c r="H17" s="21"/>
      <c r="I17" s="21"/>
      <c r="J17" s="21"/>
      <c r="K17" s="21"/>
      <c r="L17" s="53"/>
      <c r="M17" s="54">
        <f>SUM($M$18)</f>
        <v>0</v>
      </c>
      <c r="N17" s="18"/>
      <c r="O17" s="22"/>
    </row>
    <row r="18" spans="1:15" ht="22.5" outlineLevel="4" x14ac:dyDescent="0.2">
      <c r="A18" s="23"/>
      <c r="B18" s="24" t="s">
        <v>36</v>
      </c>
      <c r="C18" s="25"/>
      <c r="D18" s="25"/>
      <c r="E18" s="26" t="s">
        <v>37</v>
      </c>
      <c r="F18" s="27"/>
      <c r="G18" s="29">
        <v>4</v>
      </c>
      <c r="H18" s="29">
        <v>4</v>
      </c>
      <c r="I18" s="29">
        <v>8</v>
      </c>
      <c r="J18" s="29">
        <v>8</v>
      </c>
      <c r="K18" s="29">
        <f>SUM($G$18:$J$18)</f>
        <v>24</v>
      </c>
      <c r="L18" s="55">
        <f t="array" ref="L18">INDEX(Р[Цена за ед., руб],MATCH(1,IF(($B18=Р[Наименование])*($N18=Р[Примечание]),{1},($B18=Р[Наименование])*($N18=Р[Примечание])),0))</f>
        <v>0</v>
      </c>
      <c r="M18" s="55">
        <f>ROUND($K$18*$L$18,2)</f>
        <v>0</v>
      </c>
      <c r="N18" s="25"/>
      <c r="O18" s="25"/>
    </row>
    <row r="19" spans="1:15" outlineLevel="4" x14ac:dyDescent="0.2">
      <c r="A19" s="20"/>
      <c r="B19" s="14" t="s">
        <v>28</v>
      </c>
      <c r="C19" s="21"/>
      <c r="D19" s="21"/>
      <c r="E19" s="21"/>
      <c r="F19" s="21"/>
      <c r="G19" s="21"/>
      <c r="H19" s="21"/>
      <c r="I19" s="21"/>
      <c r="J19" s="21"/>
      <c r="K19" s="21"/>
      <c r="L19" s="53"/>
      <c r="M19" s="54">
        <f>SUM($M$20)</f>
        <v>0</v>
      </c>
      <c r="N19" s="18"/>
      <c r="O19" s="22"/>
    </row>
    <row r="20" spans="1:15" ht="22.5" outlineLevel="4" x14ac:dyDescent="0.2">
      <c r="A20" s="23" t="s">
        <v>29</v>
      </c>
      <c r="B20" s="24" t="s">
        <v>38</v>
      </c>
      <c r="C20" s="25" t="s">
        <v>39</v>
      </c>
      <c r="D20" s="25" t="s">
        <v>40</v>
      </c>
      <c r="E20" s="26" t="s">
        <v>37</v>
      </c>
      <c r="F20" s="27"/>
      <c r="G20" s="29">
        <v>4</v>
      </c>
      <c r="H20" s="29">
        <v>4</v>
      </c>
      <c r="I20" s="29">
        <v>8</v>
      </c>
      <c r="J20" s="29">
        <v>8</v>
      </c>
      <c r="K20" s="29">
        <f>SUM($G$20:$J$20)</f>
        <v>24</v>
      </c>
      <c r="L20" s="55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55">
        <f>ROUND($K$20*$L$20,2)</f>
        <v>0</v>
      </c>
      <c r="N20" s="25"/>
      <c r="O20" s="25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</row>
    <row r="21" spans="1:15" outlineLevel="4" x14ac:dyDescent="0.2">
      <c r="A21" s="20"/>
      <c r="B21" s="14" t="s">
        <v>25</v>
      </c>
      <c r="C21" s="21"/>
      <c r="D21" s="21"/>
      <c r="E21" s="21"/>
      <c r="F21" s="21"/>
      <c r="G21" s="21"/>
      <c r="H21" s="21"/>
      <c r="I21" s="21"/>
      <c r="J21" s="21"/>
      <c r="K21" s="21"/>
      <c r="L21" s="53"/>
      <c r="M21" s="54">
        <f>SUM($M$22)</f>
        <v>0</v>
      </c>
      <c r="N21" s="18"/>
      <c r="O21" s="22"/>
    </row>
    <row r="22" spans="1:15" ht="22.5" outlineLevel="4" x14ac:dyDescent="0.2">
      <c r="A22" s="23"/>
      <c r="B22" s="24" t="s">
        <v>41</v>
      </c>
      <c r="C22" s="25"/>
      <c r="D22" s="25"/>
      <c r="E22" s="26" t="s">
        <v>37</v>
      </c>
      <c r="F22" s="27"/>
      <c r="G22" s="29">
        <v>4</v>
      </c>
      <c r="H22" s="29">
        <v>4</v>
      </c>
      <c r="I22" s="29">
        <v>8</v>
      </c>
      <c r="J22" s="29">
        <v>8</v>
      </c>
      <c r="K22" s="29">
        <f>SUM($G$22:$J$22)</f>
        <v>24</v>
      </c>
      <c r="L22" s="55">
        <f t="array" ref="L22">INDEX(Р[Цена за ед., руб],MATCH(1,IF(($B22=Р[Наименование])*($N22=Р[Примечание]),{1},($B22=Р[Наименование])*($N22=Р[Примечание])),0))</f>
        <v>0</v>
      </c>
      <c r="M22" s="55">
        <f>ROUND($K$22*$L$22,2)</f>
        <v>0</v>
      </c>
      <c r="N22" s="25"/>
      <c r="O22" s="25"/>
    </row>
    <row r="23" spans="1:15" outlineLevel="4" x14ac:dyDescent="0.2">
      <c r="A23" s="20"/>
      <c r="B23" s="14" t="s">
        <v>28</v>
      </c>
      <c r="C23" s="21"/>
      <c r="D23" s="21"/>
      <c r="E23" s="21"/>
      <c r="F23" s="21"/>
      <c r="G23" s="21"/>
      <c r="H23" s="21"/>
      <c r="I23" s="21"/>
      <c r="J23" s="21"/>
      <c r="K23" s="21"/>
      <c r="L23" s="53"/>
      <c r="M23" s="54">
        <f>SUM($M$24)</f>
        <v>0</v>
      </c>
      <c r="N23" s="18"/>
      <c r="O23" s="22"/>
    </row>
    <row r="24" spans="1:15" ht="45" outlineLevel="4" x14ac:dyDescent="0.2">
      <c r="A24" s="23" t="s">
        <v>29</v>
      </c>
      <c r="B24" s="24" t="s">
        <v>42</v>
      </c>
      <c r="C24" s="25" t="s">
        <v>39</v>
      </c>
      <c r="D24" s="25" t="s">
        <v>43</v>
      </c>
      <c r="E24" s="26" t="s">
        <v>37</v>
      </c>
      <c r="F24" s="27"/>
      <c r="G24" s="29">
        <v>4</v>
      </c>
      <c r="H24" s="29">
        <v>4</v>
      </c>
      <c r="I24" s="29">
        <v>8</v>
      </c>
      <c r="J24" s="29">
        <v>8</v>
      </c>
      <c r="K24" s="29">
        <f>SUM($G$24:$J$24)</f>
        <v>24</v>
      </c>
      <c r="L24" s="55">
        <f t="array" ref="L24">INDEX(М[Цена за ед., руб],MATCH(1,IF(($B24=М[Наим.])*($C24=М[Артикул,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  <c r="M24" s="55">
        <f>ROUND($K$24*$L$24,2)</f>
        <v>0</v>
      </c>
      <c r="N24" s="25"/>
      <c r="O24" s="25">
        <f t="array" ref="O24">INDEX(М[Форма закупа],MATCH(1,IF(($B24=М[Наим.])*($C24=М[Артикул,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</row>
    <row r="25" spans="1:15" outlineLevel="4" x14ac:dyDescent="0.2">
      <c r="A25" s="20"/>
      <c r="B25" s="14" t="s">
        <v>25</v>
      </c>
      <c r="C25" s="21"/>
      <c r="D25" s="21"/>
      <c r="E25" s="21"/>
      <c r="F25" s="21"/>
      <c r="G25" s="21"/>
      <c r="H25" s="21"/>
      <c r="I25" s="21"/>
      <c r="J25" s="21"/>
      <c r="K25" s="21"/>
      <c r="L25" s="53"/>
      <c r="M25" s="54">
        <f>SUM($M$26)</f>
        <v>0</v>
      </c>
      <c r="N25" s="18"/>
      <c r="O25" s="22"/>
    </row>
    <row r="26" spans="1:15" outlineLevel="4" x14ac:dyDescent="0.2">
      <c r="A26" s="23"/>
      <c r="B26" s="24" t="s">
        <v>44</v>
      </c>
      <c r="C26" s="25"/>
      <c r="D26" s="25"/>
      <c r="E26" s="26" t="s">
        <v>37</v>
      </c>
      <c r="F26" s="27"/>
      <c r="G26" s="29">
        <v>26</v>
      </c>
      <c r="H26" s="29">
        <v>32</v>
      </c>
      <c r="I26" s="29">
        <v>26</v>
      </c>
      <c r="J26" s="29">
        <v>30</v>
      </c>
      <c r="K26" s="29">
        <f>SUM($G$26:$J$26)</f>
        <v>114</v>
      </c>
      <c r="L26" s="55">
        <f t="array" ref="L26">INDEX(Р[Цена за ед., руб],MATCH(1,IF(($B26=Р[Наименование])*($N26=Р[Примечание]),{1},($B26=Р[Наименование])*($N26=Р[Примечание])),0))</f>
        <v>0</v>
      </c>
      <c r="M26" s="55">
        <f>ROUND($K$26*$L$26,2)</f>
        <v>0</v>
      </c>
      <c r="N26" s="25"/>
      <c r="O26" s="25"/>
    </row>
    <row r="27" spans="1:15" outlineLevel="4" x14ac:dyDescent="0.2">
      <c r="A27" s="20"/>
      <c r="B27" s="14" t="s">
        <v>28</v>
      </c>
      <c r="C27" s="21"/>
      <c r="D27" s="21"/>
      <c r="E27" s="21"/>
      <c r="F27" s="21"/>
      <c r="G27" s="21"/>
      <c r="H27" s="21"/>
      <c r="I27" s="21"/>
      <c r="J27" s="21"/>
      <c r="K27" s="21"/>
      <c r="L27" s="53"/>
      <c r="M27" s="54">
        <f>SUM($M$28:$M$30)</f>
        <v>0</v>
      </c>
      <c r="N27" s="18"/>
      <c r="O27" s="22"/>
    </row>
    <row r="28" spans="1:15" ht="56.25" outlineLevel="4" x14ac:dyDescent="0.2">
      <c r="A28" s="23" t="s">
        <v>29</v>
      </c>
      <c r="B28" s="24" t="s">
        <v>45</v>
      </c>
      <c r="C28" s="25"/>
      <c r="D28" s="25" t="s">
        <v>46</v>
      </c>
      <c r="E28" s="26" t="s">
        <v>37</v>
      </c>
      <c r="F28" s="27"/>
      <c r="G28" s="29">
        <v>24</v>
      </c>
      <c r="H28" s="29">
        <v>30</v>
      </c>
      <c r="I28" s="27"/>
      <c r="J28" s="27"/>
      <c r="K28" s="29">
        <f>SUM($G$28:$J$28)</f>
        <v>54</v>
      </c>
      <c r="L28" s="55">
        <f t="array" ref="L28">INDEX(М[Цена за ед., руб],MATCH(1,IF(($B28=М[Наим.])*($C28=М[Артикул, марка, произв.])*($D28=М[Хар-ка])*($N28=М[Прим.]),{1},($B28=М[Наим.])*($C28=М[Артикул, марка, произв.])*($D28=М[Хар-ка])*($N28=М[Прим.])),0))</f>
        <v>0</v>
      </c>
      <c r="M28" s="55">
        <f>ROUND($K$28*$L$28,2)</f>
        <v>0</v>
      </c>
      <c r="N28" s="25" t="s">
        <v>47</v>
      </c>
      <c r="O28" s="25">
        <f t="array" ref="O28">INDEX(М[Форма закупа],MATCH(1,IF(($B28=М[Наим.])*($C28=М[Артикул, марка, произв.])*($D28=М[Хар-ка])*($N28=М[Прим.]),{1},($B28=М[Наим.])*($C28=М[Артикул, марка, произв.])*($D28=М[Хар-ка])*($N28=М[Прим.])),0))</f>
        <v>0</v>
      </c>
    </row>
    <row r="29" spans="1:15" ht="56.25" outlineLevel="4" x14ac:dyDescent="0.2">
      <c r="A29" s="23" t="s">
        <v>34</v>
      </c>
      <c r="B29" s="24" t="s">
        <v>45</v>
      </c>
      <c r="C29" s="25"/>
      <c r="D29" s="25" t="s">
        <v>48</v>
      </c>
      <c r="E29" s="26" t="s">
        <v>37</v>
      </c>
      <c r="F29" s="27"/>
      <c r="G29" s="27"/>
      <c r="H29" s="27"/>
      <c r="I29" s="29">
        <v>26</v>
      </c>
      <c r="J29" s="29">
        <v>30</v>
      </c>
      <c r="K29" s="29">
        <f>SUM($G$29:$J$29)</f>
        <v>56</v>
      </c>
      <c r="L29" s="55">
        <f t="array" ref="L29">INDEX(М[Цена за ед., руб],MATCH(1,IF(($B29=М[Наим.])*($C29=М[Артикул, марка, произв.])*($D29=М[Хар-ка])*($N29=М[Прим.]),{1},($B29=М[Наим.])*($C29=М[Артикул, марка, произв.])*($D29=М[Хар-ка])*($N29=М[Прим.])),0))</f>
        <v>0</v>
      </c>
      <c r="M29" s="55">
        <f>ROUND($K$29*$L$29,2)</f>
        <v>0</v>
      </c>
      <c r="N29" s="25" t="s">
        <v>47</v>
      </c>
      <c r="O29" s="25">
        <f t="array" ref="O29">INDEX(М[Форма закупа],MATCH(1,IF(($B29=М[Наим.])*($C29=М[Артикул, марка, произв.])*($D29=М[Хар-ка])*($N29=М[Прим.]),{1},($B29=М[Наим.])*($C29=М[Артикул, марка, произв.])*($D29=М[Хар-ка])*($N29=М[Прим.])),0))</f>
        <v>0</v>
      </c>
    </row>
    <row r="30" spans="1:15" ht="56.25" outlineLevel="4" x14ac:dyDescent="0.2">
      <c r="A30" s="23" t="s">
        <v>49</v>
      </c>
      <c r="B30" s="24" t="s">
        <v>45</v>
      </c>
      <c r="C30" s="25"/>
      <c r="D30" s="25" t="s">
        <v>50</v>
      </c>
      <c r="E30" s="26" t="s">
        <v>37</v>
      </c>
      <c r="F30" s="27"/>
      <c r="G30" s="29">
        <v>2</v>
      </c>
      <c r="H30" s="29">
        <v>2</v>
      </c>
      <c r="I30" s="27"/>
      <c r="J30" s="27"/>
      <c r="K30" s="29">
        <f>SUM($G$30:$J$30)</f>
        <v>4</v>
      </c>
      <c r="L30" s="55">
        <f t="array" ref="L30">INDEX(М[Цена за ед., руб],MATCH(1,IF(($B30=М[Наим.])*($C30=М[Артикул, марка, произв.])*($D30=М[Хар-ка])*($N30=М[Прим.]),{1},($B30=М[Наим.])*($C30=М[Артикул, марка, произв.])*($D30=М[Хар-ка])*($N30=М[Прим.])),0))</f>
        <v>0</v>
      </c>
      <c r="M30" s="55">
        <f>ROUND($K$30*$L$30,2)</f>
        <v>0</v>
      </c>
      <c r="N30" s="25" t="s">
        <v>47</v>
      </c>
      <c r="O30" s="25">
        <f t="array" ref="O30">INDEX(М[Форма закупа],MATCH(1,IF(($B30=М[Наим.])*($C30=М[Артикул, марка, произв.])*($D30=М[Хар-ка])*($N30=М[Прим.]),{1},($B30=М[Наим.])*($C30=М[Артикул, марка, произв.])*($D30=М[Хар-ка])*($N30=М[Прим.])),0))</f>
        <v>0</v>
      </c>
    </row>
    <row r="31" spans="1:15" outlineLevel="4" x14ac:dyDescent="0.2">
      <c r="A31" s="20"/>
      <c r="B31" s="14" t="s">
        <v>25</v>
      </c>
      <c r="C31" s="21"/>
      <c r="D31" s="21"/>
      <c r="E31" s="21"/>
      <c r="F31" s="21"/>
      <c r="G31" s="21"/>
      <c r="H31" s="21"/>
      <c r="I31" s="21"/>
      <c r="J31" s="21"/>
      <c r="K31" s="21"/>
      <c r="L31" s="53"/>
      <c r="M31" s="54">
        <f>SUM($M$32)</f>
        <v>0</v>
      </c>
      <c r="N31" s="18"/>
      <c r="O31" s="22"/>
    </row>
    <row r="32" spans="1:15" outlineLevel="4" x14ac:dyDescent="0.2">
      <c r="A32" s="23"/>
      <c r="B32" s="24" t="s">
        <v>51</v>
      </c>
      <c r="C32" s="25"/>
      <c r="D32" s="25"/>
      <c r="E32" s="26" t="s">
        <v>37</v>
      </c>
      <c r="F32" s="27"/>
      <c r="G32" s="29">
        <v>124</v>
      </c>
      <c r="H32" s="29">
        <v>154</v>
      </c>
      <c r="I32" s="29">
        <v>156</v>
      </c>
      <c r="J32" s="29">
        <v>180</v>
      </c>
      <c r="K32" s="29">
        <f>SUM($G$32:$J$32)</f>
        <v>614</v>
      </c>
      <c r="L32" s="55">
        <f t="array" ref="L32">INDEX(Р[Цена за ед., руб],MATCH(1,IF(($B32=Р[Наименование])*($N32=Р[Примечание]),{1},($B32=Р[Наименование])*($N32=Р[Примечание])),0))</f>
        <v>0</v>
      </c>
      <c r="M32" s="55">
        <f>ROUND($K$32*$L$32,2)</f>
        <v>0</v>
      </c>
      <c r="N32" s="25"/>
      <c r="O32" s="25"/>
    </row>
    <row r="33" spans="1:15" outlineLevel="4" x14ac:dyDescent="0.2">
      <c r="A33" s="20"/>
      <c r="B33" s="14" t="s">
        <v>28</v>
      </c>
      <c r="C33" s="21"/>
      <c r="D33" s="21"/>
      <c r="E33" s="21"/>
      <c r="F33" s="21"/>
      <c r="G33" s="21"/>
      <c r="H33" s="21"/>
      <c r="I33" s="21"/>
      <c r="J33" s="21"/>
      <c r="K33" s="21"/>
      <c r="L33" s="53"/>
      <c r="M33" s="54">
        <f>SUM($M$34)</f>
        <v>0</v>
      </c>
      <c r="N33" s="18"/>
      <c r="O33" s="22"/>
    </row>
    <row r="34" spans="1:15" ht="45" outlineLevel="4" x14ac:dyDescent="0.2">
      <c r="A34" s="23" t="s">
        <v>29</v>
      </c>
      <c r="B34" s="24" t="s">
        <v>52</v>
      </c>
      <c r="C34" s="25" t="s">
        <v>53</v>
      </c>
      <c r="D34" s="25" t="s">
        <v>54</v>
      </c>
      <c r="E34" s="26" t="s">
        <v>37</v>
      </c>
      <c r="F34" s="27"/>
      <c r="G34" s="29">
        <v>124</v>
      </c>
      <c r="H34" s="29">
        <v>154</v>
      </c>
      <c r="I34" s="29">
        <v>156</v>
      </c>
      <c r="J34" s="29">
        <v>180</v>
      </c>
      <c r="K34" s="29">
        <f>SUM($G$34:$J$34)</f>
        <v>614</v>
      </c>
      <c r="L34" s="55">
        <f t="array" ref="L34">INDEX(М[Цена за ед., руб],MATCH(1,IF(($B34=М[Наим.])*($C34=М[Артикул, марка, произв.])*($D34=М[Хар-ка])*($N34=М[Прим.]),{1},($B34=М[Наим.])*($C34=М[Артикул, марка, произв.])*($D34=М[Хар-ка])*($N34=М[Прим.])),0))</f>
        <v>0</v>
      </c>
      <c r="M34" s="55">
        <f>ROUND($K$34*$L$34,2)</f>
        <v>0</v>
      </c>
      <c r="N34" s="25"/>
      <c r="O34" s="25">
        <f t="array" ref="O34">INDEX(М[Форма закупа],MATCH(1,IF(($B34=М[Наим.])*($C34=М[Артикул, марка, произв.])*($D34=М[Хар-ка])*($N34=М[Прим.]),{1},($B34=М[Наим.])*($C34=М[Артикул, марка, произв.])*($D34=М[Хар-ка])*($N34=М[Прим.])),0))</f>
        <v>0</v>
      </c>
    </row>
    <row r="35" spans="1:15" outlineLevel="4" x14ac:dyDescent="0.2">
      <c r="A35" s="20"/>
      <c r="B35" s="14" t="s">
        <v>25</v>
      </c>
      <c r="C35" s="21"/>
      <c r="D35" s="21"/>
      <c r="E35" s="21"/>
      <c r="F35" s="21"/>
      <c r="G35" s="21"/>
      <c r="H35" s="21"/>
      <c r="I35" s="21"/>
      <c r="J35" s="21"/>
      <c r="K35" s="21"/>
      <c r="L35" s="53"/>
      <c r="M35" s="54">
        <f>SUM($M$36)</f>
        <v>0</v>
      </c>
      <c r="N35" s="18"/>
      <c r="O35" s="22"/>
    </row>
    <row r="36" spans="1:15" ht="22.5" outlineLevel="4" x14ac:dyDescent="0.2">
      <c r="A36" s="23"/>
      <c r="B36" s="24" t="s">
        <v>55</v>
      </c>
      <c r="C36" s="25"/>
      <c r="D36" s="25"/>
      <c r="E36" s="26" t="s">
        <v>37</v>
      </c>
      <c r="F36" s="27"/>
      <c r="G36" s="29">
        <v>68</v>
      </c>
      <c r="H36" s="29">
        <v>83</v>
      </c>
      <c r="I36" s="29">
        <v>94</v>
      </c>
      <c r="J36" s="29">
        <v>106</v>
      </c>
      <c r="K36" s="29">
        <f>SUM($G$36:$J$36)</f>
        <v>351</v>
      </c>
      <c r="L36" s="55">
        <f t="array" ref="L36">INDEX(Р[Цена за ед., руб],MATCH(1,IF(($B36=Р[Наименование])*($N36=Р[Примечание]),{1},($B36=Р[Наименование])*($N36=Р[Примечание])),0))</f>
        <v>0</v>
      </c>
      <c r="M36" s="55">
        <f>ROUND($K$36*$L$36,2)</f>
        <v>0</v>
      </c>
      <c r="N36" s="25"/>
      <c r="O36" s="25"/>
    </row>
    <row r="37" spans="1:15" outlineLevel="4" x14ac:dyDescent="0.2">
      <c r="A37" s="20"/>
      <c r="B37" s="14" t="s">
        <v>28</v>
      </c>
      <c r="C37" s="21"/>
      <c r="D37" s="21"/>
      <c r="E37" s="21"/>
      <c r="F37" s="21"/>
      <c r="G37" s="21"/>
      <c r="H37" s="21"/>
      <c r="I37" s="21"/>
      <c r="J37" s="21"/>
      <c r="K37" s="21"/>
      <c r="L37" s="53"/>
      <c r="M37" s="54">
        <f>SUM($M$38:$M$39)</f>
        <v>0</v>
      </c>
      <c r="N37" s="18"/>
      <c r="O37" s="22"/>
    </row>
    <row r="38" spans="1:15" ht="22.5" outlineLevel="4" x14ac:dyDescent="0.2">
      <c r="A38" s="23" t="s">
        <v>29</v>
      </c>
      <c r="B38" s="24" t="s">
        <v>52</v>
      </c>
      <c r="C38" s="25" t="s">
        <v>39</v>
      </c>
      <c r="D38" s="25" t="s">
        <v>56</v>
      </c>
      <c r="E38" s="26" t="s">
        <v>37</v>
      </c>
      <c r="F38" s="27"/>
      <c r="G38" s="29">
        <v>4</v>
      </c>
      <c r="H38" s="29">
        <v>4</v>
      </c>
      <c r="I38" s="29">
        <v>8</v>
      </c>
      <c r="J38" s="29">
        <v>8</v>
      </c>
      <c r="K38" s="29">
        <f>SUM($G$38:$J$38)</f>
        <v>24</v>
      </c>
      <c r="L38" s="55">
        <f t="array" ref="L38">INDEX(М[Цена за ед., руб],MATCH(1,IF(($B38=М[Наим.])*($C38=М[Артикул, марка, произв.])*($D38=М[Хар-ка])*($N38=М[Прим.]),{1},($B38=М[Наим.])*($C38=М[Артикул, марка, произв.])*($D38=М[Хар-ка])*($N38=М[Прим.])),0))</f>
        <v>0</v>
      </c>
      <c r="M38" s="55">
        <f>ROUND($K$38*$L$38,2)</f>
        <v>0</v>
      </c>
      <c r="N38" s="25"/>
      <c r="O38" s="25">
        <f t="array" ref="O38">INDEX(М[Форма закупа],MATCH(1,IF(($B38=М[Наим.])*($C38=М[Артикул, марка, произв.])*($D38=М[Хар-ка])*($N38=М[Прим.]),{1},($B38=М[Наим.])*($C38=М[Артикул, марка, произв.])*($D38=М[Хар-ка])*($N38=М[Прим.])),0))</f>
        <v>0</v>
      </c>
    </row>
    <row r="39" spans="1:15" ht="22.5" outlineLevel="4" x14ac:dyDescent="0.2">
      <c r="A39" s="23" t="s">
        <v>34</v>
      </c>
      <c r="B39" s="24" t="s">
        <v>52</v>
      </c>
      <c r="C39" s="25" t="s">
        <v>39</v>
      </c>
      <c r="D39" s="25" t="s">
        <v>57</v>
      </c>
      <c r="E39" s="26" t="s">
        <v>37</v>
      </c>
      <c r="F39" s="27"/>
      <c r="G39" s="29">
        <v>64</v>
      </c>
      <c r="H39" s="29">
        <v>79</v>
      </c>
      <c r="I39" s="29">
        <v>86</v>
      </c>
      <c r="J39" s="29">
        <v>98</v>
      </c>
      <c r="K39" s="29">
        <f>SUM($G$39:$J$39)</f>
        <v>327</v>
      </c>
      <c r="L39" s="55">
        <f t="array" ref="L39">INDEX(М[Цена за ед., руб],MATCH(1,IF(($B39=М[Наим.])*($C39=М[Артикул, марка, произв.])*($D39=М[Хар-ка])*($N39=М[Прим.]),{1},($B39=М[Наим.])*($C39=М[Артикул, марка, произв.])*($D39=М[Хар-ка])*($N39=М[Прим.])),0))</f>
        <v>0</v>
      </c>
      <c r="M39" s="55">
        <f>ROUND($K$39*$L$39,2)</f>
        <v>0</v>
      </c>
      <c r="N39" s="25"/>
      <c r="O39" s="25">
        <f t="array" ref="O39">INDEX(М[Форма закупа],MATCH(1,IF(($B39=М[Наим.])*($C39=М[Артикул, марка, произв.])*($D39=М[Хар-ка])*($N39=М[Прим.]),{1},($B39=М[Наим.])*($C39=М[Артикул, марка, произв.])*($D39=М[Хар-ка])*($N39=М[Прим.])),0))</f>
        <v>0</v>
      </c>
    </row>
    <row r="40" spans="1:15" outlineLevel="4" x14ac:dyDescent="0.2">
      <c r="A40" s="20"/>
      <c r="B40" s="14" t="s">
        <v>25</v>
      </c>
      <c r="C40" s="21"/>
      <c r="D40" s="21"/>
      <c r="E40" s="21"/>
      <c r="F40" s="21"/>
      <c r="G40" s="21"/>
      <c r="H40" s="21"/>
      <c r="I40" s="21"/>
      <c r="J40" s="21"/>
      <c r="K40" s="21"/>
      <c r="L40" s="53"/>
      <c r="M40" s="54">
        <f>SUM($M$41)</f>
        <v>0</v>
      </c>
      <c r="N40" s="18"/>
      <c r="O40" s="22"/>
    </row>
    <row r="41" spans="1:15" outlineLevel="4" x14ac:dyDescent="0.2">
      <c r="A41" s="23"/>
      <c r="B41" s="24" t="s">
        <v>58</v>
      </c>
      <c r="C41" s="25"/>
      <c r="D41" s="25"/>
      <c r="E41" s="26" t="s">
        <v>27</v>
      </c>
      <c r="F41" s="27"/>
      <c r="G41" s="28">
        <v>2700</v>
      </c>
      <c r="H41" s="28">
        <v>3000</v>
      </c>
      <c r="I41" s="28">
        <v>3523</v>
      </c>
      <c r="J41" s="28">
        <v>4035</v>
      </c>
      <c r="K41" s="28">
        <f>SUM($G$41:$J$41)</f>
        <v>13258</v>
      </c>
      <c r="L41" s="55">
        <f t="array" ref="L41">INDEX(Р[Цена за ед., руб],MATCH(1,IF(($B41=Р[Наименование])*($N41=Р[Примечание]),{1},($B41=Р[Наименование])*($N41=Р[Примечание])),0))</f>
        <v>0</v>
      </c>
      <c r="M41" s="55">
        <f>ROUND($K$41*$L$41,2)</f>
        <v>0</v>
      </c>
      <c r="N41" s="25"/>
      <c r="O41" s="25"/>
    </row>
    <row r="42" spans="1:15" outlineLevel="4" x14ac:dyDescent="0.2">
      <c r="A42" s="20"/>
      <c r="B42" s="14" t="s">
        <v>28</v>
      </c>
      <c r="C42" s="21"/>
      <c r="D42" s="21"/>
      <c r="E42" s="21"/>
      <c r="F42" s="21"/>
      <c r="G42" s="21"/>
      <c r="H42" s="21"/>
      <c r="I42" s="21"/>
      <c r="J42" s="21"/>
      <c r="K42" s="21"/>
      <c r="L42" s="53"/>
      <c r="M42" s="54">
        <f>SUM($M$43:$M$44)</f>
        <v>0</v>
      </c>
      <c r="N42" s="18"/>
      <c r="O42" s="22"/>
    </row>
    <row r="43" spans="1:15" ht="22.5" outlineLevel="4" x14ac:dyDescent="0.2">
      <c r="A43" s="97" t="s">
        <v>29</v>
      </c>
      <c r="B43" s="24" t="s">
        <v>59</v>
      </c>
      <c r="C43" s="25"/>
      <c r="D43" s="25" t="s">
        <v>60</v>
      </c>
      <c r="E43" s="26" t="s">
        <v>33</v>
      </c>
      <c r="F43" s="27"/>
      <c r="G43" s="28">
        <v>2700</v>
      </c>
      <c r="H43" s="27"/>
      <c r="I43" s="27"/>
      <c r="J43" s="27"/>
      <c r="K43" s="28">
        <f>SUM($G$43:$J$43)</f>
        <v>2700</v>
      </c>
      <c r="L43" s="55">
        <f t="array" ref="L43">INDEX(М[Цена за ед., руб],MATCH(1,IF(($B43=М[Наим.])*($C43=М[Артикул, марка, произв.])*($D43=М[Хар-ка])*($N43=М[Прим.]),{1},($B43=М[Наим.])*($C43=М[Артикул, марка, произв.])*($D43=М[Хар-ка])*($N43=М[Прим.])),0))</f>
        <v>0</v>
      </c>
      <c r="M43" s="55">
        <f>ROUND($K$43*$L$43,2)</f>
        <v>0</v>
      </c>
      <c r="N43" s="25"/>
      <c r="O43" s="25">
        <f t="array" ref="O43">INDEX(М[Форма закупа],MATCH(1,IF(($B43=М[Наим.])*($C43=М[Артикул, марка, произв.])*($D43=М[Хар-ка])*($N43=М[Прим.]),{1},($B43=М[Наим.])*($C43=М[Артикул, марка, произв.])*($D43=М[Хар-ка])*($N43=М[Прим.])),0))</f>
        <v>0</v>
      </c>
    </row>
    <row r="44" spans="1:15" ht="22.5" outlineLevel="4" x14ac:dyDescent="0.2">
      <c r="A44" s="97" t="s">
        <v>34</v>
      </c>
      <c r="B44" s="24" t="s">
        <v>59</v>
      </c>
      <c r="C44" s="25" t="s">
        <v>61</v>
      </c>
      <c r="D44" s="25" t="s">
        <v>60</v>
      </c>
      <c r="E44" s="26" t="s">
        <v>33</v>
      </c>
      <c r="F44" s="27"/>
      <c r="G44" s="27"/>
      <c r="H44" s="28">
        <v>3000</v>
      </c>
      <c r="I44" s="28">
        <v>3523</v>
      </c>
      <c r="J44" s="28">
        <v>4035</v>
      </c>
      <c r="K44" s="28">
        <f>SUM($G$44:$J$44)</f>
        <v>10558</v>
      </c>
      <c r="L44" s="55">
        <f t="array" ref="L44">INDEX(М[Цена за ед., руб],MATCH(1,IF(($B44=М[Наим.])*($C44=М[Артикул, марка, произв.])*($D44=М[Хар-ка])*($N44=М[Прим.]),{1},($B44=М[Наим.])*($C44=М[Артикул, марка, произв.])*($D44=М[Хар-ка])*($N44=М[Прим.])),0))</f>
        <v>0</v>
      </c>
      <c r="M44" s="55">
        <f>ROUND($K$44*$L$44,2)</f>
        <v>0</v>
      </c>
      <c r="N44" s="25"/>
      <c r="O44" s="25">
        <f t="array" ref="O44">INDEX(М[Форма закупа],MATCH(1,IF(($B44=М[Наим.])*($C44=М[Артикул, марка, произв.])*($D44=М[Хар-ка])*($N44=М[Прим.]),{1},($B44=М[Наим.])*($C44=М[Артикул, марка, произв.])*($D44=М[Хар-ка])*($N44=М[Прим.])),0))</f>
        <v>0</v>
      </c>
    </row>
    <row r="45" spans="1:15" outlineLevel="4" x14ac:dyDescent="0.2">
      <c r="A45" s="20"/>
      <c r="B45" s="14" t="s">
        <v>25</v>
      </c>
      <c r="C45" s="21"/>
      <c r="D45" s="21"/>
      <c r="E45" s="21"/>
      <c r="F45" s="21"/>
      <c r="G45" s="21"/>
      <c r="H45" s="21"/>
      <c r="I45" s="21"/>
      <c r="J45" s="21"/>
      <c r="K45" s="21"/>
      <c r="L45" s="53"/>
      <c r="M45" s="54">
        <f>SUM($M$46)</f>
        <v>0</v>
      </c>
      <c r="N45" s="18"/>
      <c r="O45" s="22"/>
    </row>
    <row r="46" spans="1:15" outlineLevel="4" x14ac:dyDescent="0.2">
      <c r="A46" s="23"/>
      <c r="B46" s="24" t="s">
        <v>62</v>
      </c>
      <c r="C46" s="25"/>
      <c r="D46" s="25"/>
      <c r="E46" s="26" t="s">
        <v>37</v>
      </c>
      <c r="F46" s="27"/>
      <c r="G46" s="29">
        <v>4</v>
      </c>
      <c r="H46" s="29">
        <v>4</v>
      </c>
      <c r="I46" s="29">
        <v>8</v>
      </c>
      <c r="J46" s="29">
        <v>8</v>
      </c>
      <c r="K46" s="29">
        <f>SUM($G$46:$J$46)</f>
        <v>24</v>
      </c>
      <c r="L46" s="55">
        <f t="array" ref="L46">INDEX(Р[Цена за ед., руб],MATCH(1,IF(($B46=Р[Наименование])*($N46=Р[Примечание]),{1},($B46=Р[Наименование])*($N46=Р[Примечание])),0))</f>
        <v>0</v>
      </c>
      <c r="M46" s="55">
        <f>ROUND($K$46*$L$46,2)</f>
        <v>0</v>
      </c>
      <c r="N46" s="25"/>
      <c r="O46" s="25"/>
    </row>
    <row r="47" spans="1:15" outlineLevel="4" x14ac:dyDescent="0.2">
      <c r="A47" s="20"/>
      <c r="B47" s="14" t="s">
        <v>28</v>
      </c>
      <c r="C47" s="21"/>
      <c r="D47" s="21"/>
      <c r="E47" s="21"/>
      <c r="F47" s="21"/>
      <c r="G47" s="21"/>
      <c r="H47" s="21"/>
      <c r="I47" s="21"/>
      <c r="J47" s="21"/>
      <c r="K47" s="21"/>
      <c r="L47" s="53"/>
      <c r="M47" s="54">
        <f>SUM($M$48)</f>
        <v>0</v>
      </c>
      <c r="N47" s="18"/>
      <c r="O47" s="22"/>
    </row>
    <row r="48" spans="1:15" ht="22.5" outlineLevel="4" x14ac:dyDescent="0.2">
      <c r="A48" s="23" t="s">
        <v>29</v>
      </c>
      <c r="B48" s="24" t="s">
        <v>63</v>
      </c>
      <c r="C48" s="25" t="s">
        <v>39</v>
      </c>
      <c r="D48" s="25" t="s">
        <v>64</v>
      </c>
      <c r="E48" s="26" t="s">
        <v>37</v>
      </c>
      <c r="F48" s="27"/>
      <c r="G48" s="29">
        <v>4</v>
      </c>
      <c r="H48" s="29">
        <v>4</v>
      </c>
      <c r="I48" s="29">
        <v>8</v>
      </c>
      <c r="J48" s="29">
        <v>8</v>
      </c>
      <c r="K48" s="29">
        <f>SUM($G$48:$J$48)</f>
        <v>24</v>
      </c>
      <c r="L48" s="55">
        <f t="array" ref="L48">INDEX(М[Цена за ед., руб],MATCH(1,IF(($B48=М[Наим.])*($C48=М[Артикул, марка, произв.])*($D48=М[Хар-ка])*($N48=М[Прим.]),{1},($B48=М[Наим.])*($C48=М[Артикул, марка, произв.])*($D48=М[Хар-ка])*($N48=М[Прим.])),0))</f>
        <v>0</v>
      </c>
      <c r="M48" s="55">
        <f>ROUND($K$48*$L$48,2)</f>
        <v>0</v>
      </c>
      <c r="N48" s="25"/>
      <c r="O48" s="25">
        <f t="array" ref="O48">INDEX(М[Форма закупа],MATCH(1,IF(($B48=М[Наим.])*($C48=М[Артикул, марка, произв.])*($D48=М[Хар-ка])*($N48=М[Прим.]),{1},($B48=М[Наим.])*($C48=М[Артикул, марка, произв.])*($D48=М[Хар-ка])*($N48=М[Прим.])),0))</f>
        <v>0</v>
      </c>
    </row>
    <row r="49" spans="1:15" outlineLevel="4" x14ac:dyDescent="0.2">
      <c r="A49" s="20"/>
      <c r="B49" s="14" t="s">
        <v>25</v>
      </c>
      <c r="C49" s="21"/>
      <c r="D49" s="21"/>
      <c r="E49" s="21"/>
      <c r="F49" s="21"/>
      <c r="G49" s="21"/>
      <c r="H49" s="21"/>
      <c r="I49" s="21"/>
      <c r="J49" s="21"/>
      <c r="K49" s="21"/>
      <c r="L49" s="53"/>
      <c r="M49" s="54">
        <f>SUM($M$50)</f>
        <v>0</v>
      </c>
      <c r="N49" s="18"/>
      <c r="O49" s="22"/>
    </row>
    <row r="50" spans="1:15" outlineLevel="4" x14ac:dyDescent="0.2">
      <c r="A50" s="23"/>
      <c r="B50" s="24" t="s">
        <v>65</v>
      </c>
      <c r="C50" s="25"/>
      <c r="D50" s="25"/>
      <c r="E50" s="26" t="s">
        <v>33</v>
      </c>
      <c r="F50" s="27"/>
      <c r="G50" s="29">
        <v>10</v>
      </c>
      <c r="H50" s="29">
        <v>10</v>
      </c>
      <c r="I50" s="29">
        <v>19</v>
      </c>
      <c r="J50" s="29">
        <v>19</v>
      </c>
      <c r="K50" s="29">
        <f>SUM($G$50:$J$50)</f>
        <v>58</v>
      </c>
      <c r="L50" s="55">
        <f t="array" ref="L50">INDEX(Р[Цена за ед., руб],MATCH(1,IF(($B50=Р[Наименование])*($N50=Р[Примечание]),{1},($B50=Р[Наименование])*($N50=Р[Примечание])),0))</f>
        <v>0</v>
      </c>
      <c r="M50" s="55">
        <f>ROUND($K$50*$L$50,2)</f>
        <v>0</v>
      </c>
      <c r="N50" s="25"/>
      <c r="O50" s="25"/>
    </row>
    <row r="51" spans="1:15" outlineLevel="4" x14ac:dyDescent="0.2">
      <c r="A51" s="20"/>
      <c r="B51" s="14" t="s">
        <v>28</v>
      </c>
      <c r="C51" s="21"/>
      <c r="D51" s="21"/>
      <c r="E51" s="21"/>
      <c r="F51" s="21"/>
      <c r="G51" s="21"/>
      <c r="H51" s="21"/>
      <c r="I51" s="21"/>
      <c r="J51" s="21"/>
      <c r="K51" s="21"/>
      <c r="L51" s="53"/>
      <c r="M51" s="54">
        <f>SUM($M$52)</f>
        <v>0</v>
      </c>
      <c r="N51" s="18"/>
      <c r="O51" s="22"/>
    </row>
    <row r="52" spans="1:15" ht="45" outlineLevel="4" x14ac:dyDescent="0.2">
      <c r="A52" s="97" t="s">
        <v>29</v>
      </c>
      <c r="B52" s="24" t="s">
        <v>66</v>
      </c>
      <c r="C52" s="25"/>
      <c r="D52" s="25" t="s">
        <v>67</v>
      </c>
      <c r="E52" s="26" t="s">
        <v>33</v>
      </c>
      <c r="F52" s="27"/>
      <c r="G52" s="29">
        <v>10</v>
      </c>
      <c r="H52" s="29">
        <v>10</v>
      </c>
      <c r="I52" s="29">
        <v>19</v>
      </c>
      <c r="J52" s="29">
        <v>19</v>
      </c>
      <c r="K52" s="29">
        <f>SUM($G$52:$J$52)</f>
        <v>58</v>
      </c>
      <c r="L52" s="55">
        <f t="array" ref="L52">INDEX(М[Цена за ед., руб],MATCH(1,IF(($B52=М[Наим.])*($C52=М[Артикул, марка, произв.])*($D52=М[Хар-ка])*($N52=М[Прим.]),{1},($B52=М[Наим.])*($C52=М[Артикул, марка, произв.])*($D52=М[Хар-ка])*($N52=М[Прим.])),0))</f>
        <v>0</v>
      </c>
      <c r="M52" s="55">
        <f>ROUND($K$52*$L$52,2)</f>
        <v>0</v>
      </c>
      <c r="N52" s="25"/>
      <c r="O52" s="25">
        <f t="array" ref="O52">INDEX(М[Форма закупа],MATCH(1,IF(($B52=М[Наим.])*($C52=М[Артикул, марка, произв.])*($D52=М[Хар-ка])*($N52=М[Прим.]),{1},($B52=М[Наим.])*($C52=М[Артикул, марка, произв.])*($D52=М[Хар-ка])*($N52=М[Прим.])),0))</f>
        <v>0</v>
      </c>
    </row>
    <row r="53" spans="1:15" outlineLevel="3" x14ac:dyDescent="0.2">
      <c r="A53" s="13" t="s">
        <v>71</v>
      </c>
      <c r="B53" s="14" t="s">
        <v>72</v>
      </c>
      <c r="C53" s="15"/>
      <c r="D53" s="15"/>
      <c r="E53" s="16"/>
      <c r="F53" s="17"/>
      <c r="G53" s="18"/>
      <c r="H53" s="18"/>
      <c r="I53" s="18"/>
      <c r="J53" s="18"/>
      <c r="K53" s="18"/>
      <c r="L53" s="52"/>
      <c r="M53" s="52">
        <f>SUM($M$56,$M$54)</f>
        <v>0</v>
      </c>
      <c r="N53" s="19"/>
      <c r="O53" s="19"/>
    </row>
    <row r="54" spans="1:15" outlineLevel="4" x14ac:dyDescent="0.2">
      <c r="A54" s="20"/>
      <c r="B54" s="14" t="s">
        <v>25</v>
      </c>
      <c r="C54" s="21"/>
      <c r="D54" s="21"/>
      <c r="E54" s="21"/>
      <c r="F54" s="21"/>
      <c r="G54" s="21"/>
      <c r="H54" s="21"/>
      <c r="I54" s="21"/>
      <c r="J54" s="21"/>
      <c r="K54" s="21"/>
      <c r="L54" s="53"/>
      <c r="M54" s="54">
        <f>SUM($M$55)</f>
        <v>0</v>
      </c>
      <c r="N54" s="18"/>
      <c r="O54" s="22"/>
    </row>
    <row r="55" spans="1:15" outlineLevel="4" x14ac:dyDescent="0.2">
      <c r="A55" s="23"/>
      <c r="B55" s="24" t="s">
        <v>73</v>
      </c>
      <c r="C55" s="25"/>
      <c r="D55" s="25"/>
      <c r="E55" s="26" t="s">
        <v>74</v>
      </c>
      <c r="F55" s="27"/>
      <c r="G55" s="29">
        <v>1</v>
      </c>
      <c r="H55" s="29">
        <v>1</v>
      </c>
      <c r="I55" s="29">
        <v>1</v>
      </c>
      <c r="J55" s="29">
        <v>1</v>
      </c>
      <c r="K55" s="29">
        <f>SUM($G$55:$J$55)</f>
        <v>4</v>
      </c>
      <c r="L55" s="55">
        <f t="array" ref="L55">INDEX(Р[Цена за ед., руб],MATCH(1,IF(($B55=Р[Наименование])*($N55=Р[Примечание]),{1},($B55=Р[Наименование])*($N55=Р[Примечание])),0))</f>
        <v>0</v>
      </c>
      <c r="M55" s="55">
        <f>ROUND($K$55*$L$55,2)</f>
        <v>0</v>
      </c>
      <c r="N55" s="25"/>
      <c r="O55" s="25"/>
    </row>
    <row r="56" spans="1:15" outlineLevel="4" x14ac:dyDescent="0.2">
      <c r="A56" s="20"/>
      <c r="B56" s="14" t="s">
        <v>28</v>
      </c>
      <c r="C56" s="21"/>
      <c r="D56" s="21"/>
      <c r="E56" s="21"/>
      <c r="F56" s="21"/>
      <c r="G56" s="21"/>
      <c r="H56" s="21"/>
      <c r="I56" s="21"/>
      <c r="J56" s="21"/>
      <c r="K56" s="21"/>
      <c r="L56" s="53"/>
      <c r="M56" s="54">
        <f>SUM($M$57:$M$60)</f>
        <v>0</v>
      </c>
      <c r="N56" s="18"/>
      <c r="O56" s="22"/>
    </row>
    <row r="57" spans="1:15" ht="45" outlineLevel="4" x14ac:dyDescent="0.2">
      <c r="A57" s="97" t="s">
        <v>29</v>
      </c>
      <c r="B57" s="24" t="s">
        <v>66</v>
      </c>
      <c r="C57" s="25"/>
      <c r="D57" s="25" t="s">
        <v>67</v>
      </c>
      <c r="E57" s="26" t="s">
        <v>33</v>
      </c>
      <c r="F57" s="27"/>
      <c r="G57" s="29">
        <v>12</v>
      </c>
      <c r="H57" s="29">
        <v>12</v>
      </c>
      <c r="I57" s="29">
        <v>12</v>
      </c>
      <c r="J57" s="29">
        <v>12</v>
      </c>
      <c r="K57" s="29">
        <f>SUM($G$57:$J$57)</f>
        <v>48</v>
      </c>
      <c r="L57" s="55">
        <f t="array" ref="L57">INDEX(М[Цена за ед., руб],MATCH(1,IF(($B57=М[Наим.])*($C57=М[Артикул, марка, произв.])*($D57=М[Хар-ка])*($N57=М[Прим.]),{1},($B57=М[Наим.])*($C57=М[Артикул, марка, произв.])*($D57=М[Хар-ка])*($N57=М[Прим.])),0))</f>
        <v>0</v>
      </c>
      <c r="M57" s="55">
        <f>ROUND($K$57*$L$57,2)</f>
        <v>0</v>
      </c>
      <c r="N57" s="25"/>
      <c r="O57" s="25">
        <f t="array" ref="O57">INDEX(М[Форма закупа],MATCH(1,IF(($B57=М[Наим.])*($C57=М[Артикул, марка, произв.])*($D57=М[Хар-ка])*($N57=М[Прим.]),{1},($B57=М[Наим.])*($C57=М[Артикул, марка, произв.])*($D57=М[Хар-ка])*($N57=М[Прим.])),0))</f>
        <v>0</v>
      </c>
    </row>
    <row r="58" spans="1:15" ht="22.5" outlineLevel="4" x14ac:dyDescent="0.2">
      <c r="A58" s="23" t="s">
        <v>34</v>
      </c>
      <c r="B58" s="24" t="s">
        <v>52</v>
      </c>
      <c r="C58" s="25"/>
      <c r="D58" s="25" t="s">
        <v>57</v>
      </c>
      <c r="E58" s="26" t="s">
        <v>37</v>
      </c>
      <c r="F58" s="27"/>
      <c r="G58" s="29">
        <v>5</v>
      </c>
      <c r="H58" s="29">
        <v>5</v>
      </c>
      <c r="I58" s="29">
        <v>5</v>
      </c>
      <c r="J58" s="29">
        <v>5</v>
      </c>
      <c r="K58" s="29">
        <f>SUM($G$58:$J$58)</f>
        <v>20</v>
      </c>
      <c r="L58" s="55">
        <f t="array" ref="L58">INDEX(М[Цена за ед., руб],MATCH(1,IF(($B58=М[Наим.])*($C58=М[Артикул, марка, произв.])*($D58=М[Хар-ка])*($N58=М[Прим.]),{1},($B58=М[Наим.])*($C58=М[Артикул, марка, произв.])*($D58=М[Хар-ка])*($N58=М[Прим.])),0))</f>
        <v>0</v>
      </c>
      <c r="M58" s="55">
        <f>ROUND($K$58*$L$58,2)</f>
        <v>0</v>
      </c>
      <c r="N58" s="25"/>
      <c r="O58" s="25">
        <f t="array" ref="O58">INDEX(М[Форма закупа],MATCH(1,IF(($B58=М[Наим.])*($C58=М[Артикул, марка, произв.])*($D58=М[Хар-ка])*($N58=М[Прим.]),{1},($B58=М[Наим.])*($C58=М[Артикул, марка, произв.])*($D58=М[Хар-ка])*($N58=М[Прим.])),0))</f>
        <v>0</v>
      </c>
    </row>
    <row r="59" spans="1:15" ht="22.5" outlineLevel="4" x14ac:dyDescent="0.2">
      <c r="A59" s="23" t="s">
        <v>49</v>
      </c>
      <c r="B59" s="24" t="s">
        <v>63</v>
      </c>
      <c r="C59" s="25"/>
      <c r="D59" s="25" t="s">
        <v>64</v>
      </c>
      <c r="E59" s="26" t="s">
        <v>37</v>
      </c>
      <c r="F59" s="27"/>
      <c r="G59" s="29">
        <v>2</v>
      </c>
      <c r="H59" s="29">
        <v>2</v>
      </c>
      <c r="I59" s="29">
        <v>2</v>
      </c>
      <c r="J59" s="29">
        <v>2</v>
      </c>
      <c r="K59" s="29">
        <f>SUM($G$59:$J$59)</f>
        <v>8</v>
      </c>
      <c r="L59" s="55">
        <f t="array" ref="L59">INDEX(М[Цена за ед., руб],MATCH(1,IF(($B59=М[Наим.])*($C59=М[Артикул, марка, произв.])*($D59=М[Хар-ка])*($N59=М[Прим.]),{1},($B59=М[Наим.])*($C59=М[Артикул, марка, произв.])*($D59=М[Хар-ка])*($N59=М[Прим.])),0))</f>
        <v>0</v>
      </c>
      <c r="M59" s="55">
        <f>ROUND($K$59*$L$59,2)</f>
        <v>0</v>
      </c>
      <c r="N59" s="25"/>
      <c r="O59" s="25">
        <f t="array" ref="O59">INDEX(М[Форма закупа],MATCH(1,IF(($B59=М[Наим.])*($C59=М[Артикул, марка, произв.])*($D59=М[Хар-ка])*($N59=М[Прим.]),{1},($B59=М[Наим.])*($C59=М[Артикул, марка, произв.])*($D59=М[Хар-ка])*($N59=М[Прим.])),0))</f>
        <v>0</v>
      </c>
    </row>
    <row r="60" spans="1:15" ht="45" outlineLevel="4" x14ac:dyDescent="0.2">
      <c r="A60" s="23" t="s">
        <v>75</v>
      </c>
      <c r="B60" s="24" t="s">
        <v>42</v>
      </c>
      <c r="C60" s="25"/>
      <c r="D60" s="25" t="s">
        <v>43</v>
      </c>
      <c r="E60" s="26" t="s">
        <v>37</v>
      </c>
      <c r="F60" s="27"/>
      <c r="G60" s="29">
        <v>2</v>
      </c>
      <c r="H60" s="29">
        <v>2</v>
      </c>
      <c r="I60" s="29">
        <v>2</v>
      </c>
      <c r="J60" s="29">
        <v>2</v>
      </c>
      <c r="K60" s="29">
        <f>SUM($G$60:$J$60)</f>
        <v>8</v>
      </c>
      <c r="L60" s="55">
        <f t="array" ref="L60">INDEX(М[Цена за ед., руб],MATCH(1,IF(($B60=М[Наим.])*($C60=М[Артикул, марка, произв.])*($D60=М[Хар-ка])*($N60=М[Прим.]),{1},($B60=М[Наим.])*($C60=М[Артикул, марка, произв.])*($D60=М[Хар-ка])*($N60=М[Прим.])),0))</f>
        <v>0</v>
      </c>
      <c r="M60" s="55">
        <f>ROUND($K$60*$L$60,2)</f>
        <v>0</v>
      </c>
      <c r="N60" s="25"/>
      <c r="O60" s="25">
        <f t="array" ref="O60">INDEX(М[Форма закупа],MATCH(1,IF(($B60=М[Наим.])*($C60=М[Артикул, марка, произв.])*($D60=М[Хар-ка])*($N60=М[Прим.]),{1},($B60=М[Наим.])*($C60=М[Артикул, марка, произв.])*($D60=М[Хар-ка])*($N60=М[Прим.])),0))</f>
        <v>0</v>
      </c>
    </row>
    <row r="61" spans="1:15" ht="33.75" outlineLevel="2" x14ac:dyDescent="0.2">
      <c r="A61" s="13" t="s">
        <v>80</v>
      </c>
      <c r="B61" s="14" t="s">
        <v>81</v>
      </c>
      <c r="C61" s="15"/>
      <c r="D61" s="15"/>
      <c r="E61" s="16"/>
      <c r="F61" s="17"/>
      <c r="G61" s="18"/>
      <c r="H61" s="18"/>
      <c r="I61" s="18"/>
      <c r="J61" s="18"/>
      <c r="K61" s="18"/>
      <c r="L61" s="52"/>
      <c r="M61" s="52">
        <f>SUM($M$132,$M$92,$M$62)</f>
        <v>0</v>
      </c>
      <c r="N61" s="19"/>
      <c r="O61" s="19"/>
    </row>
    <row r="62" spans="1:15" outlineLevel="3" x14ac:dyDescent="0.2">
      <c r="A62" s="13" t="s">
        <v>82</v>
      </c>
      <c r="B62" s="14" t="s">
        <v>83</v>
      </c>
      <c r="C62" s="15"/>
      <c r="D62" s="15"/>
      <c r="E62" s="16"/>
      <c r="F62" s="17"/>
      <c r="G62" s="18"/>
      <c r="H62" s="18"/>
      <c r="I62" s="18"/>
      <c r="J62" s="18"/>
      <c r="K62" s="18"/>
      <c r="L62" s="52"/>
      <c r="M62" s="52">
        <f>SUM($M$88,$M$86,$M$84,$M$81,$M$79,$M$75,$M$73,$M$71,$M$69,$M$67,$M$65,$M$63)</f>
        <v>0</v>
      </c>
      <c r="N62" s="19"/>
      <c r="O62" s="19"/>
    </row>
    <row r="63" spans="1:15" outlineLevel="4" x14ac:dyDescent="0.2">
      <c r="A63" s="20"/>
      <c r="B63" s="14" t="s">
        <v>25</v>
      </c>
      <c r="C63" s="21"/>
      <c r="D63" s="21"/>
      <c r="E63" s="21"/>
      <c r="F63" s="21"/>
      <c r="G63" s="21"/>
      <c r="H63" s="21"/>
      <c r="I63" s="21"/>
      <c r="J63" s="21"/>
      <c r="K63" s="21"/>
      <c r="L63" s="53"/>
      <c r="M63" s="54">
        <f>SUM($M$64)</f>
        <v>0</v>
      </c>
      <c r="N63" s="18"/>
      <c r="O63" s="22"/>
    </row>
    <row r="64" spans="1:15" outlineLevel="4" x14ac:dyDescent="0.2">
      <c r="A64" s="23"/>
      <c r="B64" s="24" t="s">
        <v>84</v>
      </c>
      <c r="C64" s="25"/>
      <c r="D64" s="25"/>
      <c r="E64" s="26" t="s">
        <v>37</v>
      </c>
      <c r="F64" s="27"/>
      <c r="G64" s="29">
        <v>20</v>
      </c>
      <c r="H64" s="29">
        <v>20</v>
      </c>
      <c r="I64" s="29">
        <v>20</v>
      </c>
      <c r="J64" s="29">
        <v>22</v>
      </c>
      <c r="K64" s="29">
        <f>SUM($G$64:$J$64)</f>
        <v>82</v>
      </c>
      <c r="L64" s="55">
        <f t="array" ref="L64">INDEX(Р[Цена за ед., руб],MATCH(1,IF(($B64=Р[Наименование])*($N64=Р[Примечание]),{1},($B64=Р[Наименование])*($N64=Р[Примечание])),0))</f>
        <v>0</v>
      </c>
      <c r="M64" s="55">
        <f>ROUND($K$64*$L$64,2)</f>
        <v>0</v>
      </c>
      <c r="N64" s="25"/>
      <c r="O64" s="25"/>
    </row>
    <row r="65" spans="1:15" outlineLevel="4" x14ac:dyDescent="0.2">
      <c r="A65" s="20"/>
      <c r="B65" s="14" t="s">
        <v>25</v>
      </c>
      <c r="C65" s="21"/>
      <c r="D65" s="21"/>
      <c r="E65" s="21"/>
      <c r="F65" s="21"/>
      <c r="G65" s="21"/>
      <c r="H65" s="21"/>
      <c r="I65" s="21"/>
      <c r="J65" s="21"/>
      <c r="K65" s="21"/>
      <c r="L65" s="53"/>
      <c r="M65" s="54">
        <f>SUM($M$66)</f>
        <v>0</v>
      </c>
      <c r="N65" s="18"/>
      <c r="O65" s="22"/>
    </row>
    <row r="66" spans="1:15" outlineLevel="4" x14ac:dyDescent="0.2">
      <c r="A66" s="23"/>
      <c r="B66" s="24" t="s">
        <v>85</v>
      </c>
      <c r="C66" s="25"/>
      <c r="D66" s="25"/>
      <c r="E66" s="26" t="s">
        <v>86</v>
      </c>
      <c r="F66" s="27"/>
      <c r="G66" s="29">
        <v>2</v>
      </c>
      <c r="H66" s="29">
        <v>2</v>
      </c>
      <c r="I66" s="29">
        <v>2</v>
      </c>
      <c r="J66" s="29">
        <v>2</v>
      </c>
      <c r="K66" s="29">
        <f>SUM($G$66:$J$66)</f>
        <v>8</v>
      </c>
      <c r="L66" s="55">
        <f t="array" ref="L66">INDEX(Р[Цена за ед., руб],MATCH(1,IF(($B66=Р[Наименование])*($N66=Р[Примечание]),{1},($B66=Р[Наименование])*($N66=Р[Примечание])),0))</f>
        <v>0</v>
      </c>
      <c r="M66" s="55">
        <f>ROUND($K$66*$L$66,2)</f>
        <v>0</v>
      </c>
      <c r="N66" s="25"/>
      <c r="O66" s="25"/>
    </row>
    <row r="67" spans="1:15" outlineLevel="4" x14ac:dyDescent="0.2">
      <c r="A67" s="20"/>
      <c r="B67" s="14" t="s">
        <v>28</v>
      </c>
      <c r="C67" s="21"/>
      <c r="D67" s="21"/>
      <c r="E67" s="21"/>
      <c r="F67" s="21"/>
      <c r="G67" s="21"/>
      <c r="H67" s="21"/>
      <c r="I67" s="21"/>
      <c r="J67" s="21"/>
      <c r="K67" s="21"/>
      <c r="L67" s="53"/>
      <c r="M67" s="54">
        <f>SUM($M$68)</f>
        <v>0</v>
      </c>
      <c r="N67" s="18"/>
      <c r="O67" s="22"/>
    </row>
    <row r="68" spans="1:15" ht="22.5" outlineLevel="4" x14ac:dyDescent="0.2">
      <c r="A68" s="23" t="s">
        <v>29</v>
      </c>
      <c r="B68" s="24" t="s">
        <v>87</v>
      </c>
      <c r="C68" s="25"/>
      <c r="D68" s="25" t="s">
        <v>88</v>
      </c>
      <c r="E68" s="26" t="s">
        <v>86</v>
      </c>
      <c r="F68" s="27"/>
      <c r="G68" s="29">
        <v>2</v>
      </c>
      <c r="H68" s="29">
        <v>2</v>
      </c>
      <c r="I68" s="29">
        <v>2</v>
      </c>
      <c r="J68" s="29">
        <v>2</v>
      </c>
      <c r="K68" s="29">
        <f>SUM($G$68:$J$68)</f>
        <v>8</v>
      </c>
      <c r="L68" s="55">
        <f t="array" ref="L68">INDEX(М[Цена за ед., руб],MATCH(1,IF(($B68=М[Наим.])*($C68=М[Артикул, марка, произв.])*($D68=М[Хар-ка])*($N68=М[Прим.]),{1},($B68=М[Наим.])*($C68=М[Артикул, марка, произв.])*($D68=М[Хар-ка])*($N68=М[Прим.])),0))</f>
        <v>0</v>
      </c>
      <c r="M68" s="55">
        <f>ROUND($K$68*$L$68,2)</f>
        <v>0</v>
      </c>
      <c r="N68" s="25" t="s">
        <v>89</v>
      </c>
      <c r="O68" s="25">
        <f t="array" ref="O68">INDEX(М[Форма закупа],MATCH(1,IF(($B68=М[Наим.])*($C68=М[Артикул, марка, произв.])*($D68=М[Хар-ка])*($N68=М[Прим.]),{1},($B68=М[Наим.])*($C68=М[Артикул, марка, произв.])*($D68=М[Хар-ка])*($N68=М[Прим.])),0))</f>
        <v>0</v>
      </c>
    </row>
    <row r="69" spans="1:15" outlineLevel="4" x14ac:dyDescent="0.2">
      <c r="A69" s="20"/>
      <c r="B69" s="14" t="s">
        <v>25</v>
      </c>
      <c r="C69" s="21"/>
      <c r="D69" s="21"/>
      <c r="E69" s="21"/>
      <c r="F69" s="21"/>
      <c r="G69" s="21"/>
      <c r="H69" s="21"/>
      <c r="I69" s="21"/>
      <c r="J69" s="21"/>
      <c r="K69" s="21"/>
      <c r="L69" s="53"/>
      <c r="M69" s="54">
        <f>SUM($M$70)</f>
        <v>0</v>
      </c>
      <c r="N69" s="18"/>
      <c r="O69" s="22"/>
    </row>
    <row r="70" spans="1:15" outlineLevel="4" x14ac:dyDescent="0.2">
      <c r="A70" s="23"/>
      <c r="B70" s="24" t="s">
        <v>90</v>
      </c>
      <c r="C70" s="25"/>
      <c r="D70" s="25"/>
      <c r="E70" s="26" t="s">
        <v>37</v>
      </c>
      <c r="F70" s="27"/>
      <c r="G70" s="29">
        <v>14</v>
      </c>
      <c r="H70" s="29">
        <v>17</v>
      </c>
      <c r="I70" s="29">
        <v>12</v>
      </c>
      <c r="J70" s="29">
        <v>12</v>
      </c>
      <c r="K70" s="29">
        <f>SUM($G$70:$J$70)</f>
        <v>55</v>
      </c>
      <c r="L70" s="55">
        <f t="array" ref="L70">INDEX(Р[Цена за ед., руб],MATCH(1,IF(($B70=Р[Наименование])*($N70=Р[Примечание]),{1},($B70=Р[Наименование])*($N70=Р[Примечание])),0))</f>
        <v>0</v>
      </c>
      <c r="M70" s="55">
        <f>ROUND($K$70*$L$70,2)</f>
        <v>0</v>
      </c>
      <c r="N70" s="25"/>
      <c r="O70" s="25"/>
    </row>
    <row r="71" spans="1:15" outlineLevel="4" x14ac:dyDescent="0.2">
      <c r="A71" s="20"/>
      <c r="B71" s="14" t="s">
        <v>28</v>
      </c>
      <c r="C71" s="21"/>
      <c r="D71" s="21"/>
      <c r="E71" s="21"/>
      <c r="F71" s="21"/>
      <c r="G71" s="21"/>
      <c r="H71" s="21"/>
      <c r="I71" s="21"/>
      <c r="J71" s="21"/>
      <c r="K71" s="21"/>
      <c r="L71" s="53"/>
      <c r="M71" s="54">
        <f>SUM($M$72)</f>
        <v>0</v>
      </c>
      <c r="N71" s="18"/>
      <c r="O71" s="22"/>
    </row>
    <row r="72" spans="1:15" outlineLevel="4" x14ac:dyDescent="0.2">
      <c r="A72" s="23" t="s">
        <v>29</v>
      </c>
      <c r="B72" s="24" t="s">
        <v>91</v>
      </c>
      <c r="C72" s="25"/>
      <c r="D72" s="25" t="s">
        <v>92</v>
      </c>
      <c r="E72" s="26" t="s">
        <v>37</v>
      </c>
      <c r="F72" s="27"/>
      <c r="G72" s="29">
        <v>14</v>
      </c>
      <c r="H72" s="29">
        <v>17</v>
      </c>
      <c r="I72" s="29">
        <v>12</v>
      </c>
      <c r="J72" s="29">
        <v>12</v>
      </c>
      <c r="K72" s="29">
        <f>SUM($G$72:$J$72)</f>
        <v>55</v>
      </c>
      <c r="L72" s="55">
        <f t="array" ref="L72">INDEX(М[Цена за ед., руб],MATCH(1,IF(($B72=М[Наим.])*($C72=М[Артикул, марка, произв.])*($D72=М[Хар-ка])*($N72=М[Прим.]),{1},($B72=М[Наим.])*($C72=М[Артикул, марка, произв.])*($D72=М[Хар-ка])*($N72=М[Прим.])),0))</f>
        <v>0</v>
      </c>
      <c r="M72" s="55">
        <f>ROUND($K$72*$L$72,2)</f>
        <v>0</v>
      </c>
      <c r="N72" s="25"/>
      <c r="O72" s="25">
        <f t="array" ref="O72">INDEX(М[Форма закупа],MATCH(1,IF(($B72=М[Наим.])*($C72=М[Артикул, марка, произв.])*($D72=М[Хар-ка])*($N72=М[Прим.]),{1},($B72=М[Наим.])*($C72=М[Артикул, марка, произв.])*($D72=М[Хар-ка])*($N72=М[Прим.])),0))</f>
        <v>0</v>
      </c>
    </row>
    <row r="73" spans="1:15" outlineLevel="4" x14ac:dyDescent="0.2">
      <c r="A73" s="20"/>
      <c r="B73" s="14" t="s">
        <v>25</v>
      </c>
      <c r="C73" s="21"/>
      <c r="D73" s="21"/>
      <c r="E73" s="21"/>
      <c r="F73" s="21"/>
      <c r="G73" s="21"/>
      <c r="H73" s="21"/>
      <c r="I73" s="21"/>
      <c r="J73" s="21"/>
      <c r="K73" s="21"/>
      <c r="L73" s="53"/>
      <c r="M73" s="54">
        <f>SUM($M$74)</f>
        <v>0</v>
      </c>
      <c r="N73" s="18"/>
      <c r="O73" s="22"/>
    </row>
    <row r="74" spans="1:15" outlineLevel="4" x14ac:dyDescent="0.2">
      <c r="A74" s="23"/>
      <c r="B74" s="24" t="s">
        <v>93</v>
      </c>
      <c r="C74" s="25"/>
      <c r="D74" s="25"/>
      <c r="E74" s="26" t="s">
        <v>37</v>
      </c>
      <c r="F74" s="27"/>
      <c r="G74" s="29">
        <v>65</v>
      </c>
      <c r="H74" s="29">
        <v>80</v>
      </c>
      <c r="I74" s="29">
        <v>83</v>
      </c>
      <c r="J74" s="29">
        <v>95</v>
      </c>
      <c r="K74" s="29">
        <f>SUM($G$74:$J$74)</f>
        <v>323</v>
      </c>
      <c r="L74" s="55">
        <f t="array" ref="L74">INDEX(Р[Цена за ед., руб],MATCH(1,IF(($B74=Р[Наименование])*($N74=Р[Примечание]),{1},($B74=Р[Наименование])*($N74=Р[Примечание])),0))</f>
        <v>0</v>
      </c>
      <c r="M74" s="55">
        <f>ROUND($K$74*$L$74,2)</f>
        <v>0</v>
      </c>
      <c r="N74" s="25"/>
      <c r="O74" s="25"/>
    </row>
    <row r="75" spans="1:15" outlineLevel="4" x14ac:dyDescent="0.2">
      <c r="A75" s="20"/>
      <c r="B75" s="14" t="s">
        <v>28</v>
      </c>
      <c r="C75" s="21"/>
      <c r="D75" s="21"/>
      <c r="E75" s="21"/>
      <c r="F75" s="21"/>
      <c r="G75" s="21"/>
      <c r="H75" s="21"/>
      <c r="I75" s="21"/>
      <c r="J75" s="21"/>
      <c r="K75" s="21"/>
      <c r="L75" s="53"/>
      <c r="M75" s="54">
        <f>SUM($M$76:$M$78)</f>
        <v>0</v>
      </c>
      <c r="N75" s="18"/>
      <c r="O75" s="22"/>
    </row>
    <row r="76" spans="1:15" outlineLevel="4" x14ac:dyDescent="0.2">
      <c r="A76" s="23" t="s">
        <v>29</v>
      </c>
      <c r="B76" s="24" t="s">
        <v>94</v>
      </c>
      <c r="C76" s="25"/>
      <c r="D76" s="25"/>
      <c r="E76" s="26" t="s">
        <v>74</v>
      </c>
      <c r="F76" s="27"/>
      <c r="G76" s="29">
        <v>65</v>
      </c>
      <c r="H76" s="29">
        <v>80</v>
      </c>
      <c r="I76" s="29">
        <v>83</v>
      </c>
      <c r="J76" s="29">
        <v>95</v>
      </c>
      <c r="K76" s="29">
        <f>SUM($G$76:$J$76)</f>
        <v>323</v>
      </c>
      <c r="L76" s="55">
        <f t="array" ref="L76">INDEX(М[Цена за ед., руб],MATCH(1,IF(($B76=М[Наим.])*($C76=М[Артикул, марка, произв.])*($D76=М[Хар-ка])*($N76=М[Прим.]),{1},($B76=М[Наим.])*($C76=М[Артикул, марка, произв.])*($D76=М[Хар-ка])*($N76=М[Прим.])),0))</f>
        <v>0</v>
      </c>
      <c r="M76" s="55">
        <f>ROUND($K$76*$L$76,2)</f>
        <v>0</v>
      </c>
      <c r="N76" s="25"/>
      <c r="O76" s="25">
        <f t="array" ref="O76">INDEX(М[Форма закупа],MATCH(1,IF(($B76=М[Наим.])*($C76=М[Артикул, марка, произв.])*($D76=М[Хар-ка])*($N76=М[Прим.]),{1},($B76=М[Наим.])*($C76=М[Артикул, марка, произв.])*($D76=М[Хар-ка])*($N76=М[Прим.])),0))</f>
        <v>0</v>
      </c>
    </row>
    <row r="77" spans="1:15" ht="22.5" outlineLevel="4" x14ac:dyDescent="0.2">
      <c r="A77" s="23" t="s">
        <v>34</v>
      </c>
      <c r="B77" s="24" t="s">
        <v>95</v>
      </c>
      <c r="C77" s="25"/>
      <c r="D77" s="25" t="s">
        <v>96</v>
      </c>
      <c r="E77" s="26" t="s">
        <v>37</v>
      </c>
      <c r="F77" s="27"/>
      <c r="G77" s="29">
        <v>65</v>
      </c>
      <c r="H77" s="29">
        <v>80</v>
      </c>
      <c r="I77" s="29">
        <v>83</v>
      </c>
      <c r="J77" s="29">
        <v>95</v>
      </c>
      <c r="K77" s="29">
        <f>SUM($G$77:$J$77)</f>
        <v>323</v>
      </c>
      <c r="L77" s="55">
        <f t="array" ref="L77">INDEX(М[Цена за ед., руб],MATCH(1,IF(($B77=М[Наим.])*($C77=М[Артикул, марка, произв.])*($D77=М[Хар-ка])*($N77=М[Прим.]),{1},($B77=М[Наим.])*($C77=М[Артикул, марка, произв.])*($D77=М[Хар-ка])*($N77=М[Прим.])),0))</f>
        <v>0</v>
      </c>
      <c r="M77" s="55">
        <f>ROUND($K$77*$L$77,2)</f>
        <v>0</v>
      </c>
      <c r="N77" s="25"/>
      <c r="O77" s="25">
        <f t="array" ref="O77">INDEX(М[Форма закупа],MATCH(1,IF(($B77=М[Наим.])*($C77=М[Артикул, марка, произв.])*($D77=М[Хар-ка])*($N77=М[Прим.]),{1},($B77=М[Наим.])*($C77=М[Артикул, марка, произв.])*($D77=М[Хар-ка])*($N77=М[Прим.])),0))</f>
        <v>0</v>
      </c>
    </row>
    <row r="78" spans="1:15" ht="45" outlineLevel="4" x14ac:dyDescent="0.2">
      <c r="A78" s="23" t="s">
        <v>49</v>
      </c>
      <c r="B78" s="24" t="s">
        <v>97</v>
      </c>
      <c r="C78" s="25" t="s">
        <v>98</v>
      </c>
      <c r="D78" s="25" t="s">
        <v>99</v>
      </c>
      <c r="E78" s="26" t="s">
        <v>37</v>
      </c>
      <c r="F78" s="27"/>
      <c r="G78" s="29">
        <v>65</v>
      </c>
      <c r="H78" s="29">
        <v>80</v>
      </c>
      <c r="I78" s="29">
        <v>83</v>
      </c>
      <c r="J78" s="29">
        <v>95</v>
      </c>
      <c r="K78" s="29">
        <f>SUM($G$78:$J$78)</f>
        <v>323</v>
      </c>
      <c r="L78" s="55">
        <f t="array" ref="L78">INDEX(М[Цена за ед., руб],MATCH(1,IF(($B78=М[Наим.])*($C78=М[Артикул, марка, произв.])*($D78=М[Хар-ка])*($N78=М[Прим.]),{1},($B78=М[Наим.])*($C78=М[Артикул, марка, произв.])*($D78=М[Хар-ка])*($N78=М[Прим.])),0))</f>
        <v>0</v>
      </c>
      <c r="M78" s="55">
        <f>ROUND($K$78*$L$78,2)</f>
        <v>0</v>
      </c>
      <c r="N78" s="25" t="s">
        <v>100</v>
      </c>
      <c r="O78" s="25">
        <f t="array" ref="O78">INDEX(М[Форма закупа],MATCH(1,IF(($B78=М[Наим.])*($C78=М[Артикул, марка, произв.])*($D78=М[Хар-ка])*($N78=М[Прим.]),{1},($B78=М[Наим.])*($C78=М[Артикул, марка, произв.])*($D78=М[Хар-ка])*($N78=М[Прим.])),0))</f>
        <v>0</v>
      </c>
    </row>
    <row r="79" spans="1:15" outlineLevel="4" x14ac:dyDescent="0.2">
      <c r="A79" s="20"/>
      <c r="B79" s="14" t="s">
        <v>25</v>
      </c>
      <c r="C79" s="21"/>
      <c r="D79" s="21"/>
      <c r="E79" s="21"/>
      <c r="F79" s="21"/>
      <c r="G79" s="21"/>
      <c r="H79" s="21"/>
      <c r="I79" s="21"/>
      <c r="J79" s="21"/>
      <c r="K79" s="21"/>
      <c r="L79" s="53"/>
      <c r="M79" s="54">
        <f>SUM($M$80)</f>
        <v>0</v>
      </c>
      <c r="N79" s="18"/>
      <c r="O79" s="22"/>
    </row>
    <row r="80" spans="1:15" outlineLevel="4" x14ac:dyDescent="0.2">
      <c r="A80" s="23"/>
      <c r="B80" s="24" t="s">
        <v>101</v>
      </c>
      <c r="C80" s="25"/>
      <c r="D80" s="25"/>
      <c r="E80" s="26" t="s">
        <v>27</v>
      </c>
      <c r="F80" s="27"/>
      <c r="G80" s="29">
        <v>58</v>
      </c>
      <c r="H80" s="29">
        <v>68</v>
      </c>
      <c r="I80" s="29">
        <v>59</v>
      </c>
      <c r="J80" s="29">
        <v>68</v>
      </c>
      <c r="K80" s="29">
        <f>SUM($G$80:$J$80)</f>
        <v>253</v>
      </c>
      <c r="L80" s="55">
        <f t="array" ref="L80">INDEX(Р[Цена за ед., руб],MATCH(1,IF(($B80=Р[Наименование])*($N80=Р[Примечание]),{1},($B80=Р[Наименование])*($N80=Р[Примечание])),0))</f>
        <v>0</v>
      </c>
      <c r="M80" s="55">
        <f>ROUND($K$80*$L$80,2)</f>
        <v>0</v>
      </c>
      <c r="N80" s="25"/>
      <c r="O80" s="25"/>
    </row>
    <row r="81" spans="1:15" outlineLevel="4" x14ac:dyDescent="0.2">
      <c r="A81" s="20"/>
      <c r="B81" s="14" t="s">
        <v>28</v>
      </c>
      <c r="C81" s="21"/>
      <c r="D81" s="21"/>
      <c r="E81" s="21"/>
      <c r="F81" s="21"/>
      <c r="G81" s="21"/>
      <c r="H81" s="21"/>
      <c r="I81" s="21"/>
      <c r="J81" s="21"/>
      <c r="K81" s="21"/>
      <c r="L81" s="53"/>
      <c r="M81" s="54">
        <f>SUM($M$82:$M$83)</f>
        <v>0</v>
      </c>
      <c r="N81" s="18"/>
      <c r="O81" s="22"/>
    </row>
    <row r="82" spans="1:15" ht="33.75" outlineLevel="4" x14ac:dyDescent="0.2">
      <c r="A82" s="23" t="s">
        <v>29</v>
      </c>
      <c r="B82" s="24" t="s">
        <v>30</v>
      </c>
      <c r="C82" s="25" t="s">
        <v>31</v>
      </c>
      <c r="D82" s="25" t="s">
        <v>102</v>
      </c>
      <c r="E82" s="26" t="s">
        <v>33</v>
      </c>
      <c r="F82" s="27"/>
      <c r="G82" s="29">
        <v>45</v>
      </c>
      <c r="H82" s="29">
        <v>52</v>
      </c>
      <c r="I82" s="29">
        <v>45</v>
      </c>
      <c r="J82" s="29">
        <v>52</v>
      </c>
      <c r="K82" s="29">
        <f>SUM($G$82:$J$82)</f>
        <v>194</v>
      </c>
      <c r="L82" s="55">
        <f t="array" ref="L82">INDEX(М[Цена за ед., руб],MATCH(1,IF(($B82=М[Наим.])*($C82=М[Артикул,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  <c r="M82" s="55">
        <f>ROUND($K$82*$L$82,2)</f>
        <v>0</v>
      </c>
      <c r="N82" s="25"/>
      <c r="O82" s="25">
        <f t="array" ref="O82">INDEX(М[Форма закупа],MATCH(1,IF(($B82=М[Наим.])*($C82=М[Артикул,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</row>
    <row r="83" spans="1:15" ht="33.75" outlineLevel="4" x14ac:dyDescent="0.2">
      <c r="A83" s="23" t="s">
        <v>34</v>
      </c>
      <c r="B83" s="24" t="s">
        <v>30</v>
      </c>
      <c r="C83" s="25" t="s">
        <v>31</v>
      </c>
      <c r="D83" s="25" t="s">
        <v>103</v>
      </c>
      <c r="E83" s="26" t="s">
        <v>33</v>
      </c>
      <c r="F83" s="27"/>
      <c r="G83" s="29">
        <v>13</v>
      </c>
      <c r="H83" s="29">
        <v>16</v>
      </c>
      <c r="I83" s="29">
        <v>14</v>
      </c>
      <c r="J83" s="29">
        <v>16</v>
      </c>
      <c r="K83" s="29">
        <f>SUM($G$83:$J$83)</f>
        <v>59</v>
      </c>
      <c r="L83" s="55">
        <f t="array" ref="L83">INDEX(М[Цена за ед., руб],MATCH(1,IF(($B83=М[Наим.])*($C83=М[Артикул, марка, произв.])*($D83=М[Хар-ка])*($N83=М[Прим.]),{1},($B83=М[Наим.])*($C83=М[Артикул, марка, произв.])*($D83=М[Хар-ка])*($N83=М[Прим.])),0))</f>
        <v>0</v>
      </c>
      <c r="M83" s="55">
        <f>ROUND($K$83*$L$83,2)</f>
        <v>0</v>
      </c>
      <c r="N83" s="25"/>
      <c r="O83" s="25">
        <f t="array" ref="O83">INDEX(М[Форма закупа],MATCH(1,IF(($B83=М[Наим.])*($C83=М[Артикул, марка, произв.])*($D83=М[Хар-ка])*($N83=М[Прим.]),{1},($B83=М[Наим.])*($C83=М[Артикул, марка, произв.])*($D83=М[Хар-ка])*($N83=М[Прим.])),0))</f>
        <v>0</v>
      </c>
    </row>
    <row r="84" spans="1:15" outlineLevel="4" x14ac:dyDescent="0.2">
      <c r="A84" s="20"/>
      <c r="B84" s="14" t="s">
        <v>25</v>
      </c>
      <c r="C84" s="21"/>
      <c r="D84" s="21"/>
      <c r="E84" s="21"/>
      <c r="F84" s="21"/>
      <c r="G84" s="21"/>
      <c r="H84" s="21"/>
      <c r="I84" s="21"/>
      <c r="J84" s="21"/>
      <c r="K84" s="21"/>
      <c r="L84" s="53"/>
      <c r="M84" s="54">
        <f>SUM($M$85)</f>
        <v>0</v>
      </c>
      <c r="N84" s="18"/>
      <c r="O84" s="22"/>
    </row>
    <row r="85" spans="1:15" outlineLevel="4" x14ac:dyDescent="0.2">
      <c r="A85" s="23"/>
      <c r="B85" s="24" t="s">
        <v>104</v>
      </c>
      <c r="C85" s="25"/>
      <c r="D85" s="25"/>
      <c r="E85" s="26" t="s">
        <v>37</v>
      </c>
      <c r="F85" s="27"/>
      <c r="G85" s="29">
        <v>94</v>
      </c>
      <c r="H85" s="29">
        <v>61</v>
      </c>
      <c r="I85" s="29">
        <v>53</v>
      </c>
      <c r="J85" s="29">
        <v>75</v>
      </c>
      <c r="K85" s="29">
        <f>SUM($G$85:$J$85)</f>
        <v>283</v>
      </c>
      <c r="L85" s="55">
        <f t="array" ref="L85">INDEX(Р[Цена за ед., руб],MATCH(1,IF(($B85=Р[Наименование])*($N85=Р[Примечание]),{1},($B85=Р[Наименование])*($N85=Р[Примечание])),0))</f>
        <v>0</v>
      </c>
      <c r="M85" s="55">
        <f>ROUND($K$85*$L$85,2)</f>
        <v>0</v>
      </c>
      <c r="N85" s="25"/>
      <c r="O85" s="25"/>
    </row>
    <row r="86" spans="1:15" outlineLevel="4" x14ac:dyDescent="0.2">
      <c r="A86" s="20"/>
      <c r="B86" s="14" t="s">
        <v>25</v>
      </c>
      <c r="C86" s="21"/>
      <c r="D86" s="21"/>
      <c r="E86" s="21"/>
      <c r="F86" s="21"/>
      <c r="G86" s="21"/>
      <c r="H86" s="21"/>
      <c r="I86" s="21"/>
      <c r="J86" s="21"/>
      <c r="K86" s="21"/>
      <c r="L86" s="53"/>
      <c r="M86" s="54">
        <f>SUM($M$87)</f>
        <v>0</v>
      </c>
      <c r="N86" s="18"/>
      <c r="O86" s="22"/>
    </row>
    <row r="87" spans="1:15" outlineLevel="4" x14ac:dyDescent="0.2">
      <c r="A87" s="23"/>
      <c r="B87" s="24" t="s">
        <v>65</v>
      </c>
      <c r="C87" s="25"/>
      <c r="D87" s="25"/>
      <c r="E87" s="26" t="s">
        <v>33</v>
      </c>
      <c r="F87" s="27"/>
      <c r="G87" s="29">
        <v>78</v>
      </c>
      <c r="H87" s="29">
        <v>91</v>
      </c>
      <c r="I87" s="29">
        <v>82</v>
      </c>
      <c r="J87" s="29">
        <v>91</v>
      </c>
      <c r="K87" s="29">
        <f>SUM($G$87:$J$87)</f>
        <v>342</v>
      </c>
      <c r="L87" s="55">
        <f t="array" ref="L87">INDEX(Р[Цена за ед., руб],MATCH(1,IF(($B87=Р[Наименование])*($N87=Р[Примечание]),{1},($B87=Р[Наименование])*($N87=Р[Примечание])),0))</f>
        <v>0</v>
      </c>
      <c r="M87" s="55">
        <f>ROUND($K$87*$L$87,2)</f>
        <v>0</v>
      </c>
      <c r="N87" s="25"/>
      <c r="O87" s="25"/>
    </row>
    <row r="88" spans="1:15" outlineLevel="4" x14ac:dyDescent="0.2">
      <c r="A88" s="20"/>
      <c r="B88" s="14" t="s">
        <v>28</v>
      </c>
      <c r="C88" s="21"/>
      <c r="D88" s="21"/>
      <c r="E88" s="21"/>
      <c r="F88" s="21"/>
      <c r="G88" s="21"/>
      <c r="H88" s="21"/>
      <c r="I88" s="21"/>
      <c r="J88" s="21"/>
      <c r="K88" s="21"/>
      <c r="L88" s="53"/>
      <c r="M88" s="54">
        <f>SUM($M$89:$M$91)</f>
        <v>0</v>
      </c>
      <c r="N88" s="18"/>
      <c r="O88" s="22"/>
    </row>
    <row r="89" spans="1:15" ht="45" outlineLevel="4" x14ac:dyDescent="0.2">
      <c r="A89" s="97" t="s">
        <v>29</v>
      </c>
      <c r="B89" s="24" t="s">
        <v>66</v>
      </c>
      <c r="C89" s="25"/>
      <c r="D89" s="25" t="s">
        <v>67</v>
      </c>
      <c r="E89" s="26" t="s">
        <v>33</v>
      </c>
      <c r="F89" s="27"/>
      <c r="G89" s="29">
        <v>20</v>
      </c>
      <c r="H89" s="29">
        <v>23</v>
      </c>
      <c r="I89" s="29">
        <v>23</v>
      </c>
      <c r="J89" s="29">
        <v>23</v>
      </c>
      <c r="K89" s="29">
        <f>SUM($G$89:$J$89)</f>
        <v>89</v>
      </c>
      <c r="L89" s="55">
        <f t="array" ref="L89">INDEX(М[Цена за ед., руб],MATCH(1,IF(($B89=М[Наим.])*($C89=М[Артикул, марка, произв.])*($D89=М[Хар-ка])*($N89=М[Прим.]),{1},($B89=М[Наим.])*($C89=М[Артикул, марка, произв.])*($D89=М[Хар-ка])*($N89=М[Прим.])),0))</f>
        <v>0</v>
      </c>
      <c r="M89" s="55">
        <f>ROUND($K$89*$L$89,2)</f>
        <v>0</v>
      </c>
      <c r="N89" s="25"/>
      <c r="O89" s="25">
        <f t="array" ref="O89">INDEX(М[Форма закупа],MATCH(1,IF(($B89=М[Наим.])*($C89=М[Артикул, марка, произв.])*($D89=М[Хар-ка])*($N89=М[Прим.]),{1},($B89=М[Наим.])*($C89=М[Артикул, марка, произв.])*($D89=М[Хар-ка])*($N89=М[Прим.])),0))</f>
        <v>0</v>
      </c>
    </row>
    <row r="90" spans="1:15" ht="45" outlineLevel="4" x14ac:dyDescent="0.2">
      <c r="A90" s="97" t="s">
        <v>34</v>
      </c>
      <c r="B90" s="24" t="s">
        <v>66</v>
      </c>
      <c r="C90" s="25"/>
      <c r="D90" s="25" t="s">
        <v>105</v>
      </c>
      <c r="E90" s="26" t="s">
        <v>33</v>
      </c>
      <c r="F90" s="27"/>
      <c r="G90" s="29">
        <v>13</v>
      </c>
      <c r="H90" s="29">
        <v>16</v>
      </c>
      <c r="I90" s="29">
        <v>14</v>
      </c>
      <c r="J90" s="29">
        <v>16</v>
      </c>
      <c r="K90" s="29">
        <f>SUM($G$90:$J$90)</f>
        <v>59</v>
      </c>
      <c r="L90" s="55">
        <f t="array" ref="L90">INDEX(М[Цена за ед., руб],MATCH(1,IF(($B90=М[Наим.])*($C90=М[Артикул, марка, произв.])*($D90=М[Хар-ка])*($N90=М[Прим.]),{1},($B90=М[Наим.])*($C90=М[Артикул, марка, произв.])*($D90=М[Хар-ка])*($N90=М[Прим.])),0))</f>
        <v>0</v>
      </c>
      <c r="M90" s="55">
        <f>ROUND($K$90*$L$90,2)</f>
        <v>0</v>
      </c>
      <c r="N90" s="25"/>
      <c r="O90" s="25">
        <f t="array" ref="O90">INDEX(М[Форма закупа],MATCH(1,IF(($B90=М[Наим.])*($C90=М[Артикул, марка, произв.])*($D90=М[Хар-ка])*($N90=М[Прим.]),{1},($B90=М[Наим.])*($C90=М[Артикул, марка, произв.])*($D90=М[Хар-ка])*($N90=М[Прим.])),0))</f>
        <v>0</v>
      </c>
    </row>
    <row r="91" spans="1:15" ht="45" outlineLevel="4" x14ac:dyDescent="0.2">
      <c r="A91" s="97" t="s">
        <v>49</v>
      </c>
      <c r="B91" s="24" t="s">
        <v>66</v>
      </c>
      <c r="C91" s="25"/>
      <c r="D91" s="25" t="s">
        <v>106</v>
      </c>
      <c r="E91" s="26" t="s">
        <v>33</v>
      </c>
      <c r="F91" s="27"/>
      <c r="G91" s="29">
        <v>45</v>
      </c>
      <c r="H91" s="29">
        <v>52</v>
      </c>
      <c r="I91" s="29">
        <v>45</v>
      </c>
      <c r="J91" s="29">
        <v>52</v>
      </c>
      <c r="K91" s="29">
        <f>SUM($G$91:$J$91)</f>
        <v>194</v>
      </c>
      <c r="L91" s="55">
        <f t="array" ref="L91">INDEX(М[Цена за ед., руб],MATCH(1,IF(($B91=М[Наим.])*($C91=М[Артикул, марка, произв.])*($D91=М[Хар-ка])*($N91=М[Прим.]),{1},($B91=М[Наим.])*($C91=М[Артикул, марка, произв.])*($D91=М[Хар-ка])*($N91=М[Прим.])),0))</f>
        <v>0</v>
      </c>
      <c r="M91" s="55">
        <f>ROUND($K$91*$L$91,2)</f>
        <v>0</v>
      </c>
      <c r="N91" s="25"/>
      <c r="O91" s="25">
        <f t="array" ref="O91">INDEX(М[Форма закупа],MATCH(1,IF(($B91=М[Наим.])*($C91=М[Артикул, марка, произв.])*($D91=М[Хар-ка])*($N91=М[Прим.]),{1},($B91=М[Наим.])*($C91=М[Артикул, марка, произв.])*($D91=М[Хар-ка])*($N91=М[Прим.])),0))</f>
        <v>0</v>
      </c>
    </row>
    <row r="92" spans="1:15" outlineLevel="3" x14ac:dyDescent="0.2">
      <c r="A92" s="13" t="s">
        <v>107</v>
      </c>
      <c r="B92" s="14" t="s">
        <v>108</v>
      </c>
      <c r="C92" s="15"/>
      <c r="D92" s="15"/>
      <c r="E92" s="16"/>
      <c r="F92" s="17"/>
      <c r="G92" s="18"/>
      <c r="H92" s="18"/>
      <c r="I92" s="18"/>
      <c r="J92" s="18"/>
      <c r="K92" s="18"/>
      <c r="L92" s="52"/>
      <c r="M92" s="52">
        <f>SUM($M$128,$M$126,$M$124,$M$120,$M$118,$M$116,$M$114,$M$112,$M$110,$M$108,$M$106,$M$104,$M$102,$M$97,$M$95,$M$93)</f>
        <v>0</v>
      </c>
      <c r="N92" s="19"/>
      <c r="O92" s="19"/>
    </row>
    <row r="93" spans="1:15" outlineLevel="4" x14ac:dyDescent="0.2">
      <c r="A93" s="20"/>
      <c r="B93" s="14" t="s">
        <v>25</v>
      </c>
      <c r="C93" s="21"/>
      <c r="D93" s="21"/>
      <c r="E93" s="21"/>
      <c r="F93" s="21"/>
      <c r="G93" s="21"/>
      <c r="H93" s="21"/>
      <c r="I93" s="21"/>
      <c r="J93" s="21"/>
      <c r="K93" s="21"/>
      <c r="L93" s="53"/>
      <c r="M93" s="54">
        <f>SUM($M$94)</f>
        <v>0</v>
      </c>
      <c r="N93" s="18"/>
      <c r="O93" s="22"/>
    </row>
    <row r="94" spans="1:15" outlineLevel="4" x14ac:dyDescent="0.2">
      <c r="A94" s="23"/>
      <c r="B94" s="24" t="s">
        <v>84</v>
      </c>
      <c r="C94" s="25"/>
      <c r="D94" s="25"/>
      <c r="E94" s="26" t="s">
        <v>37</v>
      </c>
      <c r="F94" s="27"/>
      <c r="G94" s="29">
        <v>20</v>
      </c>
      <c r="H94" s="29">
        <v>25</v>
      </c>
      <c r="I94" s="29">
        <v>25</v>
      </c>
      <c r="J94" s="29">
        <v>27</v>
      </c>
      <c r="K94" s="29">
        <f>SUM($G$94:$J$94)</f>
        <v>97</v>
      </c>
      <c r="L94" s="55">
        <f t="array" ref="L94">INDEX(Р[Цена за ед., руб],MATCH(1,IF(($B94=Р[Наименование])*($N94=Р[Примечание]),{1},($B94=Р[Наименование])*($N94=Р[Примечание])),0))</f>
        <v>0</v>
      </c>
      <c r="M94" s="55">
        <f>ROUND($K$94*$L$94,2)</f>
        <v>0</v>
      </c>
      <c r="N94" s="25"/>
      <c r="O94" s="25"/>
    </row>
    <row r="95" spans="1:15" outlineLevel="4" x14ac:dyDescent="0.2">
      <c r="A95" s="20"/>
      <c r="B95" s="14" t="s">
        <v>25</v>
      </c>
      <c r="C95" s="21"/>
      <c r="D95" s="21"/>
      <c r="E95" s="21"/>
      <c r="F95" s="21"/>
      <c r="G95" s="21"/>
      <c r="H95" s="21"/>
      <c r="I95" s="21"/>
      <c r="J95" s="21"/>
      <c r="K95" s="21"/>
      <c r="L95" s="53"/>
      <c r="M95" s="54">
        <f>SUM($M$96)</f>
        <v>0</v>
      </c>
      <c r="N95" s="18"/>
      <c r="O95" s="22"/>
    </row>
    <row r="96" spans="1:15" outlineLevel="4" x14ac:dyDescent="0.2">
      <c r="A96" s="23"/>
      <c r="B96" s="24" t="s">
        <v>26</v>
      </c>
      <c r="C96" s="25"/>
      <c r="D96" s="25"/>
      <c r="E96" s="26" t="s">
        <v>27</v>
      </c>
      <c r="F96" s="27"/>
      <c r="G96" s="29">
        <v>73</v>
      </c>
      <c r="H96" s="29">
        <v>85</v>
      </c>
      <c r="I96" s="29">
        <v>74</v>
      </c>
      <c r="J96" s="29">
        <v>85</v>
      </c>
      <c r="K96" s="29">
        <f>SUM($G$96:$J$96)</f>
        <v>317</v>
      </c>
      <c r="L96" s="55">
        <f t="array" ref="L96">INDEX(Р[Цена за ед., руб],MATCH(1,IF(($B96=Р[Наименование])*($N96=Р[Примечание]),{1},($B96=Р[Наименование])*($N96=Р[Примечание])),0))</f>
        <v>0</v>
      </c>
      <c r="M96" s="55">
        <f>ROUND($K$96*$L$96,2)</f>
        <v>0</v>
      </c>
      <c r="N96" s="25"/>
      <c r="O96" s="25"/>
    </row>
    <row r="97" spans="1:15" outlineLevel="4" x14ac:dyDescent="0.2">
      <c r="A97" s="20"/>
      <c r="B97" s="14" t="s">
        <v>28</v>
      </c>
      <c r="C97" s="21"/>
      <c r="D97" s="21"/>
      <c r="E97" s="21"/>
      <c r="F97" s="21"/>
      <c r="G97" s="21"/>
      <c r="H97" s="21"/>
      <c r="I97" s="21"/>
      <c r="J97" s="21"/>
      <c r="K97" s="21"/>
      <c r="L97" s="53"/>
      <c r="M97" s="54">
        <f>SUM($M$98:$M$101)</f>
        <v>0</v>
      </c>
      <c r="N97" s="18"/>
      <c r="O97" s="22"/>
    </row>
    <row r="98" spans="1:15" ht="33.75" outlineLevel="4" x14ac:dyDescent="0.2">
      <c r="A98" s="23" t="s">
        <v>29</v>
      </c>
      <c r="B98" s="24" t="s">
        <v>30</v>
      </c>
      <c r="C98" s="25"/>
      <c r="D98" s="25" t="s">
        <v>102</v>
      </c>
      <c r="E98" s="26" t="s">
        <v>33</v>
      </c>
      <c r="F98" s="27"/>
      <c r="G98" s="29">
        <v>60</v>
      </c>
      <c r="H98" s="27"/>
      <c r="I98" s="27"/>
      <c r="J98" s="27"/>
      <c r="K98" s="29">
        <f>SUM($G$98:$J$98)</f>
        <v>60</v>
      </c>
      <c r="L98" s="55">
        <f t="array" ref="L98">INDEX(М[Цена за ед., руб],MATCH(1,IF(($B98=М[Наим.])*($C98=М[Артикул, марка, произв.])*($D98=М[Хар-ка])*($N98=М[Прим.]),{1},($B98=М[Наим.])*($C98=М[Артикул, марка, произв.])*($D98=М[Хар-ка])*($N98=М[Прим.])),0))</f>
        <v>0</v>
      </c>
      <c r="M98" s="55">
        <f>ROUND($K$98*$L$98,2)</f>
        <v>0</v>
      </c>
      <c r="N98" s="25"/>
      <c r="O98" s="25">
        <f t="array" ref="O98">INDEX(М[Форма закупа],MATCH(1,IF(($B98=М[Наим.])*($C98=М[Артикул, марка, произв.])*($D98=М[Хар-ка])*($N98=М[Прим.]),{1},($B98=М[Наим.])*($C98=М[Артикул, марка, произв.])*($D98=М[Хар-ка])*($N98=М[Прим.])),0))</f>
        <v>0</v>
      </c>
    </row>
    <row r="99" spans="1:15" ht="33.75" outlineLevel="4" x14ac:dyDescent="0.2">
      <c r="A99" s="23" t="s">
        <v>34</v>
      </c>
      <c r="B99" s="24" t="s">
        <v>30</v>
      </c>
      <c r="C99" s="25" t="s">
        <v>31</v>
      </c>
      <c r="D99" s="25" t="s">
        <v>102</v>
      </c>
      <c r="E99" s="26" t="s">
        <v>33</v>
      </c>
      <c r="F99" s="27"/>
      <c r="G99" s="27"/>
      <c r="H99" s="29">
        <v>69</v>
      </c>
      <c r="I99" s="29">
        <v>60</v>
      </c>
      <c r="J99" s="29">
        <v>69</v>
      </c>
      <c r="K99" s="29">
        <f>SUM($G$99:$J$99)</f>
        <v>198</v>
      </c>
      <c r="L99" s="55">
        <f t="array" ref="L99">INDEX(М[Цена за ед., руб],MATCH(1,IF(($B99=М[Наим.])*($C99=М[Артикул, марка, произв.])*($D99=М[Хар-ка])*($N99=М[Прим.]),{1},($B99=М[Наим.])*($C99=М[Артикул, марка, произв.])*($D99=М[Хар-ка])*($N99=М[Прим.])),0))</f>
        <v>0</v>
      </c>
      <c r="M99" s="55">
        <f>ROUND($K$99*$L$99,2)</f>
        <v>0</v>
      </c>
      <c r="N99" s="25"/>
      <c r="O99" s="25">
        <f t="array" ref="O99">INDEX(М[Форма закупа],MATCH(1,IF(($B99=М[Наим.])*($C99=М[Артикул, марка, произв.])*($D99=М[Хар-ка])*($N99=М[Прим.]),{1},($B99=М[Наим.])*($C99=М[Артикул, марка, произв.])*($D99=М[Хар-ка])*($N99=М[Прим.])),0))</f>
        <v>0</v>
      </c>
    </row>
    <row r="100" spans="1:15" ht="33.75" outlineLevel="4" x14ac:dyDescent="0.2">
      <c r="A100" s="23" t="s">
        <v>49</v>
      </c>
      <c r="B100" s="24" t="s">
        <v>30</v>
      </c>
      <c r="C100" s="25"/>
      <c r="D100" s="25" t="s">
        <v>103</v>
      </c>
      <c r="E100" s="26" t="s">
        <v>33</v>
      </c>
      <c r="F100" s="27"/>
      <c r="G100" s="29">
        <v>13</v>
      </c>
      <c r="H100" s="27"/>
      <c r="I100" s="27"/>
      <c r="J100" s="27"/>
      <c r="K100" s="29">
        <f>SUM($G$100:$J$100)</f>
        <v>13</v>
      </c>
      <c r="L100" s="55">
        <f t="array" ref="L100">INDEX(М[Цена за ед., руб],MATCH(1,IF(($B100=М[Наим.])*($C100=М[Артикул,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0</v>
      </c>
      <c r="M100" s="55">
        <f>ROUND($K$100*$L$100,2)</f>
        <v>0</v>
      </c>
      <c r="N100" s="25"/>
      <c r="O100" s="25">
        <f t="array" ref="O100">INDEX(М[Форма закупа],MATCH(1,IF(($B100=М[Наим.])*($C100=М[Артикул, марка, произв.])*($D100=М[Хар-ка])*($N100=М[Прим.]),{1},($B100=М[Наим.])*($C100=М[Артикул, марка, произв.])*($D100=М[Хар-ка])*($N100=М[Прим.])),0))</f>
        <v>0</v>
      </c>
    </row>
    <row r="101" spans="1:15" ht="33.75" outlineLevel="4" x14ac:dyDescent="0.2">
      <c r="A101" s="23" t="s">
        <v>75</v>
      </c>
      <c r="B101" s="24" t="s">
        <v>30</v>
      </c>
      <c r="C101" s="25" t="s">
        <v>31</v>
      </c>
      <c r="D101" s="25" t="s">
        <v>103</v>
      </c>
      <c r="E101" s="26" t="s">
        <v>33</v>
      </c>
      <c r="F101" s="27"/>
      <c r="G101" s="27"/>
      <c r="H101" s="29">
        <v>16</v>
      </c>
      <c r="I101" s="29">
        <v>14</v>
      </c>
      <c r="J101" s="29">
        <v>16</v>
      </c>
      <c r="K101" s="29">
        <f>SUM($G$101:$J$101)</f>
        <v>46</v>
      </c>
      <c r="L101" s="55">
        <f t="array" ref="L101">INDEX(М[Цена за ед., руб],MATCH(1,IF(($B101=М[Наим.])*($C101=М[Артикул, марка, произв.])*($D101=М[Хар-ка])*($N101=М[Прим.]),{1},($B101=М[Наим.])*($C101=М[Артикул, марка, произв.])*($D101=М[Хар-ка])*($N101=М[Прим.])),0))</f>
        <v>0</v>
      </c>
      <c r="M101" s="55">
        <f>ROUND($K$101*$L$101,2)</f>
        <v>0</v>
      </c>
      <c r="N101" s="25"/>
      <c r="O101" s="25">
        <f t="array" ref="O101">INDEX(М[Форма закупа],MATCH(1,IF(($B101=М[Наим.])*($C101=М[Артикул, марка, произв.])*($D101=М[Хар-ка])*($N101=М[Прим.]),{1},($B101=М[Наим.])*($C101=М[Артикул, марка, произв.])*($D101=М[Хар-ка])*($N101=М[Прим.])),0))</f>
        <v>0</v>
      </c>
    </row>
    <row r="102" spans="1:15" outlineLevel="4" x14ac:dyDescent="0.2">
      <c r="A102" s="20"/>
      <c r="B102" s="14" t="s">
        <v>25</v>
      </c>
      <c r="C102" s="21"/>
      <c r="D102" s="21"/>
      <c r="E102" s="21"/>
      <c r="F102" s="21"/>
      <c r="G102" s="21"/>
      <c r="H102" s="21"/>
      <c r="I102" s="21"/>
      <c r="J102" s="21"/>
      <c r="K102" s="21"/>
      <c r="L102" s="53"/>
      <c r="M102" s="54">
        <f>SUM($M$103)</f>
        <v>0</v>
      </c>
      <c r="N102" s="18"/>
      <c r="O102" s="22"/>
    </row>
    <row r="103" spans="1:15" ht="22.5" outlineLevel="4" x14ac:dyDescent="0.2">
      <c r="A103" s="23"/>
      <c r="B103" s="24" t="s">
        <v>36</v>
      </c>
      <c r="C103" s="25"/>
      <c r="D103" s="25"/>
      <c r="E103" s="26" t="s">
        <v>37</v>
      </c>
      <c r="F103" s="27"/>
      <c r="G103" s="29">
        <v>2</v>
      </c>
      <c r="H103" s="29">
        <v>2</v>
      </c>
      <c r="I103" s="29">
        <v>3</v>
      </c>
      <c r="J103" s="29">
        <v>4</v>
      </c>
      <c r="K103" s="29">
        <f>SUM($G$103:$J$103)</f>
        <v>11</v>
      </c>
      <c r="L103" s="55">
        <f t="array" ref="L103">INDEX(Р[Цена за ед., руб],MATCH(1,IF(($B103=Р[Наименование])*($N103=Р[Примечание]),{1},($B103=Р[Наименование])*($N103=Р[Примечание])),0))</f>
        <v>0</v>
      </c>
      <c r="M103" s="55">
        <f>ROUND($K$103*$L$103,2)</f>
        <v>0</v>
      </c>
      <c r="N103" s="25"/>
      <c r="O103" s="25"/>
    </row>
    <row r="104" spans="1:15" outlineLevel="4" x14ac:dyDescent="0.2">
      <c r="A104" s="20"/>
      <c r="B104" s="14" t="s">
        <v>28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53"/>
      <c r="M104" s="54">
        <f>SUM($M$105)</f>
        <v>0</v>
      </c>
      <c r="N104" s="18"/>
      <c r="O104" s="22"/>
    </row>
    <row r="105" spans="1:15" ht="22.5" outlineLevel="4" x14ac:dyDescent="0.2">
      <c r="A105" s="23" t="s">
        <v>29</v>
      </c>
      <c r="B105" s="24" t="s">
        <v>38</v>
      </c>
      <c r="C105" s="25" t="s">
        <v>39</v>
      </c>
      <c r="D105" s="25" t="s">
        <v>40</v>
      </c>
      <c r="E105" s="26" t="s">
        <v>37</v>
      </c>
      <c r="F105" s="27"/>
      <c r="G105" s="29">
        <v>2</v>
      </c>
      <c r="H105" s="29">
        <v>2</v>
      </c>
      <c r="I105" s="29">
        <v>3</v>
      </c>
      <c r="J105" s="29">
        <v>4</v>
      </c>
      <c r="K105" s="29">
        <f>SUM($G$105:$J$105)</f>
        <v>11</v>
      </c>
      <c r="L105" s="55">
        <f t="array" ref="L105">INDEX(М[Цена за ед., руб],MATCH(1,IF(($B105=М[Наим.])*($C105=М[Артикул, марка, произв.])*($D105=М[Хар-ка])*($N105=М[Прим.]),{1},($B105=М[Наим.])*($C105=М[Артикул, марка, произв.])*($D105=М[Хар-ка])*($N105=М[Прим.])),0))</f>
        <v>0</v>
      </c>
      <c r="M105" s="55">
        <f>ROUND($K$105*$L$105,2)</f>
        <v>0</v>
      </c>
      <c r="N105" s="25"/>
      <c r="O105" s="25">
        <f t="array" ref="O105">INDEX(М[Форма закупа],MATCH(1,IF(($B105=М[Наим.])*($C105=М[Артикул, марка, произв.])*($D105=М[Хар-ка])*($N105=М[Прим.]),{1},($B105=М[Наим.])*($C105=М[Артикул, марка, произв.])*($D105=М[Хар-ка])*($N105=М[Прим.])),0))</f>
        <v>0</v>
      </c>
    </row>
    <row r="106" spans="1:15" outlineLevel="4" x14ac:dyDescent="0.2">
      <c r="A106" s="20"/>
      <c r="B106" s="14" t="s">
        <v>25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53"/>
      <c r="M106" s="54">
        <f>SUM($M$107)</f>
        <v>0</v>
      </c>
      <c r="N106" s="18"/>
      <c r="O106" s="22"/>
    </row>
    <row r="107" spans="1:15" outlineLevel="4" x14ac:dyDescent="0.2">
      <c r="A107" s="23"/>
      <c r="B107" s="24" t="s">
        <v>85</v>
      </c>
      <c r="C107" s="25"/>
      <c r="D107" s="25"/>
      <c r="E107" s="26" t="s">
        <v>86</v>
      </c>
      <c r="F107" s="27"/>
      <c r="G107" s="29">
        <v>2</v>
      </c>
      <c r="H107" s="29">
        <v>2</v>
      </c>
      <c r="I107" s="29">
        <v>2</v>
      </c>
      <c r="J107" s="29">
        <v>2</v>
      </c>
      <c r="K107" s="29">
        <f>SUM($G$107:$J$107)</f>
        <v>8</v>
      </c>
      <c r="L107" s="55">
        <f t="array" ref="L107">INDEX(Р[Цена за ед., руб],MATCH(1,IF(($B107=Р[Наименование])*($N107=Р[Примечание]),{1},($B107=Р[Наименование])*($N107=Р[Примечание])),0))</f>
        <v>0</v>
      </c>
      <c r="M107" s="55">
        <f>ROUND($K$107*$L$107,2)</f>
        <v>0</v>
      </c>
      <c r="N107" s="25"/>
      <c r="O107" s="25"/>
    </row>
    <row r="108" spans="1:15" outlineLevel="4" x14ac:dyDescent="0.2">
      <c r="A108" s="20"/>
      <c r="B108" s="14" t="s">
        <v>28</v>
      </c>
      <c r="C108" s="21"/>
      <c r="D108" s="21"/>
      <c r="E108" s="21"/>
      <c r="F108" s="21"/>
      <c r="G108" s="21"/>
      <c r="H108" s="21"/>
      <c r="I108" s="21"/>
      <c r="J108" s="21"/>
      <c r="K108" s="21"/>
      <c r="L108" s="53"/>
      <c r="M108" s="54">
        <f>SUM($M$109)</f>
        <v>0</v>
      </c>
      <c r="N108" s="18"/>
      <c r="O108" s="22"/>
    </row>
    <row r="109" spans="1:15" ht="22.5" outlineLevel="4" x14ac:dyDescent="0.2">
      <c r="A109" s="23" t="s">
        <v>29</v>
      </c>
      <c r="B109" s="24" t="s">
        <v>87</v>
      </c>
      <c r="C109" s="25"/>
      <c r="D109" s="25" t="s">
        <v>88</v>
      </c>
      <c r="E109" s="26" t="s">
        <v>86</v>
      </c>
      <c r="F109" s="27"/>
      <c r="G109" s="29">
        <v>2</v>
      </c>
      <c r="H109" s="29">
        <v>2</v>
      </c>
      <c r="I109" s="29">
        <v>2</v>
      </c>
      <c r="J109" s="29">
        <v>2</v>
      </c>
      <c r="K109" s="29">
        <f>SUM($G$109:$J$109)</f>
        <v>8</v>
      </c>
      <c r="L109" s="55">
        <f t="array" ref="L109">INDEX(М[Цена за ед., руб],MATCH(1,IF(($B109=М[Наим.])*($C109=М[Артикул,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0</v>
      </c>
      <c r="M109" s="55">
        <f>ROUND($K$109*$L$109,2)</f>
        <v>0</v>
      </c>
      <c r="N109" s="25" t="s">
        <v>89</v>
      </c>
      <c r="O109" s="25">
        <f t="array" ref="O109">INDEX(М[Форма закупа],MATCH(1,IF(($B109=М[Наим.])*($C109=М[Артикул,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0</v>
      </c>
    </row>
    <row r="110" spans="1:15" outlineLevel="4" x14ac:dyDescent="0.2">
      <c r="A110" s="20"/>
      <c r="B110" s="14" t="s">
        <v>25</v>
      </c>
      <c r="C110" s="21"/>
      <c r="D110" s="21"/>
      <c r="E110" s="21"/>
      <c r="F110" s="21"/>
      <c r="G110" s="21"/>
      <c r="H110" s="21"/>
      <c r="I110" s="21"/>
      <c r="J110" s="21"/>
      <c r="K110" s="21"/>
      <c r="L110" s="53"/>
      <c r="M110" s="54">
        <f>SUM($M$111)</f>
        <v>0</v>
      </c>
      <c r="N110" s="18"/>
      <c r="O110" s="22"/>
    </row>
    <row r="111" spans="1:15" ht="22.5" outlineLevel="4" x14ac:dyDescent="0.2">
      <c r="A111" s="23"/>
      <c r="B111" s="24" t="s">
        <v>55</v>
      </c>
      <c r="C111" s="25"/>
      <c r="D111" s="25"/>
      <c r="E111" s="26" t="s">
        <v>37</v>
      </c>
      <c r="F111" s="27"/>
      <c r="G111" s="29">
        <v>2</v>
      </c>
      <c r="H111" s="29">
        <v>2</v>
      </c>
      <c r="I111" s="29">
        <v>3</v>
      </c>
      <c r="J111" s="29">
        <v>4</v>
      </c>
      <c r="K111" s="29">
        <f>SUM($G$111:$J$111)</f>
        <v>11</v>
      </c>
      <c r="L111" s="55">
        <f t="array" ref="L111">INDEX(Р[Цена за ед., руб],MATCH(1,IF(($B111=Р[Наименование])*($N111=Р[Примечание]),{1},($B111=Р[Наименование])*($N111=Р[Примечание])),0))</f>
        <v>0</v>
      </c>
      <c r="M111" s="55">
        <f>ROUND($K$111*$L$111,2)</f>
        <v>0</v>
      </c>
      <c r="N111" s="25"/>
      <c r="O111" s="25"/>
    </row>
    <row r="112" spans="1:15" outlineLevel="4" x14ac:dyDescent="0.2">
      <c r="A112" s="20"/>
      <c r="B112" s="14" t="s">
        <v>28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53"/>
      <c r="M112" s="54">
        <f>SUM($M$113)</f>
        <v>0</v>
      </c>
      <c r="N112" s="18"/>
      <c r="O112" s="22"/>
    </row>
    <row r="113" spans="1:15" ht="22.5" outlineLevel="4" x14ac:dyDescent="0.2">
      <c r="A113" s="23" t="s">
        <v>29</v>
      </c>
      <c r="B113" s="24" t="s">
        <v>52</v>
      </c>
      <c r="C113" s="25" t="s">
        <v>39</v>
      </c>
      <c r="D113" s="25" t="s">
        <v>56</v>
      </c>
      <c r="E113" s="26" t="s">
        <v>37</v>
      </c>
      <c r="F113" s="27"/>
      <c r="G113" s="29">
        <v>2</v>
      </c>
      <c r="H113" s="29">
        <v>2</v>
      </c>
      <c r="I113" s="29">
        <v>3</v>
      </c>
      <c r="J113" s="29">
        <v>4</v>
      </c>
      <c r="K113" s="29">
        <f>SUM($G$113:$J$113)</f>
        <v>11</v>
      </c>
      <c r="L113" s="55">
        <f t="array" ref="L113">INDEX(М[Цена за ед., руб],MATCH(1,IF(($B113=М[Наим.])*($C113=М[Артикул, марка, произв.])*($D113=М[Хар-ка])*($N113=М[Прим.]),{1},($B113=М[Наим.])*($C113=М[Артикул, марка, произв.])*($D113=М[Хар-ка])*($N113=М[Прим.])),0))</f>
        <v>0</v>
      </c>
      <c r="M113" s="55">
        <f>ROUND($K$113*$L$113,2)</f>
        <v>0</v>
      </c>
      <c r="N113" s="25"/>
      <c r="O113" s="25">
        <f t="array" ref="O113">INDEX(М[Форма закупа],MATCH(1,IF(($B113=М[Наим.])*($C113=М[Артикул, марка, произв.])*($D113=М[Хар-ка])*($N113=М[Прим.]),{1},($B113=М[Наим.])*($C113=М[Артикул, марка, произв.])*($D113=М[Хар-ка])*($N113=М[Прим.])),0))</f>
        <v>0</v>
      </c>
    </row>
    <row r="114" spans="1:15" outlineLevel="4" x14ac:dyDescent="0.2">
      <c r="A114" s="20"/>
      <c r="B114" s="14" t="s">
        <v>25</v>
      </c>
      <c r="C114" s="21"/>
      <c r="D114" s="21"/>
      <c r="E114" s="21"/>
      <c r="F114" s="21"/>
      <c r="G114" s="21"/>
      <c r="H114" s="21"/>
      <c r="I114" s="21"/>
      <c r="J114" s="21"/>
      <c r="K114" s="21"/>
      <c r="L114" s="53"/>
      <c r="M114" s="54">
        <f>SUM($M$115)</f>
        <v>0</v>
      </c>
      <c r="N114" s="18"/>
      <c r="O114" s="22"/>
    </row>
    <row r="115" spans="1:15" outlineLevel="4" x14ac:dyDescent="0.2">
      <c r="A115" s="23"/>
      <c r="B115" s="24" t="s">
        <v>90</v>
      </c>
      <c r="C115" s="25"/>
      <c r="D115" s="25"/>
      <c r="E115" s="26" t="s">
        <v>37</v>
      </c>
      <c r="F115" s="27"/>
      <c r="G115" s="29">
        <v>14</v>
      </c>
      <c r="H115" s="29">
        <v>17</v>
      </c>
      <c r="I115" s="29">
        <v>12</v>
      </c>
      <c r="J115" s="29">
        <v>12</v>
      </c>
      <c r="K115" s="29">
        <f>SUM($G$115:$J$115)</f>
        <v>55</v>
      </c>
      <c r="L115" s="55">
        <f t="array" ref="L115">INDEX(Р[Цена за ед., руб],MATCH(1,IF(($B115=Р[Наименование])*($N115=Р[Примечание]),{1},($B115=Р[Наименование])*($N115=Р[Примечание])),0))</f>
        <v>0</v>
      </c>
      <c r="M115" s="55">
        <f>ROUND($K$115*$L$115,2)</f>
        <v>0</v>
      </c>
      <c r="N115" s="25"/>
      <c r="O115" s="25"/>
    </row>
    <row r="116" spans="1:15" outlineLevel="4" x14ac:dyDescent="0.2">
      <c r="A116" s="20"/>
      <c r="B116" s="14" t="s">
        <v>28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53"/>
      <c r="M116" s="54">
        <f>SUM($M$117)</f>
        <v>0</v>
      </c>
      <c r="N116" s="18"/>
      <c r="O116" s="22"/>
    </row>
    <row r="117" spans="1:15" outlineLevel="4" x14ac:dyDescent="0.2">
      <c r="A117" s="23" t="s">
        <v>29</v>
      </c>
      <c r="B117" s="24" t="s">
        <v>91</v>
      </c>
      <c r="C117" s="25"/>
      <c r="D117" s="25" t="s">
        <v>92</v>
      </c>
      <c r="E117" s="26" t="s">
        <v>37</v>
      </c>
      <c r="F117" s="27"/>
      <c r="G117" s="29">
        <v>14</v>
      </c>
      <c r="H117" s="29">
        <v>17</v>
      </c>
      <c r="I117" s="29">
        <v>12</v>
      </c>
      <c r="J117" s="29">
        <v>12</v>
      </c>
      <c r="K117" s="29">
        <f>SUM($G$117:$J$117)</f>
        <v>55</v>
      </c>
      <c r="L117" s="55">
        <f t="array" ref="L117">INDEX(М[Цена за ед., руб],MATCH(1,IF(($B117=М[Наим.])*($C117=М[Артикул,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0</v>
      </c>
      <c r="M117" s="55">
        <f>ROUND($K$117*$L$117,2)</f>
        <v>0</v>
      </c>
      <c r="N117" s="25"/>
      <c r="O117" s="25">
        <f t="array" ref="O117">INDEX(М[Форма закупа],MATCH(1,IF(($B117=М[Наим.])*($C117=М[Артикул,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0</v>
      </c>
    </row>
    <row r="118" spans="1:15" outlineLevel="4" x14ac:dyDescent="0.2">
      <c r="A118" s="20"/>
      <c r="B118" s="14" t="s">
        <v>25</v>
      </c>
      <c r="C118" s="21"/>
      <c r="D118" s="21"/>
      <c r="E118" s="21"/>
      <c r="F118" s="21"/>
      <c r="G118" s="21"/>
      <c r="H118" s="21"/>
      <c r="I118" s="21"/>
      <c r="J118" s="21"/>
      <c r="K118" s="21"/>
      <c r="L118" s="53"/>
      <c r="M118" s="54">
        <f>SUM($M$119)</f>
        <v>0</v>
      </c>
      <c r="N118" s="18"/>
      <c r="O118" s="22"/>
    </row>
    <row r="119" spans="1:15" outlineLevel="4" x14ac:dyDescent="0.2">
      <c r="A119" s="23"/>
      <c r="B119" s="24" t="s">
        <v>93</v>
      </c>
      <c r="C119" s="25"/>
      <c r="D119" s="25"/>
      <c r="E119" s="26" t="s">
        <v>37</v>
      </c>
      <c r="F119" s="27"/>
      <c r="G119" s="29">
        <v>65</v>
      </c>
      <c r="H119" s="29">
        <v>80</v>
      </c>
      <c r="I119" s="29">
        <v>83</v>
      </c>
      <c r="J119" s="29">
        <v>95</v>
      </c>
      <c r="K119" s="29">
        <f>SUM($G$119:$J$119)</f>
        <v>323</v>
      </c>
      <c r="L119" s="55">
        <f t="array" ref="L119">INDEX(Р[Цена за ед., руб],MATCH(1,IF(($B119=Р[Наименование])*($N119=Р[Примечание]),{1},($B119=Р[Наименование])*($N119=Р[Примечание])),0))</f>
        <v>0</v>
      </c>
      <c r="M119" s="55">
        <f>ROUND($K$119*$L$119,2)</f>
        <v>0</v>
      </c>
      <c r="N119" s="25"/>
      <c r="O119" s="25"/>
    </row>
    <row r="120" spans="1:15" outlineLevel="4" x14ac:dyDescent="0.2">
      <c r="A120" s="20"/>
      <c r="B120" s="14" t="s">
        <v>28</v>
      </c>
      <c r="C120" s="21"/>
      <c r="D120" s="21"/>
      <c r="E120" s="21"/>
      <c r="F120" s="21"/>
      <c r="G120" s="21"/>
      <c r="H120" s="21"/>
      <c r="I120" s="21"/>
      <c r="J120" s="21"/>
      <c r="K120" s="21"/>
      <c r="L120" s="53"/>
      <c r="M120" s="54">
        <f>SUM($M$121:$M$123)</f>
        <v>0</v>
      </c>
      <c r="N120" s="18"/>
      <c r="O120" s="22"/>
    </row>
    <row r="121" spans="1:15" outlineLevel="4" x14ac:dyDescent="0.2">
      <c r="A121" s="23" t="s">
        <v>29</v>
      </c>
      <c r="B121" s="24" t="s">
        <v>94</v>
      </c>
      <c r="C121" s="25"/>
      <c r="D121" s="25"/>
      <c r="E121" s="26" t="s">
        <v>74</v>
      </c>
      <c r="F121" s="27"/>
      <c r="G121" s="29">
        <v>65</v>
      </c>
      <c r="H121" s="29">
        <v>80</v>
      </c>
      <c r="I121" s="29">
        <v>83</v>
      </c>
      <c r="J121" s="29">
        <v>95</v>
      </c>
      <c r="K121" s="29">
        <f>SUM($G$121:$J$121)</f>
        <v>323</v>
      </c>
      <c r="L121" s="55">
        <f t="array" ref="L121">INDEX(М[Цена за ед., руб],MATCH(1,IF(($B121=М[Наим.])*($C121=М[Артикул,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0</v>
      </c>
      <c r="M121" s="55">
        <f>ROUND($K$121*$L$121,2)</f>
        <v>0</v>
      </c>
      <c r="N121" s="25"/>
      <c r="O121" s="25">
        <f t="array" ref="O121">INDEX(М[Форма закупа],MATCH(1,IF(($B121=М[Наим.])*($C121=М[Артикул,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0</v>
      </c>
    </row>
    <row r="122" spans="1:15" ht="22.5" outlineLevel="4" x14ac:dyDescent="0.2">
      <c r="A122" s="23" t="s">
        <v>34</v>
      </c>
      <c r="B122" s="24" t="s">
        <v>95</v>
      </c>
      <c r="C122" s="25"/>
      <c r="D122" s="25" t="s">
        <v>96</v>
      </c>
      <c r="E122" s="26" t="s">
        <v>37</v>
      </c>
      <c r="F122" s="27"/>
      <c r="G122" s="29">
        <v>65</v>
      </c>
      <c r="H122" s="29">
        <v>80</v>
      </c>
      <c r="I122" s="29">
        <v>83</v>
      </c>
      <c r="J122" s="29">
        <v>95</v>
      </c>
      <c r="K122" s="29">
        <f>SUM($G$122:$J$122)</f>
        <v>323</v>
      </c>
      <c r="L122" s="55">
        <f t="array" ref="L122">INDEX(М[Цена за ед., руб],MATCH(1,IF(($B122=М[Наим.])*($C122=М[Артикул,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0</v>
      </c>
      <c r="M122" s="55">
        <f>ROUND($K$122*$L$122,2)</f>
        <v>0</v>
      </c>
      <c r="N122" s="25"/>
      <c r="O122" s="25">
        <f t="array" ref="O122">INDEX(М[Форма закупа],MATCH(1,IF(($B122=М[Наим.])*($C122=М[Артикул,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0</v>
      </c>
    </row>
    <row r="123" spans="1:15" ht="45" outlineLevel="4" x14ac:dyDescent="0.2">
      <c r="A123" s="23" t="s">
        <v>49</v>
      </c>
      <c r="B123" s="24" t="s">
        <v>97</v>
      </c>
      <c r="C123" s="25" t="s">
        <v>98</v>
      </c>
      <c r="D123" s="25" t="s">
        <v>99</v>
      </c>
      <c r="E123" s="26" t="s">
        <v>37</v>
      </c>
      <c r="F123" s="27"/>
      <c r="G123" s="29">
        <v>65</v>
      </c>
      <c r="H123" s="29">
        <v>80</v>
      </c>
      <c r="I123" s="29">
        <v>83</v>
      </c>
      <c r="J123" s="29">
        <v>95</v>
      </c>
      <c r="K123" s="29">
        <f>SUM($G$123:$J$123)</f>
        <v>323</v>
      </c>
      <c r="L123" s="55">
        <f t="array" ref="L123">INDEX(М[Цена за ед., руб],MATCH(1,IF(($B123=М[Наим.])*($C123=М[Артикул,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0</v>
      </c>
      <c r="M123" s="55">
        <f>ROUND($K$123*$L$123,2)</f>
        <v>0</v>
      </c>
      <c r="N123" s="25"/>
      <c r="O123" s="25">
        <f t="array" ref="O123">INDEX(М[Форма закупа],MATCH(1,IF(($B123=М[Наим.])*($C123=М[Артикул,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0</v>
      </c>
    </row>
    <row r="124" spans="1:15" outlineLevel="4" x14ac:dyDescent="0.2">
      <c r="A124" s="20"/>
      <c r="B124" s="14" t="s">
        <v>25</v>
      </c>
      <c r="C124" s="21"/>
      <c r="D124" s="21"/>
      <c r="E124" s="21"/>
      <c r="F124" s="21"/>
      <c r="G124" s="21"/>
      <c r="H124" s="21"/>
      <c r="I124" s="21"/>
      <c r="J124" s="21"/>
      <c r="K124" s="21"/>
      <c r="L124" s="53"/>
      <c r="M124" s="54">
        <f>SUM($M$125)</f>
        <v>0</v>
      </c>
      <c r="N124" s="18"/>
      <c r="O124" s="22"/>
    </row>
    <row r="125" spans="1:15" outlineLevel="4" x14ac:dyDescent="0.2">
      <c r="A125" s="23"/>
      <c r="B125" s="24" t="s">
        <v>104</v>
      </c>
      <c r="C125" s="25"/>
      <c r="D125" s="25"/>
      <c r="E125" s="26" t="s">
        <v>37</v>
      </c>
      <c r="F125" s="27"/>
      <c r="G125" s="29">
        <v>94</v>
      </c>
      <c r="H125" s="29">
        <v>94</v>
      </c>
      <c r="I125" s="29">
        <v>53</v>
      </c>
      <c r="J125" s="29">
        <v>75</v>
      </c>
      <c r="K125" s="29">
        <f>SUM($G$125:$J$125)</f>
        <v>316</v>
      </c>
      <c r="L125" s="55">
        <f t="array" ref="L125">INDEX(Р[Цена за ед., руб],MATCH(1,IF(($B125=Р[Наименование])*($N125=Р[Примечание]),{1},($B125=Р[Наименование])*($N125=Р[Примечание])),0))</f>
        <v>0</v>
      </c>
      <c r="M125" s="55">
        <f>ROUND($K$125*$L$125,2)</f>
        <v>0</v>
      </c>
      <c r="N125" s="25"/>
      <c r="O125" s="25"/>
    </row>
    <row r="126" spans="1:15" outlineLevel="4" x14ac:dyDescent="0.2">
      <c r="A126" s="20"/>
      <c r="B126" s="14" t="s">
        <v>25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53"/>
      <c r="M126" s="54">
        <f>SUM($M$127)</f>
        <v>0</v>
      </c>
      <c r="N126" s="18"/>
      <c r="O126" s="22"/>
    </row>
    <row r="127" spans="1:15" outlineLevel="4" x14ac:dyDescent="0.2">
      <c r="A127" s="23"/>
      <c r="B127" s="24" t="s">
        <v>65</v>
      </c>
      <c r="C127" s="25"/>
      <c r="D127" s="25"/>
      <c r="E127" s="26" t="s">
        <v>33</v>
      </c>
      <c r="F127" s="27"/>
      <c r="G127" s="29">
        <v>93</v>
      </c>
      <c r="H127" s="29">
        <v>108</v>
      </c>
      <c r="I127" s="29">
        <v>97</v>
      </c>
      <c r="J127" s="29">
        <v>108</v>
      </c>
      <c r="K127" s="29">
        <f>SUM($G$127:$J$127)</f>
        <v>406</v>
      </c>
      <c r="L127" s="55">
        <f t="array" ref="L127">INDEX(Р[Цена за ед., руб],MATCH(1,IF(($B127=Р[Наименование])*($N127=Р[Примечание]),{1},($B127=Р[Наименование])*($N127=Р[Примечание])),0))</f>
        <v>0</v>
      </c>
      <c r="M127" s="55">
        <f>ROUND($K$127*$L$127,2)</f>
        <v>0</v>
      </c>
      <c r="N127" s="25"/>
      <c r="O127" s="25"/>
    </row>
    <row r="128" spans="1:15" outlineLevel="4" x14ac:dyDescent="0.2">
      <c r="A128" s="20"/>
      <c r="B128" s="14" t="s">
        <v>28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53"/>
      <c r="M128" s="54">
        <f>SUM($M$129:$M$131)</f>
        <v>0</v>
      </c>
      <c r="N128" s="18"/>
      <c r="O128" s="22"/>
    </row>
    <row r="129" spans="1:15" ht="45" outlineLevel="4" x14ac:dyDescent="0.2">
      <c r="A129" s="97" t="s">
        <v>29</v>
      </c>
      <c r="B129" s="24" t="s">
        <v>66</v>
      </c>
      <c r="C129" s="25"/>
      <c r="D129" s="25" t="s">
        <v>67</v>
      </c>
      <c r="E129" s="26" t="s">
        <v>33</v>
      </c>
      <c r="F129" s="27"/>
      <c r="G129" s="29">
        <v>20</v>
      </c>
      <c r="H129" s="29">
        <v>23</v>
      </c>
      <c r="I129" s="29">
        <v>23</v>
      </c>
      <c r="J129" s="29">
        <v>23</v>
      </c>
      <c r="K129" s="29">
        <f>SUM($G$129:$J$129)</f>
        <v>89</v>
      </c>
      <c r="L129" s="55">
        <f t="array" ref="L129">INDEX(М[Цена за ед., руб],MATCH(1,IF(($B129=М[Наим.])*($C129=М[Артикул,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0</v>
      </c>
      <c r="M129" s="55">
        <f>ROUND($K$129*$L$129,2)</f>
        <v>0</v>
      </c>
      <c r="N129" s="25"/>
      <c r="O129" s="25">
        <f t="array" ref="O129">INDEX(М[Форма закупа],MATCH(1,IF(($B129=М[Наим.])*($C129=М[Артикул,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0</v>
      </c>
    </row>
    <row r="130" spans="1:15" ht="45" outlineLevel="4" x14ac:dyDescent="0.2">
      <c r="A130" s="97" t="s">
        <v>34</v>
      </c>
      <c r="B130" s="24" t="s">
        <v>66</v>
      </c>
      <c r="C130" s="25"/>
      <c r="D130" s="25" t="s">
        <v>105</v>
      </c>
      <c r="E130" s="26" t="s">
        <v>33</v>
      </c>
      <c r="F130" s="27"/>
      <c r="G130" s="29">
        <v>13</v>
      </c>
      <c r="H130" s="29">
        <v>16</v>
      </c>
      <c r="I130" s="29">
        <v>14</v>
      </c>
      <c r="J130" s="29">
        <v>16</v>
      </c>
      <c r="K130" s="29">
        <f>SUM($G$130:$J$130)</f>
        <v>59</v>
      </c>
      <c r="L130" s="55">
        <f t="array" ref="L130">INDEX(М[Цена за ед., руб],MATCH(1,IF(($B130=М[Наим.])*($C130=М[Артикул, марка, произв.])*($D130=М[Хар-ка])*($N130=М[Прим.]),{1},($B130=М[Наим.])*($C130=М[Артикул, марка, произв.])*($D130=М[Хар-ка])*($N130=М[Прим.])),0))</f>
        <v>0</v>
      </c>
      <c r="M130" s="55">
        <f>ROUND($K$130*$L$130,2)</f>
        <v>0</v>
      </c>
      <c r="N130" s="25"/>
      <c r="O130" s="25">
        <f t="array" ref="O130">INDEX(М[Форма закупа],MATCH(1,IF(($B130=М[Наим.])*($C130=М[Артикул, марка, произв.])*($D130=М[Хар-ка])*($N130=М[Прим.]),{1},($B130=М[Наим.])*($C130=М[Артикул, марка, произв.])*($D130=М[Хар-ка])*($N130=М[Прим.])),0))</f>
        <v>0</v>
      </c>
    </row>
    <row r="131" spans="1:15" ht="45" outlineLevel="4" x14ac:dyDescent="0.2">
      <c r="A131" s="97" t="s">
        <v>49</v>
      </c>
      <c r="B131" s="24" t="s">
        <v>66</v>
      </c>
      <c r="C131" s="25"/>
      <c r="D131" s="25" t="s">
        <v>106</v>
      </c>
      <c r="E131" s="26" t="s">
        <v>33</v>
      </c>
      <c r="F131" s="27"/>
      <c r="G131" s="29">
        <v>60</v>
      </c>
      <c r="H131" s="29">
        <v>69</v>
      </c>
      <c r="I131" s="29">
        <v>60</v>
      </c>
      <c r="J131" s="29">
        <v>69</v>
      </c>
      <c r="K131" s="29">
        <f>SUM($G$131:$J$131)</f>
        <v>258</v>
      </c>
      <c r="L131" s="55">
        <f t="array" ref="L131">INDEX(М[Цена за ед., руб],MATCH(1,IF(($B131=М[Наим.])*($C131=М[Артикул, марка, произв.])*($D131=М[Хар-ка])*($N131=М[Прим.]),{1},($B131=М[Наим.])*($C131=М[Артикул, марка, произв.])*($D131=М[Хар-ка])*($N131=М[Прим.])),0))</f>
        <v>0</v>
      </c>
      <c r="M131" s="55">
        <f>ROUND($K$131*$L$131,2)</f>
        <v>0</v>
      </c>
      <c r="N131" s="25"/>
      <c r="O131" s="25">
        <f t="array" ref="O131">INDEX(М[Форма закупа],MATCH(1,IF(($B131=М[Наим.])*($C131=М[Артикул, марка, произв.])*($D131=М[Хар-ка])*($N131=М[Прим.]),{1},($B131=М[Наим.])*($C131=М[Артикул, марка, произв.])*($D131=М[Хар-ка])*($N131=М[Прим.])),0))</f>
        <v>0</v>
      </c>
    </row>
    <row r="132" spans="1:15" outlineLevel="3" x14ac:dyDescent="0.2">
      <c r="A132" s="13" t="s">
        <v>109</v>
      </c>
      <c r="B132" s="14" t="s">
        <v>110</v>
      </c>
      <c r="C132" s="15"/>
      <c r="D132" s="15"/>
      <c r="E132" s="16"/>
      <c r="F132" s="17"/>
      <c r="G132" s="18"/>
      <c r="H132" s="18"/>
      <c r="I132" s="18"/>
      <c r="J132" s="18"/>
      <c r="K132" s="18"/>
      <c r="L132" s="52"/>
      <c r="M132" s="52">
        <f>SUM($M$160,$M$158,$M$155,$M$153,$M$150,$M$148,$M$146,$M$144,$M$142,$M$140,$M$137,$M$135,$M$133)</f>
        <v>0</v>
      </c>
      <c r="N132" s="19"/>
      <c r="O132" s="19"/>
    </row>
    <row r="133" spans="1:15" outlineLevel="4" x14ac:dyDescent="0.2">
      <c r="A133" s="20"/>
      <c r="B133" s="14" t="s">
        <v>25</v>
      </c>
      <c r="C133" s="21"/>
      <c r="D133" s="21"/>
      <c r="E133" s="21"/>
      <c r="F133" s="21"/>
      <c r="G133" s="21"/>
      <c r="H133" s="21"/>
      <c r="I133" s="21"/>
      <c r="J133" s="21"/>
      <c r="K133" s="21"/>
      <c r="L133" s="53"/>
      <c r="M133" s="54">
        <f>SUM($M$134)</f>
        <v>0</v>
      </c>
      <c r="N133" s="18"/>
      <c r="O133" s="22"/>
    </row>
    <row r="134" spans="1:15" outlineLevel="4" x14ac:dyDescent="0.2">
      <c r="A134" s="23"/>
      <c r="B134" s="24" t="s">
        <v>84</v>
      </c>
      <c r="C134" s="25"/>
      <c r="D134" s="25"/>
      <c r="E134" s="26" t="s">
        <v>37</v>
      </c>
      <c r="F134" s="27"/>
      <c r="G134" s="29">
        <v>22</v>
      </c>
      <c r="H134" s="29">
        <v>24</v>
      </c>
      <c r="I134" s="29">
        <v>24</v>
      </c>
      <c r="J134" s="29">
        <v>24</v>
      </c>
      <c r="K134" s="29">
        <f>SUM($G$134:$J$134)</f>
        <v>94</v>
      </c>
      <c r="L134" s="55">
        <f t="array" ref="L134">INDEX(Р[Цена за ед., руб],MATCH(1,IF(($B134=Р[Наименование])*($N134=Р[Примечание]),{1},($B134=Р[Наименование])*($N134=Р[Примечание])),0))</f>
        <v>0</v>
      </c>
      <c r="M134" s="55">
        <f>ROUND($K$134*$L$134,2)</f>
        <v>0</v>
      </c>
      <c r="N134" s="25"/>
      <c r="O134" s="25"/>
    </row>
    <row r="135" spans="1:15" outlineLevel="4" x14ac:dyDescent="0.2">
      <c r="A135" s="20"/>
      <c r="B135" s="14" t="s">
        <v>25</v>
      </c>
      <c r="C135" s="21"/>
      <c r="D135" s="21"/>
      <c r="E135" s="21"/>
      <c r="F135" s="21"/>
      <c r="G135" s="21"/>
      <c r="H135" s="21"/>
      <c r="I135" s="21"/>
      <c r="J135" s="21"/>
      <c r="K135" s="21"/>
      <c r="L135" s="53"/>
      <c r="M135" s="54">
        <f>SUM($M$136)</f>
        <v>0</v>
      </c>
      <c r="N135" s="18"/>
      <c r="O135" s="22"/>
    </row>
    <row r="136" spans="1:15" outlineLevel="4" x14ac:dyDescent="0.2">
      <c r="A136" s="23"/>
      <c r="B136" s="24" t="s">
        <v>26</v>
      </c>
      <c r="C136" s="25"/>
      <c r="D136" s="25"/>
      <c r="E136" s="26" t="s">
        <v>27</v>
      </c>
      <c r="F136" s="27"/>
      <c r="G136" s="29">
        <v>58</v>
      </c>
      <c r="H136" s="29">
        <v>65</v>
      </c>
      <c r="I136" s="29">
        <v>57</v>
      </c>
      <c r="J136" s="29">
        <v>65</v>
      </c>
      <c r="K136" s="29">
        <f>SUM($G$136:$J$136)</f>
        <v>245</v>
      </c>
      <c r="L136" s="55">
        <f t="array" ref="L136">INDEX(Р[Цена за ед., руб],MATCH(1,IF(($B136=Р[Наименование])*($N136=Р[Примечание]),{1},($B136=Р[Наименование])*($N136=Р[Примечание])),0))</f>
        <v>0</v>
      </c>
      <c r="M136" s="55">
        <f>ROUND($K$136*$L$136,2)</f>
        <v>0</v>
      </c>
      <c r="N136" s="25"/>
      <c r="O136" s="25"/>
    </row>
    <row r="137" spans="1:15" outlineLevel="4" x14ac:dyDescent="0.2">
      <c r="A137" s="20"/>
      <c r="B137" s="14" t="s">
        <v>28</v>
      </c>
      <c r="C137" s="21"/>
      <c r="D137" s="21"/>
      <c r="E137" s="21"/>
      <c r="F137" s="21"/>
      <c r="G137" s="21"/>
      <c r="H137" s="21"/>
      <c r="I137" s="21"/>
      <c r="J137" s="21"/>
      <c r="K137" s="21"/>
      <c r="L137" s="53"/>
      <c r="M137" s="54">
        <f>SUM($M$138:$M$139)</f>
        <v>0</v>
      </c>
      <c r="N137" s="18"/>
      <c r="O137" s="22"/>
    </row>
    <row r="138" spans="1:15" ht="33.75" outlineLevel="4" x14ac:dyDescent="0.2">
      <c r="A138" s="23" t="s">
        <v>29</v>
      </c>
      <c r="B138" s="24" t="s">
        <v>30</v>
      </c>
      <c r="C138" s="25" t="s">
        <v>31</v>
      </c>
      <c r="D138" s="25" t="s">
        <v>111</v>
      </c>
      <c r="E138" s="26" t="s">
        <v>33</v>
      </c>
      <c r="F138" s="27"/>
      <c r="G138" s="29">
        <v>54</v>
      </c>
      <c r="H138" s="29">
        <v>61</v>
      </c>
      <c r="I138" s="29">
        <v>53</v>
      </c>
      <c r="J138" s="29">
        <v>61</v>
      </c>
      <c r="K138" s="29">
        <f>SUM($G$138:$J$138)</f>
        <v>229</v>
      </c>
      <c r="L138" s="55">
        <f t="array" ref="L138">INDEX(М[Цена за ед., руб],MATCH(1,IF(($B138=М[Наим.])*($C138=М[Артикул, марка, произв.])*($D138=М[Хар-ка])*($N138=М[Прим.]),{1},($B138=М[Наим.])*($C138=М[Артикул, марка, произв.])*($D138=М[Хар-ка])*($N138=М[Прим.])),0))</f>
        <v>0</v>
      </c>
      <c r="M138" s="55">
        <f>ROUND($K$138*$L$138,2)</f>
        <v>0</v>
      </c>
      <c r="N138" s="25"/>
      <c r="O138" s="25">
        <f t="array" ref="O138">INDEX(М[Форма закупа],MATCH(1,IF(($B138=М[Наим.])*($C138=М[Артикул, марка, произв.])*($D138=М[Хар-ка])*($N138=М[Прим.]),{1},($B138=М[Наим.])*($C138=М[Артикул, марка, произв.])*($D138=М[Хар-ка])*($N138=М[Прим.])),0))</f>
        <v>0</v>
      </c>
    </row>
    <row r="139" spans="1:15" ht="33.75" outlineLevel="4" x14ac:dyDescent="0.2">
      <c r="A139" s="23" t="s">
        <v>34</v>
      </c>
      <c r="B139" s="24" t="s">
        <v>30</v>
      </c>
      <c r="C139" s="25" t="s">
        <v>31</v>
      </c>
      <c r="D139" s="25" t="s">
        <v>35</v>
      </c>
      <c r="E139" s="26" t="s">
        <v>33</v>
      </c>
      <c r="F139" s="27"/>
      <c r="G139" s="29">
        <v>4</v>
      </c>
      <c r="H139" s="29">
        <v>4</v>
      </c>
      <c r="I139" s="29">
        <v>4</v>
      </c>
      <c r="J139" s="29">
        <v>4</v>
      </c>
      <c r="K139" s="29">
        <f>SUM($G$139:$J$139)</f>
        <v>16</v>
      </c>
      <c r="L139" s="55">
        <f t="array" ref="L139">INDEX(М[Цена за ед., руб],MATCH(1,IF(($B139=М[Наим.])*($C139=М[Артикул, марка, произв.])*($D139=М[Хар-ка])*($N139=М[Прим.]),{1},($B139=М[Наим.])*($C139=М[Артикул, марка, произв.])*($D139=М[Хар-ка])*($N139=М[Прим.])),0))</f>
        <v>0</v>
      </c>
      <c r="M139" s="55">
        <f>ROUND($K$139*$L$139,2)</f>
        <v>0</v>
      </c>
      <c r="N139" s="25"/>
      <c r="O139" s="25">
        <f t="array" ref="O139">INDEX(М[Форма закупа],MATCH(1,IF(($B139=М[Наим.])*($C139=М[Артикул, марка, произв.])*($D139=М[Хар-ка])*($N139=М[Прим.]),{1},($B139=М[Наим.])*($C139=М[Артикул, марка, произв.])*($D139=М[Хар-ка])*($N139=М[Прим.])),0))</f>
        <v>0</v>
      </c>
    </row>
    <row r="140" spans="1:15" outlineLevel="4" x14ac:dyDescent="0.2">
      <c r="A140" s="20"/>
      <c r="B140" s="14" t="s">
        <v>25</v>
      </c>
      <c r="C140" s="21"/>
      <c r="D140" s="21"/>
      <c r="E140" s="21"/>
      <c r="F140" s="21"/>
      <c r="G140" s="21"/>
      <c r="H140" s="21"/>
      <c r="I140" s="21"/>
      <c r="J140" s="21"/>
      <c r="K140" s="21"/>
      <c r="L140" s="53"/>
      <c r="M140" s="54">
        <f>SUM($M$141)</f>
        <v>0</v>
      </c>
      <c r="N140" s="18"/>
      <c r="O140" s="22"/>
    </row>
    <row r="141" spans="1:15" ht="22.5" outlineLevel="4" x14ac:dyDescent="0.2">
      <c r="A141" s="23"/>
      <c r="B141" s="24" t="s">
        <v>36</v>
      </c>
      <c r="C141" s="25"/>
      <c r="D141" s="25"/>
      <c r="E141" s="26" t="s">
        <v>37</v>
      </c>
      <c r="F141" s="27"/>
      <c r="G141" s="29">
        <v>2</v>
      </c>
      <c r="H141" s="29">
        <v>2</v>
      </c>
      <c r="I141" s="29">
        <v>2</v>
      </c>
      <c r="J141" s="29">
        <v>2</v>
      </c>
      <c r="K141" s="29">
        <f>SUM($G$141:$J$141)</f>
        <v>8</v>
      </c>
      <c r="L141" s="55">
        <f t="array" ref="L141">INDEX(Р[Цена за ед., руб],MATCH(1,IF(($B141=Р[Наименование])*($N141=Р[Примечание]),{1},($B141=Р[Наименование])*($N141=Р[Примечание])),0))</f>
        <v>0</v>
      </c>
      <c r="M141" s="55">
        <f>ROUND($K$141*$L$141,2)</f>
        <v>0</v>
      </c>
      <c r="N141" s="25"/>
      <c r="O141" s="25"/>
    </row>
    <row r="142" spans="1:15" outlineLevel="4" x14ac:dyDescent="0.2">
      <c r="A142" s="20"/>
      <c r="B142" s="14" t="s">
        <v>28</v>
      </c>
      <c r="C142" s="21"/>
      <c r="D142" s="21"/>
      <c r="E142" s="21"/>
      <c r="F142" s="21"/>
      <c r="G142" s="21"/>
      <c r="H142" s="21"/>
      <c r="I142" s="21"/>
      <c r="J142" s="21"/>
      <c r="K142" s="21"/>
      <c r="L142" s="53"/>
      <c r="M142" s="54">
        <f>SUM($M$143)</f>
        <v>0</v>
      </c>
      <c r="N142" s="18"/>
      <c r="O142" s="22"/>
    </row>
    <row r="143" spans="1:15" ht="22.5" outlineLevel="4" x14ac:dyDescent="0.2">
      <c r="A143" s="23" t="s">
        <v>29</v>
      </c>
      <c r="B143" s="24" t="s">
        <v>38</v>
      </c>
      <c r="C143" s="25" t="s">
        <v>39</v>
      </c>
      <c r="D143" s="25" t="s">
        <v>40</v>
      </c>
      <c r="E143" s="26" t="s">
        <v>37</v>
      </c>
      <c r="F143" s="27"/>
      <c r="G143" s="29">
        <v>2</v>
      </c>
      <c r="H143" s="29">
        <v>2</v>
      </c>
      <c r="I143" s="29">
        <v>2</v>
      </c>
      <c r="J143" s="29">
        <v>2</v>
      </c>
      <c r="K143" s="29">
        <f>SUM($G$143:$J$143)</f>
        <v>8</v>
      </c>
      <c r="L143" s="55">
        <f t="array" ref="L143">INDEX(М[Цена за ед., руб],MATCH(1,IF(($B143=М[Наим.])*($C143=М[Артикул, марка, произв.])*($D143=М[Хар-ка])*($N143=М[Прим.]),{1},($B143=М[Наим.])*($C143=М[Артикул, марка, произв.])*($D143=М[Хар-ка])*($N143=М[Прим.])),0))</f>
        <v>0</v>
      </c>
      <c r="M143" s="55">
        <f>ROUND($K$143*$L$143,2)</f>
        <v>0</v>
      </c>
      <c r="N143" s="25"/>
      <c r="O143" s="25">
        <f t="array" ref="O143">INDEX(М[Форма закупа],MATCH(1,IF(($B143=М[Наим.])*($C143=М[Артикул, марка, произв.])*($D143=М[Хар-ка])*($N143=М[Прим.]),{1},($B143=М[Наим.])*($C143=М[Артикул, марка, произв.])*($D143=М[Хар-ка])*($N143=М[Прим.])),0))</f>
        <v>0</v>
      </c>
    </row>
    <row r="144" spans="1:15" outlineLevel="4" x14ac:dyDescent="0.2">
      <c r="A144" s="20"/>
      <c r="B144" s="14" t="s">
        <v>25</v>
      </c>
      <c r="C144" s="21"/>
      <c r="D144" s="21"/>
      <c r="E144" s="21"/>
      <c r="F144" s="21"/>
      <c r="G144" s="21"/>
      <c r="H144" s="21"/>
      <c r="I144" s="21"/>
      <c r="J144" s="21"/>
      <c r="K144" s="21"/>
      <c r="L144" s="53"/>
      <c r="M144" s="54">
        <f>SUM($M$145)</f>
        <v>0</v>
      </c>
      <c r="N144" s="18"/>
      <c r="O144" s="22"/>
    </row>
    <row r="145" spans="1:15" outlineLevel="4" x14ac:dyDescent="0.2">
      <c r="A145" s="23"/>
      <c r="B145" s="24" t="s">
        <v>85</v>
      </c>
      <c r="C145" s="25"/>
      <c r="D145" s="25"/>
      <c r="E145" s="26" t="s">
        <v>86</v>
      </c>
      <c r="F145" s="27"/>
      <c r="G145" s="29">
        <v>2</v>
      </c>
      <c r="H145" s="29">
        <v>2</v>
      </c>
      <c r="I145" s="29">
        <v>2</v>
      </c>
      <c r="J145" s="29">
        <v>2</v>
      </c>
      <c r="K145" s="29">
        <f>SUM($G$145:$J$145)</f>
        <v>8</v>
      </c>
      <c r="L145" s="55">
        <f t="array" ref="L145">INDEX(Р[Цена за ед., руб],MATCH(1,IF(($B145=Р[Наименование])*($N145=Р[Примечание]),{1},($B145=Р[Наименование])*($N145=Р[Примечание])),0))</f>
        <v>0</v>
      </c>
      <c r="M145" s="55">
        <f>ROUND($K$145*$L$145,2)</f>
        <v>0</v>
      </c>
      <c r="N145" s="25"/>
      <c r="O145" s="25"/>
    </row>
    <row r="146" spans="1:15" outlineLevel="4" x14ac:dyDescent="0.2">
      <c r="A146" s="20"/>
      <c r="B146" s="14" t="s">
        <v>28</v>
      </c>
      <c r="C146" s="21"/>
      <c r="D146" s="21"/>
      <c r="E146" s="21"/>
      <c r="F146" s="21"/>
      <c r="G146" s="21"/>
      <c r="H146" s="21"/>
      <c r="I146" s="21"/>
      <c r="J146" s="21"/>
      <c r="K146" s="21"/>
      <c r="L146" s="53"/>
      <c r="M146" s="54">
        <f>SUM($M$147)</f>
        <v>0</v>
      </c>
      <c r="N146" s="18"/>
      <c r="O146" s="22"/>
    </row>
    <row r="147" spans="1:15" ht="22.5" outlineLevel="4" x14ac:dyDescent="0.2">
      <c r="A147" s="23" t="s">
        <v>29</v>
      </c>
      <c r="B147" s="24" t="s">
        <v>87</v>
      </c>
      <c r="C147" s="25"/>
      <c r="D147" s="25" t="s">
        <v>88</v>
      </c>
      <c r="E147" s="26" t="s">
        <v>86</v>
      </c>
      <c r="F147" s="27"/>
      <c r="G147" s="29">
        <v>2</v>
      </c>
      <c r="H147" s="29">
        <v>2</v>
      </c>
      <c r="I147" s="29">
        <v>2</v>
      </c>
      <c r="J147" s="29">
        <v>2</v>
      </c>
      <c r="K147" s="29">
        <f>SUM($G$147:$J$147)</f>
        <v>8</v>
      </c>
      <c r="L147" s="55">
        <f t="array" ref="L147">INDEX(М[Цена за ед., руб],MATCH(1,IF(($B147=М[Наим.])*($C147=М[Артикул, марка, произв.])*($D147=М[Хар-ка])*($N147=М[Прим.]),{1},($B147=М[Наим.])*($C147=М[Артикул, марка, произв.])*($D147=М[Хар-ка])*($N147=М[Прим.])),0))</f>
        <v>0</v>
      </c>
      <c r="M147" s="55">
        <f>ROUND($K$147*$L$147,2)</f>
        <v>0</v>
      </c>
      <c r="N147" s="25" t="s">
        <v>89</v>
      </c>
      <c r="O147" s="25">
        <f t="array" ref="O147">INDEX(М[Форма закупа],MATCH(1,IF(($B147=М[Наим.])*($C147=М[Артикул, марка, произв.])*($D147=М[Хар-ка])*($N147=М[Прим.]),{1},($B147=М[Наим.])*($C147=М[Артикул, марка, произв.])*($D147=М[Хар-ка])*($N147=М[Прим.])),0))</f>
        <v>0</v>
      </c>
    </row>
    <row r="148" spans="1:15" outlineLevel="4" x14ac:dyDescent="0.2">
      <c r="A148" s="20"/>
      <c r="B148" s="14" t="s">
        <v>25</v>
      </c>
      <c r="C148" s="21"/>
      <c r="D148" s="21"/>
      <c r="E148" s="21"/>
      <c r="F148" s="21"/>
      <c r="G148" s="21"/>
      <c r="H148" s="21"/>
      <c r="I148" s="21"/>
      <c r="J148" s="21"/>
      <c r="K148" s="21"/>
      <c r="L148" s="53"/>
      <c r="M148" s="54">
        <f>SUM($M$149)</f>
        <v>0</v>
      </c>
      <c r="N148" s="18"/>
      <c r="O148" s="22"/>
    </row>
    <row r="149" spans="1:15" ht="22.5" outlineLevel="4" x14ac:dyDescent="0.2">
      <c r="A149" s="23"/>
      <c r="B149" s="24" t="s">
        <v>55</v>
      </c>
      <c r="C149" s="25"/>
      <c r="D149" s="25"/>
      <c r="E149" s="26" t="s">
        <v>37</v>
      </c>
      <c r="F149" s="27"/>
      <c r="G149" s="29">
        <v>4</v>
      </c>
      <c r="H149" s="29">
        <v>4</v>
      </c>
      <c r="I149" s="29">
        <v>4</v>
      </c>
      <c r="J149" s="29">
        <v>4</v>
      </c>
      <c r="K149" s="29">
        <f>SUM($G$149:$J$149)</f>
        <v>16</v>
      </c>
      <c r="L149" s="55">
        <f t="array" ref="L149">INDEX(Р[Цена за ед., руб],MATCH(1,IF(($B149=Р[Наименование])*($N149=Р[Примечание]),{1},($B149=Р[Наименование])*($N149=Р[Примечание])),0))</f>
        <v>0</v>
      </c>
      <c r="M149" s="55">
        <f>ROUND($K$149*$L$149,2)</f>
        <v>0</v>
      </c>
      <c r="N149" s="25"/>
      <c r="O149" s="25"/>
    </row>
    <row r="150" spans="1:15" outlineLevel="4" x14ac:dyDescent="0.2">
      <c r="A150" s="20"/>
      <c r="B150" s="14" t="s">
        <v>28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53"/>
      <c r="M150" s="54">
        <f>SUM($M$151:$M$152)</f>
        <v>0</v>
      </c>
      <c r="N150" s="18"/>
      <c r="O150" s="22"/>
    </row>
    <row r="151" spans="1:15" ht="33.75" outlineLevel="4" x14ac:dyDescent="0.2">
      <c r="A151" s="23" t="s">
        <v>29</v>
      </c>
      <c r="B151" s="24" t="s">
        <v>52</v>
      </c>
      <c r="C151" s="25" t="s">
        <v>39</v>
      </c>
      <c r="D151" s="25" t="s">
        <v>112</v>
      </c>
      <c r="E151" s="26" t="s">
        <v>37</v>
      </c>
      <c r="F151" s="27"/>
      <c r="G151" s="29">
        <v>2</v>
      </c>
      <c r="H151" s="29">
        <v>2</v>
      </c>
      <c r="I151" s="29">
        <v>2</v>
      </c>
      <c r="J151" s="29">
        <v>2</v>
      </c>
      <c r="K151" s="29">
        <f>SUM($G$151:$J$151)</f>
        <v>8</v>
      </c>
      <c r="L151" s="55">
        <f t="array" ref="L151">INDEX(М[Цена за ед., руб],MATCH(1,IF(($B151=М[Наим.])*($C151=М[Артикул, марка, произв.])*($D151=М[Хар-ка])*($N151=М[Прим.]),{1},($B151=М[Наим.])*($C151=М[Артикул, марка, произв.])*($D151=М[Хар-ка])*($N151=М[Прим.])),0))</f>
        <v>0</v>
      </c>
      <c r="M151" s="55">
        <f>ROUND($K$151*$L$151,2)</f>
        <v>0</v>
      </c>
      <c r="N151" s="25"/>
      <c r="O151" s="25">
        <f t="array" ref="O151">INDEX(М[Форма закупа],MATCH(1,IF(($B151=М[Наим.])*($C151=М[Артикул, марка, произв.])*($D151=М[Хар-ка])*($N151=М[Прим.]),{1},($B151=М[Наим.])*($C151=М[Артикул, марка, произв.])*($D151=М[Хар-ка])*($N151=М[Прим.])),0))</f>
        <v>0</v>
      </c>
    </row>
    <row r="152" spans="1:15" ht="22.5" outlineLevel="4" x14ac:dyDescent="0.2">
      <c r="A152" s="23" t="s">
        <v>34</v>
      </c>
      <c r="B152" s="24" t="s">
        <v>52</v>
      </c>
      <c r="C152" s="25" t="s">
        <v>39</v>
      </c>
      <c r="D152" s="25" t="s">
        <v>56</v>
      </c>
      <c r="E152" s="26" t="s">
        <v>37</v>
      </c>
      <c r="F152" s="27"/>
      <c r="G152" s="29">
        <v>2</v>
      </c>
      <c r="H152" s="29">
        <v>2</v>
      </c>
      <c r="I152" s="29">
        <v>2</v>
      </c>
      <c r="J152" s="29">
        <v>2</v>
      </c>
      <c r="K152" s="29">
        <f>SUM($G$152:$J$152)</f>
        <v>8</v>
      </c>
      <c r="L152" s="55">
        <f t="array" ref="L152">INDEX(М[Цена за ед., руб],MATCH(1,IF(($B152=М[Наим.])*($C152=М[Артикул, марка, произв.])*($D152=М[Хар-ка])*($N152=М[Прим.]),{1},($B152=М[Наим.])*($C152=М[Артикул, марка, произв.])*($D152=М[Хар-ка])*($N152=М[Прим.])),0))</f>
        <v>0</v>
      </c>
      <c r="M152" s="55">
        <f>ROUND($K$152*$L$152,2)</f>
        <v>0</v>
      </c>
      <c r="N152" s="25"/>
      <c r="O152" s="25">
        <f t="array" ref="O152">INDEX(М[Форма закупа],MATCH(1,IF(($B152=М[Наим.])*($C152=М[Артикул, марка, произв.])*($D152=М[Хар-ка])*($N152=М[Прим.]),{1},($B152=М[Наим.])*($C152=М[Артикул, марка, произв.])*($D152=М[Хар-ка])*($N152=М[Прим.])),0))</f>
        <v>0</v>
      </c>
    </row>
    <row r="153" spans="1:15" outlineLevel="4" x14ac:dyDescent="0.2">
      <c r="A153" s="20"/>
      <c r="B153" s="14" t="s">
        <v>25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53"/>
      <c r="M153" s="54">
        <f>SUM($M$154)</f>
        <v>0</v>
      </c>
      <c r="N153" s="18"/>
      <c r="O153" s="22"/>
    </row>
    <row r="154" spans="1:15" outlineLevel="4" x14ac:dyDescent="0.2">
      <c r="A154" s="23"/>
      <c r="B154" s="24" t="s">
        <v>90</v>
      </c>
      <c r="C154" s="25"/>
      <c r="D154" s="25"/>
      <c r="E154" s="26" t="s">
        <v>37</v>
      </c>
      <c r="F154" s="27"/>
      <c r="G154" s="29">
        <v>14</v>
      </c>
      <c r="H154" s="29">
        <v>17</v>
      </c>
      <c r="I154" s="29">
        <v>12</v>
      </c>
      <c r="J154" s="29">
        <v>12</v>
      </c>
      <c r="K154" s="29">
        <f>SUM($G$154:$J$154)</f>
        <v>55</v>
      </c>
      <c r="L154" s="55">
        <f t="array" ref="L154">INDEX(Р[Цена за ед., руб],MATCH(1,IF(($B154=Р[Наименование])*($N154=Р[Примечание]),{1},($B154=Р[Наименование])*($N154=Р[Примечание])),0))</f>
        <v>0</v>
      </c>
      <c r="M154" s="55">
        <f>ROUND($K$154*$L$154,2)</f>
        <v>0</v>
      </c>
      <c r="N154" s="25"/>
      <c r="O154" s="25"/>
    </row>
    <row r="155" spans="1:15" outlineLevel="4" x14ac:dyDescent="0.2">
      <c r="A155" s="20"/>
      <c r="B155" s="14" t="s">
        <v>28</v>
      </c>
      <c r="C155" s="21"/>
      <c r="D155" s="21"/>
      <c r="E155" s="21"/>
      <c r="F155" s="21"/>
      <c r="G155" s="21"/>
      <c r="H155" s="21"/>
      <c r="I155" s="21"/>
      <c r="J155" s="21"/>
      <c r="K155" s="21"/>
      <c r="L155" s="53"/>
      <c r="M155" s="54">
        <f>SUM($M$156:$M$157)</f>
        <v>0</v>
      </c>
      <c r="N155" s="18"/>
      <c r="O155" s="22"/>
    </row>
    <row r="156" spans="1:15" outlineLevel="4" x14ac:dyDescent="0.2">
      <c r="A156" s="23" t="s">
        <v>29</v>
      </c>
      <c r="B156" s="24" t="s">
        <v>91</v>
      </c>
      <c r="C156" s="25"/>
      <c r="D156" s="25" t="s">
        <v>113</v>
      </c>
      <c r="E156" s="26" t="s">
        <v>37</v>
      </c>
      <c r="F156" s="27"/>
      <c r="G156" s="29">
        <v>14</v>
      </c>
      <c r="H156" s="27"/>
      <c r="I156" s="29">
        <v>12</v>
      </c>
      <c r="J156" s="29">
        <v>12</v>
      </c>
      <c r="K156" s="29">
        <f>SUM($G$156:$J$156)</f>
        <v>38</v>
      </c>
      <c r="L156" s="55">
        <f t="array" ref="L156">INDEX(М[Цена за ед., руб],MATCH(1,IF(($B156=М[Наим.])*($C156=М[Артикул, марка, произв.])*($D156=М[Хар-ка])*($N156=М[Прим.]),{1},($B156=М[Наим.])*($C156=М[Артикул, марка, произв.])*($D156=М[Хар-ка])*($N156=М[Прим.])),0))</f>
        <v>0</v>
      </c>
      <c r="M156" s="55">
        <f>ROUND($K$156*$L$156,2)</f>
        <v>0</v>
      </c>
      <c r="N156" s="25"/>
      <c r="O156" s="25">
        <f t="array" ref="O156">INDEX(М[Форма закупа],MATCH(1,IF(($B156=М[Наим.])*($C156=М[Артикул, марка, произв.])*($D156=М[Хар-ка])*($N156=М[Прим.]),{1},($B156=М[Наим.])*($C156=М[Артикул, марка, произв.])*($D156=М[Хар-ка])*($N156=М[Прим.])),0))</f>
        <v>0</v>
      </c>
    </row>
    <row r="157" spans="1:15" outlineLevel="4" x14ac:dyDescent="0.2">
      <c r="A157" s="23" t="s">
        <v>34</v>
      </c>
      <c r="B157" s="24" t="s">
        <v>91</v>
      </c>
      <c r="C157" s="25"/>
      <c r="D157" s="25" t="s">
        <v>92</v>
      </c>
      <c r="E157" s="26" t="s">
        <v>37</v>
      </c>
      <c r="F157" s="27"/>
      <c r="G157" s="27"/>
      <c r="H157" s="29">
        <v>17</v>
      </c>
      <c r="I157" s="27"/>
      <c r="J157" s="27"/>
      <c r="K157" s="29">
        <f>SUM($G$157:$J$157)</f>
        <v>17</v>
      </c>
      <c r="L157" s="55">
        <f t="array" ref="L157">INDEX(М[Цена за ед., руб],MATCH(1,IF(($B157=М[Наим.])*($C157=М[Артикул, марка, произв.])*($D157=М[Хар-ка])*($N157=М[Прим.]),{1},($B157=М[Наим.])*($C157=М[Артикул, марка, произв.])*($D157=М[Хар-ка])*($N157=М[Прим.])),0))</f>
        <v>0</v>
      </c>
      <c r="M157" s="55">
        <f>ROUND($K$157*$L$157,2)</f>
        <v>0</v>
      </c>
      <c r="N157" s="25"/>
      <c r="O157" s="25">
        <f t="array" ref="O157">INDEX(М[Форма закупа],MATCH(1,IF(($B157=М[Наим.])*($C157=М[Артикул, марка, произв.])*($D157=М[Хар-ка])*($N157=М[Прим.]),{1},($B157=М[Наим.])*($C157=М[Артикул, марка, произв.])*($D157=М[Хар-ка])*($N157=М[Прим.])),0))</f>
        <v>0</v>
      </c>
    </row>
    <row r="158" spans="1:15" outlineLevel="4" x14ac:dyDescent="0.2">
      <c r="A158" s="20"/>
      <c r="B158" s="14" t="s">
        <v>25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53"/>
      <c r="M158" s="54">
        <f>SUM($M$159)</f>
        <v>0</v>
      </c>
      <c r="N158" s="18"/>
      <c r="O158" s="22"/>
    </row>
    <row r="159" spans="1:15" outlineLevel="4" x14ac:dyDescent="0.2">
      <c r="A159" s="23"/>
      <c r="B159" s="24" t="s">
        <v>65</v>
      </c>
      <c r="C159" s="25"/>
      <c r="D159" s="25"/>
      <c r="E159" s="26" t="s">
        <v>33</v>
      </c>
      <c r="F159" s="27"/>
      <c r="G159" s="29">
        <v>56</v>
      </c>
      <c r="H159" s="29">
        <v>63</v>
      </c>
      <c r="I159" s="29">
        <v>56</v>
      </c>
      <c r="J159" s="29">
        <v>63</v>
      </c>
      <c r="K159" s="29">
        <f>SUM($G$159:$J$159)</f>
        <v>238</v>
      </c>
      <c r="L159" s="55">
        <f t="array" ref="L159">INDEX(Р[Цена за ед., руб],MATCH(1,IF(($B159=Р[Наименование])*($N159=Р[Примечание]),{1},($B159=Р[Наименование])*($N159=Р[Примечание])),0))</f>
        <v>0</v>
      </c>
      <c r="M159" s="55">
        <f>ROUND($K$159*$L$159,2)</f>
        <v>0</v>
      </c>
      <c r="N159" s="25"/>
      <c r="O159" s="25"/>
    </row>
    <row r="160" spans="1:15" outlineLevel="4" x14ac:dyDescent="0.2">
      <c r="A160" s="20"/>
      <c r="B160" s="14" t="s">
        <v>28</v>
      </c>
      <c r="C160" s="21"/>
      <c r="D160" s="21"/>
      <c r="E160" s="21"/>
      <c r="F160" s="21"/>
      <c r="G160" s="21"/>
      <c r="H160" s="21"/>
      <c r="I160" s="21"/>
      <c r="J160" s="21"/>
      <c r="K160" s="21"/>
      <c r="L160" s="53"/>
      <c r="M160" s="54">
        <f>SUM($M$161:$M$162)</f>
        <v>0</v>
      </c>
      <c r="N160" s="18"/>
      <c r="O160" s="22"/>
    </row>
    <row r="161" spans="1:15" ht="45" outlineLevel="4" x14ac:dyDescent="0.2">
      <c r="A161" s="97" t="s">
        <v>29</v>
      </c>
      <c r="B161" s="24" t="s">
        <v>66</v>
      </c>
      <c r="C161" s="25"/>
      <c r="D161" s="25" t="s">
        <v>67</v>
      </c>
      <c r="E161" s="26" t="s">
        <v>33</v>
      </c>
      <c r="F161" s="27"/>
      <c r="G161" s="29">
        <v>2</v>
      </c>
      <c r="H161" s="29">
        <v>2</v>
      </c>
      <c r="I161" s="29">
        <v>3</v>
      </c>
      <c r="J161" s="29">
        <v>2</v>
      </c>
      <c r="K161" s="29">
        <f>SUM($G$161:$J$161)</f>
        <v>9</v>
      </c>
      <c r="L161" s="55">
        <f t="array" ref="L161">INDEX(М[Цена за ед., руб],MATCH(1,IF(($B161=М[Наим.])*($C161=М[Артикул, марка, произв.])*($D161=М[Хар-ка])*($N161=М[Прим.]),{1},($B161=М[Наим.])*($C161=М[Артикул, марка, произв.])*($D161=М[Хар-ка])*($N161=М[Прим.])),0))</f>
        <v>0</v>
      </c>
      <c r="M161" s="55">
        <f>ROUND($K$161*$L$161,2)</f>
        <v>0</v>
      </c>
      <c r="N161" s="25"/>
      <c r="O161" s="25">
        <f t="array" ref="O161">INDEX(М[Форма закупа],MATCH(1,IF(($B161=М[Наим.])*($C161=М[Артикул, марка, произв.])*($D161=М[Хар-ка])*($N161=М[Прим.]),{1},($B161=М[Наим.])*($C161=М[Артикул, марка, произв.])*($D161=М[Хар-ка])*($N161=М[Прим.])),0))</f>
        <v>0</v>
      </c>
    </row>
    <row r="162" spans="1:15" ht="45" outlineLevel="4" x14ac:dyDescent="0.2">
      <c r="A162" s="97" t="s">
        <v>34</v>
      </c>
      <c r="B162" s="24" t="s">
        <v>66</v>
      </c>
      <c r="C162" s="25"/>
      <c r="D162" s="25" t="s">
        <v>114</v>
      </c>
      <c r="E162" s="26" t="s">
        <v>33</v>
      </c>
      <c r="F162" s="27"/>
      <c r="G162" s="29">
        <v>54</v>
      </c>
      <c r="H162" s="29">
        <v>61</v>
      </c>
      <c r="I162" s="29">
        <v>53</v>
      </c>
      <c r="J162" s="29">
        <v>61</v>
      </c>
      <c r="K162" s="29">
        <f>SUM($G$162:$J$162)</f>
        <v>229</v>
      </c>
      <c r="L162" s="55">
        <f t="array" ref="L162">INDEX(М[Цена за ед., руб],MATCH(1,IF(($B162=М[Наим.])*($C162=М[Артикул, марка, произв.])*($D162=М[Хар-ка])*($N162=М[Прим.]),{1},($B162=М[Наим.])*($C162=М[Артикул, марка, произв.])*($D162=М[Хар-ка])*($N162=М[Прим.])),0))</f>
        <v>0</v>
      </c>
      <c r="M162" s="55">
        <f>ROUND($K$162*$L$162,2)</f>
        <v>0</v>
      </c>
      <c r="N162" s="25"/>
      <c r="O162" s="25">
        <f t="array" ref="O162">INDEX(М[Форма закупа],MATCH(1,IF(($B162=М[Наим.])*($C162=М[Артикул, марка, произв.])*($D162=М[Хар-ка])*($N162=М[Прим.]),{1},($B162=М[Наим.])*($C162=М[Артикул, марка, произв.])*($D162=М[Хар-ка])*($N162=М[Прим.])),0))</f>
        <v>0</v>
      </c>
    </row>
    <row r="163" spans="1:15" outlineLevel="2" x14ac:dyDescent="0.2">
      <c r="A163" s="13" t="s">
        <v>115</v>
      </c>
      <c r="B163" s="14" t="s">
        <v>116</v>
      </c>
      <c r="C163" s="15"/>
      <c r="D163" s="15"/>
      <c r="E163" s="16"/>
      <c r="F163" s="17"/>
      <c r="G163" s="18"/>
      <c r="H163" s="18"/>
      <c r="I163" s="18"/>
      <c r="J163" s="18"/>
      <c r="K163" s="18"/>
      <c r="L163" s="52"/>
      <c r="M163" s="52">
        <f ca="1">SUM($M$164)</f>
        <v>0</v>
      </c>
      <c r="N163" s="19"/>
      <c r="O163" s="19"/>
    </row>
    <row r="164" spans="1:15" outlineLevel="3" x14ac:dyDescent="0.2">
      <c r="A164" s="13" t="s">
        <v>117</v>
      </c>
      <c r="B164" s="14" t="s">
        <v>116</v>
      </c>
      <c r="C164" s="15"/>
      <c r="D164" s="15"/>
      <c r="E164" s="16"/>
      <c r="F164" s="17"/>
      <c r="G164" s="18"/>
      <c r="H164" s="18"/>
      <c r="I164" s="18"/>
      <c r="J164" s="18"/>
      <c r="K164" s="18"/>
      <c r="L164" s="52"/>
      <c r="M164" s="52">
        <f ca="1">SUM($M$167,$M$165,M169)</f>
        <v>0</v>
      </c>
      <c r="N164" s="19"/>
      <c r="O164" s="19"/>
    </row>
    <row r="165" spans="1:15" outlineLevel="4" x14ac:dyDescent="0.2">
      <c r="A165" s="20"/>
      <c r="B165" s="14" t="s">
        <v>25</v>
      </c>
      <c r="C165" s="21"/>
      <c r="D165" s="21"/>
      <c r="E165" s="21"/>
      <c r="F165" s="21"/>
      <c r="G165" s="21"/>
      <c r="H165" s="21"/>
      <c r="I165" s="21"/>
      <c r="J165" s="21"/>
      <c r="K165" s="21"/>
      <c r="L165" s="53"/>
      <c r="M165" s="54">
        <f>SUM($M$166)</f>
        <v>0</v>
      </c>
      <c r="N165" s="18"/>
      <c r="O165" s="22"/>
    </row>
    <row r="166" spans="1:15" outlineLevel="4" x14ac:dyDescent="0.2">
      <c r="A166" s="23"/>
      <c r="B166" s="67" t="s">
        <v>149</v>
      </c>
      <c r="C166" s="25"/>
      <c r="D166" s="25"/>
      <c r="E166" s="26" t="s">
        <v>74</v>
      </c>
      <c r="F166" s="27"/>
      <c r="G166" s="29">
        <v>1</v>
      </c>
      <c r="H166" s="29">
        <v>1</v>
      </c>
      <c r="I166" s="29">
        <v>1</v>
      </c>
      <c r="J166" s="29">
        <v>1</v>
      </c>
      <c r="K166" s="29">
        <f>SUM($G$166:$J$166)</f>
        <v>4</v>
      </c>
      <c r="L166" s="55">
        <f t="array" ref="L166">INDEX(Р[Цена за ед., руб],MATCH(1,IF(($B166=Р[Наименование])*($N166=Р[Примечание]),{1},($B166=Р[Наименование])*($N166=Р[Примечание])),0))</f>
        <v>0</v>
      </c>
      <c r="M166" s="55">
        <f>ROUND($K$166*$L$166,2)</f>
        <v>0</v>
      </c>
      <c r="N166" s="25"/>
      <c r="O166" s="25"/>
    </row>
    <row r="167" spans="1:15" outlineLevel="4" x14ac:dyDescent="0.2">
      <c r="A167" s="20"/>
      <c r="B167" s="14" t="s">
        <v>28</v>
      </c>
      <c r="C167" s="21"/>
      <c r="D167" s="21"/>
      <c r="E167" s="21"/>
      <c r="F167" s="21"/>
      <c r="G167" s="21"/>
      <c r="H167" s="21"/>
      <c r="I167" s="21"/>
      <c r="J167" s="21"/>
      <c r="K167" s="21"/>
      <c r="L167" s="53"/>
      <c r="M167" s="54">
        <f>SUM($M$168)</f>
        <v>0</v>
      </c>
      <c r="N167" s="18"/>
      <c r="O167" s="22"/>
    </row>
    <row r="168" spans="1:15" outlineLevel="4" x14ac:dyDescent="0.2">
      <c r="A168" s="23" t="s">
        <v>29</v>
      </c>
      <c r="B168" s="24" t="s">
        <v>118</v>
      </c>
      <c r="C168" s="25"/>
      <c r="D168" s="25" t="s">
        <v>119</v>
      </c>
      <c r="E168" s="26" t="s">
        <v>120</v>
      </c>
      <c r="F168" s="27"/>
      <c r="G168" s="29">
        <v>25</v>
      </c>
      <c r="H168" s="29">
        <v>30</v>
      </c>
      <c r="I168" s="29">
        <v>35</v>
      </c>
      <c r="J168" s="29">
        <v>40</v>
      </c>
      <c r="K168" s="29">
        <f>SUM($G$168:$J$168)</f>
        <v>130</v>
      </c>
      <c r="L168" s="55">
        <f t="array" ref="L168">INDEX(М[Цена за ед., руб],MATCH(1,IF(($B168=М[Наим.])*($C168=М[Артикул, марка, произв.])*($D168=М[Хар-ка])*($N168=М[Прим.]),{1},($B168=М[Наим.])*($C168=М[Артикул, марка, произв.])*($D168=М[Хар-ка])*($N168=М[Прим.])),0))</f>
        <v>0</v>
      </c>
      <c r="M168" s="55">
        <f>ROUND($K$168*$L$168,2)</f>
        <v>0</v>
      </c>
      <c r="N168" s="25" t="s">
        <v>121</v>
      </c>
      <c r="O168" s="25">
        <f t="array" ref="O168">INDEX(М[Форма закупа],MATCH(1,IF(($B168=М[Наим.])*($C168=М[Артикул, марка, произв.])*($D168=М[Хар-ка])*($N168=М[Прим.]),{1},($B168=М[Наим.])*($C168=М[Артикул, марка, произв.])*($D168=М[Хар-ка])*($N168=М[Прим.])),0))</f>
        <v>0</v>
      </c>
    </row>
    <row r="169" spans="1:15" outlineLevel="4" x14ac:dyDescent="0.2">
      <c r="A169" s="20"/>
      <c r="B169" s="70" t="s">
        <v>28</v>
      </c>
      <c r="C169" s="71"/>
      <c r="D169" s="71"/>
      <c r="E169" s="71"/>
      <c r="F169" s="71"/>
      <c r="G169" s="71"/>
      <c r="H169" s="71"/>
      <c r="I169" s="71"/>
      <c r="J169" s="71"/>
      <c r="K169" s="71"/>
      <c r="L169" s="72"/>
      <c r="M169" s="73">
        <f ca="1">SUM(M170:M172)</f>
        <v>0</v>
      </c>
      <c r="N169" s="18"/>
      <c r="O169" s="22"/>
    </row>
    <row r="170" spans="1:15" ht="22.5" outlineLevel="4" x14ac:dyDescent="0.2">
      <c r="A170" s="98">
        <v>1</v>
      </c>
      <c r="B170" s="57" t="s">
        <v>143</v>
      </c>
      <c r="C170" s="69"/>
      <c r="D170" s="69"/>
      <c r="E170" s="59" t="s">
        <v>70</v>
      </c>
      <c r="F170" s="74"/>
      <c r="G170" s="75"/>
      <c r="H170" s="75"/>
      <c r="I170" s="75"/>
      <c r="J170" s="75"/>
      <c r="K170" s="60">
        <f ca="1">SUMIF(М[[Наим.]:[Сумма, руб]],B170,М[Количество])</f>
        <v>0</v>
      </c>
      <c r="L170" s="61"/>
      <c r="M170" s="61">
        <f ca="1">ROUND(SUM(M43:M44)*K170%,3)</f>
        <v>0</v>
      </c>
      <c r="N170" s="68" t="s">
        <v>160</v>
      </c>
      <c r="O170" s="69">
        <f t="array" ref="O170">INDEX(М[Форма закупа],MATCH(1,IF(($B170=М[Наим.])*($C170=М[Артикул, марка, произв.])*($D170=М[Хар-ка])*($N170=М[Прим.]),{1},($B170=М[Наим.])*($C170=М[Артикул, марка, произв.])*($D170=М[Хар-ка])*($N170=М[Прим.])),0))</f>
        <v>0</v>
      </c>
    </row>
    <row r="171" spans="1:15" ht="22.5" outlineLevel="4" x14ac:dyDescent="0.2">
      <c r="A171" s="98">
        <v>2</v>
      </c>
      <c r="B171" s="57" t="s">
        <v>144</v>
      </c>
      <c r="C171" s="69"/>
      <c r="D171" s="69"/>
      <c r="E171" s="59" t="s">
        <v>70</v>
      </c>
      <c r="F171" s="74"/>
      <c r="G171" s="75"/>
      <c r="H171" s="75"/>
      <c r="I171" s="75"/>
      <c r="J171" s="75"/>
      <c r="K171" s="60">
        <f ca="1">SUMIF(М[[Наим.]:[Сумма, руб]],B171,М[Количество])</f>
        <v>0</v>
      </c>
      <c r="L171" s="61"/>
      <c r="M171" s="61">
        <f ca="1">ROUND(SUM(M52,M57,M89:M91,M129:M131,M161:M162)*K171%,3)</f>
        <v>0</v>
      </c>
      <c r="N171" s="68" t="s">
        <v>160</v>
      </c>
      <c r="O171" s="69">
        <f t="array" ref="O171">INDEX(М[Форма закупа],MATCH(1,IF(($B171=М[Наим.])*($C171=М[Артикул, марка, произв.])*($D171=М[Хар-ка])*($N171=М[Прим.]),{1},($B171=М[Наим.])*($C171=М[Артикул, марка, произв.])*($D171=М[Хар-ка])*($N171=М[Прим.])),0))</f>
        <v>0</v>
      </c>
    </row>
    <row r="172" spans="1:15" ht="22.5" outlineLevel="4" x14ac:dyDescent="0.2">
      <c r="A172" s="76">
        <v>3</v>
      </c>
      <c r="B172" s="58" t="s">
        <v>145</v>
      </c>
      <c r="C172" s="69"/>
      <c r="D172" s="69"/>
      <c r="E172" s="59" t="s">
        <v>70</v>
      </c>
      <c r="F172" s="74"/>
      <c r="G172" s="75"/>
      <c r="H172" s="75"/>
      <c r="I172" s="75"/>
      <c r="J172" s="75"/>
      <c r="K172" s="60">
        <f ca="1">SUMIF(М[[Наим.]:[Сумма, руб]],B172,М[Количество])</f>
        <v>0</v>
      </c>
      <c r="L172" s="61"/>
      <c r="M172" s="61">
        <f ca="1">ROUND(SUM(M15:M16,M20,M24,M28:M30,M34,M38:M39,M43:M44,M48,M52,M57:M60,M68,M72,M76:M78,M82:M83,M89:M91,M98:M101,M105,M109,M113,M117,M121:M123,M129:M131,M138:M139,M143,M147,M151:M152,M156:M157,M161:M162,M168)*K172%,3)</f>
        <v>0</v>
      </c>
      <c r="N172" s="68" t="s">
        <v>160</v>
      </c>
      <c r="O172" s="69">
        <f t="array" ref="O172">INDEX(М[Форма закупа],MATCH(1,IF(($B172=М[Наим.])*($C172=М[Артикул, марка, произв.])*($D172=М[Хар-ка])*($N172=М[Прим.]),{1},($B172=М[Наим.])*($C172=М[Артикул, марка, произв.])*($D172=М[Хар-ка])*($N172=М[Прим.])),0))</f>
        <v>0</v>
      </c>
    </row>
    <row r="173" spans="1:15" outlineLevel="4" x14ac:dyDescent="0.2">
      <c r="A173" s="20"/>
      <c r="B173" s="14" t="s">
        <v>28</v>
      </c>
      <c r="C173" s="21"/>
      <c r="D173" s="21"/>
      <c r="E173" s="21"/>
      <c r="F173" s="21"/>
      <c r="G173" s="21"/>
      <c r="H173" s="21"/>
      <c r="I173" s="21"/>
      <c r="J173" s="21"/>
      <c r="K173" s="21"/>
      <c r="L173" s="53"/>
      <c r="M173" s="54">
        <f>SUM($M$174)</f>
        <v>0</v>
      </c>
      <c r="N173" s="18"/>
      <c r="O173" s="22"/>
    </row>
    <row r="174" spans="1:15" outlineLevel="4" x14ac:dyDescent="0.2">
      <c r="A174" s="23" t="s">
        <v>29</v>
      </c>
      <c r="B174" s="24" t="s">
        <v>68</v>
      </c>
      <c r="C174" s="25"/>
      <c r="D174" s="25" t="s">
        <v>69</v>
      </c>
      <c r="E174" s="26" t="s">
        <v>37</v>
      </c>
      <c r="F174" s="27"/>
      <c r="G174" s="29">
        <v>60</v>
      </c>
      <c r="H174" s="29">
        <v>75</v>
      </c>
      <c r="I174" s="29">
        <v>78</v>
      </c>
      <c r="J174" s="29">
        <v>90</v>
      </c>
      <c r="K174" s="29">
        <f>SUM($G$174:$J$174)</f>
        <v>303</v>
      </c>
      <c r="L174" s="55">
        <f t="array" ref="L174">INDEX(М[Цена за ед., руб],MATCH(1,IF(($B174=М[Наим.])*($C174=М[Артикул, марка, произв.])*($D174=М[Хар-ка])*($N174=М[Прим.]),{1},($B174=М[Наим.])*($C174=М[Артикул, марка, произв.])*($D174=М[Хар-ка])*($N174=М[Прим.])),0))</f>
        <v>0</v>
      </c>
      <c r="M174" s="55">
        <f>ROUND($K$174*$L$174,2)</f>
        <v>0</v>
      </c>
      <c r="N174" s="25"/>
      <c r="O174" s="25">
        <f t="array" ref="O174">INDEX(М[Форма закупа],MATCH(1,IF(($B174=М[Наим.])*($C174=М[Артикул, марка, произв.])*($D174=М[Хар-ка])*($N174=М[Прим.]),{1},($B174=М[Наим.])*($C174=М[Артикул, марка, произв.])*($D174=М[Хар-ка])*($N174=М[Прим.])),0))</f>
        <v>0</v>
      </c>
    </row>
    <row r="175" spans="1:15" outlineLevel="2" x14ac:dyDescent="0.2">
      <c r="A175" s="13" t="s">
        <v>76</v>
      </c>
      <c r="B175" s="14" t="s">
        <v>77</v>
      </c>
      <c r="C175" s="15"/>
      <c r="D175" s="15"/>
      <c r="E175" s="16"/>
      <c r="F175" s="17"/>
      <c r="G175" s="18"/>
      <c r="H175" s="18"/>
      <c r="I175" s="18"/>
      <c r="J175" s="18"/>
      <c r="K175" s="18"/>
      <c r="L175" s="52"/>
      <c r="M175" s="52">
        <f>SUM($M$176)</f>
        <v>0</v>
      </c>
      <c r="N175" s="19"/>
      <c r="O175" s="19"/>
    </row>
    <row r="176" spans="1:15" outlineLevel="3" x14ac:dyDescent="0.2">
      <c r="A176" s="13" t="s">
        <v>78</v>
      </c>
      <c r="B176" s="14" t="s">
        <v>77</v>
      </c>
      <c r="C176" s="15"/>
      <c r="D176" s="15"/>
      <c r="E176" s="16"/>
      <c r="F176" s="17"/>
      <c r="G176" s="18"/>
      <c r="H176" s="18"/>
      <c r="I176" s="18"/>
      <c r="J176" s="18"/>
      <c r="K176" s="18"/>
      <c r="L176" s="52"/>
      <c r="M176" s="52">
        <f>SUM($M$177)</f>
        <v>0</v>
      </c>
      <c r="N176" s="19"/>
      <c r="O176" s="19"/>
    </row>
    <row r="177" spans="1:143" outlineLevel="4" x14ac:dyDescent="0.2">
      <c r="A177" s="20"/>
      <c r="B177" s="14" t="s">
        <v>25</v>
      </c>
      <c r="C177" s="21"/>
      <c r="D177" s="21"/>
      <c r="E177" s="21"/>
      <c r="F177" s="21"/>
      <c r="G177" s="21"/>
      <c r="H177" s="21"/>
      <c r="I177" s="21"/>
      <c r="J177" s="21"/>
      <c r="K177" s="21"/>
      <c r="L177" s="53"/>
      <c r="M177" s="54">
        <f>SUM($M$178)</f>
        <v>0</v>
      </c>
      <c r="N177" s="18"/>
      <c r="O177" s="22"/>
    </row>
    <row r="178" spans="1:143" ht="33.75" outlineLevel="4" x14ac:dyDescent="0.2">
      <c r="A178" s="23"/>
      <c r="B178" s="24" t="s">
        <v>79</v>
      </c>
      <c r="C178" s="25"/>
      <c r="D178" s="25"/>
      <c r="E178" s="26" t="s">
        <v>74</v>
      </c>
      <c r="F178" s="27"/>
      <c r="G178" s="29">
        <v>1</v>
      </c>
      <c r="H178" s="29">
        <v>1</v>
      </c>
      <c r="I178" s="29">
        <v>1</v>
      </c>
      <c r="J178" s="29">
        <v>1</v>
      </c>
      <c r="K178" s="29">
        <f>SUM($G$178:$J$178)</f>
        <v>4</v>
      </c>
      <c r="L178" s="55">
        <f t="array" ref="L178">INDEX(Р[Цена за ед., руб],MATCH(1,IF(($B178=Р[Наименование])*($N178=Р[Примечание]),{1},($B178=Р[Наименование])*($N178=Р[Примечание])),0))</f>
        <v>0</v>
      </c>
      <c r="M178" s="55">
        <f>ROUND($K$178*$L$178,2)</f>
        <v>0</v>
      </c>
      <c r="N178" s="25"/>
      <c r="O178" s="25"/>
    </row>
    <row r="179" spans="1:143" x14ac:dyDescent="0.2">
      <c r="A179" s="107" t="s">
        <v>147</v>
      </c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9"/>
      <c r="M179" s="56">
        <f ca="1">$M$9</f>
        <v>0</v>
      </c>
      <c r="N179" s="30"/>
      <c r="O179" s="30"/>
    </row>
    <row r="180" spans="1:143" x14ac:dyDescent="0.2">
      <c r="A180" s="110" t="s">
        <v>122</v>
      </c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2"/>
      <c r="M180" s="56">
        <f>SUM($M$165,$M$158,$M$153,$M$148,$M$144,$M$140,$M$135,$M$133,$M$126,$M$124,$M$118,$M$114,$M$110,$M$106,$M$102,$M$95,$M$93,$M$86,$M$84,$M$79,$M$73,$M$69,$M$65,$M$63,$M$177,$M$54,$M$49,$M$45,$M$40,$M$35,$M$31,$M$25,$M$21,$M$17,$M$12)</f>
        <v>0</v>
      </c>
      <c r="N180" s="30"/>
      <c r="O180" s="30"/>
    </row>
    <row r="181" spans="1:143" x14ac:dyDescent="0.2">
      <c r="A181" s="110" t="s">
        <v>123</v>
      </c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2"/>
      <c r="M181" s="56">
        <f ca="1">SUM($M$167,$M$160,$M$155,$M$150,$M$146,$M$142,$M$137,$M$128,$M$120,$M$116,$M$112,$M$108,$M$104,$M$97,$M$88,$M$81,$M$75,$M$71,$M$67,$M$56,$M$173,$M$51,$M$47,$M$42,$M$37,$M$33,$M$27,$M$23,$M$19,$M$14,M169)</f>
        <v>0</v>
      </c>
      <c r="N181" s="30"/>
      <c r="O181" s="30"/>
    </row>
    <row r="182" spans="1:143" x14ac:dyDescent="0.2">
      <c r="A182" s="113" t="s">
        <v>148</v>
      </c>
      <c r="B182" s="114"/>
      <c r="C182" s="114"/>
      <c r="D182" s="114"/>
      <c r="E182" s="114"/>
      <c r="F182" s="114"/>
      <c r="G182" s="114"/>
      <c r="H182" s="114"/>
      <c r="I182" s="114"/>
      <c r="J182" s="114"/>
      <c r="K182" s="114"/>
      <c r="L182" s="115"/>
      <c r="M182" s="66"/>
      <c r="N182" s="96" t="s">
        <v>159</v>
      </c>
      <c r="O182" s="30"/>
    </row>
    <row r="183" spans="1:143" x14ac:dyDescent="0.2">
      <c r="A183" s="31"/>
      <c r="B183" s="103" t="s">
        <v>124</v>
      </c>
      <c r="C183" s="103"/>
      <c r="D183" s="103"/>
      <c r="E183" s="103"/>
      <c r="F183" s="103"/>
      <c r="G183" s="103"/>
      <c r="H183" s="103"/>
      <c r="I183" s="103"/>
      <c r="J183" s="103"/>
      <c r="K183" s="103"/>
      <c r="L183" s="104"/>
      <c r="M183" s="104"/>
      <c r="N183" s="103"/>
      <c r="O183" s="31"/>
    </row>
    <row r="184" spans="1:143" x14ac:dyDescent="0.2"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6"/>
      <c r="M184" s="106"/>
      <c r="N184" s="105"/>
    </row>
    <row r="185" spans="1:143" s="81" customFormat="1" ht="15" x14ac:dyDescent="0.2">
      <c r="A185" s="78"/>
      <c r="B185" s="79" t="s">
        <v>150</v>
      </c>
      <c r="C185" s="80"/>
      <c r="D185" s="80"/>
      <c r="F185" s="82"/>
      <c r="G185" s="82"/>
      <c r="H185" s="82"/>
      <c r="I185" s="82"/>
      <c r="J185" s="82"/>
      <c r="K185" s="82"/>
      <c r="L185" s="83"/>
      <c r="M185" s="84"/>
      <c r="N185" s="84"/>
      <c r="AN185" s="84"/>
      <c r="AO185" s="84"/>
      <c r="AP185" s="84"/>
      <c r="AQ185" s="84"/>
      <c r="AR185" s="84"/>
      <c r="AS185" s="84"/>
      <c r="AT185" s="84"/>
      <c r="AU185" s="84"/>
      <c r="AV185" s="84"/>
      <c r="AW185" s="84"/>
      <c r="AX185" s="84"/>
      <c r="AY185" s="84"/>
      <c r="AZ185" s="84"/>
      <c r="BA185" s="84"/>
      <c r="BB185" s="84"/>
      <c r="BC185" s="84"/>
      <c r="BD185" s="84"/>
      <c r="BE185" s="84"/>
      <c r="BF185" s="84"/>
      <c r="BG185" s="84"/>
      <c r="BH185" s="84"/>
      <c r="BI185" s="84"/>
      <c r="BJ185" s="84"/>
      <c r="BK185" s="84"/>
      <c r="BL185" s="84"/>
      <c r="BM185" s="84"/>
      <c r="BN185" s="84"/>
      <c r="BO185" s="84"/>
      <c r="BP185" s="84"/>
      <c r="BQ185" s="84"/>
      <c r="BR185" s="84"/>
      <c r="BS185" s="84"/>
      <c r="BT185" s="84"/>
      <c r="BU185" s="84"/>
      <c r="BV185" s="84"/>
      <c r="BW185" s="84"/>
      <c r="BX185" s="84"/>
      <c r="BY185" s="84"/>
      <c r="BZ185" s="84"/>
      <c r="CA185" s="84"/>
      <c r="CB185" s="84"/>
      <c r="CC185" s="84"/>
      <c r="CD185" s="84"/>
      <c r="CE185" s="84"/>
      <c r="CF185" s="84"/>
      <c r="CG185" s="84"/>
      <c r="CH185" s="84"/>
      <c r="CI185" s="84"/>
      <c r="CJ185" s="84"/>
      <c r="CK185" s="84"/>
      <c r="CL185" s="84"/>
      <c r="CM185" s="84"/>
      <c r="CN185" s="84"/>
      <c r="CO185" s="84"/>
      <c r="CP185" s="84"/>
      <c r="CQ185" s="84"/>
      <c r="CR185" s="84"/>
    </row>
    <row r="186" spans="1:143" s="81" customFormat="1" ht="22.5" customHeight="1" x14ac:dyDescent="0.2">
      <c r="A186" s="85" t="s">
        <v>151</v>
      </c>
      <c r="B186" s="101" t="s">
        <v>152</v>
      </c>
      <c r="C186" s="101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86"/>
      <c r="R186" s="86"/>
      <c r="S186" s="86"/>
      <c r="T186" s="86"/>
      <c r="U186" s="86"/>
      <c r="V186" s="86"/>
      <c r="W186" s="86"/>
      <c r="X186" s="86"/>
      <c r="Y186" s="86"/>
      <c r="Z186" s="86"/>
      <c r="AA186" s="86"/>
      <c r="AB186" s="86"/>
      <c r="AC186" s="86"/>
      <c r="AD186" s="86"/>
      <c r="AE186" s="86"/>
      <c r="AF186" s="86"/>
      <c r="AG186" s="87"/>
      <c r="AH186" s="87"/>
      <c r="AI186" s="87"/>
      <c r="AJ186" s="87"/>
      <c r="AK186" s="87"/>
      <c r="AL186" s="87"/>
      <c r="AM186" s="87"/>
      <c r="AN186" s="88"/>
      <c r="AO186" s="88"/>
      <c r="AP186" s="88"/>
      <c r="AQ186" s="88"/>
      <c r="AR186" s="88"/>
      <c r="AS186" s="88"/>
      <c r="AT186" s="88"/>
      <c r="AU186" s="88"/>
      <c r="AV186" s="88"/>
      <c r="AW186" s="88"/>
      <c r="AX186" s="88"/>
      <c r="AY186" s="88"/>
      <c r="AZ186" s="88"/>
      <c r="BA186" s="88"/>
      <c r="BB186" s="88"/>
      <c r="BC186" s="88"/>
      <c r="BD186" s="88"/>
      <c r="BE186" s="88"/>
      <c r="BF186" s="88"/>
      <c r="BG186" s="88"/>
      <c r="BH186" s="88"/>
      <c r="BI186" s="88"/>
      <c r="BJ186" s="88"/>
      <c r="BK186" s="88"/>
      <c r="BL186" s="88"/>
      <c r="BM186" s="88"/>
      <c r="BN186" s="88"/>
      <c r="BO186" s="88"/>
      <c r="BP186" s="88"/>
      <c r="BQ186" s="88"/>
      <c r="BR186" s="88"/>
      <c r="BS186" s="88"/>
      <c r="BT186" s="88"/>
      <c r="BU186" s="88"/>
      <c r="BV186" s="88"/>
      <c r="BW186" s="88"/>
      <c r="BX186" s="88"/>
      <c r="BY186" s="88"/>
      <c r="BZ186" s="88"/>
      <c r="CA186" s="88"/>
      <c r="CB186" s="88"/>
      <c r="CC186" s="88"/>
      <c r="CD186" s="88"/>
      <c r="CE186" s="88"/>
      <c r="CF186" s="88"/>
      <c r="CG186" s="88"/>
      <c r="CH186" s="88"/>
      <c r="CI186" s="88"/>
      <c r="CJ186" s="88"/>
      <c r="CK186" s="88"/>
      <c r="CL186" s="88"/>
      <c r="CM186" s="88"/>
      <c r="CN186" s="88"/>
      <c r="CO186" s="88"/>
      <c r="CP186" s="88"/>
      <c r="CQ186" s="88"/>
      <c r="CR186" s="88"/>
      <c r="CS186" s="86"/>
      <c r="CT186" s="86"/>
      <c r="CU186" s="86"/>
      <c r="CV186" s="86"/>
      <c r="CW186" s="86"/>
      <c r="CX186" s="86"/>
      <c r="CY186" s="86"/>
      <c r="CZ186" s="86"/>
      <c r="DA186" s="86"/>
      <c r="DB186" s="86"/>
      <c r="DC186" s="86"/>
      <c r="DD186" s="86"/>
      <c r="DE186" s="86"/>
      <c r="DF186" s="86"/>
      <c r="DG186" s="86"/>
      <c r="DH186" s="86"/>
      <c r="DI186" s="86"/>
      <c r="DJ186" s="86"/>
      <c r="DK186" s="86"/>
      <c r="DL186" s="86"/>
      <c r="DM186" s="86"/>
      <c r="DN186" s="86"/>
      <c r="DO186" s="86"/>
      <c r="DP186" s="86"/>
      <c r="DQ186" s="86"/>
      <c r="DR186" s="86"/>
      <c r="DS186" s="86"/>
      <c r="DT186" s="86"/>
      <c r="DU186" s="86"/>
      <c r="DV186" s="86"/>
      <c r="DW186" s="86"/>
      <c r="DX186" s="86"/>
      <c r="DY186" s="86"/>
      <c r="DZ186" s="86"/>
      <c r="EA186" s="86"/>
      <c r="EB186" s="86"/>
      <c r="EC186" s="86"/>
      <c r="ED186" s="86"/>
      <c r="EE186" s="86"/>
      <c r="EF186" s="86"/>
      <c r="EG186" s="86"/>
      <c r="EH186" s="86"/>
      <c r="EI186" s="86"/>
      <c r="EJ186" s="86"/>
      <c r="EK186" s="86"/>
      <c r="EL186" s="86"/>
      <c r="EM186" s="86"/>
    </row>
    <row r="187" spans="1:143" s="91" customFormat="1" ht="23.25" customHeight="1" x14ac:dyDescent="0.25">
      <c r="A187" s="89" t="s">
        <v>151</v>
      </c>
      <c r="B187" s="102" t="s">
        <v>153</v>
      </c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90"/>
      <c r="R187" s="90"/>
      <c r="S187" s="90"/>
      <c r="T187" s="90"/>
      <c r="U187" s="90"/>
      <c r="V187" s="90"/>
      <c r="W187" s="90"/>
      <c r="DI187" s="92"/>
    </row>
    <row r="188" spans="1:143" s="81" customFormat="1" ht="37.5" customHeight="1" x14ac:dyDescent="0.2">
      <c r="A188" s="93" t="s">
        <v>151</v>
      </c>
      <c r="B188" s="101" t="s">
        <v>154</v>
      </c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AN188" s="84"/>
      <c r="AO188" s="84"/>
      <c r="AP188" s="84"/>
      <c r="AQ188" s="84"/>
      <c r="AR188" s="84"/>
      <c r="AS188" s="84"/>
      <c r="AT188" s="84"/>
      <c r="AU188" s="84"/>
      <c r="AV188" s="84"/>
      <c r="AW188" s="84"/>
      <c r="AX188" s="84"/>
      <c r="AY188" s="84"/>
      <c r="AZ188" s="84"/>
      <c r="BA188" s="84"/>
      <c r="BB188" s="84"/>
      <c r="BC188" s="84"/>
      <c r="BD188" s="84"/>
      <c r="BE188" s="84"/>
      <c r="BF188" s="84"/>
      <c r="BG188" s="84"/>
      <c r="BH188" s="84"/>
      <c r="BI188" s="84"/>
      <c r="BJ188" s="84"/>
      <c r="BK188" s="84"/>
      <c r="BL188" s="84"/>
      <c r="BM188" s="84"/>
      <c r="BN188" s="84"/>
      <c r="BO188" s="84"/>
      <c r="BP188" s="84"/>
      <c r="BQ188" s="84"/>
      <c r="BR188" s="84"/>
      <c r="BS188" s="84"/>
      <c r="BT188" s="84"/>
      <c r="BU188" s="84"/>
      <c r="BV188" s="84"/>
      <c r="BW188" s="84"/>
      <c r="BX188" s="84"/>
      <c r="BY188" s="84"/>
      <c r="BZ188" s="84"/>
      <c r="CA188" s="84"/>
      <c r="CB188" s="84"/>
      <c r="CC188" s="84"/>
      <c r="CD188" s="84"/>
      <c r="CE188" s="84"/>
      <c r="CF188" s="84"/>
      <c r="CG188" s="84"/>
      <c r="CH188" s="84"/>
      <c r="CI188" s="84"/>
      <c r="CJ188" s="84"/>
      <c r="CK188" s="84"/>
      <c r="CL188" s="84"/>
      <c r="CM188" s="84"/>
      <c r="CN188" s="84"/>
      <c r="CO188" s="84"/>
      <c r="CP188" s="84"/>
      <c r="CQ188" s="84"/>
      <c r="CR188" s="84"/>
    </row>
    <row r="189" spans="1:143" s="81" customFormat="1" ht="54.75" customHeight="1" x14ac:dyDescent="0.2">
      <c r="A189" s="94" t="s">
        <v>151</v>
      </c>
      <c r="B189" s="101" t="s">
        <v>155</v>
      </c>
      <c r="C189" s="101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AN189" s="84"/>
      <c r="AO189" s="84"/>
      <c r="AP189" s="84"/>
      <c r="AQ189" s="84"/>
      <c r="AR189" s="84"/>
      <c r="AS189" s="84"/>
      <c r="AT189" s="84"/>
      <c r="AU189" s="84"/>
      <c r="AV189" s="84"/>
      <c r="AW189" s="84"/>
      <c r="AX189" s="84"/>
      <c r="AY189" s="84"/>
      <c r="AZ189" s="84"/>
      <c r="BA189" s="84"/>
      <c r="BB189" s="84"/>
      <c r="BC189" s="84"/>
      <c r="BD189" s="84"/>
      <c r="BE189" s="84"/>
      <c r="BF189" s="84"/>
      <c r="BG189" s="84"/>
      <c r="BH189" s="84"/>
      <c r="BI189" s="84"/>
      <c r="BJ189" s="84"/>
      <c r="BK189" s="84"/>
      <c r="BL189" s="84"/>
      <c r="BM189" s="84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4"/>
      <c r="CA189" s="84"/>
      <c r="CB189" s="84"/>
      <c r="CC189" s="84"/>
      <c r="CD189" s="84"/>
      <c r="CE189" s="84"/>
      <c r="CF189" s="84"/>
      <c r="CG189" s="84"/>
      <c r="CH189" s="84"/>
      <c r="CI189" s="84"/>
      <c r="CJ189" s="84"/>
      <c r="CK189" s="84"/>
      <c r="CL189" s="84"/>
      <c r="CM189" s="84"/>
      <c r="CN189" s="84"/>
      <c r="CO189" s="84"/>
      <c r="CP189" s="84"/>
      <c r="CQ189" s="84"/>
      <c r="CR189" s="84"/>
    </row>
    <row r="190" spans="1:143" s="81" customFormat="1" ht="23.25" customHeight="1" x14ac:dyDescent="0.2">
      <c r="A190" s="93" t="s">
        <v>151</v>
      </c>
      <c r="B190" s="101" t="s">
        <v>156</v>
      </c>
      <c r="C190" s="101"/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AN190" s="84"/>
      <c r="AO190" s="84"/>
      <c r="AP190" s="84"/>
      <c r="AQ190" s="84"/>
      <c r="AR190" s="84"/>
      <c r="AS190" s="84"/>
      <c r="AT190" s="84"/>
      <c r="AU190" s="84"/>
      <c r="AV190" s="84"/>
      <c r="AW190" s="84"/>
      <c r="AX190" s="84"/>
      <c r="AY190" s="84"/>
      <c r="AZ190" s="84"/>
      <c r="BA190" s="84"/>
      <c r="BB190" s="84"/>
      <c r="BC190" s="84"/>
      <c r="BD190" s="84"/>
      <c r="BE190" s="84"/>
      <c r="BF190" s="84"/>
      <c r="BG190" s="84"/>
      <c r="BH190" s="84"/>
      <c r="BI190" s="84"/>
      <c r="BJ190" s="84"/>
      <c r="BK190" s="84"/>
      <c r="BL190" s="84"/>
      <c r="BM190" s="84"/>
      <c r="BN190" s="84"/>
      <c r="BO190" s="84"/>
      <c r="BP190" s="84"/>
      <c r="BQ190" s="84"/>
      <c r="BR190" s="84"/>
      <c r="BS190" s="84"/>
      <c r="BT190" s="84"/>
      <c r="BU190" s="84"/>
      <c r="BV190" s="84"/>
      <c r="BW190" s="84"/>
      <c r="BX190" s="84"/>
      <c r="BY190" s="84"/>
      <c r="BZ190" s="84"/>
      <c r="CA190" s="84"/>
      <c r="CB190" s="84"/>
      <c r="CC190" s="84"/>
      <c r="CD190" s="84"/>
      <c r="CE190" s="84"/>
      <c r="CF190" s="84"/>
      <c r="CG190" s="84"/>
      <c r="CH190" s="84"/>
      <c r="CI190" s="84"/>
      <c r="CJ190" s="84"/>
      <c r="CK190" s="84"/>
      <c r="CL190" s="84"/>
      <c r="CM190" s="84"/>
      <c r="CN190" s="84"/>
      <c r="CO190" s="84"/>
      <c r="CP190" s="84"/>
      <c r="CQ190" s="84"/>
      <c r="CR190" s="84"/>
    </row>
    <row r="191" spans="1:143" ht="23.25" customHeight="1" x14ac:dyDescent="0.2">
      <c r="A191" s="95" t="s">
        <v>151</v>
      </c>
      <c r="B191" s="99" t="s">
        <v>157</v>
      </c>
      <c r="C191" s="99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</row>
    <row r="192" spans="1:143" ht="34.5" customHeight="1" x14ac:dyDescent="0.2">
      <c r="B192" s="100" t="s">
        <v>158</v>
      </c>
      <c r="C192" s="100"/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100"/>
      <c r="R192" s="100"/>
      <c r="S192" s="100"/>
      <c r="T192" s="100"/>
    </row>
  </sheetData>
  <autoFilter ref="A7:O183" xr:uid="{00000000-0001-0000-0000-000000000000}"/>
  <mergeCells count="31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B183:N183"/>
    <mergeCell ref="B184:N184"/>
    <mergeCell ref="A179:L179"/>
    <mergeCell ref="A180:L180"/>
    <mergeCell ref="A181:L181"/>
    <mergeCell ref="A182:L182"/>
    <mergeCell ref="B191:P191"/>
    <mergeCell ref="B192:T192"/>
    <mergeCell ref="B186:P186"/>
    <mergeCell ref="B187:P187"/>
    <mergeCell ref="B188:P188"/>
    <mergeCell ref="B189:P189"/>
    <mergeCell ref="B190:P190"/>
  </mergeCells>
  <conditionalFormatting sqref="DA185:DH186 DA188:DH190">
    <cfRule type="cellIs" dxfId="11" priority="2" operator="lessThan">
      <formula>0</formula>
    </cfRule>
    <cfRule type="cellIs" dxfId="10" priority="3" operator="equal">
      <formula>0</formula>
    </cfRule>
  </conditionalFormatting>
  <conditionalFormatting sqref="DJ187:DY187">
    <cfRule type="cellIs" dxfId="9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4"/>
  <sheetViews>
    <sheetView workbookViewId="0">
      <pane ySplit="3" topLeftCell="A4" activePane="bottomLeft" state="frozen"/>
      <selection pane="bottomLeft" activeCell="A43" sqref="A4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8" t="s">
        <v>125</v>
      </c>
      <c r="B1" s="128"/>
      <c r="C1" s="128"/>
      <c r="D1" s="128"/>
      <c r="E1" s="128"/>
      <c r="F1" s="128"/>
    </row>
    <row r="3" spans="1:6" ht="11.1" customHeight="1" x14ac:dyDescent="0.2">
      <c r="A3" s="38" t="s">
        <v>4</v>
      </c>
      <c r="B3" s="2" t="s">
        <v>7</v>
      </c>
      <c r="C3" s="2" t="s">
        <v>13</v>
      </c>
      <c r="D3" s="45" t="s">
        <v>14</v>
      </c>
      <c r="E3" s="45" t="s">
        <v>15</v>
      </c>
      <c r="F3" s="39" t="s">
        <v>16</v>
      </c>
    </row>
    <row r="4" spans="1:6" ht="11.1" customHeight="1" x14ac:dyDescent="0.2">
      <c r="A4" s="36" t="s">
        <v>26</v>
      </c>
      <c r="B4" s="32" t="s">
        <v>27</v>
      </c>
      <c r="C4" s="33">
        <v>13751</v>
      </c>
      <c r="D4" s="46"/>
      <c r="E4" s="46">
        <f>ROUND(Р[[#This Row],[Количество]]*Р[[#This Row],[Цена за ед., руб]],2)</f>
        <v>0</v>
      </c>
      <c r="F4" s="37"/>
    </row>
    <row r="5" spans="1:6" ht="11.1" customHeight="1" x14ac:dyDescent="0.2">
      <c r="A5" s="36" t="s">
        <v>36</v>
      </c>
      <c r="B5" s="32" t="s">
        <v>37</v>
      </c>
      <c r="C5" s="35">
        <v>43</v>
      </c>
      <c r="D5" s="46"/>
      <c r="E5" s="46">
        <f>ROUND(Р[[#This Row],[Количество]]*Р[[#This Row],[Цена за ед., руб]],2)</f>
        <v>0</v>
      </c>
      <c r="F5" s="37"/>
    </row>
    <row r="6" spans="1:6" ht="11.1" customHeight="1" x14ac:dyDescent="0.2">
      <c r="A6" s="36" t="s">
        <v>41</v>
      </c>
      <c r="B6" s="32" t="s">
        <v>37</v>
      </c>
      <c r="C6" s="35">
        <v>24</v>
      </c>
      <c r="D6" s="46"/>
      <c r="E6" s="46">
        <f>ROUND(Р[[#This Row],[Количество]]*Р[[#This Row],[Цена за ед., руб]],2)</f>
        <v>0</v>
      </c>
      <c r="F6" s="37"/>
    </row>
    <row r="7" spans="1:6" ht="11.1" customHeight="1" x14ac:dyDescent="0.2">
      <c r="A7" s="36" t="s">
        <v>44</v>
      </c>
      <c r="B7" s="32" t="s">
        <v>37</v>
      </c>
      <c r="C7" s="35">
        <v>114</v>
      </c>
      <c r="D7" s="46"/>
      <c r="E7" s="46">
        <f>ROUND(Р[[#This Row],[Количество]]*Р[[#This Row],[Цена за ед., руб]],2)</f>
        <v>0</v>
      </c>
      <c r="F7" s="37"/>
    </row>
    <row r="8" spans="1:6" ht="11.1" customHeight="1" x14ac:dyDescent="0.2">
      <c r="A8" s="36" t="s">
        <v>51</v>
      </c>
      <c r="B8" s="32" t="s">
        <v>37</v>
      </c>
      <c r="C8" s="35">
        <v>614</v>
      </c>
      <c r="D8" s="46"/>
      <c r="E8" s="46">
        <f>ROUND(Р[[#This Row],[Количество]]*Р[[#This Row],[Цена за ед., руб]],2)</f>
        <v>0</v>
      </c>
      <c r="F8" s="37"/>
    </row>
    <row r="9" spans="1:6" ht="11.1" customHeight="1" x14ac:dyDescent="0.2">
      <c r="A9" s="36" t="s">
        <v>55</v>
      </c>
      <c r="B9" s="32" t="s">
        <v>37</v>
      </c>
      <c r="C9" s="35">
        <v>378</v>
      </c>
      <c r="D9" s="46"/>
      <c r="E9" s="46">
        <f>ROUND(Р[[#This Row],[Количество]]*Р[[#This Row],[Цена за ед., руб]],2)</f>
        <v>0</v>
      </c>
      <c r="F9" s="37"/>
    </row>
    <row r="10" spans="1:6" ht="11.1" customHeight="1" x14ac:dyDescent="0.2">
      <c r="A10" s="36" t="s">
        <v>58</v>
      </c>
      <c r="B10" s="32" t="s">
        <v>27</v>
      </c>
      <c r="C10" s="33">
        <v>13258</v>
      </c>
      <c r="D10" s="46"/>
      <c r="E10" s="46">
        <f>ROUND(Р[[#This Row],[Количество]]*Р[[#This Row],[Цена за ед., руб]],2)</f>
        <v>0</v>
      </c>
      <c r="F10" s="37"/>
    </row>
    <row r="11" spans="1:6" ht="11.1" customHeight="1" x14ac:dyDescent="0.2">
      <c r="A11" s="36" t="s">
        <v>62</v>
      </c>
      <c r="B11" s="32" t="s">
        <v>37</v>
      </c>
      <c r="C11" s="35">
        <v>24</v>
      </c>
      <c r="D11" s="46"/>
      <c r="E11" s="46">
        <f>ROUND(Р[[#This Row],[Количество]]*Р[[#This Row],[Цена за ед., руб]],2)</f>
        <v>0</v>
      </c>
      <c r="F11" s="37"/>
    </row>
    <row r="12" spans="1:6" ht="11.1" customHeight="1" x14ac:dyDescent="0.2">
      <c r="A12" s="36" t="s">
        <v>65</v>
      </c>
      <c r="B12" s="32" t="s">
        <v>33</v>
      </c>
      <c r="C12" s="33">
        <v>1044</v>
      </c>
      <c r="D12" s="46"/>
      <c r="E12" s="46">
        <f>ROUND(Р[[#This Row],[Количество]]*Р[[#This Row],[Цена за ед., руб]],2)</f>
        <v>0</v>
      </c>
      <c r="F12" s="37"/>
    </row>
    <row r="13" spans="1:6" ht="11.1" customHeight="1" x14ac:dyDescent="0.2">
      <c r="A13" s="36" t="s">
        <v>73</v>
      </c>
      <c r="B13" s="32" t="s">
        <v>74</v>
      </c>
      <c r="C13" s="35">
        <v>4</v>
      </c>
      <c r="D13" s="46"/>
      <c r="E13" s="46">
        <f>ROUND(Р[[#This Row],[Количество]]*Р[[#This Row],[Цена за ед., руб]],2)</f>
        <v>0</v>
      </c>
      <c r="F13" s="37"/>
    </row>
    <row r="14" spans="1:6" ht="23.1" customHeight="1" x14ac:dyDescent="0.2">
      <c r="A14" s="36" t="s">
        <v>79</v>
      </c>
      <c r="B14" s="32" t="s">
        <v>74</v>
      </c>
      <c r="C14" s="35">
        <v>4</v>
      </c>
      <c r="D14" s="46"/>
      <c r="E14" s="46">
        <f>ROUND(Р[[#This Row],[Количество]]*Р[[#This Row],[Цена за ед., руб]],2)</f>
        <v>0</v>
      </c>
      <c r="F14" s="37"/>
    </row>
    <row r="15" spans="1:6" ht="11.1" customHeight="1" x14ac:dyDescent="0.2">
      <c r="A15" s="36" t="s">
        <v>84</v>
      </c>
      <c r="B15" s="32" t="s">
        <v>37</v>
      </c>
      <c r="C15" s="35">
        <v>273</v>
      </c>
      <c r="D15" s="46"/>
      <c r="E15" s="46">
        <f>ROUND(Р[[#This Row],[Количество]]*Р[[#This Row],[Цена за ед., руб]],2)</f>
        <v>0</v>
      </c>
      <c r="F15" s="37"/>
    </row>
    <row r="16" spans="1:6" ht="11.1" customHeight="1" x14ac:dyDescent="0.2">
      <c r="A16" s="36" t="s">
        <v>85</v>
      </c>
      <c r="B16" s="32" t="s">
        <v>86</v>
      </c>
      <c r="C16" s="35">
        <v>24</v>
      </c>
      <c r="D16" s="46"/>
      <c r="E16" s="46">
        <f>ROUND(Р[[#This Row],[Количество]]*Р[[#This Row],[Цена за ед., руб]],2)</f>
        <v>0</v>
      </c>
      <c r="F16" s="37"/>
    </row>
    <row r="17" spans="1:6" ht="11.1" customHeight="1" x14ac:dyDescent="0.2">
      <c r="A17" s="36" t="s">
        <v>90</v>
      </c>
      <c r="B17" s="32" t="s">
        <v>37</v>
      </c>
      <c r="C17" s="35">
        <v>165</v>
      </c>
      <c r="D17" s="46"/>
      <c r="E17" s="46">
        <f>ROUND(Р[[#This Row],[Количество]]*Р[[#This Row],[Цена за ед., руб]],2)</f>
        <v>0</v>
      </c>
      <c r="F17" s="37"/>
    </row>
    <row r="18" spans="1:6" ht="11.1" customHeight="1" x14ac:dyDescent="0.2">
      <c r="A18" s="36" t="s">
        <v>93</v>
      </c>
      <c r="B18" s="32" t="s">
        <v>37</v>
      </c>
      <c r="C18" s="35">
        <v>646</v>
      </c>
      <c r="D18" s="46"/>
      <c r="E18" s="46">
        <f>ROUND(Р[[#This Row],[Количество]]*Р[[#This Row],[Цена за ед., руб]],2)</f>
        <v>0</v>
      </c>
      <c r="F18" s="37"/>
    </row>
    <row r="19" spans="1:6" ht="11.1" customHeight="1" x14ac:dyDescent="0.2">
      <c r="A19" s="36" t="s">
        <v>101</v>
      </c>
      <c r="B19" s="32" t="s">
        <v>27</v>
      </c>
      <c r="C19" s="35">
        <v>253</v>
      </c>
      <c r="D19" s="46"/>
      <c r="E19" s="46">
        <f>ROUND(Р[[#This Row],[Количество]]*Р[[#This Row],[Цена за ед., руб]],2)</f>
        <v>0</v>
      </c>
      <c r="F19" s="37"/>
    </row>
    <row r="20" spans="1:6" ht="11.1" customHeight="1" x14ac:dyDescent="0.2">
      <c r="A20" s="36" t="s">
        <v>104</v>
      </c>
      <c r="B20" s="32" t="s">
        <v>37</v>
      </c>
      <c r="C20" s="35">
        <v>599</v>
      </c>
      <c r="D20" s="46"/>
      <c r="E20" s="46">
        <f>ROUND(Р[[#This Row],[Количество]]*Р[[#This Row],[Цена за ед., руб]],2)</f>
        <v>0</v>
      </c>
      <c r="F20" s="37"/>
    </row>
    <row r="21" spans="1:6" ht="11.1" customHeight="1" x14ac:dyDescent="0.2">
      <c r="A21" s="77" t="s">
        <v>149</v>
      </c>
      <c r="B21" s="41" t="s">
        <v>74</v>
      </c>
      <c r="C21" s="42">
        <v>4</v>
      </c>
      <c r="D21" s="46"/>
      <c r="E21" s="47">
        <f>ROUND(Р[[#This Row],[Количество]]*Р[[#This Row],[Цена за ед., руб]],2)</f>
        <v>0</v>
      </c>
      <c r="F21" s="44"/>
    </row>
    <row r="22" spans="1:6" ht="11.45" customHeight="1" x14ac:dyDescent="0.2">
      <c r="A22" s="40" t="s">
        <v>142</v>
      </c>
      <c r="B22" s="41"/>
      <c r="C22" s="43"/>
      <c r="D22" s="47"/>
      <c r="E22" s="47">
        <f>SUBTOTAL(109,Р[Сумма, руб])</f>
        <v>0</v>
      </c>
      <c r="F22" s="44"/>
    </row>
    <row r="24" spans="1:6" ht="11.45" customHeight="1" x14ac:dyDescent="0.2">
      <c r="D24" s="64" t="s">
        <v>146</v>
      </c>
      <c r="E24" s="65">
        <f>ЛСР!M180-Р[[#Totals],[Сумма,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4"/>
  <sheetViews>
    <sheetView workbookViewId="0">
      <pane ySplit="3" topLeftCell="A28" activePane="bottomLeft" state="frozen"/>
      <selection pane="bottomLeft" activeCell="I41" sqref="I4:I4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8" t="s">
        <v>126</v>
      </c>
      <c r="B1" s="128"/>
      <c r="C1" s="128"/>
      <c r="D1" s="128"/>
      <c r="E1" s="128"/>
      <c r="F1" s="128"/>
      <c r="G1" s="128"/>
      <c r="H1" s="128"/>
    </row>
    <row r="2" spans="1:9" ht="11.1" customHeight="1" x14ac:dyDescent="0.2"/>
    <row r="3" spans="1:9" ht="23.1" customHeight="1" x14ac:dyDescent="0.2">
      <c r="A3" s="38" t="s">
        <v>127</v>
      </c>
      <c r="B3" s="48" t="s">
        <v>128</v>
      </c>
      <c r="C3" s="39" t="s">
        <v>129</v>
      </c>
      <c r="D3" s="2" t="s">
        <v>7</v>
      </c>
      <c r="E3" s="2" t="s">
        <v>13</v>
      </c>
      <c r="F3" s="45" t="s">
        <v>14</v>
      </c>
      <c r="G3" s="45" t="s">
        <v>15</v>
      </c>
      <c r="H3" s="2" t="s">
        <v>130</v>
      </c>
      <c r="I3" s="39" t="s">
        <v>131</v>
      </c>
    </row>
    <row r="4" spans="1:9" ht="11.1" customHeight="1" x14ac:dyDescent="0.2">
      <c r="A4" s="36" t="s">
        <v>87</v>
      </c>
      <c r="B4" s="34"/>
      <c r="C4" s="34" t="s">
        <v>88</v>
      </c>
      <c r="D4" s="32" t="s">
        <v>86</v>
      </c>
      <c r="E4" s="35">
        <v>24</v>
      </c>
      <c r="F4" s="46"/>
      <c r="G4" s="46">
        <f>ROUND(М[[#This Row],[Количество]]*М[[#This Row],[Цена за ед., руб]],2)</f>
        <v>0</v>
      </c>
      <c r="H4" s="34" t="s">
        <v>89</v>
      </c>
      <c r="I4" s="37"/>
    </row>
    <row r="5" spans="1:9" ht="11.1" customHeight="1" x14ac:dyDescent="0.2">
      <c r="A5" s="36" t="s">
        <v>94</v>
      </c>
      <c r="B5" s="34"/>
      <c r="C5" s="34"/>
      <c r="D5" s="32" t="s">
        <v>74</v>
      </c>
      <c r="E5" s="35">
        <v>646</v>
      </c>
      <c r="F5" s="46"/>
      <c r="G5" s="46">
        <f>ROUND(М[[#This Row],[Количество]]*М[[#This Row],[Цена за ед., руб]],2)</f>
        <v>0</v>
      </c>
      <c r="H5" s="34"/>
      <c r="I5" s="37"/>
    </row>
    <row r="6" spans="1:9" ht="11.1" customHeight="1" x14ac:dyDescent="0.2">
      <c r="A6" s="36" t="s">
        <v>95</v>
      </c>
      <c r="B6" s="34"/>
      <c r="C6" s="34" t="s">
        <v>96</v>
      </c>
      <c r="D6" s="32" t="s">
        <v>37</v>
      </c>
      <c r="E6" s="35">
        <v>646</v>
      </c>
      <c r="F6" s="46"/>
      <c r="G6" s="46">
        <f>ROUND(М[[#This Row],[Количество]]*М[[#This Row],[Цена за ед., руб]],2)</f>
        <v>0</v>
      </c>
      <c r="H6" s="34"/>
      <c r="I6" s="37"/>
    </row>
    <row r="7" spans="1:9" ht="11.1" customHeight="1" x14ac:dyDescent="0.2">
      <c r="A7" s="36" t="s">
        <v>68</v>
      </c>
      <c r="B7" s="34"/>
      <c r="C7" s="34" t="s">
        <v>69</v>
      </c>
      <c r="D7" s="32" t="s">
        <v>37</v>
      </c>
      <c r="E7" s="35">
        <v>303</v>
      </c>
      <c r="F7" s="46"/>
      <c r="G7" s="46">
        <f>ROUND(М[[#This Row],[Количество]]*М[[#This Row],[Цена за ед., руб]],2)</f>
        <v>0</v>
      </c>
      <c r="H7" s="34"/>
      <c r="I7" s="37"/>
    </row>
    <row r="8" spans="1:9" ht="23.1" customHeight="1" x14ac:dyDescent="0.2">
      <c r="A8" s="36" t="s">
        <v>97</v>
      </c>
      <c r="B8" s="34" t="s">
        <v>98</v>
      </c>
      <c r="C8" s="34" t="s">
        <v>99</v>
      </c>
      <c r="D8" s="32" t="s">
        <v>37</v>
      </c>
      <c r="E8" s="35">
        <v>323</v>
      </c>
      <c r="F8" s="46"/>
      <c r="G8" s="46">
        <f>ROUND(М[[#This Row],[Количество]]*М[[#This Row],[Цена за ед., руб]],2)</f>
        <v>0</v>
      </c>
      <c r="H8" s="34"/>
      <c r="I8" s="37"/>
    </row>
    <row r="9" spans="1:9" ht="23.1" customHeight="1" x14ac:dyDescent="0.2">
      <c r="A9" s="36" t="s">
        <v>97</v>
      </c>
      <c r="B9" s="34" t="s">
        <v>98</v>
      </c>
      <c r="C9" s="34" t="s">
        <v>99</v>
      </c>
      <c r="D9" s="32" t="s">
        <v>37</v>
      </c>
      <c r="E9" s="35">
        <v>323</v>
      </c>
      <c r="F9" s="46"/>
      <c r="G9" s="46">
        <f>ROUND(М[[#This Row],[Количество]]*М[[#This Row],[Цена за ед., руб]],2)</f>
        <v>0</v>
      </c>
      <c r="H9" s="34" t="s">
        <v>100</v>
      </c>
      <c r="I9" s="37"/>
    </row>
    <row r="10" spans="1:9" ht="23.1" customHeight="1" x14ac:dyDescent="0.2">
      <c r="A10" s="36" t="s">
        <v>66</v>
      </c>
      <c r="B10" s="34"/>
      <c r="C10" s="34" t="s">
        <v>67</v>
      </c>
      <c r="D10" s="32" t="s">
        <v>33</v>
      </c>
      <c r="E10" s="35">
        <v>293</v>
      </c>
      <c r="F10" s="46"/>
      <c r="G10" s="46">
        <f>ROUND(М[[#This Row],[Количество]]*М[[#This Row],[Цена за ед., руб]],2)</f>
        <v>0</v>
      </c>
      <c r="H10" s="34"/>
      <c r="I10" s="37"/>
    </row>
    <row r="11" spans="1:9" ht="23.1" customHeight="1" x14ac:dyDescent="0.2">
      <c r="A11" s="36" t="s">
        <v>66</v>
      </c>
      <c r="B11" s="34"/>
      <c r="C11" s="34" t="s">
        <v>114</v>
      </c>
      <c r="D11" s="32" t="s">
        <v>33</v>
      </c>
      <c r="E11" s="35">
        <v>229</v>
      </c>
      <c r="F11" s="46"/>
      <c r="G11" s="46">
        <f>ROUND(М[[#This Row],[Количество]]*М[[#This Row],[Цена за ед., руб]],2)</f>
        <v>0</v>
      </c>
      <c r="H11" s="34"/>
      <c r="I11" s="37"/>
    </row>
    <row r="12" spans="1:9" ht="23.1" customHeight="1" x14ac:dyDescent="0.2">
      <c r="A12" s="36" t="s">
        <v>66</v>
      </c>
      <c r="B12" s="34"/>
      <c r="C12" s="34" t="s">
        <v>105</v>
      </c>
      <c r="D12" s="32" t="s">
        <v>33</v>
      </c>
      <c r="E12" s="35">
        <v>118</v>
      </c>
      <c r="F12" s="46"/>
      <c r="G12" s="46">
        <f>ROUND(М[[#This Row],[Количество]]*М[[#This Row],[Цена за ед., руб]],2)</f>
        <v>0</v>
      </c>
      <c r="H12" s="34"/>
      <c r="I12" s="37"/>
    </row>
    <row r="13" spans="1:9" ht="23.1" customHeight="1" x14ac:dyDescent="0.2">
      <c r="A13" s="36" t="s">
        <v>66</v>
      </c>
      <c r="B13" s="34"/>
      <c r="C13" s="34" t="s">
        <v>106</v>
      </c>
      <c r="D13" s="32" t="s">
        <v>33</v>
      </c>
      <c r="E13" s="35">
        <v>452</v>
      </c>
      <c r="F13" s="46"/>
      <c r="G13" s="46">
        <f>ROUND(М[[#This Row],[Количество]]*М[[#This Row],[Цена за ед., руб]],2)</f>
        <v>0</v>
      </c>
      <c r="H13" s="34"/>
      <c r="I13" s="37"/>
    </row>
    <row r="14" spans="1:9" ht="11.1" customHeight="1" x14ac:dyDescent="0.2">
      <c r="A14" s="36" t="s">
        <v>52</v>
      </c>
      <c r="B14" s="34" t="s">
        <v>39</v>
      </c>
      <c r="C14" s="34" t="s">
        <v>112</v>
      </c>
      <c r="D14" s="32" t="s">
        <v>37</v>
      </c>
      <c r="E14" s="35">
        <v>8</v>
      </c>
      <c r="F14" s="46"/>
      <c r="G14" s="46">
        <f>ROUND(М[[#This Row],[Количество]]*М[[#This Row],[Цена за ед., руб]],2)</f>
        <v>0</v>
      </c>
      <c r="H14" s="34"/>
      <c r="I14" s="37"/>
    </row>
    <row r="15" spans="1:9" ht="23.1" customHeight="1" x14ac:dyDescent="0.2">
      <c r="A15" s="36" t="s">
        <v>52</v>
      </c>
      <c r="B15" s="34" t="s">
        <v>53</v>
      </c>
      <c r="C15" s="34" t="s">
        <v>54</v>
      </c>
      <c r="D15" s="32" t="s">
        <v>37</v>
      </c>
      <c r="E15" s="35">
        <v>614</v>
      </c>
      <c r="F15" s="46"/>
      <c r="G15" s="46">
        <f>ROUND(М[[#This Row],[Количество]]*М[[#This Row],[Цена за ед., руб]],2)</f>
        <v>0</v>
      </c>
      <c r="H15" s="34"/>
      <c r="I15" s="37"/>
    </row>
    <row r="16" spans="1:9" ht="11.1" customHeight="1" x14ac:dyDescent="0.2">
      <c r="A16" s="36" t="s">
        <v>52</v>
      </c>
      <c r="B16" s="34" t="s">
        <v>39</v>
      </c>
      <c r="C16" s="34" t="s">
        <v>56</v>
      </c>
      <c r="D16" s="32" t="s">
        <v>37</v>
      </c>
      <c r="E16" s="35">
        <v>43</v>
      </c>
      <c r="F16" s="46"/>
      <c r="G16" s="46">
        <f>ROUND(М[[#This Row],[Количество]]*М[[#This Row],[Цена за ед., руб]],2)</f>
        <v>0</v>
      </c>
      <c r="H16" s="34"/>
      <c r="I16" s="37"/>
    </row>
    <row r="17" spans="1:9" ht="11.1" customHeight="1" x14ac:dyDescent="0.2">
      <c r="A17" s="36" t="s">
        <v>52</v>
      </c>
      <c r="B17" s="34"/>
      <c r="C17" s="34" t="s">
        <v>57</v>
      </c>
      <c r="D17" s="32" t="s">
        <v>37</v>
      </c>
      <c r="E17" s="35">
        <v>20</v>
      </c>
      <c r="F17" s="46"/>
      <c r="G17" s="46">
        <f>ROUND(М[[#This Row],[Количество]]*М[[#This Row],[Цена за ед., руб]],2)</f>
        <v>0</v>
      </c>
      <c r="H17" s="34"/>
      <c r="I17" s="37"/>
    </row>
    <row r="18" spans="1:9" ht="11.1" customHeight="1" x14ac:dyDescent="0.2">
      <c r="A18" s="36" t="s">
        <v>52</v>
      </c>
      <c r="B18" s="34" t="s">
        <v>39</v>
      </c>
      <c r="C18" s="34" t="s">
        <v>57</v>
      </c>
      <c r="D18" s="32" t="s">
        <v>37</v>
      </c>
      <c r="E18" s="35">
        <v>327</v>
      </c>
      <c r="F18" s="46"/>
      <c r="G18" s="46">
        <f>ROUND(М[[#This Row],[Количество]]*М[[#This Row],[Цена за ед., руб]],2)</f>
        <v>0</v>
      </c>
      <c r="H18" s="34"/>
      <c r="I18" s="37"/>
    </row>
    <row r="19" spans="1:9" ht="11.1" customHeight="1" x14ac:dyDescent="0.2">
      <c r="A19" s="36" t="s">
        <v>38</v>
      </c>
      <c r="B19" s="34" t="s">
        <v>39</v>
      </c>
      <c r="C19" s="34" t="s">
        <v>40</v>
      </c>
      <c r="D19" s="32" t="s">
        <v>37</v>
      </c>
      <c r="E19" s="35">
        <v>43</v>
      </c>
      <c r="F19" s="46"/>
      <c r="G19" s="46">
        <f>ROUND(М[[#This Row],[Количество]]*М[[#This Row],[Цена за ед., руб]],2)</f>
        <v>0</v>
      </c>
      <c r="H19" s="34"/>
      <c r="I19" s="37"/>
    </row>
    <row r="20" spans="1:9" ht="11.1" customHeight="1" x14ac:dyDescent="0.2">
      <c r="A20" s="36" t="s">
        <v>59</v>
      </c>
      <c r="B20" s="34"/>
      <c r="C20" s="34" t="s">
        <v>60</v>
      </c>
      <c r="D20" s="32" t="s">
        <v>33</v>
      </c>
      <c r="E20" s="33">
        <v>2700</v>
      </c>
      <c r="F20" s="46"/>
      <c r="G20" s="46">
        <f>ROUND(М[[#This Row],[Количество]]*М[[#This Row],[Цена за ед., руб]],2)</f>
        <v>0</v>
      </c>
      <c r="H20" s="34"/>
      <c r="I20" s="37"/>
    </row>
    <row r="21" spans="1:9" ht="11.1" customHeight="1" x14ac:dyDescent="0.2">
      <c r="A21" s="36" t="s">
        <v>59</v>
      </c>
      <c r="B21" s="34" t="s">
        <v>61</v>
      </c>
      <c r="C21" s="34" t="s">
        <v>60</v>
      </c>
      <c r="D21" s="32" t="s">
        <v>33</v>
      </c>
      <c r="E21" s="33">
        <v>10558</v>
      </c>
      <c r="F21" s="46"/>
      <c r="G21" s="46">
        <f>ROUND(М[[#This Row],[Количество]]*М[[#This Row],[Цена за ед., руб]],2)</f>
        <v>0</v>
      </c>
      <c r="H21" s="34"/>
      <c r="I21" s="37"/>
    </row>
    <row r="22" spans="1:9" ht="35.1" customHeight="1" x14ac:dyDescent="0.2">
      <c r="A22" s="36" t="s">
        <v>45</v>
      </c>
      <c r="B22" s="34"/>
      <c r="C22" s="34" t="s">
        <v>46</v>
      </c>
      <c r="D22" s="32" t="s">
        <v>37</v>
      </c>
      <c r="E22" s="35">
        <v>54</v>
      </c>
      <c r="F22" s="46"/>
      <c r="G22" s="46">
        <f>ROUND(М[[#This Row],[Количество]]*М[[#This Row],[Цена за ед., руб]],2)</f>
        <v>0</v>
      </c>
      <c r="H22" s="34" t="s">
        <v>47</v>
      </c>
      <c r="I22" s="37"/>
    </row>
    <row r="23" spans="1:9" ht="35.1" customHeight="1" x14ac:dyDescent="0.2">
      <c r="A23" s="36" t="s">
        <v>45</v>
      </c>
      <c r="B23" s="34"/>
      <c r="C23" s="34" t="s">
        <v>48</v>
      </c>
      <c r="D23" s="32" t="s">
        <v>37</v>
      </c>
      <c r="E23" s="35">
        <v>56</v>
      </c>
      <c r="F23" s="46"/>
      <c r="G23" s="46">
        <f>ROUND(М[[#This Row],[Количество]]*М[[#This Row],[Цена за ед., руб]],2)</f>
        <v>0</v>
      </c>
      <c r="H23" s="34" t="s">
        <v>47</v>
      </c>
      <c r="I23" s="37"/>
    </row>
    <row r="24" spans="1:9" ht="35.1" customHeight="1" x14ac:dyDescent="0.2">
      <c r="A24" s="36" t="s">
        <v>45</v>
      </c>
      <c r="B24" s="34"/>
      <c r="C24" s="34" t="s">
        <v>50</v>
      </c>
      <c r="D24" s="32" t="s">
        <v>37</v>
      </c>
      <c r="E24" s="35">
        <v>4</v>
      </c>
      <c r="F24" s="46"/>
      <c r="G24" s="46">
        <f>ROUND(М[[#This Row],[Количество]]*М[[#This Row],[Цена за ед., руб]],2)</f>
        <v>0</v>
      </c>
      <c r="H24" s="34" t="s">
        <v>47</v>
      </c>
      <c r="I24" s="37"/>
    </row>
    <row r="25" spans="1:9" ht="11.1" customHeight="1" x14ac:dyDescent="0.2">
      <c r="A25" s="36" t="s">
        <v>63</v>
      </c>
      <c r="B25" s="34"/>
      <c r="C25" s="34" t="s">
        <v>64</v>
      </c>
      <c r="D25" s="32" t="s">
        <v>37</v>
      </c>
      <c r="E25" s="35">
        <v>8</v>
      </c>
      <c r="F25" s="46"/>
      <c r="G25" s="46">
        <f>ROUND(М[[#This Row],[Количество]]*М[[#This Row],[Цена за ед., руб]],2)</f>
        <v>0</v>
      </c>
      <c r="H25" s="34"/>
      <c r="I25" s="37"/>
    </row>
    <row r="26" spans="1:9" ht="11.1" customHeight="1" x14ac:dyDescent="0.2">
      <c r="A26" s="36" t="s">
        <v>63</v>
      </c>
      <c r="B26" s="34" t="s">
        <v>39</v>
      </c>
      <c r="C26" s="34" t="s">
        <v>64</v>
      </c>
      <c r="D26" s="32" t="s">
        <v>37</v>
      </c>
      <c r="E26" s="35">
        <v>24</v>
      </c>
      <c r="F26" s="46"/>
      <c r="G26" s="46">
        <f>ROUND(М[[#This Row],[Количество]]*М[[#This Row],[Цена за ед., руб]],2)</f>
        <v>0</v>
      </c>
      <c r="H26" s="34"/>
      <c r="I26" s="37"/>
    </row>
    <row r="27" spans="1:9" ht="11.1" customHeight="1" x14ac:dyDescent="0.2">
      <c r="A27" s="36" t="s">
        <v>118</v>
      </c>
      <c r="B27" s="34"/>
      <c r="C27" s="34" t="s">
        <v>119</v>
      </c>
      <c r="D27" s="32" t="s">
        <v>120</v>
      </c>
      <c r="E27" s="35">
        <v>130</v>
      </c>
      <c r="F27" s="46"/>
      <c r="G27" s="46">
        <f>ROUND(М[[#This Row],[Количество]]*М[[#This Row],[Цена за ед., руб]],2)</f>
        <v>0</v>
      </c>
      <c r="H27" s="34" t="s">
        <v>121</v>
      </c>
      <c r="I27" s="37"/>
    </row>
    <row r="28" spans="1:9" ht="23.1" customHeight="1" x14ac:dyDescent="0.2">
      <c r="A28" s="36" t="s">
        <v>42</v>
      </c>
      <c r="B28" s="34"/>
      <c r="C28" s="34" t="s">
        <v>43</v>
      </c>
      <c r="D28" s="32" t="s">
        <v>37</v>
      </c>
      <c r="E28" s="35">
        <v>8</v>
      </c>
      <c r="F28" s="46"/>
      <c r="G28" s="46">
        <f>ROUND(М[[#This Row],[Количество]]*М[[#This Row],[Цена за ед., руб]],2)</f>
        <v>0</v>
      </c>
      <c r="H28" s="34"/>
      <c r="I28" s="37"/>
    </row>
    <row r="29" spans="1:9" ht="23.1" customHeight="1" x14ac:dyDescent="0.2">
      <c r="A29" s="36" t="s">
        <v>42</v>
      </c>
      <c r="B29" s="34" t="s">
        <v>39</v>
      </c>
      <c r="C29" s="34" t="s">
        <v>43</v>
      </c>
      <c r="D29" s="32" t="s">
        <v>37</v>
      </c>
      <c r="E29" s="35">
        <v>24</v>
      </c>
      <c r="F29" s="46"/>
      <c r="G29" s="46">
        <f>ROUND(М[[#This Row],[Количество]]*М[[#This Row],[Цена за ед., руб]],2)</f>
        <v>0</v>
      </c>
      <c r="H29" s="34"/>
      <c r="I29" s="37"/>
    </row>
    <row r="30" spans="1:9" ht="11.1" customHeight="1" x14ac:dyDescent="0.2">
      <c r="A30" s="36" t="s">
        <v>91</v>
      </c>
      <c r="B30" s="34"/>
      <c r="C30" s="34" t="s">
        <v>113</v>
      </c>
      <c r="D30" s="32" t="s">
        <v>37</v>
      </c>
      <c r="E30" s="35">
        <v>38</v>
      </c>
      <c r="F30" s="46"/>
      <c r="G30" s="46">
        <f>ROUND(М[[#This Row],[Количество]]*М[[#This Row],[Цена за ед., руб]],2)</f>
        <v>0</v>
      </c>
      <c r="H30" s="34"/>
      <c r="I30" s="37"/>
    </row>
    <row r="31" spans="1:9" ht="11.1" customHeight="1" x14ac:dyDescent="0.2">
      <c r="A31" s="36" t="s">
        <v>91</v>
      </c>
      <c r="B31" s="34"/>
      <c r="C31" s="34" t="s">
        <v>92</v>
      </c>
      <c r="D31" s="32" t="s">
        <v>37</v>
      </c>
      <c r="E31" s="35">
        <v>127</v>
      </c>
      <c r="F31" s="46"/>
      <c r="G31" s="46">
        <f>ROUND(М[[#This Row],[Количество]]*М[[#This Row],[Цена за ед., руб]],2)</f>
        <v>0</v>
      </c>
      <c r="H31" s="34"/>
      <c r="I31" s="37"/>
    </row>
    <row r="32" spans="1:9" ht="23.1" customHeight="1" x14ac:dyDescent="0.2">
      <c r="A32" s="36" t="s">
        <v>30</v>
      </c>
      <c r="B32" s="34" t="s">
        <v>31</v>
      </c>
      <c r="C32" s="34" t="s">
        <v>111</v>
      </c>
      <c r="D32" s="32" t="s">
        <v>33</v>
      </c>
      <c r="E32" s="35">
        <v>229</v>
      </c>
      <c r="F32" s="46"/>
      <c r="G32" s="46">
        <f>ROUND(М[[#This Row],[Количество]]*М[[#This Row],[Цена за ед., руб]],2)</f>
        <v>0</v>
      </c>
      <c r="H32" s="34"/>
      <c r="I32" s="37"/>
    </row>
    <row r="33" spans="1:9" ht="23.1" customHeight="1" x14ac:dyDescent="0.2">
      <c r="A33" s="36" t="s">
        <v>30</v>
      </c>
      <c r="B33" s="34"/>
      <c r="C33" s="34" t="s">
        <v>102</v>
      </c>
      <c r="D33" s="32" t="s">
        <v>33</v>
      </c>
      <c r="E33" s="35">
        <v>60</v>
      </c>
      <c r="F33" s="46"/>
      <c r="G33" s="46">
        <f>ROUND(М[[#This Row],[Количество]]*М[[#This Row],[Цена за ед., руб]],2)</f>
        <v>0</v>
      </c>
      <c r="H33" s="34"/>
      <c r="I33" s="37"/>
    </row>
    <row r="34" spans="1:9" ht="23.1" customHeight="1" x14ac:dyDescent="0.2">
      <c r="A34" s="36" t="s">
        <v>30</v>
      </c>
      <c r="B34" s="34" t="s">
        <v>31</v>
      </c>
      <c r="C34" s="34" t="s">
        <v>102</v>
      </c>
      <c r="D34" s="32" t="s">
        <v>33</v>
      </c>
      <c r="E34" s="35">
        <v>392</v>
      </c>
      <c r="F34" s="46"/>
      <c r="G34" s="46">
        <f>ROUND(М[[#This Row],[Количество]]*М[[#This Row],[Цена за ед., руб]],2)</f>
        <v>0</v>
      </c>
      <c r="H34" s="34"/>
      <c r="I34" s="37"/>
    </row>
    <row r="35" spans="1:9" ht="23.1" customHeight="1" x14ac:dyDescent="0.2">
      <c r="A35" s="36" t="s">
        <v>30</v>
      </c>
      <c r="B35" s="34" t="s">
        <v>31</v>
      </c>
      <c r="C35" s="34" t="s">
        <v>32</v>
      </c>
      <c r="D35" s="32" t="s">
        <v>33</v>
      </c>
      <c r="E35" s="33">
        <v>13138</v>
      </c>
      <c r="F35" s="46"/>
      <c r="G35" s="46">
        <f>ROUND(М[[#This Row],[Количество]]*М[[#This Row],[Цена за ед., руб]],2)</f>
        <v>0</v>
      </c>
      <c r="H35" s="34"/>
      <c r="I35" s="37"/>
    </row>
    <row r="36" spans="1:9" ht="23.1" customHeight="1" x14ac:dyDescent="0.2">
      <c r="A36" s="36" t="s">
        <v>30</v>
      </c>
      <c r="B36" s="34" t="s">
        <v>31</v>
      </c>
      <c r="C36" s="34" t="s">
        <v>35</v>
      </c>
      <c r="D36" s="32" t="s">
        <v>33</v>
      </c>
      <c r="E36" s="35">
        <v>67</v>
      </c>
      <c r="F36" s="46"/>
      <c r="G36" s="46">
        <f>ROUND(М[[#This Row],[Количество]]*М[[#This Row],[Цена за ед., руб]],2)</f>
        <v>0</v>
      </c>
      <c r="H36" s="34"/>
      <c r="I36" s="37"/>
    </row>
    <row r="37" spans="1:9" ht="23.1" customHeight="1" x14ac:dyDescent="0.2">
      <c r="A37" s="36" t="s">
        <v>30</v>
      </c>
      <c r="B37" s="34"/>
      <c r="C37" s="34" t="s">
        <v>103</v>
      </c>
      <c r="D37" s="32" t="s">
        <v>33</v>
      </c>
      <c r="E37" s="35">
        <v>13</v>
      </c>
      <c r="F37" s="46"/>
      <c r="G37" s="46">
        <f>ROUND(М[[#This Row],[Количество]]*М[[#This Row],[Цена за ед., руб]],2)</f>
        <v>0</v>
      </c>
      <c r="H37" s="34"/>
      <c r="I37" s="37"/>
    </row>
    <row r="38" spans="1:9" ht="23.1" customHeight="1" x14ac:dyDescent="0.2">
      <c r="A38" s="40" t="s">
        <v>30</v>
      </c>
      <c r="B38" s="49" t="s">
        <v>31</v>
      </c>
      <c r="C38" s="49" t="s">
        <v>103</v>
      </c>
      <c r="D38" s="41" t="s">
        <v>33</v>
      </c>
      <c r="E38" s="42">
        <v>105</v>
      </c>
      <c r="F38" s="46"/>
      <c r="G38" s="47">
        <f>ROUND(М[[#This Row],[Количество]]*М[[#This Row],[Цена за ед., руб]],2)</f>
        <v>0</v>
      </c>
      <c r="H38" s="49"/>
      <c r="I38" s="44"/>
    </row>
    <row r="39" spans="1:9" ht="23.1" customHeight="1" x14ac:dyDescent="0.2">
      <c r="A39" s="40" t="s">
        <v>143</v>
      </c>
      <c r="B39" s="49"/>
      <c r="C39" s="49"/>
      <c r="D39" s="62" t="s">
        <v>70</v>
      </c>
      <c r="E39" s="63"/>
      <c r="F39" s="47"/>
      <c r="G39" s="47">
        <f ca="1">SUMIF(ЛСР!$B$6:$N$178,М[[#This Row],[Наим.]],ЛСР!$M$6:$M$178)</f>
        <v>0</v>
      </c>
      <c r="H39" s="49" t="s">
        <v>160</v>
      </c>
      <c r="I39" s="44"/>
    </row>
    <row r="40" spans="1:9" ht="23.1" customHeight="1" x14ac:dyDescent="0.2">
      <c r="A40" s="40" t="s">
        <v>144</v>
      </c>
      <c r="B40" s="49"/>
      <c r="C40" s="49"/>
      <c r="D40" s="62" t="s">
        <v>70</v>
      </c>
      <c r="E40" s="63"/>
      <c r="F40" s="47"/>
      <c r="G40" s="47">
        <f ca="1">SUMIF(ЛСР!$B$6:$N$178,М[[#This Row],[Наим.]],ЛСР!$M$6:$M$178)</f>
        <v>0</v>
      </c>
      <c r="H40" s="49" t="s">
        <v>160</v>
      </c>
      <c r="I40" s="44"/>
    </row>
    <row r="41" spans="1:9" ht="23.1" customHeight="1" x14ac:dyDescent="0.2">
      <c r="A41" s="40" t="s">
        <v>145</v>
      </c>
      <c r="B41" s="49"/>
      <c r="C41" s="49"/>
      <c r="D41" s="62" t="s">
        <v>70</v>
      </c>
      <c r="E41" s="63"/>
      <c r="F41" s="47"/>
      <c r="G41" s="47">
        <f ca="1">SUMIF(ЛСР!$B$6:$N$178,М[[#This Row],[Наим.]],ЛСР!$M$6:$M$178)</f>
        <v>0</v>
      </c>
      <c r="H41" s="49" t="s">
        <v>160</v>
      </c>
      <c r="I41" s="44"/>
    </row>
    <row r="42" spans="1:9" ht="11.45" customHeight="1" x14ac:dyDescent="0.2">
      <c r="A42" s="40" t="s">
        <v>142</v>
      </c>
      <c r="B42" s="49"/>
      <c r="C42" s="49"/>
      <c r="D42" s="41"/>
      <c r="E42" s="43"/>
      <c r="F42" s="47"/>
      <c r="G42" s="47">
        <f ca="1">SUBTOTAL(109,М[Сумма, руб])</f>
        <v>0</v>
      </c>
      <c r="H42" s="49"/>
      <c r="I42" s="44"/>
    </row>
    <row r="44" spans="1:9" ht="11.45" customHeight="1" x14ac:dyDescent="0.2">
      <c r="F44" s="64" t="s">
        <v>146</v>
      </c>
      <c r="G44" s="65">
        <f ca="1">ЛСР!M181-М[[#Totals],[Сумма,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41" xr:uid="{E97C055E-025A-4D21-85E1-B0AC320E0EB0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132</v>
      </c>
      <c r="B1" s="1" t="s">
        <v>133</v>
      </c>
    </row>
    <row r="2" spans="1:2" ht="11.1" customHeight="1" x14ac:dyDescent="0.2">
      <c r="A2" s="1" t="s">
        <v>134</v>
      </c>
      <c r="B2" s="1" t="s">
        <v>135</v>
      </c>
    </row>
    <row r="3" spans="1:2" ht="11.1" customHeight="1" x14ac:dyDescent="0.2">
      <c r="A3" s="1" t="s">
        <v>136</v>
      </c>
      <c r="B3" s="1" t="s">
        <v>137</v>
      </c>
    </row>
    <row r="4" spans="1:2" ht="11.1" customHeight="1" x14ac:dyDescent="0.2">
      <c r="A4" s="1" t="s">
        <v>138</v>
      </c>
      <c r="B4" s="1" t="s">
        <v>139</v>
      </c>
    </row>
    <row r="5" spans="1:2" ht="11.1" customHeight="1" x14ac:dyDescent="0.2">
      <c r="A5" s="1" t="s">
        <v>140</v>
      </c>
      <c r="B5" s="1" t="s">
        <v>141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2026-07-22T08:43:08Z</dcterms:modified>
</cp:coreProperties>
</file>