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387DC3B5-250D-4E24-AD0B-CC737ACA87E3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ЛСР!$A$7:$P$76</definedName>
  </definedNames>
  <calcPr calcId="191029"/>
</workbook>
</file>

<file path=xl/calcChain.xml><?xml version="1.0" encoding="utf-8"?>
<calcChain xmlns="http://schemas.openxmlformats.org/spreadsheetml/2006/main">
  <c r="P67" i="1" l="1" a="1"/>
  <c r="P67" i="1" s="1"/>
  <c r="P66" i="1" a="1"/>
  <c r="P66" i="1" s="1"/>
  <c r="L67" i="1"/>
  <c r="L66" i="1"/>
  <c r="G23" i="3"/>
  <c r="P53" i="1" a="1"/>
  <c r="P53" i="1" s="1"/>
  <c r="M53" i="1" a="1"/>
  <c r="M53" i="1" s="1"/>
  <c r="H53" i="1"/>
  <c r="I53" i="1"/>
  <c r="J53" i="1"/>
  <c r="K53" i="1"/>
  <c r="G53" i="1"/>
  <c r="L53" i="1" s="1"/>
  <c r="L13" i="1"/>
  <c r="M13" i="1" a="1"/>
  <c r="M13" i="1" s="1"/>
  <c r="L15" i="1"/>
  <c r="M15" i="1" a="1"/>
  <c r="M15" i="1" s="1"/>
  <c r="N15" i="1" s="1"/>
  <c r="N14" i="1" s="1"/>
  <c r="L17" i="1"/>
  <c r="P17" i="1" a="1"/>
  <c r="P17" i="1" s="1"/>
  <c r="M17" i="1" a="1"/>
  <c r="M17" i="1" s="1"/>
  <c r="N17" i="1" s="1"/>
  <c r="N16" i="1" s="1"/>
  <c r="L19" i="1"/>
  <c r="M19" i="1" a="1"/>
  <c r="M19" i="1" s="1"/>
  <c r="N19" i="1" s="1"/>
  <c r="N18" i="1" s="1"/>
  <c r="L21" i="1"/>
  <c r="P21" i="1" a="1"/>
  <c r="P21" i="1" s="1"/>
  <c r="M21" i="1" a="1"/>
  <c r="M21" i="1" s="1"/>
  <c r="L22" i="1"/>
  <c r="P22" i="1" a="1"/>
  <c r="P22" i="1" s="1"/>
  <c r="M22" i="1" a="1"/>
  <c r="M22" i="1" s="1"/>
  <c r="L24" i="1"/>
  <c r="M24" i="1" a="1"/>
  <c r="M24" i="1" s="1"/>
  <c r="L26" i="1"/>
  <c r="P26" i="1" a="1"/>
  <c r="P26" i="1" s="1"/>
  <c r="M26" i="1" a="1"/>
  <c r="M26" i="1" s="1"/>
  <c r="N26" i="1" s="1"/>
  <c r="L27" i="1"/>
  <c r="P27" i="1" a="1"/>
  <c r="P27" i="1" s="1"/>
  <c r="M27" i="1" a="1"/>
  <c r="M27" i="1" s="1"/>
  <c r="N27" i="1" s="1"/>
  <c r="L28" i="1"/>
  <c r="P28" i="1" a="1"/>
  <c r="P28" i="1" s="1"/>
  <c r="M28" i="1" a="1"/>
  <c r="M28" i="1" s="1"/>
  <c r="N28" i="1" s="1"/>
  <c r="L29" i="1"/>
  <c r="P29" i="1" a="1"/>
  <c r="P29" i="1" s="1"/>
  <c r="M29" i="1" a="1"/>
  <c r="M29" i="1" s="1"/>
  <c r="L31" i="1"/>
  <c r="M31" i="1" a="1"/>
  <c r="M31" i="1" s="1"/>
  <c r="L33" i="1"/>
  <c r="P33" i="1" a="1"/>
  <c r="P33" i="1" s="1"/>
  <c r="M33" i="1" a="1"/>
  <c r="M33" i="1" s="1"/>
  <c r="N33" i="1" s="1"/>
  <c r="N32" i="1" s="1"/>
  <c r="L35" i="1"/>
  <c r="M35" i="1" a="1"/>
  <c r="M35" i="1" s="1"/>
  <c r="N35" i="1" s="1"/>
  <c r="N34" i="1" s="1"/>
  <c r="L37" i="1"/>
  <c r="P37" i="1" a="1"/>
  <c r="P37" i="1" s="1"/>
  <c r="M37" i="1" a="1"/>
  <c r="M37" i="1" s="1"/>
  <c r="N37" i="1" s="1"/>
  <c r="N36" i="1" s="1"/>
  <c r="L39" i="1"/>
  <c r="M39" i="1" a="1"/>
  <c r="M39" i="1" s="1"/>
  <c r="N39" i="1" s="1"/>
  <c r="N38" i="1" s="1"/>
  <c r="L41" i="1"/>
  <c r="P41" i="1" a="1"/>
  <c r="P41" i="1" s="1"/>
  <c r="M41" i="1" a="1"/>
  <c r="M41" i="1" s="1"/>
  <c r="L42" i="1"/>
  <c r="P42" i="1" a="1"/>
  <c r="P42" i="1" s="1"/>
  <c r="M42" i="1" a="1"/>
  <c r="M42" i="1" s="1"/>
  <c r="N42" i="1" s="1"/>
  <c r="L44" i="1"/>
  <c r="M44" i="1" a="1"/>
  <c r="M44" i="1" s="1"/>
  <c r="L46" i="1"/>
  <c r="P46" i="1" a="1"/>
  <c r="P46" i="1" s="1"/>
  <c r="M46" i="1" a="1"/>
  <c r="M46" i="1" s="1"/>
  <c r="N46" i="1" s="1"/>
  <c r="N45" i="1" s="1"/>
  <c r="L48" i="1"/>
  <c r="M48" i="1" a="1"/>
  <c r="M48" i="1" s="1"/>
  <c r="N48" i="1" s="1"/>
  <c r="N47" i="1" s="1"/>
  <c r="L50" i="1"/>
  <c r="P50" i="1" a="1"/>
  <c r="P50" i="1" s="1"/>
  <c r="M50" i="1" a="1"/>
  <c r="M50" i="1" s="1"/>
  <c r="N50" i="1" s="1"/>
  <c r="L51" i="1"/>
  <c r="P51" i="1" a="1"/>
  <c r="P51" i="1" s="1"/>
  <c r="M51" i="1" a="1"/>
  <c r="M51" i="1" s="1"/>
  <c r="N51" i="1" s="1"/>
  <c r="L52" i="1"/>
  <c r="P52" i="1" a="1"/>
  <c r="P52" i="1" s="1"/>
  <c r="M52" i="1" a="1"/>
  <c r="M52" i="1" s="1"/>
  <c r="N52" i="1" s="1"/>
  <c r="L55" i="1"/>
  <c r="M55" i="1" a="1"/>
  <c r="M55" i="1" s="1"/>
  <c r="N55" i="1" s="1"/>
  <c r="N54" i="1" s="1"/>
  <c r="L57" i="1"/>
  <c r="P57" i="1" a="1"/>
  <c r="P57" i="1" s="1"/>
  <c r="M57" i="1" a="1"/>
  <c r="M57" i="1" s="1"/>
  <c r="N57" i="1" s="1"/>
  <c r="N56" i="1" s="1"/>
  <c r="L59" i="1"/>
  <c r="M59" i="1" a="1"/>
  <c r="M59" i="1" s="1"/>
  <c r="N59" i="1" s="1"/>
  <c r="N58" i="1" s="1"/>
  <c r="L61" i="1"/>
  <c r="P61" i="1" a="1"/>
  <c r="P61" i="1" s="1"/>
  <c r="M61" i="1" a="1"/>
  <c r="M61" i="1" s="1"/>
  <c r="N61" i="1" s="1"/>
  <c r="L62" i="1"/>
  <c r="P62" i="1" a="1"/>
  <c r="P62" i="1" s="1"/>
  <c r="M62" i="1" a="1"/>
  <c r="M62" i="1" s="1"/>
  <c r="N62" i="1" s="1"/>
  <c r="L63" i="1"/>
  <c r="P63" i="1" a="1"/>
  <c r="P63" i="1" s="1"/>
  <c r="M63" i="1" a="1"/>
  <c r="M63" i="1" s="1"/>
  <c r="N63" i="1" s="1"/>
  <c r="L64" i="1"/>
  <c r="P64" i="1" a="1"/>
  <c r="P64" i="1" s="1"/>
  <c r="M64" i="1" a="1"/>
  <c r="M64" i="1" s="1"/>
  <c r="L71" i="1"/>
  <c r="M71" i="1" a="1"/>
  <c r="M71" i="1" s="1"/>
  <c r="N71" i="1" s="1"/>
  <c r="N70" i="1" s="1"/>
  <c r="G24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15" i="2"/>
  <c r="E14" i="2"/>
  <c r="E13" i="2"/>
  <c r="E12" i="2"/>
  <c r="E11" i="2"/>
  <c r="E10" i="2"/>
  <c r="E9" i="2"/>
  <c r="E8" i="2"/>
  <c r="E7" i="2"/>
  <c r="E6" i="2"/>
  <c r="E5" i="2"/>
  <c r="E4" i="2"/>
  <c r="E16" i="2"/>
  <c r="N29" i="1" l="1"/>
  <c r="N64" i="1"/>
  <c r="N67" i="1"/>
  <c r="G26" i="3" s="1"/>
  <c r="N31" i="1"/>
  <c r="N30" i="1" s="1"/>
  <c r="N53" i="1"/>
  <c r="N60" i="1"/>
  <c r="N22" i="1"/>
  <c r="N13" i="1"/>
  <c r="N12" i="1" s="1"/>
  <c r="N24" i="1"/>
  <c r="N23" i="1" s="1"/>
  <c r="N41" i="1"/>
  <c r="N40" i="1" s="1"/>
  <c r="N69" i="1"/>
  <c r="N68" i="1" s="1"/>
  <c r="N25" i="1"/>
  <c r="N44" i="1"/>
  <c r="N43" i="1" s="1"/>
  <c r="N21" i="1"/>
  <c r="N49" i="1" l="1"/>
  <c r="N66" i="1"/>
  <c r="N20" i="1"/>
  <c r="N73" i="1"/>
  <c r="E18" i="2" s="1"/>
  <c r="N65" i="1" l="1"/>
  <c r="G25" i="3"/>
  <c r="G27" i="3" s="1"/>
  <c r="N74" i="1" l="1"/>
  <c r="G29" i="3" s="1"/>
  <c r="N11" i="1"/>
  <c r="N10" i="1" s="1"/>
  <c r="N9" i="1" s="1"/>
  <c r="N72" i="1" s="1"/>
</calcChain>
</file>

<file path=xl/sharedStrings.xml><?xml version="1.0" encoding="utf-8"?>
<sst xmlns="http://schemas.openxmlformats.org/spreadsheetml/2006/main" count="332" uniqueCount="129">
  <si>
    <t>Локальный сметный расчет (ЛСР) №6</t>
  </si>
  <si>
    <t>Объект: «Комплексная застройка территории, расположенной в границах улиц: Тобольский тракт - Обход города Тюмени (мкр. Губернаторский). Многоэтажный жилой дом с подземным паркингом ГП-72.106» Секция 0, 1, 2, 3, 4</t>
  </si>
  <si>
    <t>Ведомость объемов работ и расхода материалов по работе: Устройство системы пожаротушения и сопутствующим работам (согласно проекту шифр ПТ,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</si>
  <si>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</si>
  <si>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</si>
  <si>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</si>
  <si>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</si>
  <si>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</si>
  <si>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</si>
  <si>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0</t>
  </si>
  <si>
    <t>Секция 1</t>
  </si>
  <si>
    <t>Секция 2</t>
  </si>
  <si>
    <t>Секция 3</t>
  </si>
  <si>
    <t>Секция 4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</si>
  <si>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</si>
  <si>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</si>
  <si>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</si>
  <si>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</si>
  <si>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</si>
  <si>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</si>
  <si>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</si>
  <si>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11.07</t>
  </si>
  <si>
    <t>Устройство системы пожаротушения</t>
  </si>
  <si>
    <t>11.07.01</t>
  </si>
  <si>
    <t>Устройство водопровода В2</t>
  </si>
  <si>
    <t>11.07.01.00</t>
  </si>
  <si>
    <t>Работы:</t>
  </si>
  <si>
    <t>Бурение отверстий до 120мм</t>
  </si>
  <si>
    <t>шт</t>
  </si>
  <si>
    <t>Монтаж автоматического воздухоотводчика</t>
  </si>
  <si>
    <t>Материалы:</t>
  </si>
  <si>
    <t>1</t>
  </si>
  <si>
    <t>Воздухоотводчик</t>
  </si>
  <si>
    <t>Valtec</t>
  </si>
  <si>
    <t>автоматический Ду-15 10bar</t>
  </si>
  <si>
    <t>Монтаж затвора</t>
  </si>
  <si>
    <t>Затвор поворотный дисковый</t>
  </si>
  <si>
    <t>REON</t>
  </si>
  <si>
    <t>межфланцевый Ду-80 Py-16bar ручной с контролем положения</t>
  </si>
  <si>
    <t>2</t>
  </si>
  <si>
    <t>межфланцевый Ду-50 Py-16bar ручной с контролем положения</t>
  </si>
  <si>
    <t>Монтаж клапана (с учетом пожарного рукава и ствола)</t>
  </si>
  <si>
    <t>Рукав пожарный</t>
  </si>
  <si>
    <t>Ду-50мм L-20м с головкой ГР-50</t>
  </si>
  <si>
    <t>Ствол пожарный</t>
  </si>
  <si>
    <t>РС-50А</t>
  </si>
  <si>
    <t>3</t>
  </si>
  <si>
    <t>Вентиль пожарный</t>
  </si>
  <si>
    <t>латунный прямой Ду-50 муфта-цапка</t>
  </si>
  <si>
    <t>4</t>
  </si>
  <si>
    <t>в комплекте с диафрагмой количество согласно проекта</t>
  </si>
  <si>
    <t>Монтаж клапана (фланцевые, резьбовые) от 40 мм</t>
  </si>
  <si>
    <t>Клапан обратный</t>
  </si>
  <si>
    <t>Межфланцевый Ду-80 Ру-16бар</t>
  </si>
  <si>
    <t>Монтаж кранов (вварные) от 40 мм</t>
  </si>
  <si>
    <t>Кран шаровой</t>
  </si>
  <si>
    <t>LD</t>
  </si>
  <si>
    <t>под приварку Ду-50</t>
  </si>
  <si>
    <t>Монтаж кранов (фланцевые, резьбовые) до 32 мм</t>
  </si>
  <si>
    <t>ВР-ВР Ду-15 полнопроходной</t>
  </si>
  <si>
    <t>Кран трехходовой для манометра</t>
  </si>
  <si>
    <t>Ду-15 Ру-16 G1/2-М20х1,5 латунь</t>
  </si>
  <si>
    <t>Монтаж насосной установки повышения давления</t>
  </si>
  <si>
    <t>Насосная станция пожаротушения</t>
  </si>
  <si>
    <t>WILO либо аналог</t>
  </si>
  <si>
    <t>Q=19.37 м3/чН=54,61 м</t>
  </si>
  <si>
    <t>CO 2 MVL 2005/SK-FFS-RCS или аналог</t>
  </si>
  <si>
    <t>Монтаж пожарного шкафа</t>
  </si>
  <si>
    <t>Шкаф пожарный</t>
  </si>
  <si>
    <t>ШПК-320-12-НЗБ</t>
  </si>
  <si>
    <t>с евроручкой и ребром жесткости на дверце</t>
  </si>
  <si>
    <t>с ребром жесткости и рамочкой, с евроручкой</t>
  </si>
  <si>
    <t>ШПК-320-21 ВЗБ</t>
  </si>
  <si>
    <t>Прокладка трубы стальной до 40 мм</t>
  </si>
  <si>
    <t>пог. м</t>
  </si>
  <si>
    <t>Труба водогазопроводная</t>
  </si>
  <si>
    <t>стальная D-15х2,8 СТ3</t>
  </si>
  <si>
    <t>Прокладка трубы стальной от 57 мм</t>
  </si>
  <si>
    <t>Труба электросварная (пог.м.)</t>
  </si>
  <si>
    <t>стальная D-89х4,0</t>
  </si>
  <si>
    <t>стальная D-108х4,0</t>
  </si>
  <si>
    <t>стальная D-76х3,5</t>
  </si>
  <si>
    <t>стальная D-57х3,5</t>
  </si>
  <si>
    <t>%</t>
  </si>
  <si>
    <t>11.07.03</t>
  </si>
  <si>
    <t>ПНР</t>
  </si>
  <si>
    <t>11.07.03.00</t>
  </si>
  <si>
    <t>Пусконаладочные работы системы пожаротушения: испытание пожарного крана, манометрические испытания</t>
  </si>
  <si>
    <t>компл.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</si>
  <si>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</si>
  <si>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</si>
  <si>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</si>
  <si>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</si>
  <si>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</si>
  <si>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</si>
  <si>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</si>
  <si>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</si>
  <si>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</si>
  <si>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</si>
  <si>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</si>
  <si>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</si>
  <si>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ГП-72.106.01.11.07 Подвал_Устройство системы пожаротушения №1</t>
  </si>
  <si>
    <t>9eccb72b-badd-11f0-8b59-a036bcbd010b</t>
  </si>
  <si>
    <t>ГП-72.106.01.11.07 Секция 1_Устройство системы пожаротушения №2</t>
  </si>
  <si>
    <t>911a55b2-bef8-11f0-8b59-a036bcbd010b</t>
  </si>
  <si>
    <t>ГП-72.106.02.11.07 Секция 2_Устройство системы пожаротушения №1</t>
  </si>
  <si>
    <t>11363c6b-befe-11f0-8b59-a036bcbd010b</t>
  </si>
  <si>
    <t>ГП-72.106.03.11.07 Секция 3_Устройство системы пожаротушения №1</t>
  </si>
  <si>
    <t>cf274436-befe-11f0-8b59-a036bcbd010b</t>
  </si>
  <si>
    <t>ГП-72.106.04.11.07 Секция 4_Устройство системы пожаротушения №1</t>
  </si>
  <si>
    <t>6c293d18-beff-11f0-8b59-a036bcbd010b</t>
  </si>
  <si>
    <t>Итог</t>
  </si>
  <si>
    <t>Огнетушитель</t>
  </si>
  <si>
    <t>порошковый ОП-8(з) АВСЕ</t>
  </si>
  <si>
    <t>Прочие материалы</t>
  </si>
  <si>
    <t xml:space="preserve">Фитинги для стальной трубы </t>
  </si>
  <si>
    <t>для всех разделов, расчитывается от стоимости материалов</t>
  </si>
  <si>
    <t>Проверка:</t>
  </si>
  <si>
    <t>ИТОГО по сметному расчету, в тч НДС:</t>
  </si>
  <si>
    <t>в тч НДС ____%</t>
  </si>
  <si>
    <t>указать %</t>
  </si>
  <si>
    <t>Примечание:</t>
  </si>
  <si>
    <t>В стоимость пусконоладочных работ входит: ПНР насосной станции пожаротушения, Атоматизация насосов системы пожаротушения (кабельно проводниковая продукция, лотки итд) с учетом материалов</t>
  </si>
  <si>
    <t>Учитывать, что подрядчику необходимо предоставить Акт на инструментальный контроль противопожарного водопровода</t>
  </si>
  <si>
    <t>В случае, если один из перечисленных прочих/фасонных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</si>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</sst>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8"/>
      <name val="Arial"/>
      <family val="2"/>
      <charset val="204"/>
    </font>
    <font>
      <sz val="11"/>
      <color theme="1"/>
      <name val="Times New Roman"/>
      <family val="2"/>
      <charset val="204"/>
    </font>
    <font>
      <b/>
      <i/>
      <u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8" fillId="0" borderId="0"/>
    <xf numFmtId="0" fontId="11" fillId="0" borderId="0"/>
    <xf numFmtId="0" fontId="1" fillId="0" borderId="0"/>
  </cellStyleXfs>
  <cellXfs count="115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3" fillId="3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left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right" vertical="center"/>
    </xf>
    <xf numFmtId="0" fontId="0" fillId="3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left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/>
    </xf>
    <xf numFmtId="0" fontId="0" fillId="4" borderId="5" xfId="0" applyFill="1" applyBorder="1" applyAlignment="1">
      <alignment horizontal="center"/>
    </xf>
    <xf numFmtId="0" fontId="0" fillId="4" borderId="5" xfId="0" applyFill="1" applyBorder="1" applyAlignment="1">
      <alignment horizontal="left" wrapText="1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 vertical="center"/>
    </xf>
    <xf numFmtId="1" fontId="0" fillId="4" borderId="5" xfId="0" applyNumberFormat="1" applyFill="1" applyBorder="1" applyAlignment="1">
      <alignment horizontal="right" vertical="center"/>
    </xf>
    <xf numFmtId="3" fontId="0" fillId="4" borderId="5" xfId="0" applyNumberFormat="1" applyFill="1" applyBorder="1" applyAlignment="1">
      <alignment horizontal="right" vertical="center"/>
    </xf>
    <xf numFmtId="0" fontId="0" fillId="5" borderId="5" xfId="0" applyFill="1" applyBorder="1" applyAlignment="1">
      <alignment horizontal="right"/>
    </xf>
    <xf numFmtId="0" fontId="0" fillId="6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center" vertical="center"/>
    </xf>
    <xf numFmtId="4" fontId="3" fillId="3" borderId="0" xfId="0" applyNumberFormat="1" applyFont="1" applyFill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3" fillId="5" borderId="5" xfId="0" applyNumberFormat="1" applyFont="1" applyFill="1" applyBorder="1" applyAlignment="1">
      <alignment horizontal="right" vertical="center"/>
    </xf>
    <xf numFmtId="4" fontId="0" fillId="4" borderId="0" xfId="0" applyNumberFormat="1" applyFill="1" applyAlignment="1">
      <alignment horizontal="right" vertical="center"/>
    </xf>
    <xf numFmtId="4" fontId="0" fillId="3" borderId="9" xfId="0" applyNumberFormat="1" applyFill="1" applyBorder="1" applyAlignment="1">
      <alignment horizontal="center" vertical="center"/>
    </xf>
    <xf numFmtId="0" fontId="0" fillId="3" borderId="7" xfId="0" applyFill="1" applyBorder="1" applyAlignment="1">
      <alignment horizontal="right" vertical="center"/>
    </xf>
    <xf numFmtId="4" fontId="0" fillId="4" borderId="1" xfId="0" applyNumberFormat="1" applyFill="1" applyBorder="1" applyAlignment="1">
      <alignment horizontal="right" vertical="center"/>
    </xf>
    <xf numFmtId="4" fontId="3" fillId="3" borderId="13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left" wrapText="1"/>
    </xf>
    <xf numFmtId="0" fontId="5" fillId="4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left" wrapText="1"/>
    </xf>
    <xf numFmtId="0" fontId="5" fillId="3" borderId="5" xfId="0" applyFont="1" applyFill="1" applyBorder="1" applyAlignment="1">
      <alignment horizontal="center" vertical="center"/>
    </xf>
    <xf numFmtId="4" fontId="5" fillId="3" borderId="5" xfId="0" applyNumberFormat="1" applyFont="1" applyFill="1" applyBorder="1" applyAlignment="1">
      <alignment horizontal="center" vertical="center"/>
    </xf>
    <xf numFmtId="4" fontId="6" fillId="3" borderId="0" xfId="0" applyNumberFormat="1" applyFont="1" applyFill="1" applyAlignment="1">
      <alignment horizontal="right" vertical="center"/>
    </xf>
    <xf numFmtId="0" fontId="5" fillId="3" borderId="5" xfId="0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right"/>
    </xf>
    <xf numFmtId="0" fontId="5" fillId="0" borderId="0" xfId="0" applyFont="1"/>
    <xf numFmtId="0" fontId="7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1" fontId="5" fillId="7" borderId="5" xfId="0" applyNumberFormat="1" applyFont="1" applyFill="1" applyBorder="1" applyAlignment="1">
      <alignment horizontal="right" vertical="center"/>
    </xf>
    <xf numFmtId="4" fontId="5" fillId="4" borderId="5" xfId="0" applyNumberFormat="1" applyFont="1" applyFill="1" applyBorder="1" applyAlignment="1">
      <alignment horizontal="right" vertical="center"/>
    </xf>
    <xf numFmtId="1" fontId="0" fillId="7" borderId="2" xfId="0" applyNumberFormat="1" applyFill="1" applyBorder="1" applyAlignment="1">
      <alignment horizontal="right" vertical="center"/>
    </xf>
    <xf numFmtId="0" fontId="7" fillId="0" borderId="0" xfId="0" applyFont="1" applyAlignment="1">
      <alignment horizontal="left"/>
    </xf>
    <xf numFmtId="4" fontId="0" fillId="0" borderId="0" xfId="0" applyNumberFormat="1" applyAlignment="1">
      <alignment horizontal="left"/>
    </xf>
    <xf numFmtId="4" fontId="3" fillId="5" borderId="7" xfId="0" applyNumberFormat="1" applyFont="1" applyFill="1" applyBorder="1" applyAlignment="1">
      <alignment horizontal="right" vertical="center"/>
    </xf>
    <xf numFmtId="0" fontId="5" fillId="5" borderId="7" xfId="0" applyFont="1" applyFill="1" applyBorder="1" applyAlignment="1">
      <alignment horizontal="center"/>
    </xf>
    <xf numFmtId="0" fontId="7" fillId="0" borderId="0" xfId="1"/>
    <xf numFmtId="0" fontId="9" fillId="0" borderId="0" xfId="2" applyFont="1" applyAlignment="1">
      <alignment vertical="center" wrapText="1"/>
    </xf>
    <xf numFmtId="0" fontId="10" fillId="0" borderId="0" xfId="2" applyFont="1" applyAlignment="1">
      <alignment horizontal="center" vertical="center" wrapText="1"/>
    </xf>
    <xf numFmtId="4" fontId="10" fillId="0" borderId="0" xfId="2" applyNumberFormat="1" applyFont="1" applyAlignment="1">
      <alignment horizontal="center" vertical="center" wrapText="1"/>
    </xf>
    <xf numFmtId="0" fontId="11" fillId="0" borderId="0" xfId="3"/>
    <xf numFmtId="0" fontId="0" fillId="0" borderId="5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4" fontId="3" fillId="6" borderId="7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right"/>
    </xf>
    <xf numFmtId="0" fontId="3" fillId="5" borderId="6" xfId="0" applyFont="1" applyFill="1" applyBorder="1" applyAlignment="1">
      <alignment horizontal="right"/>
    </xf>
    <xf numFmtId="0" fontId="3" fillId="5" borderId="7" xfId="0" applyFont="1" applyFill="1" applyBorder="1" applyAlignment="1">
      <alignment horizontal="right"/>
    </xf>
    <xf numFmtId="0" fontId="4" fillId="5" borderId="9" xfId="0" applyFont="1" applyFill="1" applyBorder="1" applyAlignment="1">
      <alignment horizontal="right"/>
    </xf>
    <xf numFmtId="0" fontId="4" fillId="5" borderId="6" xfId="0" applyFont="1" applyFill="1" applyBorder="1" applyAlignment="1">
      <alignment horizontal="right"/>
    </xf>
    <xf numFmtId="0" fontId="4" fillId="5" borderId="7" xfId="0" applyFont="1" applyFill="1" applyBorder="1" applyAlignment="1">
      <alignment horizontal="right"/>
    </xf>
    <xf numFmtId="4" fontId="4" fillId="5" borderId="9" xfId="0" applyNumberFormat="1" applyFont="1" applyFill="1" applyBorder="1" applyAlignment="1">
      <alignment horizontal="right"/>
    </xf>
    <xf numFmtId="4" fontId="4" fillId="5" borderId="6" xfId="0" applyNumberFormat="1" applyFont="1" applyFill="1" applyBorder="1" applyAlignment="1">
      <alignment horizontal="right"/>
    </xf>
    <xf numFmtId="4" fontId="4" fillId="5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0" xfId="4" applyFont="1" applyAlignment="1">
      <alignment horizontal="left" vertical="center" wrapText="1"/>
    </xf>
    <xf numFmtId="0" fontId="10" fillId="0" borderId="0" xfId="2" applyFont="1" applyAlignment="1">
      <alignment horizontal="left" vertical="center" wrapText="1"/>
    </xf>
    <xf numFmtId="0" fontId="10" fillId="0" borderId="0" xfId="3" applyFont="1" applyAlignment="1">
      <alignment horizontal="left" vertical="center" wrapText="1"/>
    </xf>
    <xf numFmtId="0" fontId="10" fillId="0" borderId="0" xfId="3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0" fontId="13" fillId="8" borderId="0" xfId="1" applyFont="1" applyFill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5">
    <cellStyle name="Обычный" xfId="0" builtinId="0"/>
    <cellStyle name="Обычный 2" xfId="3" xr:uid="{55E8E61A-0D22-41C8-A1F6-C9F28278611E}"/>
    <cellStyle name="Обычный 3" xfId="1" xr:uid="{62E16C39-3252-4371-AF0F-227B805A9538}"/>
    <cellStyle name="Обычный 3 2 2 4 2" xfId="4" xr:uid="{02B5AC6B-BBDB-4D2D-96AF-127D95A2495C}"/>
    <cellStyle name="Обычный 5" xfId="2" xr:uid="{536AD53A-F2D8-411A-8FD1-2F9668C6BCF2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D04BDE-E57E-4B3F-B455-2E6AC9D32FB3}" name="Р" displayName="Р" ref="A3:F16" totalsRowCount="1" headerRowDxfId="37" headerRowBorderDxfId="36" tableBorderDxfId="35" totalsRowBorderDxfId="34">
  <autoFilter ref="A3:F15" xr:uid="{E4D04BDE-E57E-4B3F-B455-2E6AC9D32FB3}"/>
  <tableColumns count="6">
    <tableColumn id="1" xr3:uid="{12F8D07A-0C39-4021-8983-5D56206B2839}" name="Наименование" totalsRowLabel="Итог" dataDxfId="33" totalsRowDxfId="32"/>
    <tableColumn id="2" xr3:uid="{52B81DE1-60B7-4A7D-874C-D7E31C173B4C}" name="Ед. изм." dataDxfId="31" totalsRowDxfId="30"/>
    <tableColumn id="3" xr3:uid="{56A0F6B4-D729-41BB-912B-75F8667A18ED}" name="Количество" dataDxfId="29" totalsRowDxfId="28"/>
    <tableColumn id="4" xr3:uid="{EF504EA3-8C62-451F-B1CE-74D2CF005CCC}" name="Цена за ед., руб" dataDxfId="27" totalsRowDxfId="26"/>
    <tableColumn id="5" xr3:uid="{34F1E04C-8E69-496A-89BA-0CF4FC0FDF4D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A72CE8E2-6A28-4DEB-B59D-DB7D76262718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4C13A8-6D7E-4381-A9EA-E15CD20E647A}" name="М" displayName="М" ref="A3:I27" totalsRowCount="1" headerRowDxfId="21" headerRowBorderDxfId="20" tableBorderDxfId="19" totalsRowBorderDxfId="18">
  <autoFilter ref="A3:I26" xr:uid="{154C13A8-6D7E-4381-A9EA-E15CD20E647A}"/>
  <tableColumns count="9">
    <tableColumn id="1" xr3:uid="{943126BE-60B3-4C24-BDE7-10FD8521EABC}" name="Наим." totalsRowLabel="Итог" dataDxfId="17" totalsRowDxfId="8"/>
    <tableColumn id="2" xr3:uid="{8A86E369-81E6-4277-A86E-C29CBE4B873D}" name="Артикул, марка, произв." dataDxfId="16" totalsRowDxfId="7"/>
    <tableColumn id="3" xr3:uid="{A2F8C02F-F604-49C5-B33B-4DCED470C12C}" name="Хар-ка" dataDxfId="15" totalsRowDxfId="6"/>
    <tableColumn id="4" xr3:uid="{26F352B9-48D7-4079-9F11-4E853D7A3DB1}" name="Ед. изм." dataDxfId="14" totalsRowDxfId="5"/>
    <tableColumn id="5" xr3:uid="{793E8789-25B9-4A53-9E72-BC8A0B6E1474}" name="Количество" dataDxfId="13" totalsRowDxfId="4"/>
    <tableColumn id="6" xr3:uid="{F1C9239C-B662-4DA4-A957-FD29D67BEA4A}" name="Цена за ед., руб" dataDxfId="12" totalsRowDxfId="3"/>
    <tableColumn id="7" xr3:uid="{A0F41528-4882-4C24-912B-D884980EFF40}" name="Сумма, руб" totalsRowFunction="sum" dataDxfId="11" totalsRowDxfId="2">
      <calculatedColumnFormula>ROUND(М[[#This Row],[Количество]]*М[[#This Row],[Цена за ед., руб]],2)</calculatedColumnFormula>
    </tableColumn>
    <tableColumn id="8" xr3:uid="{F6ABF892-565D-4F41-8A1C-8BA1B2FF8B23}" name="Прим." dataDxfId="10" totalsRowDxfId="1"/>
    <tableColumn id="9" xr3:uid="{82AFF2D6-08A5-4886-8304-2EE6E1D811F1}" name="Форма закупа" dataDxfId="9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T85"/>
  <sheetViews>
    <sheetView tabSelected="1" workbookViewId="0">
      <pane ySplit="7" topLeftCell="A56" activePane="bottomLeft" state="frozen"/>
      <selection pane="bottomLeft" activeCell="P66" sqref="P66:P67"/>
    </sheetView>
  </sheetViews>
  <sheetFormatPr defaultColWidth="10.5" defaultRowHeight="11.25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1" width="10.5" style="1" customWidth="1"/>
    <col min="12" max="12" width="14.6640625" style="1" customWidth="1"/>
    <col min="13" max="13" width="16" style="1" customWidth="1"/>
    <col min="14" max="14" width="17" style="1" customWidth="1"/>
    <col min="15" max="15" width="35" style="1" customWidth="1"/>
    <col min="16" max="16" width="23.33203125" style="1" customWidth="1"/>
  </cols>
  <sheetData>
    <row r="2" spans="1:16" x14ac:dyDescent="0.2">
      <c r="B2" s="102" t="s">
        <v>0</v>
      </c>
      <c r="C2" s="102"/>
      <c r="D2" s="102"/>
      <c r="E2" s="102"/>
      <c r="F2" s="102"/>
      <c r="G2" s="102"/>
      <c r="H2" s="102"/>
      <c r="I2" s="102"/>
      <c r="J2" s="102"/>
    </row>
    <row r="3" spans="1:16" x14ac:dyDescent="0.2">
      <c r="B3" s="103" t="s">
        <v>1</v>
      </c>
      <c r="C3" s="103"/>
      <c r="D3" s="103"/>
      <c r="E3" s="103"/>
      <c r="F3" s="103"/>
      <c r="G3" s="103"/>
      <c r="H3" s="103"/>
      <c r="I3" s="103"/>
      <c r="J3" s="103"/>
    </row>
    <row r="4" spans="1:16" x14ac:dyDescent="0.2">
      <c r="B4" s="103" t="s">
        <v>2</v>
      </c>
      <c r="C4" s="103"/>
      <c r="D4" s="103"/>
      <c r="E4" s="103"/>
      <c r="F4" s="103"/>
      <c r="G4" s="103"/>
      <c r="H4" s="103"/>
      <c r="I4" s="103"/>
      <c r="J4" s="103"/>
    </row>
    <row r="6" spans="1:16" x14ac:dyDescent="0.2">
      <c r="A6" s="91" t="s">
        <v>3</v>
      </c>
      <c r="B6" s="91" t="s">
        <v>4</v>
      </c>
      <c r="C6" s="104" t="s">
        <v>5</v>
      </c>
      <c r="D6" s="106" t="s">
        <v>6</v>
      </c>
      <c r="E6" s="91" t="s">
        <v>7</v>
      </c>
      <c r="F6" s="85" t="s">
        <v>8</v>
      </c>
      <c r="G6" s="89" t="s">
        <v>9</v>
      </c>
      <c r="H6" s="89" t="s">
        <v>10</v>
      </c>
      <c r="I6" s="89" t="s">
        <v>11</v>
      </c>
      <c r="J6" s="89" t="s">
        <v>12</v>
      </c>
      <c r="K6" s="89" t="s">
        <v>13</v>
      </c>
      <c r="L6" s="91" t="s">
        <v>14</v>
      </c>
      <c r="M6" s="85" t="s">
        <v>15</v>
      </c>
      <c r="N6" s="85" t="s">
        <v>16</v>
      </c>
      <c r="O6" s="91" t="s">
        <v>17</v>
      </c>
      <c r="P6" s="85" t="s">
        <v>18</v>
      </c>
    </row>
    <row r="7" spans="1:16" x14ac:dyDescent="0.2">
      <c r="A7" s="92"/>
      <c r="B7" s="92"/>
      <c r="C7" s="105"/>
      <c r="D7" s="107"/>
      <c r="E7" s="92"/>
      <c r="F7" s="86"/>
      <c r="G7" s="90"/>
      <c r="H7" s="90"/>
      <c r="I7" s="90"/>
      <c r="J7" s="90"/>
      <c r="K7" s="90"/>
      <c r="L7" s="92"/>
      <c r="M7" s="86"/>
      <c r="N7" s="86"/>
      <c r="O7" s="92"/>
      <c r="P7" s="86"/>
    </row>
    <row r="8" spans="1:16" x14ac:dyDescent="0.2">
      <c r="A8" s="3" t="s">
        <v>19</v>
      </c>
      <c r="B8" s="4" t="s">
        <v>20</v>
      </c>
      <c r="C8" s="5"/>
      <c r="D8" s="5"/>
      <c r="E8" s="6"/>
      <c r="F8" s="7"/>
      <c r="G8" s="7"/>
      <c r="H8" s="7"/>
      <c r="I8" s="7"/>
      <c r="J8" s="7"/>
      <c r="K8" s="7"/>
      <c r="L8" s="7"/>
      <c r="M8" s="45"/>
      <c r="N8" s="45"/>
      <c r="O8" s="5"/>
      <c r="P8" s="5"/>
    </row>
    <row r="9" spans="1:16" ht="22.5" outlineLevel="1" x14ac:dyDescent="0.2">
      <c r="A9" s="8" t="s">
        <v>21</v>
      </c>
      <c r="B9" s="9" t="s">
        <v>22</v>
      </c>
      <c r="C9" s="10"/>
      <c r="D9" s="10"/>
      <c r="E9" s="11"/>
      <c r="F9" s="12"/>
      <c r="G9" s="13"/>
      <c r="H9" s="13"/>
      <c r="I9" s="13"/>
      <c r="J9" s="13"/>
      <c r="K9" s="13"/>
      <c r="L9" s="13"/>
      <c r="M9" s="46"/>
      <c r="N9" s="46">
        <f ca="1">SUM($N$68,$N$10)</f>
        <v>0</v>
      </c>
      <c r="O9" s="14"/>
      <c r="P9" s="14"/>
    </row>
    <row r="10" spans="1:16" outlineLevel="2" x14ac:dyDescent="0.2">
      <c r="A10" s="8" t="s">
        <v>23</v>
      </c>
      <c r="B10" s="9" t="s">
        <v>24</v>
      </c>
      <c r="C10" s="10"/>
      <c r="D10" s="10"/>
      <c r="E10" s="11"/>
      <c r="F10" s="12"/>
      <c r="G10" s="13"/>
      <c r="H10" s="13"/>
      <c r="I10" s="13"/>
      <c r="J10" s="13"/>
      <c r="K10" s="13"/>
      <c r="L10" s="13"/>
      <c r="M10" s="46"/>
      <c r="N10" s="46">
        <f ca="1">SUM($N$11)</f>
        <v>0</v>
      </c>
      <c r="O10" s="14"/>
      <c r="P10" s="14"/>
    </row>
    <row r="11" spans="1:16" outlineLevel="3" x14ac:dyDescent="0.2">
      <c r="A11" s="8" t="s">
        <v>25</v>
      </c>
      <c r="B11" s="9" t="s">
        <v>24</v>
      </c>
      <c r="C11" s="10"/>
      <c r="D11" s="10"/>
      <c r="E11" s="11"/>
      <c r="F11" s="12"/>
      <c r="G11" s="13"/>
      <c r="H11" s="13"/>
      <c r="I11" s="13"/>
      <c r="J11" s="13"/>
      <c r="K11" s="13"/>
      <c r="L11" s="13"/>
      <c r="M11" s="46"/>
      <c r="N11" s="46">
        <f ca="1">SUM($N$60,$N$58,$N$56,$N$54,$N$49,$N$47,$N$45,$N$43,$N$40,$N$38,$N$36,$N$34,$N$32,$N$30,$N$25,$N$23,$N$20,$N$18,$N$16,$N$14,$N$12,N65)</f>
        <v>0</v>
      </c>
      <c r="O11" s="14"/>
      <c r="P11" s="14"/>
    </row>
    <row r="12" spans="1:16" outlineLevel="4" x14ac:dyDescent="0.2">
      <c r="A12" s="15"/>
      <c r="B12" s="9" t="s">
        <v>26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47"/>
      <c r="N12" s="48">
        <f>SUM($N$13)</f>
        <v>0</v>
      </c>
      <c r="O12" s="13"/>
      <c r="P12" s="17"/>
    </row>
    <row r="13" spans="1:16" outlineLevel="4" x14ac:dyDescent="0.2">
      <c r="A13" s="18"/>
      <c r="B13" s="19" t="s">
        <v>27</v>
      </c>
      <c r="C13" s="20"/>
      <c r="D13" s="20"/>
      <c r="E13" s="21" t="s">
        <v>28</v>
      </c>
      <c r="F13" s="22"/>
      <c r="G13" s="23">
        <v>10</v>
      </c>
      <c r="H13" s="23">
        <v>58</v>
      </c>
      <c r="I13" s="23">
        <v>64</v>
      </c>
      <c r="J13" s="23">
        <v>90</v>
      </c>
      <c r="K13" s="23">
        <v>98</v>
      </c>
      <c r="L13" s="23">
        <f>SUM($G$13:$K$13)</f>
        <v>320</v>
      </c>
      <c r="M13" s="49">
        <f t="array" ref="M13">INDEX(Р[Цена за ед., руб],MATCH(1,IF(($B13=Р[Наименование])*($O13=Р[Примечание]),{1},($B13=Р[Наименование])*($O13=Р[Примечание])),0))</f>
        <v>0</v>
      </c>
      <c r="N13" s="49">
        <f>ROUND($L$13*$M$13,2)</f>
        <v>0</v>
      </c>
      <c r="O13" s="20"/>
      <c r="P13" s="20"/>
    </row>
    <row r="14" spans="1:16" outlineLevel="4" x14ac:dyDescent="0.2">
      <c r="A14" s="15"/>
      <c r="B14" s="9" t="s">
        <v>26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47"/>
      <c r="N14" s="48">
        <f>SUM($N$15)</f>
        <v>0</v>
      </c>
      <c r="O14" s="13"/>
      <c r="P14" s="17"/>
    </row>
    <row r="15" spans="1:16" ht="22.5" outlineLevel="4" x14ac:dyDescent="0.2">
      <c r="A15" s="18"/>
      <c r="B15" s="19" t="s">
        <v>29</v>
      </c>
      <c r="C15" s="20"/>
      <c r="D15" s="20"/>
      <c r="E15" s="21" t="s">
        <v>28</v>
      </c>
      <c r="F15" s="22"/>
      <c r="G15" s="23">
        <v>10</v>
      </c>
      <c r="H15" s="23">
        <v>2</v>
      </c>
      <c r="I15" s="23">
        <v>2</v>
      </c>
      <c r="J15" s="23">
        <v>2</v>
      </c>
      <c r="K15" s="23">
        <v>2</v>
      </c>
      <c r="L15" s="23">
        <f>SUM($G$15:$K$15)</f>
        <v>18</v>
      </c>
      <c r="M15" s="49">
        <f t="array" ref="M15">INDEX(Р[Цена за ед., руб],MATCH(1,IF(($B15=Р[Наименование])*($O15=Р[Примечание]),{1},($B15=Р[Наименование])*($O15=Р[Примечание])),0))</f>
        <v>0</v>
      </c>
      <c r="N15" s="49">
        <f>ROUND($L$15*$M$15,2)</f>
        <v>0</v>
      </c>
      <c r="O15" s="20"/>
      <c r="P15" s="20"/>
    </row>
    <row r="16" spans="1:16" outlineLevel="4" x14ac:dyDescent="0.2">
      <c r="A16" s="15"/>
      <c r="B16" s="9" t="s">
        <v>30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47"/>
      <c r="N16" s="48">
        <f>SUM($N$17)</f>
        <v>0</v>
      </c>
      <c r="O16" s="13"/>
      <c r="P16" s="17"/>
    </row>
    <row r="17" spans="1:16" ht="22.5" outlineLevel="4" x14ac:dyDescent="0.2">
      <c r="A17" s="18" t="s">
        <v>31</v>
      </c>
      <c r="B17" s="19" t="s">
        <v>32</v>
      </c>
      <c r="C17" s="20" t="s">
        <v>33</v>
      </c>
      <c r="D17" s="20" t="s">
        <v>34</v>
      </c>
      <c r="E17" s="21" t="s">
        <v>28</v>
      </c>
      <c r="F17" s="22"/>
      <c r="G17" s="23">
        <v>10</v>
      </c>
      <c r="H17" s="23">
        <v>2</v>
      </c>
      <c r="I17" s="23">
        <v>2</v>
      </c>
      <c r="J17" s="23">
        <v>2</v>
      </c>
      <c r="K17" s="23">
        <v>2</v>
      </c>
      <c r="L17" s="23">
        <f>SUM($G$17:$K$17)</f>
        <v>18</v>
      </c>
      <c r="M17" s="49">
        <f t="array" ref="M17">INDEX(М[Цена за ед., руб],MATCH(1,IF(($B17=М[Наим.])*($C17=М[Артикул, марка, произв.])*($D17=М[Хар-ка])*($O17=М[Прим.]),{1},($B17=М[Наим.])*($C17=М[Артикул, марка, произв.])*($D17=М[Хар-ка])*($O17=М[Прим.])),0))</f>
        <v>0</v>
      </c>
      <c r="N17" s="49">
        <f>ROUND($L$17*$M$17,2)</f>
        <v>0</v>
      </c>
      <c r="O17" s="20"/>
      <c r="P17" s="20">
        <f t="array" ref="P17">INDEX(М[Форма закупа],MATCH(1,IF(($B17=М[Наим.])*($C17=М[Артикул, марка, произв.])*($D17=М[Хар-ка])*($O17=М[Прим.]),{1},($B17=М[Наим.])*($C17=М[Артикул, марка, произв.])*($D17=М[Хар-ка])*($O17=М[Прим.])),0))</f>
        <v>0</v>
      </c>
    </row>
    <row r="18" spans="1:16" outlineLevel="4" x14ac:dyDescent="0.2">
      <c r="A18" s="15"/>
      <c r="B18" s="9" t="s">
        <v>26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47"/>
      <c r="N18" s="48">
        <f>SUM($N$19)</f>
        <v>0</v>
      </c>
      <c r="O18" s="13"/>
      <c r="P18" s="17"/>
    </row>
    <row r="19" spans="1:16" outlineLevel="4" x14ac:dyDescent="0.2">
      <c r="A19" s="18"/>
      <c r="B19" s="19" t="s">
        <v>35</v>
      </c>
      <c r="C19" s="20"/>
      <c r="D19" s="20"/>
      <c r="E19" s="21" t="s">
        <v>28</v>
      </c>
      <c r="F19" s="22"/>
      <c r="G19" s="23">
        <v>58</v>
      </c>
      <c r="H19" s="22"/>
      <c r="I19" s="22"/>
      <c r="J19" s="22"/>
      <c r="K19" s="22"/>
      <c r="L19" s="23">
        <f>SUM($G$19:$K$19)</f>
        <v>58</v>
      </c>
      <c r="M19" s="49">
        <f t="array" ref="M19">INDEX(Р[Цена за ед., руб],MATCH(1,IF(($B19=Р[Наименование])*($O19=Р[Примечание]),{1},($B19=Р[Наименование])*($O19=Р[Примечание])),0))</f>
        <v>0</v>
      </c>
      <c r="N19" s="49">
        <f>ROUND($L$19*$M$19,2)</f>
        <v>0</v>
      </c>
      <c r="O19" s="20"/>
      <c r="P19" s="20"/>
    </row>
    <row r="20" spans="1:16" outlineLevel="4" x14ac:dyDescent="0.2">
      <c r="A20" s="15"/>
      <c r="B20" s="9" t="s">
        <v>30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47"/>
      <c r="N20" s="48">
        <f>SUM($N$21:$N$22)</f>
        <v>0</v>
      </c>
      <c r="O20" s="13"/>
      <c r="P20" s="17"/>
    </row>
    <row r="21" spans="1:16" ht="56.25" outlineLevel="4" x14ac:dyDescent="0.2">
      <c r="A21" s="18" t="s">
        <v>31</v>
      </c>
      <c r="B21" s="19" t="s">
        <v>36</v>
      </c>
      <c r="C21" s="20" t="s">
        <v>37</v>
      </c>
      <c r="D21" s="20" t="s">
        <v>38</v>
      </c>
      <c r="E21" s="21" t="s">
        <v>28</v>
      </c>
      <c r="F21" s="22"/>
      <c r="G21" s="23">
        <v>18</v>
      </c>
      <c r="H21" s="22"/>
      <c r="I21" s="22"/>
      <c r="J21" s="22"/>
      <c r="K21" s="22"/>
      <c r="L21" s="23">
        <f>SUM($G$21:$K$21)</f>
        <v>18</v>
      </c>
      <c r="M21" s="49">
        <f t="array" ref="M21">INDEX(М[Цена за ед., руб],MATCH(1,IF(($B21=М[Наим.])*($C21=М[Артикул,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  <c r="N21" s="49">
        <f>ROUND($L$21*$M$21,2)</f>
        <v>0</v>
      </c>
      <c r="O21" s="20"/>
      <c r="P21" s="20">
        <f t="array" ref="P21">INDEX(М[Форма закупа],MATCH(1,IF(($B21=М[Наим.])*($C21=М[Артикул,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</row>
    <row r="22" spans="1:16" ht="56.25" outlineLevel="4" x14ac:dyDescent="0.2">
      <c r="A22" s="18" t="s">
        <v>39</v>
      </c>
      <c r="B22" s="19" t="s">
        <v>36</v>
      </c>
      <c r="C22" s="20" t="s">
        <v>37</v>
      </c>
      <c r="D22" s="20" t="s">
        <v>40</v>
      </c>
      <c r="E22" s="21" t="s">
        <v>28</v>
      </c>
      <c r="F22" s="22"/>
      <c r="G22" s="23">
        <v>40</v>
      </c>
      <c r="H22" s="22"/>
      <c r="I22" s="22"/>
      <c r="J22" s="22"/>
      <c r="K22" s="22"/>
      <c r="L22" s="23">
        <f>SUM($G$22:$K$22)</f>
        <v>40</v>
      </c>
      <c r="M22" s="49">
        <f t="array" ref="M22">INDEX(М[Цена за ед., руб],MATCH(1,IF(($B22=М[Наим.])*($C22=М[Артикул, марка, произв.])*($D22=М[Хар-ка])*($O22=М[Прим.]),{1},($B22=М[Наим.])*($C22=М[Артикул, марка, произв.])*($D22=М[Хар-ка])*($O22=М[Прим.])),0))</f>
        <v>0</v>
      </c>
      <c r="N22" s="49">
        <f>ROUND($L$22*$M$22,2)</f>
        <v>0</v>
      </c>
      <c r="O22" s="20"/>
      <c r="P22" s="20">
        <f t="array" ref="P22">INDEX(М[Форма закупа],MATCH(1,IF(($B22=М[Наим.])*($C22=М[Артикул, марка, произв.])*($D22=М[Хар-ка])*($O22=М[Прим.]),{1},($B22=М[Наим.])*($C22=М[Артикул, марка, произв.])*($D22=М[Хар-ка])*($O22=М[Прим.])),0))</f>
        <v>0</v>
      </c>
    </row>
    <row r="23" spans="1:16" outlineLevel="4" x14ac:dyDescent="0.2">
      <c r="A23" s="15"/>
      <c r="B23" s="9" t="s">
        <v>26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47"/>
      <c r="N23" s="48">
        <f>SUM($N$24)</f>
        <v>0</v>
      </c>
      <c r="O23" s="13"/>
      <c r="P23" s="17"/>
    </row>
    <row r="24" spans="1:16" ht="22.5" outlineLevel="4" x14ac:dyDescent="0.2">
      <c r="A24" s="18"/>
      <c r="B24" s="19" t="s">
        <v>41</v>
      </c>
      <c r="C24" s="20"/>
      <c r="D24" s="20"/>
      <c r="E24" s="21" t="s">
        <v>28</v>
      </c>
      <c r="F24" s="22"/>
      <c r="G24" s="23">
        <v>18</v>
      </c>
      <c r="H24" s="23">
        <v>30</v>
      </c>
      <c r="I24" s="23">
        <v>36</v>
      </c>
      <c r="J24" s="23">
        <v>62</v>
      </c>
      <c r="K24" s="23">
        <v>70</v>
      </c>
      <c r="L24" s="23">
        <f>SUM($G$24:$K$24)</f>
        <v>216</v>
      </c>
      <c r="M24" s="49">
        <f t="array" ref="M24">INDEX(Р[Цена за ед., руб],MATCH(1,IF(($B24=Р[Наименование])*($O24=Р[Примечание]),{1},($B24=Р[Наименование])*($O24=Р[Примечание])),0))</f>
        <v>0</v>
      </c>
      <c r="N24" s="49">
        <f>ROUND($L$24*$M$24,2)</f>
        <v>0</v>
      </c>
      <c r="O24" s="20"/>
      <c r="P24" s="20"/>
    </row>
    <row r="25" spans="1:16" outlineLevel="4" x14ac:dyDescent="0.2">
      <c r="A25" s="15"/>
      <c r="B25" s="9" t="s">
        <v>30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47"/>
      <c r="N25" s="48">
        <f>SUM($N$26:$N$29)</f>
        <v>0</v>
      </c>
      <c r="O25" s="13"/>
      <c r="P25" s="17"/>
    </row>
    <row r="26" spans="1:16" ht="22.5" outlineLevel="4" x14ac:dyDescent="0.2">
      <c r="A26" s="18" t="s">
        <v>31</v>
      </c>
      <c r="B26" s="19" t="s">
        <v>42</v>
      </c>
      <c r="C26" s="20"/>
      <c r="D26" s="20" t="s">
        <v>43</v>
      </c>
      <c r="E26" s="21" t="s">
        <v>28</v>
      </c>
      <c r="F26" s="22"/>
      <c r="G26" s="23">
        <v>18</v>
      </c>
      <c r="H26" s="23">
        <v>30</v>
      </c>
      <c r="I26" s="23">
        <v>36</v>
      </c>
      <c r="J26" s="23">
        <v>62</v>
      </c>
      <c r="K26" s="23">
        <v>70</v>
      </c>
      <c r="L26" s="23">
        <f>SUM($G$26:$K$26)</f>
        <v>216</v>
      </c>
      <c r="M26" s="49">
        <f t="array" ref="M26">INDEX(М[Цена за ед., руб],MATCH(1,IF(($B26=М[Наим.])*($C26=М[Артикул,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  <c r="N26" s="49">
        <f>ROUND($L$26*$M$26,2)</f>
        <v>0</v>
      </c>
      <c r="O26" s="20"/>
      <c r="P26" s="20">
        <f t="array" ref="P26">INDEX(М[Форма закупа],MATCH(1,IF(($B26=М[Наим.])*($C26=М[Артикул,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</row>
    <row r="27" spans="1:16" outlineLevel="4" x14ac:dyDescent="0.2">
      <c r="A27" s="18" t="s">
        <v>39</v>
      </c>
      <c r="B27" s="19" t="s">
        <v>44</v>
      </c>
      <c r="C27" s="20"/>
      <c r="D27" s="20" t="s">
        <v>45</v>
      </c>
      <c r="E27" s="21" t="s">
        <v>28</v>
      </c>
      <c r="F27" s="22"/>
      <c r="G27" s="23">
        <v>18</v>
      </c>
      <c r="H27" s="23">
        <v>30</v>
      </c>
      <c r="I27" s="23">
        <v>36</v>
      </c>
      <c r="J27" s="23">
        <v>62</v>
      </c>
      <c r="K27" s="23">
        <v>70</v>
      </c>
      <c r="L27" s="23">
        <f>SUM($G$27:$K$27)</f>
        <v>216</v>
      </c>
      <c r="M27" s="49">
        <f t="array" ref="M27">INDEX(М[Цена за ед., руб],MATCH(1,IF(($B27=М[Наим.])*($C27=М[Артикул, марка, произв.])*($D27=М[Хар-ка])*($O27=М[Прим.]),{1},($B27=М[Наим.])*($C27=М[Артикул, марка, произв.])*($D27=М[Хар-ка])*($O27=М[Прим.])),0))</f>
        <v>0</v>
      </c>
      <c r="N27" s="49">
        <f>ROUND($L$27*$M$27,2)</f>
        <v>0</v>
      </c>
      <c r="O27" s="20"/>
      <c r="P27" s="20">
        <f t="array" ref="P27">INDEX(М[Форма закупа],MATCH(1,IF(($B27=М[Наим.])*($C27=М[Артикул, марка, произв.])*($D27=М[Хар-ка])*($O27=М[Прим.]),{1},($B27=М[Наим.])*($C27=М[Артикул, марка, произв.])*($D27=М[Хар-ка])*($O27=М[Прим.])),0))</f>
        <v>0</v>
      </c>
    </row>
    <row r="28" spans="1:16" ht="33.75" outlineLevel="4" x14ac:dyDescent="0.2">
      <c r="A28" s="18" t="s">
        <v>46</v>
      </c>
      <c r="B28" s="19" t="s">
        <v>47</v>
      </c>
      <c r="C28" s="20"/>
      <c r="D28" s="20" t="s">
        <v>48</v>
      </c>
      <c r="E28" s="21" t="s">
        <v>28</v>
      </c>
      <c r="F28" s="22"/>
      <c r="G28" s="23">
        <v>18</v>
      </c>
      <c r="H28" s="22"/>
      <c r="I28" s="22"/>
      <c r="J28" s="22"/>
      <c r="K28" s="22"/>
      <c r="L28" s="23">
        <f>SUM($G$28:$K$28)</f>
        <v>18</v>
      </c>
      <c r="M28" s="49">
        <f t="array" ref="M28">INDEX(М[Цена за ед., руб],MATCH(1,IF(($B28=М[Наим.])*($C28=М[Артикул, марка, произв.])*($D28=М[Хар-ка])*($O28=М[Прим.]),{1},($B28=М[Наим.])*($C28=М[Артикул, марка, произв.])*($D28=М[Хар-ка])*($O28=М[Прим.])),0))</f>
        <v>0</v>
      </c>
      <c r="N28" s="49">
        <f>ROUND($L$28*$M$28,2)</f>
        <v>0</v>
      </c>
      <c r="O28" s="20"/>
      <c r="P28" s="20">
        <f t="array" ref="P28">INDEX(М[Форма закупа],MATCH(1,IF(($B28=М[Наим.])*($C28=М[Артикул, марка, произв.])*($D28=М[Хар-ка])*($O28=М[Прим.]),{1},($B28=М[Наим.])*($C28=М[Артикул, марка, произв.])*($D28=М[Хар-ка])*($O28=М[Прим.])),0))</f>
        <v>0</v>
      </c>
    </row>
    <row r="29" spans="1:16" ht="33.75" outlineLevel="4" x14ac:dyDescent="0.2">
      <c r="A29" s="18" t="s">
        <v>49</v>
      </c>
      <c r="B29" s="19" t="s">
        <v>47</v>
      </c>
      <c r="C29" s="20"/>
      <c r="D29" s="20" t="s">
        <v>48</v>
      </c>
      <c r="E29" s="21" t="s">
        <v>28</v>
      </c>
      <c r="F29" s="22"/>
      <c r="G29" s="22"/>
      <c r="H29" s="23">
        <v>30</v>
      </c>
      <c r="I29" s="23">
        <v>36</v>
      </c>
      <c r="J29" s="23">
        <v>62</v>
      </c>
      <c r="K29" s="23">
        <v>70</v>
      </c>
      <c r="L29" s="23">
        <f>SUM($G$29:$K$29)</f>
        <v>198</v>
      </c>
      <c r="M29" s="49">
        <f t="array" ref="M29">INDEX(М[Цена за ед., руб],MATCH(1,IF(($B29=М[Наим.])*($C29=М[Артикул, марка, произв.])*($D29=М[Хар-ка])*($O29=М[Прим.]),{1},($B29=М[Наим.])*($C29=М[Артикул, марка, произв.])*($D29=М[Хар-ка])*($O29=М[Прим.])),0))</f>
        <v>0</v>
      </c>
      <c r="N29" s="49">
        <f>ROUND($L$29*$M$29,2)</f>
        <v>0</v>
      </c>
      <c r="O29" s="20" t="s">
        <v>50</v>
      </c>
      <c r="P29" s="20">
        <f t="array" ref="P29">INDEX(М[Форма закупа],MATCH(1,IF(($B29=М[Наим.])*($C29=М[Артикул, марка, произв.])*($D29=М[Хар-ка])*($O29=М[Прим.]),{1},($B29=М[Наим.])*($C29=М[Артикул, марка, произв.])*($D29=М[Хар-ка])*($O29=М[Прим.])),0))</f>
        <v>0</v>
      </c>
    </row>
    <row r="30" spans="1:16" outlineLevel="4" x14ac:dyDescent="0.2">
      <c r="A30" s="15"/>
      <c r="B30" s="9" t="s">
        <v>26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47"/>
      <c r="N30" s="48">
        <f>SUM($N$31)</f>
        <v>0</v>
      </c>
      <c r="O30" s="13"/>
      <c r="P30" s="17"/>
    </row>
    <row r="31" spans="1:16" ht="22.5" outlineLevel="4" x14ac:dyDescent="0.2">
      <c r="A31" s="18"/>
      <c r="B31" s="19" t="s">
        <v>51</v>
      </c>
      <c r="C31" s="20"/>
      <c r="D31" s="20"/>
      <c r="E31" s="21" t="s">
        <v>28</v>
      </c>
      <c r="F31" s="22"/>
      <c r="G31" s="23">
        <v>7</v>
      </c>
      <c r="H31" s="22"/>
      <c r="I31" s="22"/>
      <c r="J31" s="22"/>
      <c r="K31" s="22"/>
      <c r="L31" s="23">
        <f>SUM($G$31:$K$31)</f>
        <v>7</v>
      </c>
      <c r="M31" s="49">
        <f t="array" ref="M31">INDEX(Р[Цена за ед., руб],MATCH(1,IF(($B31=Р[Наименование])*($O31=Р[Примечание]),{1},($B31=Р[Наименование])*($O31=Р[Примечание])),0))</f>
        <v>0</v>
      </c>
      <c r="N31" s="49">
        <f>ROUND($L$31*$M$31,2)</f>
        <v>0</v>
      </c>
      <c r="O31" s="20"/>
      <c r="P31" s="20"/>
    </row>
    <row r="32" spans="1:16" outlineLevel="4" x14ac:dyDescent="0.2">
      <c r="A32" s="15"/>
      <c r="B32" s="9" t="s">
        <v>30</v>
      </c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47"/>
      <c r="N32" s="48">
        <f>SUM($N$33)</f>
        <v>0</v>
      </c>
      <c r="O32" s="13"/>
      <c r="P32" s="17"/>
    </row>
    <row r="33" spans="1:16" ht="22.5" outlineLevel="4" x14ac:dyDescent="0.2">
      <c r="A33" s="18" t="s">
        <v>31</v>
      </c>
      <c r="B33" s="19" t="s">
        <v>52</v>
      </c>
      <c r="C33" s="20" t="s">
        <v>37</v>
      </c>
      <c r="D33" s="20" t="s">
        <v>53</v>
      </c>
      <c r="E33" s="21" t="s">
        <v>28</v>
      </c>
      <c r="F33" s="22"/>
      <c r="G33" s="23">
        <v>7</v>
      </c>
      <c r="H33" s="22"/>
      <c r="I33" s="22"/>
      <c r="J33" s="22"/>
      <c r="K33" s="22"/>
      <c r="L33" s="23">
        <f>SUM($G$33:$K$33)</f>
        <v>7</v>
      </c>
      <c r="M33" s="49">
        <f t="array" ref="M33">INDEX(М[Цена за ед., руб],MATCH(1,IF(($B33=М[Наим.])*($C33=М[Артикул, марка, произв.])*($D33=М[Хар-ка])*($O33=М[Прим.]),{1},($B33=М[Наим.])*($C33=М[Артикул, марка, произв.])*($D33=М[Хар-ка])*($O33=М[Прим.])),0))</f>
        <v>0</v>
      </c>
      <c r="N33" s="49">
        <f>ROUND($L$33*$M$33,2)</f>
        <v>0</v>
      </c>
      <c r="O33" s="20"/>
      <c r="P33" s="20">
        <f t="array" ref="P33">INDEX(М[Форма закупа],MATCH(1,IF(($B33=М[Наим.])*($C33=М[Артикул, марка, произв.])*($D33=М[Хар-ка])*($O33=М[Прим.]),{1},($B33=М[Наим.])*($C33=М[Артикул, марка, произв.])*($D33=М[Хар-ка])*($O33=М[Прим.])),0))</f>
        <v>0</v>
      </c>
    </row>
    <row r="34" spans="1:16" outlineLevel="4" x14ac:dyDescent="0.2">
      <c r="A34" s="15"/>
      <c r="B34" s="9" t="s">
        <v>26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47"/>
      <c r="N34" s="48">
        <f>SUM($N$35)</f>
        <v>0</v>
      </c>
      <c r="O34" s="13"/>
      <c r="P34" s="17"/>
    </row>
    <row r="35" spans="1:16" outlineLevel="4" x14ac:dyDescent="0.2">
      <c r="A35" s="18"/>
      <c r="B35" s="19" t="s">
        <v>54</v>
      </c>
      <c r="C35" s="20"/>
      <c r="D35" s="20"/>
      <c r="E35" s="21" t="s">
        <v>28</v>
      </c>
      <c r="F35" s="22"/>
      <c r="G35" s="22"/>
      <c r="H35" s="23">
        <v>2</v>
      </c>
      <c r="I35" s="23">
        <v>2</v>
      </c>
      <c r="J35" s="23">
        <v>2</v>
      </c>
      <c r="K35" s="23">
        <v>2</v>
      </c>
      <c r="L35" s="23">
        <f>SUM($G$35:$K$35)</f>
        <v>8</v>
      </c>
      <c r="M35" s="49">
        <f t="array" ref="M35">INDEX(Р[Цена за ед., руб],MATCH(1,IF(($B35=Р[Наименование])*($O35=Р[Примечание]),{1},($B35=Р[Наименование])*($O35=Р[Примечание])),0))</f>
        <v>0</v>
      </c>
      <c r="N35" s="49">
        <f>ROUND($L$35*$M$35,2)</f>
        <v>0</v>
      </c>
      <c r="O35" s="20"/>
      <c r="P35" s="20"/>
    </row>
    <row r="36" spans="1:16" outlineLevel="4" x14ac:dyDescent="0.2">
      <c r="A36" s="15"/>
      <c r="B36" s="9" t="s">
        <v>30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47"/>
      <c r="N36" s="48">
        <f>SUM($N$37)</f>
        <v>0</v>
      </c>
      <c r="O36" s="13"/>
      <c r="P36" s="17"/>
    </row>
    <row r="37" spans="1:16" ht="22.5" outlineLevel="4" x14ac:dyDescent="0.2">
      <c r="A37" s="18" t="s">
        <v>31</v>
      </c>
      <c r="B37" s="19" t="s">
        <v>55</v>
      </c>
      <c r="C37" s="20" t="s">
        <v>56</v>
      </c>
      <c r="D37" s="20" t="s">
        <v>57</v>
      </c>
      <c r="E37" s="21" t="s">
        <v>28</v>
      </c>
      <c r="F37" s="22"/>
      <c r="G37" s="22"/>
      <c r="H37" s="23">
        <v>2</v>
      </c>
      <c r="I37" s="23">
        <v>2</v>
      </c>
      <c r="J37" s="23">
        <v>2</v>
      </c>
      <c r="K37" s="23">
        <v>2</v>
      </c>
      <c r="L37" s="23">
        <f>SUM($G$37:$K$37)</f>
        <v>8</v>
      </c>
      <c r="M37" s="49">
        <f t="array" ref="M37">INDEX(М[Цена за ед., руб],MATCH(1,IF(($B37=М[Наим.])*($C37=М[Артикул, марка, произв.])*($D37=М[Хар-ка])*($O37=М[Прим.]),{1},($B37=М[Наим.])*($C37=М[Артикул, марка, произв.])*($D37=М[Хар-ка])*($O37=М[Прим.])),0))</f>
        <v>0</v>
      </c>
      <c r="N37" s="49">
        <f>ROUND($L$37*$M$37,2)</f>
        <v>0</v>
      </c>
      <c r="O37" s="20"/>
      <c r="P37" s="20">
        <f t="array" ref="P37">INDEX(М[Форма закупа],MATCH(1,IF(($B37=М[Наим.])*($C37=М[Артикул, марка, произв.])*($D37=М[Хар-ка])*($O37=М[Прим.]),{1},($B37=М[Наим.])*($C37=М[Артикул, марка, произв.])*($D37=М[Хар-ка])*($O37=М[Прим.])),0))</f>
        <v>0</v>
      </c>
    </row>
    <row r="38" spans="1:16" outlineLevel="4" x14ac:dyDescent="0.2">
      <c r="A38" s="15"/>
      <c r="B38" s="9" t="s">
        <v>26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47"/>
      <c r="N38" s="48">
        <f>SUM($N$39)</f>
        <v>0</v>
      </c>
      <c r="O38" s="13"/>
      <c r="P38" s="17"/>
    </row>
    <row r="39" spans="1:16" ht="22.5" outlineLevel="4" x14ac:dyDescent="0.2">
      <c r="A39" s="18"/>
      <c r="B39" s="19" t="s">
        <v>58</v>
      </c>
      <c r="C39" s="20"/>
      <c r="D39" s="20"/>
      <c r="E39" s="21" t="s">
        <v>28</v>
      </c>
      <c r="F39" s="22"/>
      <c r="G39" s="23">
        <v>82</v>
      </c>
      <c r="H39" s="23">
        <v>4</v>
      </c>
      <c r="I39" s="23">
        <v>4</v>
      </c>
      <c r="J39" s="23">
        <v>4</v>
      </c>
      <c r="K39" s="23">
        <v>4</v>
      </c>
      <c r="L39" s="23">
        <f>SUM($G$39:$K$39)</f>
        <v>98</v>
      </c>
      <c r="M39" s="49">
        <f t="array" ref="M39">INDEX(Р[Цена за ед., руб],MATCH(1,IF(($B39=Р[Наименование])*($O39=Р[Примечание]),{1},($B39=Р[Наименование])*($O39=Р[Примечание])),0))</f>
        <v>0</v>
      </c>
      <c r="N39" s="49">
        <f>ROUND($L$39*$M$39,2)</f>
        <v>0</v>
      </c>
      <c r="O39" s="20"/>
      <c r="P39" s="20"/>
    </row>
    <row r="40" spans="1:16" outlineLevel="4" x14ac:dyDescent="0.2">
      <c r="A40" s="15"/>
      <c r="B40" s="9" t="s">
        <v>30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47"/>
      <c r="N40" s="48">
        <f>SUM($N$41:$N$42)</f>
        <v>0</v>
      </c>
      <c r="O40" s="13"/>
      <c r="P40" s="17"/>
    </row>
    <row r="41" spans="1:16" ht="22.5" outlineLevel="4" x14ac:dyDescent="0.2">
      <c r="A41" s="18" t="s">
        <v>31</v>
      </c>
      <c r="B41" s="19" t="s">
        <v>55</v>
      </c>
      <c r="C41" s="20" t="s">
        <v>33</v>
      </c>
      <c r="D41" s="20" t="s">
        <v>59</v>
      </c>
      <c r="E41" s="21" t="s">
        <v>28</v>
      </c>
      <c r="F41" s="22"/>
      <c r="G41" s="23">
        <v>80</v>
      </c>
      <c r="H41" s="23">
        <v>2</v>
      </c>
      <c r="I41" s="23">
        <v>2</v>
      </c>
      <c r="J41" s="23">
        <v>2</v>
      </c>
      <c r="K41" s="23">
        <v>2</v>
      </c>
      <c r="L41" s="23">
        <f>SUM($G$41:$K$41)</f>
        <v>88</v>
      </c>
      <c r="M41" s="49">
        <f t="array" ref="M41">INDEX(М[Цена за ед., руб],MATCH(1,IF(($B41=М[Наим.])*($C41=М[Артикул, марка, произв.])*($D41=М[Хар-ка])*($O41=М[Прим.]),{1},($B41=М[Наим.])*($C41=М[Артикул, марка, произв.])*($D41=М[Хар-ка])*($O41=М[Прим.])),0))</f>
        <v>0</v>
      </c>
      <c r="N41" s="49">
        <f>ROUND($L$41*$M$41,2)</f>
        <v>0</v>
      </c>
      <c r="O41" s="20"/>
      <c r="P41" s="20">
        <f t="array" ref="P41">INDEX(М[Форма закупа],MATCH(1,IF(($B41=М[Наим.])*($C41=М[Артикул, марка, произв.])*($D41=М[Хар-ка])*($O41=М[Прим.]),{1},($B41=М[Наим.])*($C41=М[Артикул, марка, произв.])*($D41=М[Хар-ка])*($O41=М[Прим.])),0))</f>
        <v>0</v>
      </c>
    </row>
    <row r="42" spans="1:16" ht="22.5" outlineLevel="4" x14ac:dyDescent="0.2">
      <c r="A42" s="18" t="s">
        <v>39</v>
      </c>
      <c r="B42" s="19" t="s">
        <v>60</v>
      </c>
      <c r="C42" s="20"/>
      <c r="D42" s="20" t="s">
        <v>61</v>
      </c>
      <c r="E42" s="21" t="s">
        <v>28</v>
      </c>
      <c r="F42" s="22"/>
      <c r="G42" s="23">
        <v>2</v>
      </c>
      <c r="H42" s="23">
        <v>2</v>
      </c>
      <c r="I42" s="23">
        <v>2</v>
      </c>
      <c r="J42" s="23">
        <v>2</v>
      </c>
      <c r="K42" s="23">
        <v>2</v>
      </c>
      <c r="L42" s="23">
        <f>SUM($G$42:$K$42)</f>
        <v>10</v>
      </c>
      <c r="M42" s="49">
        <f t="array" ref="M42">INDEX(М[Цена за ед., руб],MATCH(1,IF(($B42=М[Наим.])*($C42=М[Артикул, марка, произв.])*($D42=М[Хар-ка])*($O42=М[Прим.]),{1},($B42=М[Наим.])*($C42=М[Артикул, марка, произв.])*($D42=М[Хар-ка])*($O42=М[Прим.])),0))</f>
        <v>0</v>
      </c>
      <c r="N42" s="49">
        <f>ROUND($L$42*$M$42,2)</f>
        <v>0</v>
      </c>
      <c r="O42" s="20"/>
      <c r="P42" s="20">
        <f t="array" ref="P42">INDEX(М[Форма закупа],MATCH(1,IF(($B42=М[Наим.])*($C42=М[Артикул, марка, произв.])*($D42=М[Хар-ка])*($O42=М[Прим.]),{1},($B42=М[Наим.])*($C42=М[Артикул, марка, произв.])*($D42=М[Хар-ка])*($O42=М[Прим.])),0))</f>
        <v>0</v>
      </c>
    </row>
    <row r="43" spans="1:16" outlineLevel="4" x14ac:dyDescent="0.2">
      <c r="A43" s="15"/>
      <c r="B43" s="9" t="s">
        <v>26</v>
      </c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47"/>
      <c r="N43" s="48">
        <f>SUM($N$44)</f>
        <v>0</v>
      </c>
      <c r="O43" s="13"/>
      <c r="P43" s="17"/>
    </row>
    <row r="44" spans="1:16" ht="22.5" outlineLevel="4" x14ac:dyDescent="0.2">
      <c r="A44" s="18"/>
      <c r="B44" s="19" t="s">
        <v>62</v>
      </c>
      <c r="C44" s="20"/>
      <c r="D44" s="20"/>
      <c r="E44" s="21" t="s">
        <v>28</v>
      </c>
      <c r="F44" s="22"/>
      <c r="G44" s="23">
        <v>1</v>
      </c>
      <c r="H44" s="22"/>
      <c r="I44" s="22"/>
      <c r="J44" s="22"/>
      <c r="K44" s="22"/>
      <c r="L44" s="23">
        <f>SUM($G$44:$K$44)</f>
        <v>1</v>
      </c>
      <c r="M44" s="49">
        <f t="array" ref="M44">INDEX(Р[Цена за ед., руб],MATCH(1,IF(($B44=Р[Наименование])*($O44=Р[Примечание]),{1},($B44=Р[Наименование])*($O44=Р[Примечание])),0))</f>
        <v>0</v>
      </c>
      <c r="N44" s="49">
        <f>ROUND($L$44*$M$44,2)</f>
        <v>0</v>
      </c>
      <c r="O44" s="20"/>
      <c r="P44" s="20"/>
    </row>
    <row r="45" spans="1:16" outlineLevel="4" x14ac:dyDescent="0.2">
      <c r="A45" s="15"/>
      <c r="B45" s="9" t="s">
        <v>30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47"/>
      <c r="N45" s="48">
        <f>SUM($N$46)</f>
        <v>0</v>
      </c>
      <c r="O45" s="13"/>
      <c r="P45" s="17"/>
    </row>
    <row r="46" spans="1:16" ht="22.5" outlineLevel="4" x14ac:dyDescent="0.2">
      <c r="A46" s="18" t="s">
        <v>31</v>
      </c>
      <c r="B46" s="19" t="s">
        <v>63</v>
      </c>
      <c r="C46" s="20" t="s">
        <v>64</v>
      </c>
      <c r="D46" s="20" t="s">
        <v>65</v>
      </c>
      <c r="E46" s="21" t="s">
        <v>28</v>
      </c>
      <c r="F46" s="22"/>
      <c r="G46" s="23">
        <v>1</v>
      </c>
      <c r="H46" s="22"/>
      <c r="I46" s="22"/>
      <c r="J46" s="22"/>
      <c r="K46" s="22"/>
      <c r="L46" s="23">
        <f>SUM($G$46:$K$46)</f>
        <v>1</v>
      </c>
      <c r="M46" s="49">
        <f t="array" ref="M46">INDEX(М[Цена за ед., руб],MATCH(1,IF(($B46=М[Наим.])*($C46=М[Артикул, марка, произв.])*($D46=М[Хар-ка])*($O46=М[Прим.]),{1},($B46=М[Наим.])*($C46=М[Артикул, марка, произв.])*($D46=М[Хар-ка])*($O46=М[Прим.])),0))</f>
        <v>0</v>
      </c>
      <c r="N46" s="49">
        <f>ROUND($L$46*$M$46,2)</f>
        <v>0</v>
      </c>
      <c r="O46" s="20" t="s">
        <v>66</v>
      </c>
      <c r="P46" s="20">
        <f t="array" ref="P46">INDEX(М[Форма закупа],MATCH(1,IF(($B46=М[Наим.])*($C46=М[Артикул, марка, произв.])*($D46=М[Хар-ка])*($O46=М[Прим.]),{1},($B46=М[Наим.])*($C46=М[Артикул, марка, произв.])*($D46=М[Хар-ка])*($O46=М[Прим.])),0))</f>
        <v>0</v>
      </c>
    </row>
    <row r="47" spans="1:16" outlineLevel="4" x14ac:dyDescent="0.2">
      <c r="A47" s="15"/>
      <c r="B47" s="9" t="s">
        <v>26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47"/>
      <c r="N47" s="48">
        <f>SUM($N$48)</f>
        <v>0</v>
      </c>
      <c r="O47" s="13"/>
      <c r="P47" s="17"/>
    </row>
    <row r="48" spans="1:16" outlineLevel="4" x14ac:dyDescent="0.2">
      <c r="A48" s="18"/>
      <c r="B48" s="19" t="s">
        <v>67</v>
      </c>
      <c r="C48" s="20"/>
      <c r="D48" s="20"/>
      <c r="E48" s="21" t="s">
        <v>28</v>
      </c>
      <c r="F48" s="22"/>
      <c r="G48" s="23">
        <v>9</v>
      </c>
      <c r="H48" s="23">
        <v>15</v>
      </c>
      <c r="I48" s="23">
        <v>18</v>
      </c>
      <c r="J48" s="23">
        <v>31</v>
      </c>
      <c r="K48" s="23">
        <v>35</v>
      </c>
      <c r="L48" s="23">
        <f>SUM($G$48:$K$48)</f>
        <v>108</v>
      </c>
      <c r="M48" s="49">
        <f t="array" ref="M48">INDEX(Р[Цена за ед., руб],MATCH(1,IF(($B48=Р[Наименование])*($O48=Р[Примечание]),{1},($B48=Р[Наименование])*($O48=Р[Примечание])),0))</f>
        <v>0</v>
      </c>
      <c r="N48" s="49">
        <f>ROUND($L$48*$M$48,2)</f>
        <v>0</v>
      </c>
      <c r="O48" s="20"/>
      <c r="P48" s="20"/>
    </row>
    <row r="49" spans="1:16" outlineLevel="4" x14ac:dyDescent="0.2">
      <c r="A49" s="15"/>
      <c r="B49" s="9" t="s">
        <v>30</v>
      </c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47"/>
      <c r="N49" s="48">
        <f>SUM($N$50:$N$53)</f>
        <v>0</v>
      </c>
      <c r="O49" s="13"/>
      <c r="P49" s="17"/>
    </row>
    <row r="50" spans="1:16" ht="22.5" outlineLevel="4" x14ac:dyDescent="0.2">
      <c r="A50" s="18" t="s">
        <v>31</v>
      </c>
      <c r="B50" s="19" t="s">
        <v>68</v>
      </c>
      <c r="C50" s="20"/>
      <c r="D50" s="20" t="s">
        <v>69</v>
      </c>
      <c r="E50" s="21" t="s">
        <v>28</v>
      </c>
      <c r="F50" s="22"/>
      <c r="G50" s="23">
        <v>9</v>
      </c>
      <c r="H50" s="22"/>
      <c r="I50" s="22"/>
      <c r="J50" s="22"/>
      <c r="K50" s="22"/>
      <c r="L50" s="23">
        <f>SUM($G$50:$K$50)</f>
        <v>9</v>
      </c>
      <c r="M50" s="49">
        <f t="array" ref="M50">INDEX(М[Цена за ед., руб],MATCH(1,IF(($B50=М[Наим.])*($C50=М[Артикул, марка, произв.])*($D50=М[Хар-ка])*($O50=М[Прим.]),{1},($B50=М[Наим.])*($C50=М[Артикул, марка, произв.])*($D50=М[Хар-ка])*($O50=М[Прим.])),0))</f>
        <v>0</v>
      </c>
      <c r="N50" s="49">
        <f>ROUND($L$50*$M$50,2)</f>
        <v>0</v>
      </c>
      <c r="O50" s="20" t="s">
        <v>70</v>
      </c>
      <c r="P50" s="20">
        <f t="array" ref="P50">INDEX(М[Форма закупа],MATCH(1,IF(($B50=М[Наим.])*($C50=М[Артикул, марка, произв.])*($D50=М[Хар-ка])*($O50=М[Прим.]),{1},($B50=М[Наим.])*($C50=М[Артикул, марка, произв.])*($D50=М[Хар-ка])*($O50=М[Прим.])),0))</f>
        <v>0</v>
      </c>
    </row>
    <row r="51" spans="1:16" ht="22.5" outlineLevel="4" x14ac:dyDescent="0.2">
      <c r="A51" s="18" t="s">
        <v>39</v>
      </c>
      <c r="B51" s="19" t="s">
        <v>68</v>
      </c>
      <c r="C51" s="20"/>
      <c r="D51" s="20" t="s">
        <v>69</v>
      </c>
      <c r="E51" s="21" t="s">
        <v>28</v>
      </c>
      <c r="F51" s="22"/>
      <c r="G51" s="22"/>
      <c r="H51" s="23">
        <v>2</v>
      </c>
      <c r="I51" s="23">
        <v>2</v>
      </c>
      <c r="J51" s="23">
        <v>4</v>
      </c>
      <c r="K51" s="23">
        <v>4</v>
      </c>
      <c r="L51" s="23">
        <f>SUM($G$51:$K$51)</f>
        <v>12</v>
      </c>
      <c r="M51" s="49">
        <f t="array" ref="M51">INDEX(М[Цена за ед., руб],MATCH(1,IF(($B51=М[Наим.])*($C51=М[Артикул, марка, произв.])*($D51=М[Хар-ка])*($O51=М[Прим.]),{1},($B51=М[Наим.])*($C51=М[Артикул, марка, произв.])*($D51=М[Хар-ка])*($O51=М[Прим.])),0))</f>
        <v>0</v>
      </c>
      <c r="N51" s="49">
        <f>ROUND($L$51*$M$51,2)</f>
        <v>0</v>
      </c>
      <c r="O51" s="20" t="s">
        <v>71</v>
      </c>
      <c r="P51" s="20">
        <f t="array" ref="P51">INDEX(М[Форма закупа],MATCH(1,IF(($B51=М[Наим.])*($C51=М[Артикул, марка, произв.])*($D51=М[Хар-ка])*($O51=М[Прим.]),{1},($B51=М[Наим.])*($C51=М[Артикул, марка, произв.])*($D51=М[Хар-ка])*($O51=М[Прим.])),0))</f>
        <v>0</v>
      </c>
    </row>
    <row r="52" spans="1:16" ht="22.5" outlineLevel="4" x14ac:dyDescent="0.2">
      <c r="A52" s="18" t="s">
        <v>46</v>
      </c>
      <c r="B52" s="19" t="s">
        <v>68</v>
      </c>
      <c r="C52" s="20"/>
      <c r="D52" s="20" t="s">
        <v>72</v>
      </c>
      <c r="E52" s="21" t="s">
        <v>28</v>
      </c>
      <c r="F52" s="22"/>
      <c r="G52" s="22"/>
      <c r="H52" s="23">
        <v>13</v>
      </c>
      <c r="I52" s="23">
        <v>16</v>
      </c>
      <c r="J52" s="23">
        <v>27</v>
      </c>
      <c r="K52" s="23">
        <v>31</v>
      </c>
      <c r="L52" s="23">
        <f>SUM($G$52:$K$52)</f>
        <v>87</v>
      </c>
      <c r="M52" s="49">
        <f t="array" ref="M52">INDEX(М[Цена за ед., руб],MATCH(1,IF(($B52=М[Наим.])*($C52=М[Артикул, марка, произв.])*($D52=М[Хар-ка])*($O52=М[Прим.]),{1},($B52=М[Наим.])*($C52=М[Артикул, марка, произв.])*($D52=М[Хар-ка])*($O52=М[Прим.])),0))</f>
        <v>0</v>
      </c>
      <c r="N52" s="49">
        <f>ROUND($L$52*$M$52,2)</f>
        <v>0</v>
      </c>
      <c r="O52" s="20" t="s">
        <v>71</v>
      </c>
      <c r="P52" s="20">
        <f t="array" ref="P52">INDEX(М[Форма закупа],MATCH(1,IF(($B52=М[Наим.])*($C52=М[Артикул, марка, произв.])*($D52=М[Хар-ка])*($O52=М[Прим.]),{1},($B52=М[Наим.])*($C52=М[Артикул, марка, произв.])*($D52=М[Хар-ка])*($O52=М[Прим.])),0))</f>
        <v>0</v>
      </c>
    </row>
    <row r="53" spans="1:16" ht="22.5" outlineLevel="4" x14ac:dyDescent="0.2">
      <c r="A53" s="18">
        <v>4</v>
      </c>
      <c r="B53" s="19" t="s">
        <v>112</v>
      </c>
      <c r="C53" s="20"/>
      <c r="D53" s="20" t="s">
        <v>113</v>
      </c>
      <c r="E53" s="21" t="s">
        <v>28</v>
      </c>
      <c r="F53" s="22"/>
      <c r="G53" s="22">
        <f>(G50+G51)*2</f>
        <v>18</v>
      </c>
      <c r="H53" s="22">
        <f t="shared" ref="H53:K53" si="0">(H50+H51)*2</f>
        <v>4</v>
      </c>
      <c r="I53" s="22">
        <f t="shared" si="0"/>
        <v>4</v>
      </c>
      <c r="J53" s="22">
        <f t="shared" si="0"/>
        <v>8</v>
      </c>
      <c r="K53" s="22">
        <f t="shared" si="0"/>
        <v>8</v>
      </c>
      <c r="L53" s="23">
        <f>SUM(G53:K53)</f>
        <v>42</v>
      </c>
      <c r="M53" s="49">
        <f t="array" ref="M53">INDEX(М[Цена за ед., руб],MATCH(1,IF(($B53=М[Наим.])*($C53=М[Артикул, марка, произв.])*($D53=М[Хар-ка])*($O53=М[Прим.]),{1},($B53=М[Наим.])*($C53=М[Артикул, марка, произв.])*($D53=М[Хар-ка])*($O53=М[Прим.])),0))</f>
        <v>0</v>
      </c>
      <c r="N53" s="51">
        <f>M53*L53</f>
        <v>0</v>
      </c>
      <c r="O53" s="20"/>
      <c r="P53" s="20">
        <f t="array" ref="P53">INDEX(М[Форма закупа],MATCH(1,IF(($B53=М[Наим.])*($C53=М[Артикул, марка, произв.])*($D53=М[Хар-ка])*($O53=М[Прим.]),{1},($B53=М[Наим.])*($C53=М[Артикул, марка, произв.])*($D53=М[Хар-ка])*($O53=М[Прим.])),0))</f>
        <v>0</v>
      </c>
    </row>
    <row r="54" spans="1:16" outlineLevel="4" x14ac:dyDescent="0.2">
      <c r="A54" s="15"/>
      <c r="B54" s="9" t="s">
        <v>26</v>
      </c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52"/>
      <c r="N54" s="55">
        <f>SUM($N$55)</f>
        <v>0</v>
      </c>
      <c r="O54" s="53"/>
      <c r="P54" s="17"/>
    </row>
    <row r="55" spans="1:16" outlineLevel="4" x14ac:dyDescent="0.2">
      <c r="A55" s="18"/>
      <c r="B55" s="19" t="s">
        <v>73</v>
      </c>
      <c r="C55" s="20"/>
      <c r="D55" s="20"/>
      <c r="E55" s="21" t="s">
        <v>74</v>
      </c>
      <c r="F55" s="22"/>
      <c r="G55" s="23">
        <v>20</v>
      </c>
      <c r="H55" s="22"/>
      <c r="I55" s="22"/>
      <c r="J55" s="22"/>
      <c r="K55" s="22"/>
      <c r="L55" s="23">
        <f>SUM($G$55:$K$55)</f>
        <v>20</v>
      </c>
      <c r="M55" s="49">
        <f t="array" ref="M55">INDEX(Р[Цена за ед., руб],MATCH(1,IF(($B55=Р[Наименование])*($O55=Р[Примечание]),{1},($B55=Р[Наименование])*($O55=Р[Примечание])),0))</f>
        <v>0</v>
      </c>
      <c r="N55" s="54">
        <f>ROUND($L$55*$M$55,2)</f>
        <v>0</v>
      </c>
      <c r="O55" s="20"/>
      <c r="P55" s="20"/>
    </row>
    <row r="56" spans="1:16" outlineLevel="4" x14ac:dyDescent="0.2">
      <c r="A56" s="15"/>
      <c r="B56" s="9" t="s">
        <v>30</v>
      </c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47"/>
      <c r="N56" s="48">
        <f>SUM($N$57)</f>
        <v>0</v>
      </c>
      <c r="O56" s="13"/>
      <c r="P56" s="17"/>
    </row>
    <row r="57" spans="1:16" ht="22.5" outlineLevel="4" x14ac:dyDescent="0.2">
      <c r="A57" s="81" t="s">
        <v>31</v>
      </c>
      <c r="B57" s="19" t="s">
        <v>75</v>
      </c>
      <c r="C57" s="20"/>
      <c r="D57" s="20" t="s">
        <v>76</v>
      </c>
      <c r="E57" s="21" t="s">
        <v>74</v>
      </c>
      <c r="F57" s="22"/>
      <c r="G57" s="23">
        <v>20</v>
      </c>
      <c r="H57" s="22"/>
      <c r="I57" s="22"/>
      <c r="J57" s="22"/>
      <c r="K57" s="22"/>
      <c r="L57" s="23">
        <f>SUM($G$57:$K$57)</f>
        <v>20</v>
      </c>
      <c r="M57" s="49">
        <f t="array" ref="M57">INDEX(М[Цена за ед., руб],MATCH(1,IF(($B57=М[Наим.])*($C57=М[Артикул, марка, произв.])*($D57=М[Хар-ка])*($O57=М[Прим.]),{1},($B57=М[Наим.])*($C57=М[Артикул, марка, произв.])*($D57=М[Хар-ка])*($O57=М[Прим.])),0))</f>
        <v>0</v>
      </c>
      <c r="N57" s="49">
        <f>ROUND($L$57*$M$57,2)</f>
        <v>0</v>
      </c>
      <c r="O57" s="20"/>
      <c r="P57" s="20">
        <f t="array" ref="P57">INDEX(М[Форма закупа],MATCH(1,IF(($B57=М[Наим.])*($C57=М[Артикул, марка, произв.])*($D57=М[Хар-ка])*($O57=М[Прим.]),{1},($B57=М[Наим.])*($C57=М[Артикул, марка, произв.])*($D57=М[Хар-ка])*($O57=М[Прим.])),0))</f>
        <v>0</v>
      </c>
    </row>
    <row r="58" spans="1:16" outlineLevel="4" x14ac:dyDescent="0.2">
      <c r="A58" s="15"/>
      <c r="B58" s="9" t="s">
        <v>26</v>
      </c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47"/>
      <c r="N58" s="48">
        <f>SUM($N$59)</f>
        <v>0</v>
      </c>
      <c r="O58" s="13"/>
      <c r="P58" s="17"/>
    </row>
    <row r="59" spans="1:16" outlineLevel="4" x14ac:dyDescent="0.2">
      <c r="A59" s="18"/>
      <c r="B59" s="19" t="s">
        <v>77</v>
      </c>
      <c r="C59" s="20"/>
      <c r="D59" s="20"/>
      <c r="E59" s="21" t="s">
        <v>74</v>
      </c>
      <c r="F59" s="22"/>
      <c r="G59" s="23">
        <v>732</v>
      </c>
      <c r="H59" s="23">
        <v>119</v>
      </c>
      <c r="I59" s="23">
        <v>142</v>
      </c>
      <c r="J59" s="23">
        <v>232</v>
      </c>
      <c r="K59" s="23">
        <v>263</v>
      </c>
      <c r="L59" s="24">
        <f>SUM($G$59:$K$59)</f>
        <v>1488</v>
      </c>
      <c r="M59" s="49">
        <f t="array" ref="M59">INDEX(Р[Цена за ед., руб],MATCH(1,IF(($B59=Р[Наименование])*($O59=Р[Примечание]),{1},($B59=Р[Наименование])*($O59=Р[Примечание])),0))</f>
        <v>0</v>
      </c>
      <c r="N59" s="49">
        <f>ROUND($L$59*$M$59,2)</f>
        <v>0</v>
      </c>
      <c r="O59" s="20"/>
      <c r="P59" s="20"/>
    </row>
    <row r="60" spans="1:16" outlineLevel="4" x14ac:dyDescent="0.2">
      <c r="A60" s="15"/>
      <c r="B60" s="9" t="s">
        <v>30</v>
      </c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47"/>
      <c r="N60" s="48">
        <f>SUM($N$61:$N$64)</f>
        <v>0</v>
      </c>
      <c r="O60" s="13"/>
      <c r="P60" s="17"/>
    </row>
    <row r="61" spans="1:16" ht="22.5" outlineLevel="4" x14ac:dyDescent="0.2">
      <c r="A61" s="81" t="s">
        <v>31</v>
      </c>
      <c r="B61" s="19" t="s">
        <v>78</v>
      </c>
      <c r="C61" s="20"/>
      <c r="D61" s="20" t="s">
        <v>79</v>
      </c>
      <c r="E61" s="21" t="s">
        <v>74</v>
      </c>
      <c r="F61" s="22"/>
      <c r="G61" s="23">
        <v>526</v>
      </c>
      <c r="H61" s="22"/>
      <c r="I61" s="22"/>
      <c r="J61" s="22"/>
      <c r="K61" s="22"/>
      <c r="L61" s="23">
        <f>SUM($G$61:$K$61)</f>
        <v>526</v>
      </c>
      <c r="M61" s="49">
        <f t="array" ref="M61">INDEX(М[Цена за ед., руб],MATCH(1,IF(($B61=М[Наим.])*($C61=М[Артикул, марка, произв.])*($D61=М[Хар-ка])*($O61=М[Прим.]),{1},($B61=М[Наим.])*($C61=М[Артикул, марка, произв.])*($D61=М[Хар-ка])*($O61=М[Прим.])),0))</f>
        <v>0</v>
      </c>
      <c r="N61" s="49">
        <f>ROUND($L$61*$M$61,2)</f>
        <v>0</v>
      </c>
      <c r="O61" s="20"/>
      <c r="P61" s="20">
        <f t="array" ref="P61">INDEX(М[Форма закупа],MATCH(1,IF(($B61=М[Наим.])*($C61=М[Артикул, марка, произв.])*($D61=М[Хар-ка])*($O61=М[Прим.]),{1},($B61=М[Наим.])*($C61=М[Артикул, марка, произв.])*($D61=М[Хар-ка])*($O61=М[Прим.])),0))</f>
        <v>0</v>
      </c>
    </row>
    <row r="62" spans="1:16" ht="22.5" outlineLevel="4" x14ac:dyDescent="0.2">
      <c r="A62" s="81" t="s">
        <v>39</v>
      </c>
      <c r="B62" s="19" t="s">
        <v>78</v>
      </c>
      <c r="C62" s="20"/>
      <c r="D62" s="20" t="s">
        <v>80</v>
      </c>
      <c r="E62" s="21" t="s">
        <v>74</v>
      </c>
      <c r="F62" s="22"/>
      <c r="G62" s="23">
        <v>6</v>
      </c>
      <c r="H62" s="22"/>
      <c r="I62" s="22"/>
      <c r="J62" s="22"/>
      <c r="K62" s="22"/>
      <c r="L62" s="23">
        <f>SUM($G$62:$K$62)</f>
        <v>6</v>
      </c>
      <c r="M62" s="49">
        <f t="array" ref="M62">INDEX(М[Цена за ед., руб],MATCH(1,IF(($B62=М[Наим.])*($C62=М[Артикул, марка, произв.])*($D62=М[Хар-ка])*($O62=М[Прим.]),{1},($B62=М[Наим.])*($C62=М[Артикул, марка, произв.])*($D62=М[Хар-ка])*($O62=М[Прим.])),0))</f>
        <v>0</v>
      </c>
      <c r="N62" s="49">
        <f>ROUND($L$62*$M$62,2)</f>
        <v>0</v>
      </c>
      <c r="O62" s="20"/>
      <c r="P62" s="20">
        <f t="array" ref="P62">INDEX(М[Форма закупа],MATCH(1,IF(($B62=М[Наим.])*($C62=М[Артикул, марка, произв.])*($D62=М[Хар-ка])*($O62=М[Прим.]),{1},($B62=М[Наим.])*($C62=М[Артикул, марка, произв.])*($D62=М[Хар-ка])*($O62=М[Прим.])),0))</f>
        <v>0</v>
      </c>
    </row>
    <row r="63" spans="1:16" ht="22.5" outlineLevel="4" x14ac:dyDescent="0.2">
      <c r="A63" s="81" t="s">
        <v>46</v>
      </c>
      <c r="B63" s="19" t="s">
        <v>78</v>
      </c>
      <c r="C63" s="20"/>
      <c r="D63" s="20" t="s">
        <v>81</v>
      </c>
      <c r="E63" s="21" t="s">
        <v>74</v>
      </c>
      <c r="F63" s="22"/>
      <c r="G63" s="22"/>
      <c r="H63" s="23">
        <v>20</v>
      </c>
      <c r="I63" s="23">
        <v>22</v>
      </c>
      <c r="J63" s="23">
        <v>30</v>
      </c>
      <c r="K63" s="23">
        <v>33</v>
      </c>
      <c r="L63" s="23">
        <f>SUM($G$63:$K$63)</f>
        <v>105</v>
      </c>
      <c r="M63" s="49">
        <f t="array" ref="M63">INDEX(М[Цена за ед., руб],MATCH(1,IF(($B63=М[Наим.])*($C63=М[Артикул, марка, произв.])*($D63=М[Хар-ка])*($O63=М[Прим.]),{1},($B63=М[Наим.])*($C63=М[Артикул, марка, произв.])*($D63=М[Хар-ка])*($O63=М[Прим.])),0))</f>
        <v>0</v>
      </c>
      <c r="N63" s="49">
        <f>ROUND($L$63*$M$63,2)</f>
        <v>0</v>
      </c>
      <c r="O63" s="20"/>
      <c r="P63" s="20">
        <f t="array" ref="P63">INDEX(М[Форма закупа],MATCH(1,IF(($B63=М[Наим.])*($C63=М[Артикул, марка, произв.])*($D63=М[Хар-ка])*($O63=М[Прим.]),{1},($B63=М[Наим.])*($C63=М[Артикул, марка, произв.])*($D63=М[Хар-ка])*($O63=М[Прим.])),0))</f>
        <v>0</v>
      </c>
    </row>
    <row r="64" spans="1:16" ht="22.5" outlineLevel="4" x14ac:dyDescent="0.2">
      <c r="A64" s="81" t="s">
        <v>49</v>
      </c>
      <c r="B64" s="19" t="s">
        <v>78</v>
      </c>
      <c r="C64" s="20"/>
      <c r="D64" s="20" t="s">
        <v>82</v>
      </c>
      <c r="E64" s="21" t="s">
        <v>74</v>
      </c>
      <c r="F64" s="22"/>
      <c r="G64" s="23">
        <v>200</v>
      </c>
      <c r="H64" s="23">
        <v>99</v>
      </c>
      <c r="I64" s="23">
        <v>120</v>
      </c>
      <c r="J64" s="23">
        <v>202</v>
      </c>
      <c r="K64" s="23">
        <v>230</v>
      </c>
      <c r="L64" s="23">
        <f>SUM($G$64:$K$64)</f>
        <v>851</v>
      </c>
      <c r="M64" s="49">
        <f t="array" ref="M64">INDEX(М[Цена за ед., руб],MATCH(1,IF(($B64=М[Наим.])*($C64=М[Артикул, марка, произв.])*($D64=М[Хар-ка])*($O64=М[Прим.]),{1},($B64=М[Наим.])*($C64=М[Артикул, марка, произв.])*($D64=М[Хар-ка])*($O64=М[Прим.])),0))</f>
        <v>0</v>
      </c>
      <c r="N64" s="49">
        <f>ROUND($L$64*$M$64,2)</f>
        <v>0</v>
      </c>
      <c r="O64" s="20"/>
      <c r="P64" s="20">
        <f t="array" ref="P64">INDEX(М[Форма закупа],MATCH(1,IF(($B64=М[Наим.])*($C64=М[Артикул, марка, произв.])*($D64=М[Хар-ка])*($O64=М[Прим.]),{1},($B64=М[Наим.])*($C64=М[Артикул, марка, произв.])*($D64=М[Хар-ка])*($O64=М[Прим.])),0))</f>
        <v>0</v>
      </c>
    </row>
    <row r="65" spans="1:16" s="65" customFormat="1" outlineLevel="4" x14ac:dyDescent="0.2">
      <c r="A65" s="56"/>
      <c r="B65" s="57" t="s">
        <v>30</v>
      </c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1"/>
      <c r="N65" s="62">
        <f ca="1">SUM(N66:N67)</f>
        <v>0</v>
      </c>
      <c r="O65" s="63"/>
      <c r="P65" s="64"/>
    </row>
    <row r="66" spans="1:16" ht="22.5" outlineLevel="4" x14ac:dyDescent="0.2">
      <c r="A66" s="58" t="s">
        <v>31</v>
      </c>
      <c r="B66" s="59" t="s">
        <v>114</v>
      </c>
      <c r="C66" s="20"/>
      <c r="D66" s="20"/>
      <c r="E66" s="68" t="s">
        <v>83</v>
      </c>
      <c r="F66" s="22"/>
      <c r="G66" s="23"/>
      <c r="H66" s="23"/>
      <c r="I66" s="23"/>
      <c r="J66" s="23"/>
      <c r="K66" s="23"/>
      <c r="L66" s="69">
        <f ca="1">SUMIF(М[[Наим.]:[Сумма, руб]],B66,М[Количество])</f>
        <v>0</v>
      </c>
      <c r="M66" s="70"/>
      <c r="N66" s="70">
        <f ca="1">ROUND(SUM(N17,N21:N22,N26:N29,N33,N37,N37,N41:N42,N46,N50:N53,N57,N61:N64)*L66%,3)</f>
        <v>0</v>
      </c>
      <c r="O66" s="66" t="s">
        <v>116</v>
      </c>
      <c r="P66" s="67">
        <f t="array" ref="P66">INDEX(М[Форма закупа],MATCH(1,IF(($B66=М[Наим.])*($C66=М[Артикул, марка, произв.])*($D66=М[Хар-ка])*($O66=М[Прим.]),{1},($B66=М[Наим.])*($C66=М[Артикул, марка, произв.])*($D66=М[Хар-ка])*($O66=М[Прим.])),0))</f>
        <v>0</v>
      </c>
    </row>
    <row r="67" spans="1:16" ht="22.5" outlineLevel="4" x14ac:dyDescent="0.2">
      <c r="A67" s="82">
        <v>2</v>
      </c>
      <c r="B67" s="59" t="s">
        <v>115</v>
      </c>
      <c r="C67" s="20"/>
      <c r="D67" s="20"/>
      <c r="E67" s="68" t="s">
        <v>83</v>
      </c>
      <c r="F67" s="22"/>
      <c r="G67" s="23"/>
      <c r="H67" s="23"/>
      <c r="I67" s="23"/>
      <c r="J67" s="23"/>
      <c r="K67" s="23"/>
      <c r="L67" s="69">
        <f ca="1">SUMIF(М[[Наим.]:[Сумма, руб]],B67,М[Количество])</f>
        <v>0</v>
      </c>
      <c r="M67" s="70"/>
      <c r="N67" s="70">
        <f ca="1">ROUND(SUM(N57,N61:N64)*L67%,3)</f>
        <v>0</v>
      </c>
      <c r="O67" s="66" t="s">
        <v>116</v>
      </c>
      <c r="P67" s="67">
        <f t="array" ref="P67">INDEX(М[Форма закупа],MATCH(1,IF(($B67=М[Наим.])*($C67=М[Артикул, марка, произв.])*($D67=М[Хар-ка])*($O67=М[Прим.]),{1},($B67=М[Наим.])*($C67=М[Артикул, марка, произв.])*($D67=М[Хар-ка])*($O67=М[Прим.])),0))</f>
        <v>0</v>
      </c>
    </row>
    <row r="68" spans="1:16" outlineLevel="2" x14ac:dyDescent="0.2">
      <c r="A68" s="8" t="s">
        <v>84</v>
      </c>
      <c r="B68" s="9" t="s">
        <v>85</v>
      </c>
      <c r="C68" s="10"/>
      <c r="D68" s="10"/>
      <c r="E68" s="11"/>
      <c r="F68" s="12"/>
      <c r="G68" s="13"/>
      <c r="H68" s="13"/>
      <c r="I68" s="13"/>
      <c r="J68" s="13"/>
      <c r="K68" s="13"/>
      <c r="L68" s="13"/>
      <c r="M68" s="46"/>
      <c r="N68" s="46">
        <f>SUM($N$69)</f>
        <v>0</v>
      </c>
      <c r="O68" s="14"/>
      <c r="P68" s="14"/>
    </row>
    <row r="69" spans="1:16" outlineLevel="3" x14ac:dyDescent="0.2">
      <c r="A69" s="8" t="s">
        <v>86</v>
      </c>
      <c r="B69" s="9" t="s">
        <v>85</v>
      </c>
      <c r="C69" s="10"/>
      <c r="D69" s="10"/>
      <c r="E69" s="11"/>
      <c r="F69" s="12"/>
      <c r="G69" s="13"/>
      <c r="H69" s="13"/>
      <c r="I69" s="13"/>
      <c r="J69" s="13"/>
      <c r="K69" s="13"/>
      <c r="L69" s="13"/>
      <c r="M69" s="46"/>
      <c r="N69" s="46">
        <f>SUM($N$70)</f>
        <v>0</v>
      </c>
      <c r="O69" s="14"/>
      <c r="P69" s="14"/>
    </row>
    <row r="70" spans="1:16" outlineLevel="4" x14ac:dyDescent="0.2">
      <c r="A70" s="15"/>
      <c r="B70" s="9" t="s">
        <v>26</v>
      </c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47"/>
      <c r="N70" s="48">
        <f>SUM($N$71)</f>
        <v>0</v>
      </c>
      <c r="O70" s="13"/>
      <c r="P70" s="17"/>
    </row>
    <row r="71" spans="1:16" ht="33.75" outlineLevel="4" x14ac:dyDescent="0.2">
      <c r="A71" s="18"/>
      <c r="B71" s="19" t="s">
        <v>87</v>
      </c>
      <c r="C71" s="20"/>
      <c r="D71" s="20"/>
      <c r="E71" s="21" t="s">
        <v>88</v>
      </c>
      <c r="F71" s="22"/>
      <c r="G71" s="23">
        <v>1</v>
      </c>
      <c r="H71" s="23">
        <v>1</v>
      </c>
      <c r="I71" s="23">
        <v>1</v>
      </c>
      <c r="J71" s="23">
        <v>1</v>
      </c>
      <c r="K71" s="23">
        <v>1</v>
      </c>
      <c r="L71" s="23">
        <f>SUM($G$71:$K$71)</f>
        <v>5</v>
      </c>
      <c r="M71" s="49">
        <f t="array" ref="M71">INDEX(Р[Цена за ед., руб],MATCH(1,IF(($B71=Р[Наименование])*($O71=Р[Примечание]),{1},($B71=Р[Наименование])*($O71=Р[Примечание])),0))</f>
        <v>0</v>
      </c>
      <c r="N71" s="49">
        <f>ROUND($L$71*$M$71,2)</f>
        <v>0</v>
      </c>
      <c r="O71" s="20"/>
      <c r="P71" s="20"/>
    </row>
    <row r="72" spans="1:16" x14ac:dyDescent="0.2">
      <c r="A72" s="93" t="s">
        <v>118</v>
      </c>
      <c r="B72" s="94"/>
      <c r="C72" s="94"/>
      <c r="D72" s="94"/>
      <c r="E72" s="94"/>
      <c r="F72" s="94"/>
      <c r="G72" s="94"/>
      <c r="H72" s="94"/>
      <c r="I72" s="94"/>
      <c r="J72" s="94"/>
      <c r="K72" s="94"/>
      <c r="L72" s="94"/>
      <c r="M72" s="95"/>
      <c r="N72" s="50">
        <f ca="1">$N$9</f>
        <v>0</v>
      </c>
      <c r="O72" s="25"/>
      <c r="P72" s="25"/>
    </row>
    <row r="73" spans="1:16" x14ac:dyDescent="0.2">
      <c r="A73" s="96" t="s">
        <v>89</v>
      </c>
      <c r="B73" s="97"/>
      <c r="C73" s="97"/>
      <c r="D73" s="97"/>
      <c r="E73" s="97"/>
      <c r="F73" s="97"/>
      <c r="G73" s="97"/>
      <c r="H73" s="97"/>
      <c r="I73" s="97"/>
      <c r="J73" s="97"/>
      <c r="K73" s="97"/>
      <c r="L73" s="97"/>
      <c r="M73" s="98"/>
      <c r="N73" s="50">
        <f>SUM($N$70,$N$58,$N$54,$N$47,$N$43,$N$38,$N$34,$N$30,$N$23,$N$18,$N$14,$N$12)</f>
        <v>0</v>
      </c>
      <c r="O73" s="25"/>
      <c r="P73" s="25"/>
    </row>
    <row r="74" spans="1:16" x14ac:dyDescent="0.2">
      <c r="A74" s="96" t="s">
        <v>90</v>
      </c>
      <c r="B74" s="97"/>
      <c r="C74" s="97"/>
      <c r="D74" s="97"/>
      <c r="E74" s="97"/>
      <c r="F74" s="97"/>
      <c r="G74" s="97"/>
      <c r="H74" s="97"/>
      <c r="I74" s="97"/>
      <c r="J74" s="97"/>
      <c r="K74" s="97"/>
      <c r="L74" s="97"/>
      <c r="M74" s="98"/>
      <c r="N74" s="50">
        <f ca="1">SUM($N$60,$N$56,$N$49,$N$45,$N$40,$N$36,$N$32,$N$25,$N$20,$N$16,N65)</f>
        <v>0</v>
      </c>
      <c r="O74" s="25"/>
      <c r="P74" s="25"/>
    </row>
    <row r="75" spans="1:16" x14ac:dyDescent="0.2">
      <c r="A75" s="99" t="s">
        <v>119</v>
      </c>
      <c r="B75" s="100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1"/>
      <c r="N75" s="74"/>
      <c r="O75" s="75" t="s">
        <v>120</v>
      </c>
      <c r="P75" s="25"/>
    </row>
    <row r="76" spans="1:16" x14ac:dyDescent="0.2">
      <c r="A76" s="26"/>
      <c r="B76" s="87" t="s">
        <v>91</v>
      </c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8"/>
      <c r="N76" s="88"/>
      <c r="O76" s="87"/>
      <c r="P76" s="26"/>
    </row>
    <row r="77" spans="1:16" x14ac:dyDescent="0.2">
      <c r="B77" s="83"/>
      <c r="C77" s="83"/>
      <c r="D77" s="83"/>
      <c r="E77" s="83"/>
      <c r="F77" s="83"/>
      <c r="G77" s="83"/>
      <c r="H77" s="83"/>
      <c r="I77" s="83"/>
      <c r="J77" s="83"/>
      <c r="K77" s="83"/>
      <c r="L77" s="83"/>
      <c r="M77" s="84"/>
      <c r="N77" s="84"/>
      <c r="O77" s="83"/>
    </row>
    <row r="78" spans="1:16" ht="46.5" customHeight="1" x14ac:dyDescent="0.25">
      <c r="A78" s="76"/>
      <c r="B78" s="77" t="s">
        <v>121</v>
      </c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9"/>
      <c r="P78" s="80"/>
    </row>
    <row r="79" spans="1:16" ht="15.75" x14ac:dyDescent="0.2">
      <c r="A79" s="76"/>
      <c r="B79" s="108" t="s">
        <v>122</v>
      </c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</row>
    <row r="80" spans="1:16" ht="15.75" x14ac:dyDescent="0.2">
      <c r="A80" s="76"/>
      <c r="B80" s="108" t="s">
        <v>123</v>
      </c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8"/>
      <c r="O80" s="108"/>
      <c r="P80" s="108"/>
    </row>
    <row r="81" spans="1:20" ht="46.5" customHeight="1" x14ac:dyDescent="0.2">
      <c r="A81" s="76"/>
      <c r="B81" s="109" t="s">
        <v>124</v>
      </c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</row>
    <row r="82" spans="1:20" ht="46.5" customHeight="1" x14ac:dyDescent="0.2">
      <c r="A82" s="76"/>
      <c r="B82" s="110" t="s">
        <v>125</v>
      </c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</row>
    <row r="83" spans="1:20" ht="15.75" x14ac:dyDescent="0.2">
      <c r="A83" s="76"/>
      <c r="B83" s="111" t="s">
        <v>126</v>
      </c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</row>
    <row r="84" spans="1:20" ht="15.75" x14ac:dyDescent="0.2">
      <c r="B84" s="112" t="s">
        <v>127</v>
      </c>
      <c r="C84" s="112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76"/>
      <c r="R84" s="76"/>
      <c r="S84" s="76"/>
      <c r="T84" s="76"/>
    </row>
    <row r="85" spans="1:20" ht="46.5" customHeight="1" x14ac:dyDescent="0.2">
      <c r="B85" s="113" t="s">
        <v>128</v>
      </c>
      <c r="C85" s="113"/>
      <c r="D85" s="113"/>
      <c r="E85" s="113"/>
      <c r="F85" s="113"/>
      <c r="G85" s="113"/>
      <c r="H85" s="113"/>
      <c r="I85" s="113"/>
      <c r="J85" s="113"/>
      <c r="K85" s="113"/>
      <c r="L85" s="113"/>
      <c r="M85" s="113"/>
      <c r="N85" s="113"/>
      <c r="O85" s="113"/>
      <c r="P85" s="113"/>
      <c r="Q85" s="113"/>
      <c r="R85" s="113"/>
      <c r="S85" s="113"/>
      <c r="T85" s="113"/>
    </row>
  </sheetData>
  <autoFilter ref="A7:P76" xr:uid="{00000000-0001-0000-0000-000000000000}"/>
  <mergeCells count="32">
    <mergeCell ref="B84:P84"/>
    <mergeCell ref="B85:T85"/>
    <mergeCell ref="B79:P79"/>
    <mergeCell ref="B80:P80"/>
    <mergeCell ref="B81:P81"/>
    <mergeCell ref="B82:P82"/>
    <mergeCell ref="B83:P83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77:O77"/>
    <mergeCell ref="P6:P7"/>
    <mergeCell ref="B76:O76"/>
    <mergeCell ref="K6:K7"/>
    <mergeCell ref="L6:L7"/>
    <mergeCell ref="M6:M7"/>
    <mergeCell ref="N6:N7"/>
    <mergeCell ref="O6:O7"/>
    <mergeCell ref="A72:M72"/>
    <mergeCell ref="A73:M73"/>
    <mergeCell ref="A74:M74"/>
    <mergeCell ref="A75:M75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18"/>
  <sheetViews>
    <sheetView workbookViewId="0">
      <pane ySplit="3" topLeftCell="A4" activePane="bottomLeft" state="frozen"/>
      <selection pane="bottomLeft" activeCell="D4" sqref="D4:D15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14" t="s">
        <v>92</v>
      </c>
      <c r="B1" s="114"/>
      <c r="C1" s="114"/>
      <c r="D1" s="114"/>
      <c r="E1" s="114"/>
      <c r="F1" s="114"/>
    </row>
    <row r="3" spans="1:6" ht="11.1" customHeight="1" x14ac:dyDescent="0.2">
      <c r="A3" s="33" t="s">
        <v>4</v>
      </c>
      <c r="B3" s="2" t="s">
        <v>7</v>
      </c>
      <c r="C3" s="2" t="s">
        <v>14</v>
      </c>
      <c r="D3" s="40" t="s">
        <v>15</v>
      </c>
      <c r="E3" s="40" t="s">
        <v>16</v>
      </c>
      <c r="F3" s="34" t="s">
        <v>17</v>
      </c>
    </row>
    <row r="4" spans="1:6" ht="11.1" customHeight="1" x14ac:dyDescent="0.2">
      <c r="A4" s="31" t="s">
        <v>27</v>
      </c>
      <c r="B4" s="27" t="s">
        <v>28</v>
      </c>
      <c r="C4" s="28">
        <v>320</v>
      </c>
      <c r="D4" s="41"/>
      <c r="E4" s="41">
        <f>ROUND(Р[[#This Row],[Количество]]*Р[[#This Row],[Цена за ед., руб]],2)</f>
        <v>0</v>
      </c>
      <c r="F4" s="32"/>
    </row>
    <row r="5" spans="1:6" ht="11.1" customHeight="1" x14ac:dyDescent="0.2">
      <c r="A5" s="31" t="s">
        <v>29</v>
      </c>
      <c r="B5" s="27" t="s">
        <v>28</v>
      </c>
      <c r="C5" s="28">
        <v>18</v>
      </c>
      <c r="D5" s="41"/>
      <c r="E5" s="41">
        <f>ROUND(Р[[#This Row],[Количество]]*Р[[#This Row],[Цена за ед., руб]],2)</f>
        <v>0</v>
      </c>
      <c r="F5" s="32"/>
    </row>
    <row r="6" spans="1:6" ht="11.1" customHeight="1" x14ac:dyDescent="0.2">
      <c r="A6" s="31" t="s">
        <v>35</v>
      </c>
      <c r="B6" s="27" t="s">
        <v>28</v>
      </c>
      <c r="C6" s="28">
        <v>58</v>
      </c>
      <c r="D6" s="41"/>
      <c r="E6" s="41">
        <f>ROUND(Р[[#This Row],[Количество]]*Р[[#This Row],[Цена за ед., руб]],2)</f>
        <v>0</v>
      </c>
      <c r="F6" s="32"/>
    </row>
    <row r="7" spans="1:6" ht="11.1" customHeight="1" x14ac:dyDescent="0.2">
      <c r="A7" s="31" t="s">
        <v>41</v>
      </c>
      <c r="B7" s="27" t="s">
        <v>28</v>
      </c>
      <c r="C7" s="28">
        <v>216</v>
      </c>
      <c r="D7" s="41"/>
      <c r="E7" s="41">
        <f>ROUND(Р[[#This Row],[Количество]]*Р[[#This Row],[Цена за ед., руб]],2)</f>
        <v>0</v>
      </c>
      <c r="F7" s="32"/>
    </row>
    <row r="8" spans="1:6" ht="11.1" customHeight="1" x14ac:dyDescent="0.2">
      <c r="A8" s="31" t="s">
        <v>51</v>
      </c>
      <c r="B8" s="27" t="s">
        <v>28</v>
      </c>
      <c r="C8" s="28">
        <v>7</v>
      </c>
      <c r="D8" s="41"/>
      <c r="E8" s="41">
        <f>ROUND(Р[[#This Row],[Количество]]*Р[[#This Row],[Цена за ед., руб]],2)</f>
        <v>0</v>
      </c>
      <c r="F8" s="32"/>
    </row>
    <row r="9" spans="1:6" ht="11.1" customHeight="1" x14ac:dyDescent="0.2">
      <c r="A9" s="31" t="s">
        <v>54</v>
      </c>
      <c r="B9" s="27" t="s">
        <v>28</v>
      </c>
      <c r="C9" s="28">
        <v>8</v>
      </c>
      <c r="D9" s="41"/>
      <c r="E9" s="41">
        <f>ROUND(Р[[#This Row],[Количество]]*Р[[#This Row],[Цена за ед., руб]],2)</f>
        <v>0</v>
      </c>
      <c r="F9" s="32"/>
    </row>
    <row r="10" spans="1:6" ht="11.1" customHeight="1" x14ac:dyDescent="0.2">
      <c r="A10" s="31" t="s">
        <v>58</v>
      </c>
      <c r="B10" s="27" t="s">
        <v>28</v>
      </c>
      <c r="C10" s="28">
        <v>98</v>
      </c>
      <c r="D10" s="41"/>
      <c r="E10" s="41">
        <f>ROUND(Р[[#This Row],[Количество]]*Р[[#This Row],[Цена за ед., руб]],2)</f>
        <v>0</v>
      </c>
      <c r="F10" s="32"/>
    </row>
    <row r="11" spans="1:6" ht="11.1" customHeight="1" x14ac:dyDescent="0.2">
      <c r="A11" s="31" t="s">
        <v>62</v>
      </c>
      <c r="B11" s="27" t="s">
        <v>28</v>
      </c>
      <c r="C11" s="28">
        <v>1</v>
      </c>
      <c r="D11" s="41"/>
      <c r="E11" s="41">
        <f>ROUND(Р[[#This Row],[Количество]]*Р[[#This Row],[Цена за ед., руб]],2)</f>
        <v>0</v>
      </c>
      <c r="F11" s="32"/>
    </row>
    <row r="12" spans="1:6" ht="11.1" customHeight="1" x14ac:dyDescent="0.2">
      <c r="A12" s="31" t="s">
        <v>67</v>
      </c>
      <c r="B12" s="27" t="s">
        <v>28</v>
      </c>
      <c r="C12" s="28">
        <v>108</v>
      </c>
      <c r="D12" s="41"/>
      <c r="E12" s="41">
        <f>ROUND(Р[[#This Row],[Количество]]*Р[[#This Row],[Цена за ед., руб]],2)</f>
        <v>0</v>
      </c>
      <c r="F12" s="32"/>
    </row>
    <row r="13" spans="1:6" ht="11.1" customHeight="1" x14ac:dyDescent="0.2">
      <c r="A13" s="31" t="s">
        <v>73</v>
      </c>
      <c r="B13" s="27" t="s">
        <v>74</v>
      </c>
      <c r="C13" s="28">
        <v>20</v>
      </c>
      <c r="D13" s="41"/>
      <c r="E13" s="41">
        <f>ROUND(Р[[#This Row],[Количество]]*Р[[#This Row],[Цена за ед., руб]],2)</f>
        <v>0</v>
      </c>
      <c r="F13" s="32"/>
    </row>
    <row r="14" spans="1:6" ht="11.1" customHeight="1" x14ac:dyDescent="0.2">
      <c r="A14" s="31" t="s">
        <v>77</v>
      </c>
      <c r="B14" s="27" t="s">
        <v>74</v>
      </c>
      <c r="C14" s="30">
        <v>1488</v>
      </c>
      <c r="D14" s="41"/>
      <c r="E14" s="41">
        <f>ROUND(Р[[#This Row],[Количество]]*Р[[#This Row],[Цена за ед., руб]],2)</f>
        <v>0</v>
      </c>
      <c r="F14" s="32"/>
    </row>
    <row r="15" spans="1:6" ht="23.1" customHeight="1" x14ac:dyDescent="0.2">
      <c r="A15" s="35" t="s">
        <v>87</v>
      </c>
      <c r="B15" s="36" t="s">
        <v>88</v>
      </c>
      <c r="C15" s="37">
        <v>5</v>
      </c>
      <c r="D15" s="41"/>
      <c r="E15" s="42">
        <f>ROUND(Р[[#This Row],[Количество]]*Р[[#This Row],[Цена за ед., руб]],2)</f>
        <v>0</v>
      </c>
      <c r="F15" s="39"/>
    </row>
    <row r="16" spans="1:6" ht="11.45" customHeight="1" x14ac:dyDescent="0.2">
      <c r="A16" s="35" t="s">
        <v>111</v>
      </c>
      <c r="B16" s="36"/>
      <c r="C16" s="38"/>
      <c r="D16" s="42"/>
      <c r="E16" s="42">
        <f>SUBTOTAL(109,Р[Сумма, руб])</f>
        <v>0</v>
      </c>
      <c r="F16" s="39"/>
    </row>
    <row r="18" spans="4:5" ht="11.45" customHeight="1" x14ac:dyDescent="0.2">
      <c r="D18" s="72" t="s">
        <v>117</v>
      </c>
      <c r="E18" s="73">
        <f>ЛСР!N73-Р[[#Totals],[Сумма,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29"/>
  <sheetViews>
    <sheetView workbookViewId="0">
      <pane ySplit="3" topLeftCell="A4" activePane="bottomLeft" state="frozen"/>
      <selection pane="bottomLeft" activeCell="I4" sqref="I4:I26"/>
    </sheetView>
  </sheetViews>
  <sheetFormatPr defaultColWidth="10.5" defaultRowHeight="11.25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x14ac:dyDescent="0.2">
      <c r="A1" s="114" t="s">
        <v>93</v>
      </c>
      <c r="B1" s="114"/>
      <c r="C1" s="114"/>
      <c r="D1" s="114"/>
      <c r="E1" s="114"/>
      <c r="F1" s="114"/>
      <c r="G1" s="114"/>
      <c r="H1" s="114"/>
    </row>
    <row r="3" spans="1:9" x14ac:dyDescent="0.2">
      <c r="A3" s="33" t="s">
        <v>94</v>
      </c>
      <c r="B3" s="43" t="s">
        <v>95</v>
      </c>
      <c r="C3" s="34" t="s">
        <v>96</v>
      </c>
      <c r="D3" s="2" t="s">
        <v>7</v>
      </c>
      <c r="E3" s="2" t="s">
        <v>14</v>
      </c>
      <c r="F3" s="40" t="s">
        <v>15</v>
      </c>
      <c r="G3" s="40" t="s">
        <v>16</v>
      </c>
      <c r="H3" s="2" t="s">
        <v>97</v>
      </c>
      <c r="I3" s="34" t="s">
        <v>98</v>
      </c>
    </row>
    <row r="4" spans="1:9" x14ac:dyDescent="0.2">
      <c r="A4" s="31" t="s">
        <v>63</v>
      </c>
      <c r="B4" s="29" t="s">
        <v>64</v>
      </c>
      <c r="C4" s="29" t="s">
        <v>65</v>
      </c>
      <c r="D4" s="27" t="s">
        <v>28</v>
      </c>
      <c r="E4" s="28">
        <v>1</v>
      </c>
      <c r="F4" s="41"/>
      <c r="G4" s="41">
        <f>ROUND(М[[#This Row],[Количество]]*М[[#This Row],[Цена за ед., руб]],2)</f>
        <v>0</v>
      </c>
      <c r="H4" s="29" t="s">
        <v>66</v>
      </c>
      <c r="I4" s="32"/>
    </row>
    <row r="5" spans="1:9" ht="33.75" x14ac:dyDescent="0.2">
      <c r="A5" s="31" t="s">
        <v>36</v>
      </c>
      <c r="B5" s="29" t="s">
        <v>37</v>
      </c>
      <c r="C5" s="29" t="s">
        <v>38</v>
      </c>
      <c r="D5" s="27" t="s">
        <v>28</v>
      </c>
      <c r="E5" s="28">
        <v>18</v>
      </c>
      <c r="F5" s="41"/>
      <c r="G5" s="41">
        <f>ROUND(М[[#This Row],[Количество]]*М[[#This Row],[Цена за ед., руб]],2)</f>
        <v>0</v>
      </c>
      <c r="H5" s="29"/>
      <c r="I5" s="32"/>
    </row>
    <row r="6" spans="1:9" ht="33.75" x14ac:dyDescent="0.2">
      <c r="A6" s="31" t="s">
        <v>36</v>
      </c>
      <c r="B6" s="29" t="s">
        <v>37</v>
      </c>
      <c r="C6" s="29" t="s">
        <v>40</v>
      </c>
      <c r="D6" s="27" t="s">
        <v>28</v>
      </c>
      <c r="E6" s="28">
        <v>40</v>
      </c>
      <c r="F6" s="41"/>
      <c r="G6" s="41">
        <f>ROUND(М[[#This Row],[Количество]]*М[[#This Row],[Цена за ед., руб]],2)</f>
        <v>0</v>
      </c>
      <c r="H6" s="29"/>
      <c r="I6" s="32"/>
    </row>
    <row r="7" spans="1:9" x14ac:dyDescent="0.2">
      <c r="A7" s="31" t="s">
        <v>75</v>
      </c>
      <c r="B7" s="29"/>
      <c r="C7" s="29" t="s">
        <v>76</v>
      </c>
      <c r="D7" s="27" t="s">
        <v>74</v>
      </c>
      <c r="E7" s="28">
        <v>20</v>
      </c>
      <c r="F7" s="41"/>
      <c r="G7" s="41">
        <f>ROUND(М[[#This Row],[Количество]]*М[[#This Row],[Цена за ед., руб]],2)</f>
        <v>0</v>
      </c>
      <c r="H7" s="29"/>
      <c r="I7" s="32"/>
    </row>
    <row r="8" spans="1:9" x14ac:dyDescent="0.2">
      <c r="A8" s="31" t="s">
        <v>78</v>
      </c>
      <c r="B8" s="29"/>
      <c r="C8" s="29" t="s">
        <v>79</v>
      </c>
      <c r="D8" s="27" t="s">
        <v>74</v>
      </c>
      <c r="E8" s="28">
        <v>526</v>
      </c>
      <c r="F8" s="41"/>
      <c r="G8" s="41">
        <f>ROUND(М[[#This Row],[Количество]]*М[[#This Row],[Цена за ед., руб]],2)</f>
        <v>0</v>
      </c>
      <c r="H8" s="29"/>
      <c r="I8" s="32"/>
    </row>
    <row r="9" spans="1:9" x14ac:dyDescent="0.2">
      <c r="A9" s="31" t="s">
        <v>78</v>
      </c>
      <c r="B9" s="29"/>
      <c r="C9" s="29" t="s">
        <v>80</v>
      </c>
      <c r="D9" s="27" t="s">
        <v>74</v>
      </c>
      <c r="E9" s="28">
        <v>6</v>
      </c>
      <c r="F9" s="41"/>
      <c r="G9" s="41">
        <f>ROUND(М[[#This Row],[Количество]]*М[[#This Row],[Цена за ед., руб]],2)</f>
        <v>0</v>
      </c>
      <c r="H9" s="29"/>
      <c r="I9" s="32"/>
    </row>
    <row r="10" spans="1:9" x14ac:dyDescent="0.2">
      <c r="A10" s="31" t="s">
        <v>78</v>
      </c>
      <c r="B10" s="29"/>
      <c r="C10" s="29" t="s">
        <v>81</v>
      </c>
      <c r="D10" s="27" t="s">
        <v>74</v>
      </c>
      <c r="E10" s="28">
        <v>105</v>
      </c>
      <c r="F10" s="41"/>
      <c r="G10" s="41">
        <f>ROUND(М[[#This Row],[Количество]]*М[[#This Row],[Цена за ед., руб]],2)</f>
        <v>0</v>
      </c>
      <c r="H10" s="29"/>
      <c r="I10" s="32"/>
    </row>
    <row r="11" spans="1:9" x14ac:dyDescent="0.2">
      <c r="A11" s="31" t="s">
        <v>78</v>
      </c>
      <c r="B11" s="29"/>
      <c r="C11" s="29" t="s">
        <v>82</v>
      </c>
      <c r="D11" s="27" t="s">
        <v>74</v>
      </c>
      <c r="E11" s="28">
        <v>851</v>
      </c>
      <c r="F11" s="41"/>
      <c r="G11" s="41">
        <f>ROUND(М[[#This Row],[Количество]]*М[[#This Row],[Цена за ед., руб]],2)</f>
        <v>0</v>
      </c>
      <c r="H11" s="29"/>
      <c r="I11" s="32"/>
    </row>
    <row r="12" spans="1:9" x14ac:dyDescent="0.2">
      <c r="A12" s="31" t="s">
        <v>55</v>
      </c>
      <c r="B12" s="29" t="s">
        <v>33</v>
      </c>
      <c r="C12" s="29" t="s">
        <v>59</v>
      </c>
      <c r="D12" s="27" t="s">
        <v>28</v>
      </c>
      <c r="E12" s="28">
        <v>88</v>
      </c>
      <c r="F12" s="41"/>
      <c r="G12" s="41">
        <f>ROUND(М[[#This Row],[Количество]]*М[[#This Row],[Цена за ед., руб]],2)</f>
        <v>0</v>
      </c>
      <c r="H12" s="29"/>
      <c r="I12" s="32"/>
    </row>
    <row r="13" spans="1:9" x14ac:dyDescent="0.2">
      <c r="A13" s="31" t="s">
        <v>55</v>
      </c>
      <c r="B13" s="29" t="s">
        <v>56</v>
      </c>
      <c r="C13" s="29" t="s">
        <v>57</v>
      </c>
      <c r="D13" s="27" t="s">
        <v>28</v>
      </c>
      <c r="E13" s="28">
        <v>8</v>
      </c>
      <c r="F13" s="41"/>
      <c r="G13" s="41">
        <f>ROUND(М[[#This Row],[Количество]]*М[[#This Row],[Цена за ед., руб]],2)</f>
        <v>0</v>
      </c>
      <c r="H13" s="29"/>
      <c r="I13" s="32"/>
    </row>
    <row r="14" spans="1:9" x14ac:dyDescent="0.2">
      <c r="A14" s="31" t="s">
        <v>32</v>
      </c>
      <c r="B14" s="29" t="s">
        <v>33</v>
      </c>
      <c r="C14" s="29" t="s">
        <v>34</v>
      </c>
      <c r="D14" s="27" t="s">
        <v>28</v>
      </c>
      <c r="E14" s="28">
        <v>18</v>
      </c>
      <c r="F14" s="41"/>
      <c r="G14" s="41">
        <f>ROUND(М[[#This Row],[Количество]]*М[[#This Row],[Цена за ед., руб]],2)</f>
        <v>0</v>
      </c>
      <c r="H14" s="29"/>
      <c r="I14" s="32"/>
    </row>
    <row r="15" spans="1:9" ht="22.5" x14ac:dyDescent="0.2">
      <c r="A15" s="31" t="s">
        <v>42</v>
      </c>
      <c r="B15" s="29"/>
      <c r="C15" s="29" t="s">
        <v>43</v>
      </c>
      <c r="D15" s="27" t="s">
        <v>28</v>
      </c>
      <c r="E15" s="28">
        <v>216</v>
      </c>
      <c r="F15" s="41"/>
      <c r="G15" s="41">
        <f>ROUND(М[[#This Row],[Количество]]*М[[#This Row],[Цена за ед., руб]],2)</f>
        <v>0</v>
      </c>
      <c r="H15" s="29"/>
      <c r="I15" s="32"/>
    </row>
    <row r="16" spans="1:9" x14ac:dyDescent="0.2">
      <c r="A16" s="31" t="s">
        <v>44</v>
      </c>
      <c r="B16" s="29"/>
      <c r="C16" s="29" t="s">
        <v>45</v>
      </c>
      <c r="D16" s="27" t="s">
        <v>28</v>
      </c>
      <c r="E16" s="28">
        <v>216</v>
      </c>
      <c r="F16" s="41"/>
      <c r="G16" s="41">
        <f>ROUND(М[[#This Row],[Количество]]*М[[#This Row],[Цена за ед., руб]],2)</f>
        <v>0</v>
      </c>
      <c r="H16" s="29"/>
      <c r="I16" s="32"/>
    </row>
    <row r="17" spans="1:9" ht="22.5" x14ac:dyDescent="0.2">
      <c r="A17" s="31" t="s">
        <v>60</v>
      </c>
      <c r="B17" s="29"/>
      <c r="C17" s="29" t="s">
        <v>61</v>
      </c>
      <c r="D17" s="27" t="s">
        <v>28</v>
      </c>
      <c r="E17" s="28">
        <v>10</v>
      </c>
      <c r="F17" s="41"/>
      <c r="G17" s="41">
        <f>ROUND(М[[#This Row],[Количество]]*М[[#This Row],[Цена за ед., руб]],2)</f>
        <v>0</v>
      </c>
      <c r="H17" s="29"/>
      <c r="I17" s="32"/>
    </row>
    <row r="18" spans="1:9" ht="22.5" x14ac:dyDescent="0.2">
      <c r="A18" s="31" t="s">
        <v>47</v>
      </c>
      <c r="B18" s="29"/>
      <c r="C18" s="29" t="s">
        <v>48</v>
      </c>
      <c r="D18" s="27" t="s">
        <v>28</v>
      </c>
      <c r="E18" s="28">
        <v>18</v>
      </c>
      <c r="F18" s="41"/>
      <c r="G18" s="41">
        <f>ROUND(М[[#This Row],[Количество]]*М[[#This Row],[Цена за ед., руб]],2)</f>
        <v>0</v>
      </c>
      <c r="H18" s="29"/>
      <c r="I18" s="32"/>
    </row>
    <row r="19" spans="1:9" ht="22.5" x14ac:dyDescent="0.2">
      <c r="A19" s="31" t="s">
        <v>47</v>
      </c>
      <c r="B19" s="29"/>
      <c r="C19" s="29" t="s">
        <v>48</v>
      </c>
      <c r="D19" s="27" t="s">
        <v>28</v>
      </c>
      <c r="E19" s="28">
        <v>198</v>
      </c>
      <c r="F19" s="41"/>
      <c r="G19" s="41">
        <f>ROUND(М[[#This Row],[Количество]]*М[[#This Row],[Цена за ед., руб]],2)</f>
        <v>0</v>
      </c>
      <c r="H19" s="29" t="s">
        <v>50</v>
      </c>
      <c r="I19" s="32"/>
    </row>
    <row r="20" spans="1:9" ht="22.5" x14ac:dyDescent="0.2">
      <c r="A20" s="31" t="s">
        <v>68</v>
      </c>
      <c r="B20" s="29"/>
      <c r="C20" s="29" t="s">
        <v>69</v>
      </c>
      <c r="D20" s="27" t="s">
        <v>28</v>
      </c>
      <c r="E20" s="28">
        <v>9</v>
      </c>
      <c r="F20" s="41"/>
      <c r="G20" s="41">
        <f>ROUND(М[[#This Row],[Количество]]*М[[#This Row],[Цена за ед., руб]],2)</f>
        <v>0</v>
      </c>
      <c r="H20" s="29" t="s">
        <v>70</v>
      </c>
      <c r="I20" s="32"/>
    </row>
    <row r="21" spans="1:9" ht="22.5" x14ac:dyDescent="0.2">
      <c r="A21" s="31" t="s">
        <v>68</v>
      </c>
      <c r="B21" s="29"/>
      <c r="C21" s="29" t="s">
        <v>69</v>
      </c>
      <c r="D21" s="27" t="s">
        <v>28</v>
      </c>
      <c r="E21" s="28">
        <v>12</v>
      </c>
      <c r="F21" s="41"/>
      <c r="G21" s="41">
        <f>ROUND(М[[#This Row],[Количество]]*М[[#This Row],[Цена за ед., руб]],2)</f>
        <v>0</v>
      </c>
      <c r="H21" s="29" t="s">
        <v>71</v>
      </c>
      <c r="I21" s="32"/>
    </row>
    <row r="22" spans="1:9" ht="22.5" x14ac:dyDescent="0.2">
      <c r="A22" s="31" t="s">
        <v>68</v>
      </c>
      <c r="B22" s="29"/>
      <c r="C22" s="29" t="s">
        <v>72</v>
      </c>
      <c r="D22" s="27" t="s">
        <v>28</v>
      </c>
      <c r="E22" s="28">
        <v>87</v>
      </c>
      <c r="F22" s="41"/>
      <c r="G22" s="41">
        <f>ROUND(М[[#This Row],[Количество]]*М[[#This Row],[Цена за ед., руб]],2)</f>
        <v>0</v>
      </c>
      <c r="H22" s="29" t="s">
        <v>71</v>
      </c>
      <c r="I22" s="32"/>
    </row>
    <row r="23" spans="1:9" x14ac:dyDescent="0.2">
      <c r="A23" s="35" t="s">
        <v>112</v>
      </c>
      <c r="B23" s="44"/>
      <c r="C23" s="44" t="s">
        <v>113</v>
      </c>
      <c r="D23" s="27" t="s">
        <v>28</v>
      </c>
      <c r="E23" s="37">
        <v>42</v>
      </c>
      <c r="F23" s="41"/>
      <c r="G23" s="42">
        <f>ROUND(М[[#This Row],[Количество]]*М[[#This Row],[Цена за ед., руб]],2)</f>
        <v>0</v>
      </c>
      <c r="H23" s="44"/>
      <c r="I23" s="32"/>
    </row>
    <row r="24" spans="1:9" ht="22.5" x14ac:dyDescent="0.2">
      <c r="A24" s="35" t="s">
        <v>52</v>
      </c>
      <c r="B24" s="44" t="s">
        <v>37</v>
      </c>
      <c r="C24" s="44" t="s">
        <v>53</v>
      </c>
      <c r="D24" s="36" t="s">
        <v>28</v>
      </c>
      <c r="E24" s="37">
        <v>7</v>
      </c>
      <c r="F24" s="41"/>
      <c r="G24" s="42">
        <f>ROUND(М[[#This Row],[Количество]]*М[[#This Row],[Цена за ед., руб]],2)</f>
        <v>0</v>
      </c>
      <c r="H24" s="44"/>
      <c r="I24" s="39"/>
    </row>
    <row r="25" spans="1:9" ht="22.5" x14ac:dyDescent="0.2">
      <c r="A25" s="35" t="s">
        <v>114</v>
      </c>
      <c r="B25" s="44"/>
      <c r="C25" s="44"/>
      <c r="D25" s="36" t="s">
        <v>83</v>
      </c>
      <c r="E25" s="71"/>
      <c r="F25" s="42"/>
      <c r="G25" s="42">
        <f ca="1">SUMIF(ЛСР!$B$6:$O$71,М[[#This Row],[Наим.]],ЛСР!$N$6:$N$71)</f>
        <v>0</v>
      </c>
      <c r="H25" s="44" t="s">
        <v>116</v>
      </c>
      <c r="I25" s="39"/>
    </row>
    <row r="26" spans="1:9" ht="22.5" x14ac:dyDescent="0.2">
      <c r="A26" s="35" t="s">
        <v>115</v>
      </c>
      <c r="B26" s="44"/>
      <c r="C26" s="44"/>
      <c r="D26" s="36" t="s">
        <v>83</v>
      </c>
      <c r="E26" s="71"/>
      <c r="F26" s="42"/>
      <c r="G26" s="42">
        <f ca="1">SUMIF(ЛСР!$B$6:$O$71,М[[#This Row],[Наим.]],ЛСР!$N$6:$N$71)</f>
        <v>0</v>
      </c>
      <c r="H26" s="44" t="s">
        <v>116</v>
      </c>
      <c r="I26" s="39"/>
    </row>
    <row r="27" spans="1:9" x14ac:dyDescent="0.2">
      <c r="A27" s="35" t="s">
        <v>111</v>
      </c>
      <c r="B27" s="44"/>
      <c r="C27" s="44"/>
      <c r="D27" s="36"/>
      <c r="E27" s="38"/>
      <c r="F27" s="42"/>
      <c r="G27" s="42">
        <f ca="1">SUBTOTAL(109,М[Сумма, руб])</f>
        <v>0</v>
      </c>
      <c r="H27" s="44"/>
      <c r="I27" s="39"/>
    </row>
    <row r="29" spans="1:9" x14ac:dyDescent="0.2">
      <c r="F29" s="72" t="s">
        <v>117</v>
      </c>
      <c r="G29" s="73">
        <f ca="1">ЛСР!N74-М[[#Totals],[Сумма,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26" xr:uid="{26C40201-C38D-4B5A-BF8A-02778F2FB4AA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6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99</v>
      </c>
      <c r="B1" s="1" t="s">
        <v>100</v>
      </c>
    </row>
    <row r="2" spans="1:2" ht="11.1" customHeight="1" x14ac:dyDescent="0.2">
      <c r="A2" s="1" t="s">
        <v>101</v>
      </c>
      <c r="B2" s="1" t="s">
        <v>102</v>
      </c>
    </row>
    <row r="3" spans="1:2" ht="11.1" customHeight="1" x14ac:dyDescent="0.2">
      <c r="A3" s="1" t="s">
        <v>103</v>
      </c>
      <c r="B3" s="1" t="s">
        <v>104</v>
      </c>
    </row>
    <row r="4" spans="1:2" ht="11.1" customHeight="1" x14ac:dyDescent="0.2">
      <c r="A4" s="1" t="s">
        <v>105</v>
      </c>
      <c r="B4" s="1" t="s">
        <v>106</v>
      </c>
    </row>
    <row r="5" spans="1:2" ht="11.1" customHeight="1" x14ac:dyDescent="0.2">
      <c r="A5" s="1" t="s">
        <v>107</v>
      </c>
      <c r="B5" s="1" t="s">
        <v>108</v>
      </c>
    </row>
    <row r="6" spans="1:2" ht="11.1" customHeight="1" x14ac:dyDescent="0.2">
      <c r="A6" s="1" t="s">
        <v>109</v>
      </c>
      <c r="B6" s="1" t="s">
        <v>110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2026-07-22T08:44:08Z</dcterms:modified>
</cp:coreProperties>
</file>