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МЫС - ЖК Мириады\2 Очередь (ГП-105, 106, 107)\11 Внутренние сети\11.02-11.04, 11.07 ОВиК\На отправку в тендер\"/>
    </mc:Choice>
  </mc:AlternateContent>
  <xr:revisionPtr revIDLastSave="0" documentId="13_ncr:1_{F1F411BB-3784-43D5-8CE2-8F71E0093CAD}" xr6:coauthVersionLast="47" xr6:coauthVersionMax="47" xr10:uidLastSave="{00000000-0000-0000-0000-000000000000}"/>
  <bookViews>
    <workbookView xWindow="285" yWindow="855" windowWidth="29430" windowHeight="18435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ЛСР!$A$7:$L$139</definedName>
  </definedNames>
  <calcPr calcId="191029"/>
</workbook>
</file>

<file path=xl/calcChain.xml><?xml version="1.0" encoding="utf-8"?>
<calcChain xmlns="http://schemas.openxmlformats.org/spreadsheetml/2006/main">
  <c r="L130" i="1" l="1" a="1"/>
  <c r="L130" i="1" s="1"/>
  <c r="L129" i="1" a="1"/>
  <c r="L129" i="1" s="1"/>
  <c r="H130" i="1"/>
  <c r="H129" i="1"/>
  <c r="G26" i="3"/>
  <c r="L47" i="1" a="1"/>
  <c r="L47" i="1" s="1"/>
  <c r="I47" i="1" a="1"/>
  <c r="I47" i="1" s="1"/>
  <c r="G47" i="1"/>
  <c r="H47" i="1" s="1"/>
  <c r="H13" i="1"/>
  <c r="I13" i="1" a="1"/>
  <c r="I13" i="1" s="1"/>
  <c r="J13" i="1" s="1"/>
  <c r="J12" i="1" s="1"/>
  <c r="H15" i="1"/>
  <c r="I15" i="1" a="1"/>
  <c r="I15" i="1" s="1"/>
  <c r="J15" i="1" s="1"/>
  <c r="J14" i="1" s="1"/>
  <c r="H17" i="1"/>
  <c r="L17" i="1" a="1"/>
  <c r="L17" i="1" s="1"/>
  <c r="I17" i="1" a="1"/>
  <c r="I17" i="1" s="1"/>
  <c r="J17" i="1" s="1"/>
  <c r="H18" i="1"/>
  <c r="L18" i="1" a="1"/>
  <c r="L18" i="1" s="1"/>
  <c r="I18" i="1" a="1"/>
  <c r="I18" i="1" s="1"/>
  <c r="J18" i="1" s="1"/>
  <c r="H20" i="1"/>
  <c r="I20" i="1" a="1"/>
  <c r="I20" i="1" s="1"/>
  <c r="J20" i="1" s="1"/>
  <c r="J19" i="1" s="1"/>
  <c r="H22" i="1"/>
  <c r="L22" i="1" a="1"/>
  <c r="L22" i="1" s="1"/>
  <c r="I22" i="1" a="1"/>
  <c r="I22" i="1" s="1"/>
  <c r="H23" i="1"/>
  <c r="L23" i="1" a="1"/>
  <c r="L23" i="1" s="1"/>
  <c r="I23" i="1" a="1"/>
  <c r="I23" i="1" s="1"/>
  <c r="H24" i="1"/>
  <c r="L24" i="1" a="1"/>
  <c r="L24" i="1" s="1"/>
  <c r="I24" i="1" a="1"/>
  <c r="I24" i="1" s="1"/>
  <c r="J24" i="1" s="1"/>
  <c r="H26" i="1"/>
  <c r="I26" i="1" a="1"/>
  <c r="I26" i="1" s="1"/>
  <c r="H28" i="1"/>
  <c r="L28" i="1" a="1"/>
  <c r="L28" i="1" s="1"/>
  <c r="I28" i="1" a="1"/>
  <c r="I28" i="1" s="1"/>
  <c r="J28" i="1" s="1"/>
  <c r="H29" i="1"/>
  <c r="L29" i="1" a="1"/>
  <c r="L29" i="1" s="1"/>
  <c r="I29" i="1" a="1"/>
  <c r="I29" i="1" s="1"/>
  <c r="J29" i="1" s="1"/>
  <c r="H31" i="1"/>
  <c r="I31" i="1" a="1"/>
  <c r="I31" i="1" s="1"/>
  <c r="J31" i="1" s="1"/>
  <c r="J30" i="1" s="1"/>
  <c r="H33" i="1"/>
  <c r="L33" i="1" a="1"/>
  <c r="L33" i="1" s="1"/>
  <c r="I33" i="1" a="1"/>
  <c r="I33" i="1" s="1"/>
  <c r="H35" i="1"/>
  <c r="I35" i="1" a="1"/>
  <c r="I35" i="1" s="1"/>
  <c r="J35" i="1" s="1"/>
  <c r="J34" i="1" s="1"/>
  <c r="H37" i="1"/>
  <c r="L37" i="1" a="1"/>
  <c r="L37" i="1" s="1"/>
  <c r="I37" i="1" a="1"/>
  <c r="I37" i="1" s="1"/>
  <c r="J37" i="1" s="1"/>
  <c r="H38" i="1"/>
  <c r="L38" i="1" a="1"/>
  <c r="L38" i="1" s="1"/>
  <c r="I38" i="1" a="1"/>
  <c r="I38" i="1" s="1"/>
  <c r="J38" i="1" s="1"/>
  <c r="H40" i="1"/>
  <c r="I40" i="1" a="1"/>
  <c r="I40" i="1" s="1"/>
  <c r="J40" i="1" s="1"/>
  <c r="J39" i="1" s="1"/>
  <c r="H42" i="1"/>
  <c r="L42" i="1" a="1"/>
  <c r="L42" i="1" s="1"/>
  <c r="I42" i="1" a="1"/>
  <c r="I42" i="1" s="1"/>
  <c r="J42" i="1" s="1"/>
  <c r="J41" i="1" s="1"/>
  <c r="H44" i="1"/>
  <c r="I44" i="1" a="1"/>
  <c r="I44" i="1" s="1"/>
  <c r="J44" i="1" s="1"/>
  <c r="J43" i="1" s="1"/>
  <c r="H46" i="1"/>
  <c r="L46" i="1" a="1"/>
  <c r="L46" i="1" s="1"/>
  <c r="I46" i="1" a="1"/>
  <c r="I46" i="1" s="1"/>
  <c r="J46" i="1" s="1"/>
  <c r="H49" i="1"/>
  <c r="I49" i="1" a="1"/>
  <c r="I49" i="1" s="1"/>
  <c r="J49" i="1" s="1"/>
  <c r="J48" i="1" s="1"/>
  <c r="H51" i="1"/>
  <c r="L51" i="1" a="1"/>
  <c r="L51" i="1" s="1"/>
  <c r="I51" i="1" a="1"/>
  <c r="I51" i="1" s="1"/>
  <c r="J51" i="1" s="1"/>
  <c r="H52" i="1"/>
  <c r="L52" i="1" a="1"/>
  <c r="L52" i="1" s="1"/>
  <c r="I52" i="1" a="1"/>
  <c r="I52" i="1" s="1"/>
  <c r="J52" i="1" s="1"/>
  <c r="H54" i="1"/>
  <c r="I54" i="1" a="1"/>
  <c r="I54" i="1" s="1"/>
  <c r="J54" i="1" s="1"/>
  <c r="J53" i="1" s="1"/>
  <c r="H56" i="1"/>
  <c r="L56" i="1" a="1"/>
  <c r="L56" i="1" s="1"/>
  <c r="I56" i="1" a="1"/>
  <c r="I56" i="1" s="1"/>
  <c r="H57" i="1"/>
  <c r="L57" i="1" a="1"/>
  <c r="L57" i="1" s="1"/>
  <c r="I57" i="1" a="1"/>
  <c r="I57" i="1" s="1"/>
  <c r="H58" i="1"/>
  <c r="L58" i="1" a="1"/>
  <c r="L58" i="1" s="1"/>
  <c r="I58" i="1" a="1"/>
  <c r="I58" i="1" s="1"/>
  <c r="J58" i="1" s="1"/>
  <c r="H62" i="1"/>
  <c r="I62" i="1" a="1"/>
  <c r="I62" i="1" s="1"/>
  <c r="H64" i="1"/>
  <c r="I64" i="1" a="1"/>
  <c r="I64" i="1" s="1"/>
  <c r="J64" i="1" s="1"/>
  <c r="J63" i="1" s="1"/>
  <c r="H66" i="1"/>
  <c r="L66" i="1" a="1"/>
  <c r="L66" i="1" s="1"/>
  <c r="I66" i="1" a="1"/>
  <c r="I66" i="1" s="1"/>
  <c r="H67" i="1"/>
  <c r="L67" i="1" a="1"/>
  <c r="L67" i="1" s="1"/>
  <c r="I67" i="1" a="1"/>
  <c r="I67" i="1" s="1"/>
  <c r="J67" i="1" s="1"/>
  <c r="H68" i="1"/>
  <c r="L68" i="1" a="1"/>
  <c r="L68" i="1" s="1"/>
  <c r="I68" i="1" a="1"/>
  <c r="I68" i="1" s="1"/>
  <c r="J68" i="1" s="1"/>
  <c r="H69" i="1"/>
  <c r="L69" i="1" a="1"/>
  <c r="L69" i="1" s="1"/>
  <c r="I69" i="1" a="1"/>
  <c r="I69" i="1" s="1"/>
  <c r="J69" i="1" s="1"/>
  <c r="H71" i="1"/>
  <c r="I71" i="1" a="1"/>
  <c r="I71" i="1" s="1"/>
  <c r="J71" i="1" s="1"/>
  <c r="J70" i="1" s="1"/>
  <c r="H73" i="1"/>
  <c r="L73" i="1" a="1"/>
  <c r="L73" i="1" s="1"/>
  <c r="I73" i="1" a="1"/>
  <c r="I73" i="1" s="1"/>
  <c r="H75" i="1"/>
  <c r="I75" i="1" a="1"/>
  <c r="I75" i="1" s="1"/>
  <c r="J75" i="1" s="1"/>
  <c r="J74" i="1" s="1"/>
  <c r="H77" i="1"/>
  <c r="L77" i="1" a="1"/>
  <c r="L77" i="1" s="1"/>
  <c r="I77" i="1" a="1"/>
  <c r="I77" i="1" s="1"/>
  <c r="H78" i="1"/>
  <c r="L78" i="1" a="1"/>
  <c r="L78" i="1" s="1"/>
  <c r="I78" i="1" a="1"/>
  <c r="I78" i="1" s="1"/>
  <c r="H80" i="1"/>
  <c r="I80" i="1" a="1"/>
  <c r="I80" i="1" s="1"/>
  <c r="J80" i="1" s="1"/>
  <c r="J79" i="1" s="1"/>
  <c r="H82" i="1"/>
  <c r="L82" i="1" a="1"/>
  <c r="L82" i="1" s="1"/>
  <c r="I82" i="1" a="1"/>
  <c r="I82" i="1" s="1"/>
  <c r="H83" i="1"/>
  <c r="L83" i="1" a="1"/>
  <c r="L83" i="1" s="1"/>
  <c r="I83" i="1" a="1"/>
  <c r="I83" i="1" s="1"/>
  <c r="J83" i="1" s="1"/>
  <c r="H85" i="1"/>
  <c r="I85" i="1" a="1"/>
  <c r="I85" i="1" s="1"/>
  <c r="J85" i="1" s="1"/>
  <c r="J84" i="1" s="1"/>
  <c r="H87" i="1"/>
  <c r="L87" i="1" a="1"/>
  <c r="L87" i="1" s="1"/>
  <c r="I87" i="1" a="1"/>
  <c r="I87" i="1" s="1"/>
  <c r="J87" i="1" s="1"/>
  <c r="J86" i="1" s="1"/>
  <c r="H89" i="1"/>
  <c r="I89" i="1" a="1"/>
  <c r="I89" i="1" s="1"/>
  <c r="H91" i="1"/>
  <c r="L91" i="1" a="1"/>
  <c r="L91" i="1" s="1"/>
  <c r="I91" i="1" a="1"/>
  <c r="I91" i="1" s="1"/>
  <c r="J91" i="1" s="1"/>
  <c r="H92" i="1"/>
  <c r="L92" i="1" a="1"/>
  <c r="L92" i="1" s="1"/>
  <c r="I92" i="1" a="1"/>
  <c r="I92" i="1" s="1"/>
  <c r="J92" i="1" s="1"/>
  <c r="H94" i="1"/>
  <c r="I94" i="1" a="1"/>
  <c r="I94" i="1" s="1"/>
  <c r="J94" i="1" s="1"/>
  <c r="J93" i="1" s="1"/>
  <c r="H96" i="1"/>
  <c r="L96" i="1" a="1"/>
  <c r="L96" i="1" s="1"/>
  <c r="I96" i="1" a="1"/>
  <c r="I96" i="1" s="1"/>
  <c r="H97" i="1"/>
  <c r="L97" i="1" a="1"/>
  <c r="L97" i="1" s="1"/>
  <c r="I97" i="1" a="1"/>
  <c r="I97" i="1" s="1"/>
  <c r="J97" i="1" s="1"/>
  <c r="H99" i="1"/>
  <c r="I99" i="1" a="1"/>
  <c r="I99" i="1" s="1"/>
  <c r="H101" i="1"/>
  <c r="L101" i="1" a="1"/>
  <c r="L101" i="1" s="1"/>
  <c r="I101" i="1" a="1"/>
  <c r="I101" i="1" s="1"/>
  <c r="H103" i="1"/>
  <c r="I103" i="1" a="1"/>
  <c r="I103" i="1" s="1"/>
  <c r="J103" i="1" s="1"/>
  <c r="J102" i="1" s="1"/>
  <c r="H105" i="1"/>
  <c r="L105" i="1" a="1"/>
  <c r="L105" i="1" s="1"/>
  <c r="I105" i="1" a="1"/>
  <c r="I105" i="1" s="1"/>
  <c r="J105" i="1" s="1"/>
  <c r="J104" i="1" s="1"/>
  <c r="H107" i="1"/>
  <c r="I107" i="1" a="1"/>
  <c r="I107" i="1" s="1"/>
  <c r="J107" i="1" s="1"/>
  <c r="J106" i="1" s="1"/>
  <c r="H109" i="1"/>
  <c r="L109" i="1" a="1"/>
  <c r="L109" i="1" s="1"/>
  <c r="I109" i="1" a="1"/>
  <c r="I109" i="1" s="1"/>
  <c r="H110" i="1"/>
  <c r="L110" i="1" a="1"/>
  <c r="L110" i="1" s="1"/>
  <c r="I110" i="1" a="1"/>
  <c r="I110" i="1" s="1"/>
  <c r="H112" i="1"/>
  <c r="I112" i="1" a="1"/>
  <c r="I112" i="1" s="1"/>
  <c r="J112" i="1" s="1"/>
  <c r="J111" i="1" s="1"/>
  <c r="H114" i="1"/>
  <c r="L114" i="1" a="1"/>
  <c r="L114" i="1" s="1"/>
  <c r="I114" i="1" a="1"/>
  <c r="I114" i="1" s="1"/>
  <c r="H115" i="1"/>
  <c r="L115" i="1" a="1"/>
  <c r="L115" i="1" s="1"/>
  <c r="I115" i="1" a="1"/>
  <c r="I115" i="1" s="1"/>
  <c r="H117" i="1"/>
  <c r="I117" i="1" a="1"/>
  <c r="I117" i="1" s="1"/>
  <c r="J117" i="1" s="1"/>
  <c r="J116" i="1" s="1"/>
  <c r="H119" i="1"/>
  <c r="L119" i="1" a="1"/>
  <c r="L119" i="1" s="1"/>
  <c r="I119" i="1" a="1"/>
  <c r="I119" i="1" s="1"/>
  <c r="J119" i="1" s="1"/>
  <c r="H120" i="1"/>
  <c r="L120" i="1" a="1"/>
  <c r="L120" i="1" s="1"/>
  <c r="I120" i="1" a="1"/>
  <c r="I120" i="1" s="1"/>
  <c r="J120" i="1" s="1"/>
  <c r="H121" i="1"/>
  <c r="L121" i="1" a="1"/>
  <c r="L121" i="1" s="1"/>
  <c r="I121" i="1" a="1"/>
  <c r="I121" i="1" s="1"/>
  <c r="J121" i="1" s="1"/>
  <c r="H123" i="1"/>
  <c r="I123" i="1" a="1"/>
  <c r="I123" i="1" s="1"/>
  <c r="J123" i="1" s="1"/>
  <c r="J122" i="1" s="1"/>
  <c r="H125" i="1"/>
  <c r="L125" i="1" a="1"/>
  <c r="L125" i="1" s="1"/>
  <c r="I125" i="1" a="1"/>
  <c r="I125" i="1" s="1"/>
  <c r="J125" i="1" s="1"/>
  <c r="H126" i="1"/>
  <c r="L126" i="1" a="1"/>
  <c r="L126" i="1" s="1"/>
  <c r="I126" i="1" a="1"/>
  <c r="I126" i="1" s="1"/>
  <c r="J126" i="1" s="1"/>
  <c r="H127" i="1"/>
  <c r="L127" i="1" a="1"/>
  <c r="L127" i="1" s="1"/>
  <c r="I127" i="1" a="1"/>
  <c r="I127" i="1" s="1"/>
  <c r="J127" i="1" s="1"/>
  <c r="H134" i="1"/>
  <c r="I134" i="1" a="1"/>
  <c r="I134" i="1" s="1"/>
  <c r="G37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E7" i="2"/>
  <c r="E6" i="2"/>
  <c r="E5" i="2"/>
  <c r="E4" i="2"/>
  <c r="E23" i="2"/>
  <c r="J134" i="1" l="1"/>
  <c r="J133" i="1" s="1"/>
  <c r="J132" i="1" s="1"/>
  <c r="J131" i="1" s="1"/>
  <c r="J22" i="1"/>
  <c r="J73" i="1"/>
  <c r="J72" i="1" s="1"/>
  <c r="J99" i="1"/>
  <c r="J98" i="1" s="1"/>
  <c r="J136" i="1" s="1"/>
  <c r="J23" i="1"/>
  <c r="J26" i="1"/>
  <c r="J25" i="1" s="1"/>
  <c r="J47" i="1"/>
  <c r="J96" i="1"/>
  <c r="J95" i="1" s="1"/>
  <c r="J115" i="1"/>
  <c r="J110" i="1"/>
  <c r="J124" i="1"/>
  <c r="J109" i="1"/>
  <c r="J108" i="1" s="1"/>
  <c r="J118" i="1"/>
  <c r="J50" i="1"/>
  <c r="J36" i="1"/>
  <c r="J78" i="1"/>
  <c r="J114" i="1"/>
  <c r="J33" i="1"/>
  <c r="J32" i="1" s="1"/>
  <c r="J90" i="1"/>
  <c r="J62" i="1"/>
  <c r="J61" i="1" s="1"/>
  <c r="J82" i="1"/>
  <c r="J81" i="1" s="1"/>
  <c r="J56" i="1"/>
  <c r="J66" i="1"/>
  <c r="J65" i="1" s="1"/>
  <c r="J77" i="1"/>
  <c r="J27" i="1"/>
  <c r="J57" i="1"/>
  <c r="J89" i="1"/>
  <c r="J88" i="1" s="1"/>
  <c r="J101" i="1"/>
  <c r="J100" i="1" s="1"/>
  <c r="J16" i="1"/>
  <c r="J129" i="1" l="1"/>
  <c r="J21" i="1"/>
  <c r="J130" i="1"/>
  <c r="E25" i="2"/>
  <c r="J45" i="1"/>
  <c r="J76" i="1"/>
  <c r="J113" i="1"/>
  <c r="J60" i="1" s="1"/>
  <c r="J55" i="1"/>
  <c r="J11" i="1" l="1"/>
  <c r="J10" i="1" s="1"/>
  <c r="J128" i="1"/>
  <c r="J137" i="1" s="1"/>
  <c r="J59" i="1"/>
  <c r="G39" i="3" l="1"/>
  <c r="G38" i="3"/>
  <c r="J9" i="1"/>
  <c r="J135" i="1" s="1"/>
  <c r="G40" i="3" l="1"/>
  <c r="G42" i="3" s="1"/>
</calcChain>
</file>

<file path=xl/sharedStrings.xml><?xml version="1.0" encoding="utf-8"?>
<sst xmlns="http://schemas.openxmlformats.org/spreadsheetml/2006/main" count="548" uniqueCount="153">
  <si>
    <t>Локальный сметный расчет (ЛСР) №6</t>
  </si>
  <si>
    <t>Объект: «Комплексная застройка территории, расположенной в границах улиц: Тобольский тракт - Обход города Тюмени (мкр. Губернаторский). Многоэтажный жилой дом с подземным паркингом ГП-72.106» Секция 5</t>
  </si>
  <si>
    <t>Ведомость объемов работ и расхода материалов по работе: Устройство системы пожаротушения и сопутствующим работам (согласно проекту шифр ПТ, стадия Р)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</si>
  <si>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</si>
  <si>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</si>
  <si>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</si>
  <si>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</si>
  <si>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</si>
  <si>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</si>
  <si>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</si>
  <si>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</si>
  <si>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</si>
  <si>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</si>
  <si>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</si>
  <si>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</si>
  <si>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</si>
  <si>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</si>
  <si>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11.07</t>
  </si>
  <si>
    <t>Устройство системы пожаротушения</t>
  </si>
  <si>
    <t>11.07.01</t>
  </si>
  <si>
    <t>Устройство водопровода В2</t>
  </si>
  <si>
    <t>11.07.01.00</t>
  </si>
  <si>
    <t>Работы:</t>
  </si>
  <si>
    <t>Бурение отверстий до 120мм</t>
  </si>
  <si>
    <t>шт</t>
  </si>
  <si>
    <t>Монтаж затвора</t>
  </si>
  <si>
    <t>Материалы:</t>
  </si>
  <si>
    <t>1</t>
  </si>
  <si>
    <t>Затвор поворотный дисковый</t>
  </si>
  <si>
    <t>REON</t>
  </si>
  <si>
    <t>межфланцевый Ду-80 Py-16bar ручной с контролем положения</t>
  </si>
  <si>
    <t>2</t>
  </si>
  <si>
    <t>межфланцевый Ду-50 Py-16bar ручной с контролем положения</t>
  </si>
  <si>
    <t>Монтаж клапана (с учетом пожарного рукава и ствола)</t>
  </si>
  <si>
    <t>Рукав пожарный</t>
  </si>
  <si>
    <t>Ду-65мм L-20м с головкой ГР-70</t>
  </si>
  <si>
    <t>Ствол пожарный</t>
  </si>
  <si>
    <t>РС-65А</t>
  </si>
  <si>
    <t>3</t>
  </si>
  <si>
    <t>Вентиль пожарный</t>
  </si>
  <si>
    <t>латунный прямой Ду-65 муфта-цапка</t>
  </si>
  <si>
    <t>в комплекте с диафрагмой количество согласно проекта</t>
  </si>
  <si>
    <t>Монтаж клапана (фланцевые, резьбовые) до 32 мм</t>
  </si>
  <si>
    <t>Клапан обратный</t>
  </si>
  <si>
    <t>Valtec</t>
  </si>
  <si>
    <t>муфтовый Ду-32 Ру-16бар</t>
  </si>
  <si>
    <t>Клапан регулирующий</t>
  </si>
  <si>
    <t>понижения давления резьбовой Ду-32</t>
  </si>
  <si>
    <t>Монтаж клапана (фланцевые, резьбовые) от 40 мм</t>
  </si>
  <si>
    <t>Межфланцевый Ду-80 Ру-16бар</t>
  </si>
  <si>
    <t>Монтаж кранов (фланцевые, резьбовые) до 32 мм</t>
  </si>
  <si>
    <t>Кран шаровой</t>
  </si>
  <si>
    <t>Ду-32 полнопроходный с НГ</t>
  </si>
  <si>
    <t>ВР-ВР Ду-15 полнопроходной</t>
  </si>
  <si>
    <t>Монтаж насосной установки повышения давления</t>
  </si>
  <si>
    <t>Насосная станция пожаротушения</t>
  </si>
  <si>
    <t>Q=10,4 л/сН=25 м</t>
  </si>
  <si>
    <t>CO 2 MVL 3203_SK-FFS-R-
1 * с управлением 2 мя задвижками с электроприводом</t>
  </si>
  <si>
    <t>Монтаж пожарного шкафа</t>
  </si>
  <si>
    <t>Шкаф пожарный</t>
  </si>
  <si>
    <t>ШПК-320-12-НЗБ</t>
  </si>
  <si>
    <t>с евроручкой и ребром жесткости на дверце</t>
  </si>
  <si>
    <t>Покраска эмалью</t>
  </si>
  <si>
    <t>кг</t>
  </si>
  <si>
    <t>Грунтовка (кг.)</t>
  </si>
  <si>
    <t>ГФ-021 Серый, (Лакра)</t>
  </si>
  <si>
    <t>Эмаль (кг.)</t>
  </si>
  <si>
    <t>ПФ-115</t>
  </si>
  <si>
    <t>Прокладка трубы стальной от 57 мм</t>
  </si>
  <si>
    <t>пог. м</t>
  </si>
  <si>
    <t>Труба электросварная (пог.м.)</t>
  </si>
  <si>
    <t>стальная D-89х4,0</t>
  </si>
  <si>
    <t>стальная D-76х3,5</t>
  </si>
  <si>
    <t>стальная D-57х3,5</t>
  </si>
  <si>
    <t>%</t>
  </si>
  <si>
    <t>11.07.02</t>
  </si>
  <si>
    <t>Устройство системы автоматического пожаротушения спринклерная (В21)</t>
  </si>
  <si>
    <t>11.07.02.00</t>
  </si>
  <si>
    <t>Бурение отверстий</t>
  </si>
  <si>
    <t>межфланцевый Ду-100 Py-10bar ручной с контролем положения</t>
  </si>
  <si>
    <t>межфланцевый Ду-100 Py-10bar с электроприводом 380В</t>
  </si>
  <si>
    <t>4</t>
  </si>
  <si>
    <t>Межфланцевый Ду-100 Ру-16бар</t>
  </si>
  <si>
    <t>Монтаж кранов (фланцевые, резьбовые) от 40 мм</t>
  </si>
  <si>
    <t>ВР-НР Ду-50 полнопроходной</t>
  </si>
  <si>
    <t>Монтаж насосной установки (в тч жокей-насос)</t>
  </si>
  <si>
    <t>WILO либо аналог</t>
  </si>
  <si>
    <t>Q=12,2 л/сН=65 м</t>
  </si>
  <si>
    <t>CO 2 MVL4504/SK-FFS-2VJ5-X8-R-CS * с управлением 2-х задвижек с электроприводом</t>
  </si>
  <si>
    <t>Жокей-насос</t>
  </si>
  <si>
    <t>Q-1,2 л/с H-80 м N- V бака-</t>
  </si>
  <si>
    <t>CO 1 MVL412/J-ET-R</t>
  </si>
  <si>
    <t>Монтаж оросителя</t>
  </si>
  <si>
    <t>Ороситель</t>
  </si>
  <si>
    <t>спринклерный розеткой вверх t-57±3°С К-0,13</t>
  </si>
  <si>
    <t>Ороситель спринклерный водяной и С(Д)ВS0-
ПВ(Н)о(д)0,13-R1/2.Р57(68, 79, 93).В2с резьбовым герметиком</t>
  </si>
  <si>
    <t>Муфта</t>
  </si>
  <si>
    <t>для оросителя стальная сварка/Вн резьба Ду-15</t>
  </si>
  <si>
    <t>Монтаж счетчика</t>
  </si>
  <si>
    <t>Счетчик воды</t>
  </si>
  <si>
    <t>расходомер фланцевый FRM Qn- L-</t>
  </si>
  <si>
    <t>Узел контроля проектного расхода огнетушащего вещества</t>
  </si>
  <si>
    <t>Монтаж узла управления</t>
  </si>
  <si>
    <t>Узел управления спринклерный</t>
  </si>
  <si>
    <t>прямоточный DN-80 Ру-1,6</t>
  </si>
  <si>
    <t>УУ-С80/1,6В-ВФ.О4-01-
«Прямоточный -80»
ЗАО ПО «Спецавтоматика»*</t>
  </si>
  <si>
    <t>Монтаж фильтра</t>
  </si>
  <si>
    <t>Фильтр сетчатый</t>
  </si>
  <si>
    <t>муфтовый ВР-ВР Ду-25 латунь</t>
  </si>
  <si>
    <t>муфтовый Ду-40</t>
  </si>
  <si>
    <t>Прокладка трубы стальной до 40 мм</t>
  </si>
  <si>
    <t>Труба водогазопроводная</t>
  </si>
  <si>
    <t>стальная D-15х2,8 СТ3</t>
  </si>
  <si>
    <t>стальная D-32х3,2 СТ3</t>
  </si>
  <si>
    <t>стальная D-40х3,5 СТ3</t>
  </si>
  <si>
    <t>стальная D-108х4,0</t>
  </si>
  <si>
    <t>11.07.03</t>
  </si>
  <si>
    <t>ПНР</t>
  </si>
  <si>
    <t>11.07.03.00</t>
  </si>
  <si>
    <t>Пусконаладочные работы системы пожаротушения: испытание пожарного крана, манометрические испытания</t>
  </si>
  <si>
    <t>компл.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</si>
  <si>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</si>
  <si>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</si>
  <si>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</si>
  <si>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</si>
  <si>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</si>
  <si>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</si>
  <si>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</si>
  <si>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</si>
  <si>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</si>
  <si>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</si>
  <si>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</si>
  <si>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</si>
  <si>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ГП-72.106.05.11.07 Секция 5_Устройство системы пожаротушения №1</t>
  </si>
  <si>
    <t>f3b5caec-beff-11f0-8b59-a036bcbd010b</t>
  </si>
  <si>
    <t>Итог</t>
  </si>
  <si>
    <t>Прочие материалы</t>
  </si>
  <si>
    <t xml:space="preserve">Фитинги для стальной трубы </t>
  </si>
  <si>
    <t>для всех разделов, расчитывается от стоимости материалов</t>
  </si>
  <si>
    <t>Огнетушитель</t>
  </si>
  <si>
    <t>порошковый ОП-8(з) АВСЕ</t>
  </si>
  <si>
    <t>ИТОГО по сметному расчету, в тч НДС:</t>
  </si>
  <si>
    <t>в тч НДС ____%</t>
  </si>
  <si>
    <t>указать %</t>
  </si>
  <si>
    <t>Проверка:</t>
  </si>
  <si>
    <t>Примечание:</t>
  </si>
  <si>
    <t>В стоимость пусконоладочных работ входит: ПНР насосной станции пожаротушения, Атоматизация насосов системы пожаротушения (кабельно проводниковая продукция, лотки итд) с учетом материалов</t>
  </si>
  <si>
    <t>Учитывать, что подрядчику необходимо предоставить Акт на инструментальный контроль противопожарного водопровода</t>
  </si>
  <si>
    <t>В случае, если один из перечисленных прочих/фасонных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</si>
  <si>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</si>
  <si>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</si>
  <si>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</t>
  </si>
  <si>
    <t>Стоимость Работ по настоящему Договору является твердой и включает в себя все виды работ, необходимые для выполнения полного комплекса работ (в случае необходимости закрытия объема больше, чем предусмотрено ЛСР, расценки на работы подлежат корректировке в меньшую сторону с сохранением твердой стоимости работ)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</si>
</sst>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  <charset val="204"/>
    </font>
    <font>
      <sz val="8"/>
      <color rgb="FFFF0000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theme="1"/>
      <name val="Times New Roman"/>
      <family val="2"/>
      <charset val="204"/>
    </font>
    <font>
      <b/>
      <i/>
      <u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C0000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8" fillId="0" borderId="0"/>
    <xf numFmtId="0" fontId="11" fillId="0" borderId="0"/>
    <xf numFmtId="0" fontId="1" fillId="0" borderId="0"/>
  </cellStyleXfs>
  <cellXfs count="119">
    <xf numFmtId="0" fontId="0" fillId="0" borderId="0" xfId="0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5" xfId="0" applyFill="1" applyBorder="1" applyAlignment="1">
      <alignment horizontal="left" wrapText="1"/>
    </xf>
    <xf numFmtId="0" fontId="0" fillId="2" borderId="5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left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right"/>
    </xf>
    <xf numFmtId="0" fontId="0" fillId="4" borderId="5" xfId="0" applyFill="1" applyBorder="1" applyAlignment="1">
      <alignment horizontal="center"/>
    </xf>
    <xf numFmtId="0" fontId="0" fillId="4" borderId="5" xfId="0" applyFill="1" applyBorder="1" applyAlignment="1">
      <alignment horizontal="left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right" vertical="center"/>
    </xf>
    <xf numFmtId="1" fontId="0" fillId="4" borderId="5" xfId="0" applyNumberFormat="1" applyFill="1" applyBorder="1" applyAlignment="1">
      <alignment horizontal="right" vertical="center"/>
    </xf>
    <xf numFmtId="164" fontId="0" fillId="4" borderId="5" xfId="0" applyNumberFormat="1" applyFill="1" applyBorder="1" applyAlignment="1">
      <alignment horizontal="right" vertical="center"/>
    </xf>
    <xf numFmtId="3" fontId="0" fillId="4" borderId="5" xfId="0" applyNumberFormat="1" applyFill="1" applyBorder="1" applyAlignment="1">
      <alignment horizontal="right" vertical="center"/>
    </xf>
    <xf numFmtId="0" fontId="0" fillId="5" borderId="5" xfId="0" applyFill="1" applyBorder="1" applyAlignment="1">
      <alignment horizontal="right"/>
    </xf>
    <xf numFmtId="0" fontId="0" fillId="6" borderId="5" xfId="0" applyFill="1" applyBorder="1" applyAlignment="1">
      <alignment horizontal="left"/>
    </xf>
    <xf numFmtId="0" fontId="0" fillId="0" borderId="5" xfId="0" applyBorder="1" applyAlignment="1">
      <alignment horizontal="center" vertical="center"/>
    </xf>
    <xf numFmtId="1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3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3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" fontId="0" fillId="2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right" vertical="center"/>
    </xf>
    <xf numFmtId="4" fontId="0" fillId="3" borderId="5" xfId="0" applyNumberFormat="1" applyFill="1" applyBorder="1" applyAlignment="1">
      <alignment horizontal="center" vertical="center"/>
    </xf>
    <xf numFmtId="4" fontId="3" fillId="3" borderId="0" xfId="0" applyNumberFormat="1" applyFont="1" applyFill="1" applyAlignment="1">
      <alignment horizontal="right" vertical="center"/>
    </xf>
    <xf numFmtId="4" fontId="0" fillId="4" borderId="5" xfId="0" applyNumberForma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4" fontId="0" fillId="4" borderId="1" xfId="0" applyNumberFormat="1" applyFill="1" applyBorder="1" applyAlignment="1">
      <alignment horizontal="right" vertical="center"/>
    </xf>
    <xf numFmtId="4" fontId="0" fillId="4" borderId="9" xfId="0" applyNumberFormat="1" applyFill="1" applyBorder="1" applyAlignment="1">
      <alignment horizontal="right" vertical="center"/>
    </xf>
    <xf numFmtId="4" fontId="0" fillId="3" borderId="9" xfId="0" applyNumberFormat="1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right" vertical="center"/>
    </xf>
    <xf numFmtId="4" fontId="0" fillId="4" borderId="13" xfId="0" applyNumberFormat="1" applyFill="1" applyBorder="1" applyAlignment="1">
      <alignment horizontal="right" vertical="center"/>
    </xf>
    <xf numFmtId="4" fontId="3" fillId="3" borderId="13" xfId="0" applyNumberFormat="1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left"/>
    </xf>
    <xf numFmtId="0" fontId="7" fillId="3" borderId="5" xfId="0" applyFont="1" applyFill="1" applyBorder="1" applyAlignment="1">
      <alignment horizontal="left" wrapText="1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left" wrapText="1"/>
    </xf>
    <xf numFmtId="0" fontId="6" fillId="3" borderId="5" xfId="0" applyFont="1" applyFill="1" applyBorder="1" applyAlignment="1">
      <alignment horizontal="center" vertical="center"/>
    </xf>
    <xf numFmtId="4" fontId="6" fillId="3" borderId="5" xfId="0" applyNumberFormat="1" applyFont="1" applyFill="1" applyBorder="1" applyAlignment="1">
      <alignment horizontal="center" vertical="center"/>
    </xf>
    <xf numFmtId="4" fontId="7" fillId="3" borderId="0" xfId="0" applyNumberFormat="1" applyFont="1" applyFill="1" applyAlignment="1">
      <alignment horizontal="right" vertical="center"/>
    </xf>
    <xf numFmtId="0" fontId="6" fillId="3" borderId="5" xfId="0" applyFont="1" applyFill="1" applyBorder="1" applyAlignment="1">
      <alignment horizontal="right" vertical="center"/>
    </xf>
    <xf numFmtId="0" fontId="6" fillId="3" borderId="5" xfId="0" applyFont="1" applyFill="1" applyBorder="1" applyAlignment="1">
      <alignment horizontal="right"/>
    </xf>
    <xf numFmtId="0" fontId="6" fillId="0" borderId="0" xfId="0" applyFont="1"/>
    <xf numFmtId="0" fontId="6" fillId="4" borderId="5" xfId="0" applyFont="1" applyFill="1" applyBorder="1" applyAlignment="1">
      <alignment horizontal="center" vertical="center"/>
    </xf>
    <xf numFmtId="1" fontId="6" fillId="8" borderId="5" xfId="0" applyNumberFormat="1" applyFont="1" applyFill="1" applyBorder="1" applyAlignment="1">
      <alignment horizontal="right" vertical="center"/>
    </xf>
    <xf numFmtId="4" fontId="6" fillId="4" borderId="5" xfId="0" applyNumberFormat="1" applyFont="1" applyFill="1" applyBorder="1" applyAlignment="1">
      <alignment horizontal="right" vertical="center"/>
    </xf>
    <xf numFmtId="0" fontId="5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" fontId="3" fillId="5" borderId="7" xfId="0" applyNumberFormat="1" applyFont="1" applyFill="1" applyBorder="1" applyAlignment="1">
      <alignment horizontal="right" vertical="center"/>
    </xf>
    <xf numFmtId="0" fontId="6" fillId="5" borderId="7" xfId="0" applyFont="1" applyFill="1" applyBorder="1" applyAlignment="1">
      <alignment horizontal="center"/>
    </xf>
    <xf numFmtId="1" fontId="0" fillId="8" borderId="2" xfId="0" applyNumberFormat="1" applyFill="1" applyBorder="1" applyAlignment="1">
      <alignment horizontal="right" vertical="center"/>
    </xf>
    <xf numFmtId="0" fontId="5" fillId="0" borderId="0" xfId="0" applyFont="1" applyAlignment="1">
      <alignment horizontal="left"/>
    </xf>
    <xf numFmtId="4" fontId="0" fillId="0" borderId="0" xfId="0" applyNumberFormat="1" applyAlignment="1">
      <alignment horizontal="left"/>
    </xf>
    <xf numFmtId="0" fontId="5" fillId="0" borderId="0" xfId="1"/>
    <xf numFmtId="0" fontId="9" fillId="0" borderId="0" xfId="2" applyFont="1" applyAlignment="1">
      <alignment vertical="center" wrapText="1"/>
    </xf>
    <xf numFmtId="0" fontId="10" fillId="0" borderId="0" xfId="2" applyFont="1" applyAlignment="1">
      <alignment horizontal="center" vertical="center" wrapText="1"/>
    </xf>
    <xf numFmtId="4" fontId="10" fillId="0" borderId="0" xfId="2" applyNumberFormat="1" applyFont="1" applyAlignment="1">
      <alignment horizontal="center" vertical="center" wrapText="1"/>
    </xf>
    <xf numFmtId="0" fontId="11" fillId="0" borderId="0" xfId="3"/>
    <xf numFmtId="0" fontId="6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6" borderId="7" xfId="0" applyFont="1" applyFill="1" applyBorder="1" applyAlignment="1">
      <alignment horizontal="center" vertical="center" wrapText="1"/>
    </xf>
    <xf numFmtId="4" fontId="3" fillId="6" borderId="7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top" wrapText="1"/>
    </xf>
    <xf numFmtId="4" fontId="3" fillId="0" borderId="8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9" xfId="0" applyFont="1" applyFill="1" applyBorder="1" applyAlignment="1">
      <alignment horizontal="right"/>
    </xf>
    <xf numFmtId="0" fontId="3" fillId="5" borderId="6" xfId="0" applyFont="1" applyFill="1" applyBorder="1" applyAlignment="1">
      <alignment horizontal="right"/>
    </xf>
    <xf numFmtId="0" fontId="3" fillId="5" borderId="7" xfId="0" applyFont="1" applyFill="1" applyBorder="1" applyAlignment="1">
      <alignment horizontal="right"/>
    </xf>
    <xf numFmtId="0" fontId="4" fillId="5" borderId="9" xfId="0" applyFont="1" applyFill="1" applyBorder="1" applyAlignment="1">
      <alignment horizontal="right"/>
    </xf>
    <xf numFmtId="0" fontId="4" fillId="5" borderId="6" xfId="0" applyFont="1" applyFill="1" applyBorder="1" applyAlignment="1">
      <alignment horizontal="right"/>
    </xf>
    <xf numFmtId="0" fontId="4" fillId="5" borderId="7" xfId="0" applyFont="1" applyFill="1" applyBorder="1" applyAlignment="1">
      <alignment horizontal="right"/>
    </xf>
    <xf numFmtId="4" fontId="4" fillId="5" borderId="9" xfId="0" applyNumberFormat="1" applyFont="1" applyFill="1" applyBorder="1" applyAlignment="1">
      <alignment horizontal="right"/>
    </xf>
    <xf numFmtId="4" fontId="4" fillId="5" borderId="6" xfId="0" applyNumberFormat="1" applyFont="1" applyFill="1" applyBorder="1" applyAlignment="1">
      <alignment horizontal="right"/>
    </xf>
    <xf numFmtId="4" fontId="4" fillId="5" borderId="7" xfId="0" applyNumberFormat="1" applyFont="1" applyFill="1" applyBorder="1" applyAlignment="1">
      <alignment horizontal="right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2" fillId="0" borderId="0" xfId="1" applyFont="1" applyAlignment="1">
      <alignment horizontal="left" vertical="center" wrapText="1"/>
    </xf>
    <xf numFmtId="0" fontId="13" fillId="7" borderId="0" xfId="1" applyFont="1" applyFill="1" applyAlignment="1">
      <alignment horizontal="left" vertical="center" wrapText="1"/>
    </xf>
    <xf numFmtId="0" fontId="10" fillId="0" borderId="0" xfId="4" applyFont="1" applyAlignment="1">
      <alignment horizontal="left" vertical="center" wrapText="1"/>
    </xf>
    <xf numFmtId="0" fontId="10" fillId="0" borderId="0" xfId="2" applyFont="1" applyAlignment="1">
      <alignment horizontal="left" vertical="center" wrapText="1"/>
    </xf>
    <xf numFmtId="0" fontId="10" fillId="0" borderId="0" xfId="3" applyFont="1" applyAlignment="1">
      <alignment horizontal="left" vertical="center" wrapText="1"/>
    </xf>
    <xf numFmtId="0" fontId="10" fillId="0" borderId="0" xfId="3" applyFont="1" applyAlignment="1">
      <alignment horizontal="left" vertic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3" xr:uid="{29A22DAB-AA88-4388-96CD-3928DC7142AB}"/>
    <cellStyle name="Обычный 3" xfId="1" xr:uid="{0C6A5457-8568-4CC6-99CC-C0445B0857D2}"/>
    <cellStyle name="Обычный 3 2 2 4 2" xfId="4" xr:uid="{FCAB4C12-A3F0-47EE-88E0-477DB46FF5F8}"/>
    <cellStyle name="Обычный 5" xfId="2" xr:uid="{BBE5932B-88DD-4BC6-BBD4-95EDE81BB376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18366C5-8182-4181-A81E-9611277255A3}" name="Р" displayName="Р" ref="A3:F23" totalsRowCount="1" headerRowDxfId="37" headerRowBorderDxfId="36" tableBorderDxfId="35" totalsRowBorderDxfId="34">
  <autoFilter ref="A3:F22" xr:uid="{518366C5-8182-4181-A81E-9611277255A3}"/>
  <tableColumns count="6">
    <tableColumn id="1" xr3:uid="{954DBDFC-5ED2-4C23-8E47-45720957C7C3}" name="Наименование" totalsRowLabel="Итог" dataDxfId="33" totalsRowDxfId="32"/>
    <tableColumn id="2" xr3:uid="{BA6CFAD7-6B3F-40BE-91B2-271439AD05C0}" name="Ед. изм." dataDxfId="31" totalsRowDxfId="30"/>
    <tableColumn id="3" xr3:uid="{5D2FB46A-8CDC-4C41-88DE-5D365F66EA4F}" name="Количество" dataDxfId="29" totalsRowDxfId="28"/>
    <tableColumn id="4" xr3:uid="{9868FA4E-18B1-446D-BFDC-9184A7393D79}" name="Цена за ед., руб" dataDxfId="27" totalsRowDxfId="26"/>
    <tableColumn id="5" xr3:uid="{BA0C29E2-6300-448F-8F95-7C256A9ACF53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58050F5E-8AC2-4DB7-A74D-20D928FF476D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BB97396-0242-4FE1-AC29-FB702560A748}" name="М" displayName="М" ref="A3:I40" totalsRowCount="1" headerRowDxfId="21" headerRowBorderDxfId="20" tableBorderDxfId="19" totalsRowBorderDxfId="18">
  <autoFilter ref="A3:I39" xr:uid="{BBB97396-0242-4FE1-AC29-FB702560A748}"/>
  <tableColumns count="9">
    <tableColumn id="1" xr3:uid="{EC306AF3-349E-4E15-B4E1-B3041813DFC2}" name="Наим." totalsRowLabel="Итог" dataDxfId="17" totalsRowDxfId="8"/>
    <tableColumn id="2" xr3:uid="{414FE02B-8714-42D2-A75E-586AFD3A9567}" name="Артикул, марка, произв." dataDxfId="16" totalsRowDxfId="7"/>
    <tableColumn id="3" xr3:uid="{2A6804E9-B1EC-473D-BAAD-6AA11CF688D2}" name="Хар-ка" dataDxfId="15" totalsRowDxfId="6"/>
    <tableColumn id="4" xr3:uid="{039F6CB4-6963-42F0-8BBB-1440911E361A}" name="Ед. изм." dataDxfId="14" totalsRowDxfId="5"/>
    <tableColumn id="5" xr3:uid="{A6A811D7-DF46-408A-A3DF-F840A261B22E}" name="Количество" dataDxfId="13" totalsRowDxfId="4"/>
    <tableColumn id="6" xr3:uid="{A89AB712-1978-4490-8656-7CD82F9FB3E9}" name="Цена за ед., руб" dataDxfId="12" totalsRowDxfId="3"/>
    <tableColumn id="7" xr3:uid="{D3A091A3-836E-455F-939C-4C46BF6B0F7B}" name="Сумма, руб" totalsRowFunction="sum" dataDxfId="11" totalsRowDxfId="2">
      <calculatedColumnFormula>ROUND(М[[#This Row],[Количество]]*М[[#This Row],[Цена за ед., руб]],2)</calculatedColumnFormula>
    </tableColumn>
    <tableColumn id="8" xr3:uid="{0113C7D7-577F-4602-931E-FD412E85FD5A}" name="Прим." dataDxfId="10" totalsRowDxfId="1"/>
    <tableColumn id="9" xr3:uid="{C8445AB3-C5D3-4470-8823-8CD55FC431B2}" name="Форма закупа" dataDxfId="9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S148"/>
  <sheetViews>
    <sheetView tabSelected="1" workbookViewId="0">
      <pane ySplit="7" topLeftCell="A98" activePane="bottomLeft" state="frozen"/>
      <selection pane="bottomLeft" activeCell="L129" sqref="L129:L130"/>
    </sheetView>
  </sheetViews>
  <sheetFormatPr defaultColWidth="10.5" defaultRowHeight="11.45" customHeight="1" outlineLevelRow="4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0.5" style="1" customWidth="1"/>
    <col min="8" max="8" width="14.6640625" style="1" customWidth="1"/>
    <col min="9" max="9" width="16" style="1" customWidth="1"/>
    <col min="10" max="10" width="17" style="1" customWidth="1"/>
    <col min="11" max="11" width="35" style="1" customWidth="1"/>
    <col min="12" max="12" width="23.33203125" style="1" customWidth="1"/>
  </cols>
  <sheetData>
    <row r="1" spans="1:12" ht="11.1" customHeight="1" x14ac:dyDescent="0.2"/>
    <row r="2" spans="1:12" ht="11.1" customHeight="1" x14ac:dyDescent="0.2">
      <c r="B2" s="104" t="s">
        <v>0</v>
      </c>
      <c r="C2" s="104"/>
      <c r="D2" s="104"/>
      <c r="E2" s="104"/>
      <c r="F2" s="104"/>
      <c r="G2" s="104"/>
      <c r="H2" s="104"/>
      <c r="I2" s="104"/>
      <c r="J2" s="104"/>
    </row>
    <row r="3" spans="1:12" ht="23.1" customHeight="1" x14ac:dyDescent="0.2">
      <c r="B3" s="105" t="s">
        <v>1</v>
      </c>
      <c r="C3" s="105"/>
      <c r="D3" s="105"/>
      <c r="E3" s="105"/>
      <c r="F3" s="105"/>
      <c r="G3" s="105"/>
      <c r="H3" s="105"/>
      <c r="I3" s="105"/>
      <c r="J3" s="105"/>
    </row>
    <row r="4" spans="1:12" ht="11.1" customHeight="1" x14ac:dyDescent="0.2">
      <c r="B4" s="105" t="s">
        <v>2</v>
      </c>
      <c r="C4" s="105"/>
      <c r="D4" s="105"/>
      <c r="E4" s="105"/>
      <c r="F4" s="105"/>
      <c r="G4" s="105"/>
      <c r="H4" s="105"/>
      <c r="I4" s="105"/>
      <c r="J4" s="105"/>
    </row>
    <row r="5" spans="1:12" ht="11.1" customHeight="1" x14ac:dyDescent="0.2"/>
    <row r="6" spans="1:12" ht="11.1" customHeight="1" x14ac:dyDescent="0.2">
      <c r="A6" s="91" t="s">
        <v>3</v>
      </c>
      <c r="B6" s="91" t="s">
        <v>4</v>
      </c>
      <c r="C6" s="106" t="s">
        <v>5</v>
      </c>
      <c r="D6" s="108" t="s">
        <v>6</v>
      </c>
      <c r="E6" s="91" t="s">
        <v>7</v>
      </c>
      <c r="F6" s="93" t="s">
        <v>8</v>
      </c>
      <c r="G6" s="110" t="s">
        <v>9</v>
      </c>
      <c r="H6" s="91" t="s">
        <v>10</v>
      </c>
      <c r="I6" s="93" t="s">
        <v>11</v>
      </c>
      <c r="J6" s="93" t="s">
        <v>12</v>
      </c>
      <c r="K6" s="91" t="s">
        <v>13</v>
      </c>
      <c r="L6" s="93" t="s">
        <v>14</v>
      </c>
    </row>
    <row r="7" spans="1:12" ht="11.1" customHeight="1" x14ac:dyDescent="0.2">
      <c r="A7" s="92"/>
      <c r="B7" s="92"/>
      <c r="C7" s="107"/>
      <c r="D7" s="109"/>
      <c r="E7" s="92"/>
      <c r="F7" s="94"/>
      <c r="G7" s="111"/>
      <c r="H7" s="92"/>
      <c r="I7" s="94"/>
      <c r="J7" s="94"/>
      <c r="K7" s="92"/>
      <c r="L7" s="94"/>
    </row>
    <row r="8" spans="1:12" ht="11.1" customHeight="1" x14ac:dyDescent="0.2">
      <c r="A8" s="3" t="s">
        <v>15</v>
      </c>
      <c r="B8" s="4" t="s">
        <v>16</v>
      </c>
      <c r="C8" s="5"/>
      <c r="D8" s="5"/>
      <c r="E8" s="6"/>
      <c r="F8" s="7"/>
      <c r="G8" s="7"/>
      <c r="H8" s="7"/>
      <c r="I8" s="46"/>
      <c r="J8" s="46"/>
      <c r="K8" s="5"/>
      <c r="L8" s="5"/>
    </row>
    <row r="9" spans="1:12" ht="11.1" customHeight="1" outlineLevel="1" x14ac:dyDescent="0.2">
      <c r="A9" s="8" t="s">
        <v>17</v>
      </c>
      <c r="B9" s="9" t="s">
        <v>18</v>
      </c>
      <c r="C9" s="10"/>
      <c r="D9" s="10"/>
      <c r="E9" s="11"/>
      <c r="F9" s="12"/>
      <c r="G9" s="13"/>
      <c r="H9" s="13"/>
      <c r="I9" s="47"/>
      <c r="J9" s="47">
        <f>SUM($J$131,$J$59,$J$10)</f>
        <v>0</v>
      </c>
      <c r="K9" s="14"/>
      <c r="L9" s="14"/>
    </row>
    <row r="10" spans="1:12" ht="11.1" customHeight="1" outlineLevel="2" x14ac:dyDescent="0.2">
      <c r="A10" s="8" t="s">
        <v>19</v>
      </c>
      <c r="B10" s="9" t="s">
        <v>20</v>
      </c>
      <c r="C10" s="10"/>
      <c r="D10" s="10"/>
      <c r="E10" s="11"/>
      <c r="F10" s="12"/>
      <c r="G10" s="13"/>
      <c r="H10" s="13"/>
      <c r="I10" s="47"/>
      <c r="J10" s="47">
        <f>SUM($J$11)</f>
        <v>0</v>
      </c>
      <c r="K10" s="14"/>
      <c r="L10" s="14"/>
    </row>
    <row r="11" spans="1:12" ht="11.1" customHeight="1" outlineLevel="3" x14ac:dyDescent="0.2">
      <c r="A11" s="8" t="s">
        <v>21</v>
      </c>
      <c r="B11" s="9" t="s">
        <v>20</v>
      </c>
      <c r="C11" s="10"/>
      <c r="D11" s="10"/>
      <c r="E11" s="11"/>
      <c r="F11" s="12"/>
      <c r="G11" s="13"/>
      <c r="H11" s="13"/>
      <c r="I11" s="47"/>
      <c r="J11" s="47">
        <f>SUM($J$55,$J$53,$J$50,$J$48,$J$45,$J$43,$J$41,$J$39,$J$36,$J$34,$J$32,$J$30,$J$27,$J$25,$J$21,$J$19,$J$16,$J$14,$J$12)</f>
        <v>0</v>
      </c>
      <c r="K11" s="14"/>
      <c r="L11" s="14"/>
    </row>
    <row r="12" spans="1:12" ht="11.1" customHeight="1" outlineLevel="4" x14ac:dyDescent="0.2">
      <c r="A12" s="15"/>
      <c r="B12" s="9" t="s">
        <v>22</v>
      </c>
      <c r="C12" s="16"/>
      <c r="D12" s="16"/>
      <c r="E12" s="16"/>
      <c r="F12" s="16"/>
      <c r="G12" s="16"/>
      <c r="H12" s="16"/>
      <c r="I12" s="48"/>
      <c r="J12" s="49">
        <f>SUM($J$13)</f>
        <v>0</v>
      </c>
      <c r="K12" s="13"/>
      <c r="L12" s="17"/>
    </row>
    <row r="13" spans="1:12" ht="11.1" customHeight="1" outlineLevel="4" x14ac:dyDescent="0.2">
      <c r="A13" s="18"/>
      <c r="B13" s="19" t="s">
        <v>23</v>
      </c>
      <c r="C13" s="20"/>
      <c r="D13" s="20"/>
      <c r="E13" s="21" t="s">
        <v>24</v>
      </c>
      <c r="F13" s="22"/>
      <c r="G13" s="23">
        <v>4</v>
      </c>
      <c r="H13" s="23">
        <f>SUM($G$13:$G$13)</f>
        <v>4</v>
      </c>
      <c r="I13" s="50">
        <f t="array" ref="I13">INDEX(Р[Цена за ед., руб],MATCH(1,IF(($B13=Р[Наименование])*($K13=Р[Примечание]),{1},($B13=Р[Наименование])*($K13=Р[Примечание])),0))</f>
        <v>0</v>
      </c>
      <c r="J13" s="50">
        <f>ROUND($H$13*$I$13,2)</f>
        <v>0</v>
      </c>
      <c r="K13" s="20"/>
      <c r="L13" s="20"/>
    </row>
    <row r="14" spans="1:12" ht="11.1" customHeight="1" outlineLevel="4" x14ac:dyDescent="0.2">
      <c r="A14" s="15"/>
      <c r="B14" s="9" t="s">
        <v>22</v>
      </c>
      <c r="C14" s="16"/>
      <c r="D14" s="16"/>
      <c r="E14" s="16"/>
      <c r="F14" s="16"/>
      <c r="G14" s="16"/>
      <c r="H14" s="16"/>
      <c r="I14" s="48"/>
      <c r="J14" s="49">
        <f>SUM($J$15)</f>
        <v>0</v>
      </c>
      <c r="K14" s="13"/>
      <c r="L14" s="17"/>
    </row>
    <row r="15" spans="1:12" ht="11.1" customHeight="1" outlineLevel="4" x14ac:dyDescent="0.2">
      <c r="A15" s="18"/>
      <c r="B15" s="19" t="s">
        <v>25</v>
      </c>
      <c r="C15" s="20"/>
      <c r="D15" s="20"/>
      <c r="E15" s="21" t="s">
        <v>24</v>
      </c>
      <c r="F15" s="22"/>
      <c r="G15" s="23">
        <v>22</v>
      </c>
      <c r="H15" s="23">
        <f>SUM($G$15:$G$15)</f>
        <v>22</v>
      </c>
      <c r="I15" s="50">
        <f t="array" ref="I15">INDEX(Р[Цена за ед., руб],MATCH(1,IF(($B15=Р[Наименование])*($K15=Р[Примечание]),{1},($B15=Р[Наименование])*($K15=Р[Примечание])),0))</f>
        <v>0</v>
      </c>
      <c r="J15" s="50">
        <f>ROUND($H$15*$I$15,2)</f>
        <v>0</v>
      </c>
      <c r="K15" s="20"/>
      <c r="L15" s="20"/>
    </row>
    <row r="16" spans="1:12" ht="11.1" customHeight="1" outlineLevel="4" x14ac:dyDescent="0.2">
      <c r="A16" s="15"/>
      <c r="B16" s="9" t="s">
        <v>26</v>
      </c>
      <c r="C16" s="16"/>
      <c r="D16" s="16"/>
      <c r="E16" s="16"/>
      <c r="F16" s="16"/>
      <c r="G16" s="16"/>
      <c r="H16" s="16"/>
      <c r="I16" s="48"/>
      <c r="J16" s="49">
        <f>SUM($J$17:$J$18)</f>
        <v>0</v>
      </c>
      <c r="K16" s="13"/>
      <c r="L16" s="17"/>
    </row>
    <row r="17" spans="1:12" ht="59.1" customHeight="1" outlineLevel="4" x14ac:dyDescent="0.2">
      <c r="A17" s="18" t="s">
        <v>27</v>
      </c>
      <c r="B17" s="19" t="s">
        <v>28</v>
      </c>
      <c r="C17" s="20" t="s">
        <v>29</v>
      </c>
      <c r="D17" s="20" t="s">
        <v>30</v>
      </c>
      <c r="E17" s="21" t="s">
        <v>24</v>
      </c>
      <c r="F17" s="22"/>
      <c r="G17" s="23">
        <v>17</v>
      </c>
      <c r="H17" s="23">
        <f>SUM($G$17:$G$17)</f>
        <v>17</v>
      </c>
      <c r="I17" s="50">
        <f t="array" ref="I17">INDEX(М[Цена за ед., руб],MATCH(1,IF(($B17=М[Наим.])*($C17=М[Артикул,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  <c r="J17" s="50">
        <f>ROUND($H$17*$I$17,2)</f>
        <v>0</v>
      </c>
      <c r="K17" s="20"/>
      <c r="L17" s="20">
        <f t="array" ref="L17">INDEX(М[Форма закупа],MATCH(1,IF(($B17=М[Наим.])*($C17=М[Артикул, марка, произв.])*($D17=М[Хар-ка])*($K17=М[Прим.]),{1},($B17=М[Наим.])*($C17=М[Артикул, марка, произв.])*($D17=М[Хар-ка])*($K17=М[Прим.])),0))</f>
        <v>0</v>
      </c>
    </row>
    <row r="18" spans="1:12" ht="59.1" customHeight="1" outlineLevel="4" x14ac:dyDescent="0.2">
      <c r="A18" s="18" t="s">
        <v>31</v>
      </c>
      <c r="B18" s="19" t="s">
        <v>28</v>
      </c>
      <c r="C18" s="20" t="s">
        <v>29</v>
      </c>
      <c r="D18" s="20" t="s">
        <v>32</v>
      </c>
      <c r="E18" s="21" t="s">
        <v>24</v>
      </c>
      <c r="F18" s="22"/>
      <c r="G18" s="23">
        <v>5</v>
      </c>
      <c r="H18" s="23">
        <f>SUM($G$18:$G$18)</f>
        <v>5</v>
      </c>
      <c r="I18" s="50">
        <f t="array" ref="I18">INDEX(М[Цена за ед., руб],MATCH(1,IF(($B18=М[Наим.])*($C18=М[Артикул,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  <c r="J18" s="50">
        <f>ROUND($H$18*$I$18,2)</f>
        <v>0</v>
      </c>
      <c r="K18" s="20"/>
      <c r="L18" s="20">
        <f t="array" ref="L18">INDEX(М[Форма закупа],MATCH(1,IF(($B18=М[Наим.])*($C18=М[Артикул, марка, произв.])*($D18=М[Хар-ка])*($K18=М[Прим.]),{1},($B18=М[Наим.])*($C18=М[Артикул, марка, произв.])*($D18=М[Хар-ка])*($K18=М[Прим.])),0))</f>
        <v>0</v>
      </c>
    </row>
    <row r="19" spans="1:12" ht="11.1" customHeight="1" outlineLevel="4" x14ac:dyDescent="0.2">
      <c r="A19" s="15"/>
      <c r="B19" s="9" t="s">
        <v>22</v>
      </c>
      <c r="C19" s="16"/>
      <c r="D19" s="16"/>
      <c r="E19" s="16"/>
      <c r="F19" s="16"/>
      <c r="G19" s="16"/>
      <c r="H19" s="16"/>
      <c r="I19" s="48"/>
      <c r="J19" s="49">
        <f>SUM($J$20)</f>
        <v>0</v>
      </c>
      <c r="K19" s="13"/>
      <c r="L19" s="17"/>
    </row>
    <row r="20" spans="1:12" ht="23.1" customHeight="1" outlineLevel="4" x14ac:dyDescent="0.2">
      <c r="A20" s="18"/>
      <c r="B20" s="19" t="s">
        <v>33</v>
      </c>
      <c r="C20" s="20"/>
      <c r="D20" s="20"/>
      <c r="E20" s="21" t="s">
        <v>24</v>
      </c>
      <c r="F20" s="22"/>
      <c r="G20" s="23">
        <v>16</v>
      </c>
      <c r="H20" s="23">
        <f>SUM($G$20:$G$20)</f>
        <v>16</v>
      </c>
      <c r="I20" s="50">
        <f t="array" ref="I20">INDEX(Р[Цена за ед., руб],MATCH(1,IF(($B20=Р[Наименование])*($K20=Р[Примечание]),{1},($B20=Р[Наименование])*($K20=Р[Примечание])),0))</f>
        <v>0</v>
      </c>
      <c r="J20" s="50">
        <f>ROUND($H$20*$I$20,2)</f>
        <v>0</v>
      </c>
      <c r="K20" s="20"/>
      <c r="L20" s="20"/>
    </row>
    <row r="21" spans="1:12" ht="11.1" customHeight="1" outlineLevel="4" x14ac:dyDescent="0.2">
      <c r="A21" s="15"/>
      <c r="B21" s="9" t="s">
        <v>26</v>
      </c>
      <c r="C21" s="16"/>
      <c r="D21" s="16"/>
      <c r="E21" s="16"/>
      <c r="F21" s="16"/>
      <c r="G21" s="16"/>
      <c r="H21" s="16"/>
      <c r="I21" s="48"/>
      <c r="J21" s="49">
        <f>SUM($J$22:$J$24)</f>
        <v>0</v>
      </c>
      <c r="K21" s="13"/>
      <c r="L21" s="17"/>
    </row>
    <row r="22" spans="1:12" ht="23.1" customHeight="1" outlineLevel="4" x14ac:dyDescent="0.2">
      <c r="A22" s="18" t="s">
        <v>27</v>
      </c>
      <c r="B22" s="19" t="s">
        <v>34</v>
      </c>
      <c r="C22" s="20"/>
      <c r="D22" s="20" t="s">
        <v>35</v>
      </c>
      <c r="E22" s="21" t="s">
        <v>24</v>
      </c>
      <c r="F22" s="22"/>
      <c r="G22" s="23">
        <v>16</v>
      </c>
      <c r="H22" s="23">
        <f>SUM($G$22:$G$22)</f>
        <v>16</v>
      </c>
      <c r="I22" s="50">
        <f t="array" ref="I22">INDEX(М[Цена за ед., руб],MATCH(1,IF(($B22=М[Наим.])*($C22=М[Артикул,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  <c r="J22" s="50">
        <f>ROUND($H$22*$I$22,2)</f>
        <v>0</v>
      </c>
      <c r="K22" s="20"/>
      <c r="L22" s="20">
        <f t="array" ref="L22">INDEX(М[Форма закупа],MATCH(1,IF(($B22=М[Наим.])*($C22=М[Артикул, марка, произв.])*($D22=М[Хар-ка])*($K22=М[Прим.]),{1},($B22=М[Наим.])*($C22=М[Артикул, марка, произв.])*($D22=М[Хар-ка])*($K22=М[Прим.])),0))</f>
        <v>0</v>
      </c>
    </row>
    <row r="23" spans="1:12" ht="11.1" customHeight="1" outlineLevel="4" x14ac:dyDescent="0.2">
      <c r="A23" s="18" t="s">
        <v>31</v>
      </c>
      <c r="B23" s="19" t="s">
        <v>36</v>
      </c>
      <c r="C23" s="20"/>
      <c r="D23" s="20" t="s">
        <v>37</v>
      </c>
      <c r="E23" s="21" t="s">
        <v>24</v>
      </c>
      <c r="F23" s="22"/>
      <c r="G23" s="23">
        <v>16</v>
      </c>
      <c r="H23" s="23">
        <f>SUM($G$23:$G$23)</f>
        <v>16</v>
      </c>
      <c r="I23" s="50">
        <f t="array" ref="I23">INDEX(М[Цена за ед., руб],MATCH(1,IF(($B23=М[Наим.])*($C23=М[Артикул,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  <c r="J23" s="50">
        <f>ROUND($H$23*$I$23,2)</f>
        <v>0</v>
      </c>
      <c r="K23" s="20"/>
      <c r="L23" s="20">
        <f t="array" ref="L23">INDEX(М[Форма закупа],MATCH(1,IF(($B23=М[Наим.])*($C23=М[Артикул, марка, произв.])*($D23=М[Хар-ка])*($K23=М[Прим.]),{1},($B23=М[Наим.])*($C23=М[Артикул, марка, произв.])*($D23=М[Хар-ка])*($K23=М[Прим.])),0))</f>
        <v>0</v>
      </c>
    </row>
    <row r="24" spans="1:12" ht="35.1" customHeight="1" outlineLevel="4" x14ac:dyDescent="0.2">
      <c r="A24" s="18" t="s">
        <v>38</v>
      </c>
      <c r="B24" s="19" t="s">
        <v>39</v>
      </c>
      <c r="C24" s="20"/>
      <c r="D24" s="20" t="s">
        <v>40</v>
      </c>
      <c r="E24" s="21" t="s">
        <v>24</v>
      </c>
      <c r="F24" s="22"/>
      <c r="G24" s="23">
        <v>16</v>
      </c>
      <c r="H24" s="23">
        <f>SUM($G$24:$G$24)</f>
        <v>16</v>
      </c>
      <c r="I24" s="50">
        <f t="array" ref="I24">INDEX(М[Цена за ед., руб],MATCH(1,IF(($B24=М[Наим.])*($C24=М[Артикул,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  <c r="J24" s="50">
        <f>ROUND($H$24*$I$24,2)</f>
        <v>0</v>
      </c>
      <c r="K24" s="20" t="s">
        <v>41</v>
      </c>
      <c r="L24" s="20">
        <f t="array" ref="L24">INDEX(М[Форма закупа],MATCH(1,IF(($B24=М[Наим.])*($C24=М[Артикул, марка, произв.])*($D24=М[Хар-ка])*($K24=М[Прим.]),{1},($B24=М[Наим.])*($C24=М[Артикул, марка, произв.])*($D24=М[Хар-ка])*($K24=М[Прим.])),0))</f>
        <v>0</v>
      </c>
    </row>
    <row r="25" spans="1:12" ht="11.1" customHeight="1" outlineLevel="4" x14ac:dyDescent="0.2">
      <c r="A25" s="15"/>
      <c r="B25" s="9" t="s">
        <v>22</v>
      </c>
      <c r="C25" s="16"/>
      <c r="D25" s="16"/>
      <c r="E25" s="16"/>
      <c r="F25" s="16"/>
      <c r="G25" s="16"/>
      <c r="H25" s="16"/>
      <c r="I25" s="48"/>
      <c r="J25" s="49">
        <f>SUM($J$26)</f>
        <v>0</v>
      </c>
      <c r="K25" s="13"/>
      <c r="L25" s="17"/>
    </row>
    <row r="26" spans="1:12" ht="23.1" customHeight="1" outlineLevel="4" x14ac:dyDescent="0.2">
      <c r="A26" s="18"/>
      <c r="B26" s="19" t="s">
        <v>42</v>
      </c>
      <c r="C26" s="20"/>
      <c r="D26" s="20"/>
      <c r="E26" s="21" t="s">
        <v>24</v>
      </c>
      <c r="F26" s="22"/>
      <c r="G26" s="23">
        <v>2</v>
      </c>
      <c r="H26" s="23">
        <f>SUM($G$26:$G$26)</f>
        <v>2</v>
      </c>
      <c r="I26" s="50">
        <f t="array" ref="I26">INDEX(Р[Цена за ед., руб],MATCH(1,IF(($B26=Р[Наименование])*($K26=Р[Примечание]),{1},($B26=Р[Наименование])*($K26=Р[Примечание])),0))</f>
        <v>0</v>
      </c>
      <c r="J26" s="50">
        <f>ROUND($H$26*$I$26,2)</f>
        <v>0</v>
      </c>
      <c r="K26" s="20"/>
      <c r="L26" s="20"/>
    </row>
    <row r="27" spans="1:12" ht="11.1" customHeight="1" outlineLevel="4" x14ac:dyDescent="0.2">
      <c r="A27" s="15"/>
      <c r="B27" s="9" t="s">
        <v>26</v>
      </c>
      <c r="C27" s="16"/>
      <c r="D27" s="16"/>
      <c r="E27" s="16"/>
      <c r="F27" s="16"/>
      <c r="G27" s="16"/>
      <c r="H27" s="16"/>
      <c r="I27" s="48"/>
      <c r="J27" s="49">
        <f>SUM($J$28:$J$29)</f>
        <v>0</v>
      </c>
      <c r="K27" s="13"/>
      <c r="L27" s="17"/>
    </row>
    <row r="28" spans="1:12" ht="23.1" customHeight="1" outlineLevel="4" x14ac:dyDescent="0.2">
      <c r="A28" s="18" t="s">
        <v>27</v>
      </c>
      <c r="B28" s="19" t="s">
        <v>43</v>
      </c>
      <c r="C28" s="20" t="s">
        <v>44</v>
      </c>
      <c r="D28" s="20" t="s">
        <v>45</v>
      </c>
      <c r="E28" s="21" t="s">
        <v>24</v>
      </c>
      <c r="F28" s="22"/>
      <c r="G28" s="23">
        <v>1</v>
      </c>
      <c r="H28" s="23">
        <f>SUM($G$28:$G$28)</f>
        <v>1</v>
      </c>
      <c r="I28" s="50">
        <f t="array" ref="I28">INDEX(М[Цена за ед., руб],MATCH(1,IF(($B28=М[Наим.])*($C28=М[Артикул,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  <c r="J28" s="50">
        <f>ROUND($H$28*$I$28,2)</f>
        <v>0</v>
      </c>
      <c r="K28" s="20"/>
      <c r="L28" s="20">
        <f t="array" ref="L28">INDEX(М[Форма закупа],MATCH(1,IF(($B28=М[Наим.])*($C28=М[Артикул, марка, произв.])*($D28=М[Хар-ка])*($K28=М[Прим.]),{1},($B28=М[Наим.])*($C28=М[Артикул, марка, произв.])*($D28=М[Хар-ка])*($K28=М[Прим.])),0))</f>
        <v>0</v>
      </c>
    </row>
    <row r="29" spans="1:12" ht="35.1" customHeight="1" outlineLevel="4" x14ac:dyDescent="0.2">
      <c r="A29" s="18" t="s">
        <v>31</v>
      </c>
      <c r="B29" s="19" t="s">
        <v>46</v>
      </c>
      <c r="C29" s="20" t="s">
        <v>44</v>
      </c>
      <c r="D29" s="20" t="s">
        <v>47</v>
      </c>
      <c r="E29" s="21" t="s">
        <v>24</v>
      </c>
      <c r="F29" s="22"/>
      <c r="G29" s="23">
        <v>1</v>
      </c>
      <c r="H29" s="23">
        <f>SUM($G$29:$G$29)</f>
        <v>1</v>
      </c>
      <c r="I29" s="50">
        <f t="array" ref="I29">INDEX(М[Цена за ед., руб],MATCH(1,IF(($B29=М[Наим.])*($C29=М[Артикул,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  <c r="J29" s="50">
        <f>ROUND($H$29*$I$29,2)</f>
        <v>0</v>
      </c>
      <c r="K29" s="20"/>
      <c r="L29" s="20">
        <f t="array" ref="L29">INDEX(М[Форма закупа],MATCH(1,IF(($B29=М[Наим.])*($C29=М[Артикул, марка, произв.])*($D29=М[Хар-ка])*($K29=М[Прим.]),{1},($B29=М[Наим.])*($C29=М[Артикул, марка, произв.])*($D29=М[Хар-ка])*($K29=М[Прим.])),0))</f>
        <v>0</v>
      </c>
    </row>
    <row r="30" spans="1:12" ht="11.1" customHeight="1" outlineLevel="4" x14ac:dyDescent="0.2">
      <c r="A30" s="15"/>
      <c r="B30" s="9" t="s">
        <v>22</v>
      </c>
      <c r="C30" s="16"/>
      <c r="D30" s="16"/>
      <c r="E30" s="16"/>
      <c r="F30" s="16"/>
      <c r="G30" s="16"/>
      <c r="H30" s="16"/>
      <c r="I30" s="48"/>
      <c r="J30" s="49">
        <f>SUM($J$31)</f>
        <v>0</v>
      </c>
      <c r="K30" s="13"/>
      <c r="L30" s="17"/>
    </row>
    <row r="31" spans="1:12" ht="23.1" customHeight="1" outlineLevel="4" x14ac:dyDescent="0.2">
      <c r="A31" s="18"/>
      <c r="B31" s="19" t="s">
        <v>48</v>
      </c>
      <c r="C31" s="20"/>
      <c r="D31" s="20"/>
      <c r="E31" s="21" t="s">
        <v>24</v>
      </c>
      <c r="F31" s="22"/>
      <c r="G31" s="23">
        <v>6</v>
      </c>
      <c r="H31" s="23">
        <f>SUM($G$31:$G$31)</f>
        <v>6</v>
      </c>
      <c r="I31" s="50">
        <f t="array" ref="I31">INDEX(Р[Цена за ед., руб],MATCH(1,IF(($B31=Р[Наименование])*($K31=Р[Примечание]),{1},($B31=Р[Наименование])*($K31=Р[Примечание])),0))</f>
        <v>0</v>
      </c>
      <c r="J31" s="50">
        <f>ROUND($H$31*$I$31,2)</f>
        <v>0</v>
      </c>
      <c r="K31" s="20"/>
      <c r="L31" s="20"/>
    </row>
    <row r="32" spans="1:12" ht="11.1" customHeight="1" outlineLevel="4" x14ac:dyDescent="0.2">
      <c r="A32" s="15"/>
      <c r="B32" s="9" t="s">
        <v>26</v>
      </c>
      <c r="C32" s="16"/>
      <c r="D32" s="16"/>
      <c r="E32" s="16"/>
      <c r="F32" s="16"/>
      <c r="G32" s="16"/>
      <c r="H32" s="16"/>
      <c r="I32" s="48"/>
      <c r="J32" s="49">
        <f>SUM($J$33)</f>
        <v>0</v>
      </c>
      <c r="K32" s="13"/>
      <c r="L32" s="17"/>
    </row>
    <row r="33" spans="1:12" ht="23.1" customHeight="1" outlineLevel="4" x14ac:dyDescent="0.2">
      <c r="A33" s="18" t="s">
        <v>27</v>
      </c>
      <c r="B33" s="19" t="s">
        <v>43</v>
      </c>
      <c r="C33" s="20" t="s">
        <v>29</v>
      </c>
      <c r="D33" s="20" t="s">
        <v>49</v>
      </c>
      <c r="E33" s="21" t="s">
        <v>24</v>
      </c>
      <c r="F33" s="22"/>
      <c r="G33" s="23">
        <v>6</v>
      </c>
      <c r="H33" s="23">
        <f>SUM($G$33:$G$33)</f>
        <v>6</v>
      </c>
      <c r="I33" s="50">
        <f t="array" ref="I33">INDEX(М[Цена за ед., руб],MATCH(1,IF(($B33=М[Наим.])*($C33=М[Артикул,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  <c r="J33" s="50">
        <f>ROUND($H$33*$I$33,2)</f>
        <v>0</v>
      </c>
      <c r="K33" s="20"/>
      <c r="L33" s="20">
        <f t="array" ref="L33">INDEX(М[Форма закупа],MATCH(1,IF(($B33=М[Наим.])*($C33=М[Артикул, марка, произв.])*($D33=М[Хар-ка])*($K33=М[Прим.]),{1},($B33=М[Наим.])*($C33=М[Артикул, марка, произв.])*($D33=М[Хар-ка])*($K33=М[Прим.])),0))</f>
        <v>0</v>
      </c>
    </row>
    <row r="34" spans="1:12" ht="11.1" customHeight="1" outlineLevel="4" x14ac:dyDescent="0.2">
      <c r="A34" s="15"/>
      <c r="B34" s="9" t="s">
        <v>22</v>
      </c>
      <c r="C34" s="16"/>
      <c r="D34" s="16"/>
      <c r="E34" s="16"/>
      <c r="F34" s="16"/>
      <c r="G34" s="16"/>
      <c r="H34" s="16"/>
      <c r="I34" s="48"/>
      <c r="J34" s="49">
        <f>SUM($J$35)</f>
        <v>0</v>
      </c>
      <c r="K34" s="13"/>
      <c r="L34" s="17"/>
    </row>
    <row r="35" spans="1:12" ht="23.1" customHeight="1" outlineLevel="4" x14ac:dyDescent="0.2">
      <c r="A35" s="18"/>
      <c r="B35" s="19" t="s">
        <v>50</v>
      </c>
      <c r="C35" s="20"/>
      <c r="D35" s="20"/>
      <c r="E35" s="21" t="s">
        <v>24</v>
      </c>
      <c r="F35" s="22"/>
      <c r="G35" s="23">
        <v>12</v>
      </c>
      <c r="H35" s="23">
        <f>SUM($G$35:$G$35)</f>
        <v>12</v>
      </c>
      <c r="I35" s="50">
        <f t="array" ref="I35">INDEX(Р[Цена за ед., руб],MATCH(1,IF(($B35=Р[Наименование])*($K35=Р[Примечание]),{1},($B35=Р[Наименование])*($K35=Р[Примечание])),0))</f>
        <v>0</v>
      </c>
      <c r="J35" s="50">
        <f>ROUND($H$35*$I$35,2)</f>
        <v>0</v>
      </c>
      <c r="K35" s="20"/>
      <c r="L35" s="20"/>
    </row>
    <row r="36" spans="1:12" ht="11.1" customHeight="1" outlineLevel="4" x14ac:dyDescent="0.2">
      <c r="A36" s="15"/>
      <c r="B36" s="9" t="s">
        <v>26</v>
      </c>
      <c r="C36" s="16"/>
      <c r="D36" s="16"/>
      <c r="E36" s="16"/>
      <c r="F36" s="16"/>
      <c r="G36" s="16"/>
      <c r="H36" s="16"/>
      <c r="I36" s="48"/>
      <c r="J36" s="49">
        <f>SUM($J$37:$J$38)</f>
        <v>0</v>
      </c>
      <c r="K36" s="13"/>
      <c r="L36" s="17"/>
    </row>
    <row r="37" spans="1:12" ht="35.1" customHeight="1" outlineLevel="4" x14ac:dyDescent="0.2">
      <c r="A37" s="18" t="s">
        <v>27</v>
      </c>
      <c r="B37" s="19" t="s">
        <v>51</v>
      </c>
      <c r="C37" s="20" t="s">
        <v>44</v>
      </c>
      <c r="D37" s="20" t="s">
        <v>52</v>
      </c>
      <c r="E37" s="21" t="s">
        <v>24</v>
      </c>
      <c r="F37" s="22"/>
      <c r="G37" s="23">
        <v>2</v>
      </c>
      <c r="H37" s="23">
        <f>SUM($G$37:$G$37)</f>
        <v>2</v>
      </c>
      <c r="I37" s="50">
        <f t="array" ref="I37">INDEX(М[Цена за ед., руб],MATCH(1,IF(($B37=М[Наим.])*($C37=М[Артикул,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  <c r="J37" s="50">
        <f>ROUND($H$37*$I$37,2)</f>
        <v>0</v>
      </c>
      <c r="K37" s="20"/>
      <c r="L37" s="20">
        <f t="array" ref="L37">INDEX(М[Форма закупа],MATCH(1,IF(($B37=М[Наим.])*($C37=М[Артикул, марка, произв.])*($D37=М[Хар-ка])*($K37=М[Прим.]),{1},($B37=М[Наим.])*($C37=М[Артикул, марка, произв.])*($D37=М[Хар-ка])*($K37=М[Прим.])),0))</f>
        <v>0</v>
      </c>
    </row>
    <row r="38" spans="1:12" ht="23.1" customHeight="1" outlineLevel="4" x14ac:dyDescent="0.2">
      <c r="A38" s="18" t="s">
        <v>31</v>
      </c>
      <c r="B38" s="19" t="s">
        <v>51</v>
      </c>
      <c r="C38" s="20" t="s">
        <v>44</v>
      </c>
      <c r="D38" s="20" t="s">
        <v>53</v>
      </c>
      <c r="E38" s="21" t="s">
        <v>24</v>
      </c>
      <c r="F38" s="22"/>
      <c r="G38" s="23">
        <v>10</v>
      </c>
      <c r="H38" s="23">
        <f>SUM($G$38:$G$38)</f>
        <v>10</v>
      </c>
      <c r="I38" s="50">
        <f t="array" ref="I38">INDEX(М[Цена за ед., руб],MATCH(1,IF(($B38=М[Наим.])*($C38=М[Артикул,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  <c r="J38" s="50">
        <f>ROUND($H$38*$I$38,2)</f>
        <v>0</v>
      </c>
      <c r="K38" s="20"/>
      <c r="L38" s="20">
        <f t="array" ref="L38">INDEX(М[Форма закупа],MATCH(1,IF(($B38=М[Наим.])*($C38=М[Артикул, марка, произв.])*($D38=М[Хар-ка])*($K38=М[Прим.]),{1},($B38=М[Наим.])*($C38=М[Артикул, марка, произв.])*($D38=М[Хар-ка])*($K38=М[Прим.])),0))</f>
        <v>0</v>
      </c>
    </row>
    <row r="39" spans="1:12" ht="11.1" customHeight="1" outlineLevel="4" x14ac:dyDescent="0.2">
      <c r="A39" s="15"/>
      <c r="B39" s="9" t="s">
        <v>22</v>
      </c>
      <c r="C39" s="16"/>
      <c r="D39" s="16"/>
      <c r="E39" s="16"/>
      <c r="F39" s="16"/>
      <c r="G39" s="16"/>
      <c r="H39" s="16"/>
      <c r="I39" s="48"/>
      <c r="J39" s="49">
        <f>SUM($J$40)</f>
        <v>0</v>
      </c>
      <c r="K39" s="13"/>
      <c r="L39" s="17"/>
    </row>
    <row r="40" spans="1:12" ht="23.1" customHeight="1" outlineLevel="4" x14ac:dyDescent="0.2">
      <c r="A40" s="18"/>
      <c r="B40" s="19" t="s">
        <v>54</v>
      </c>
      <c r="C40" s="20"/>
      <c r="D40" s="20"/>
      <c r="E40" s="21" t="s">
        <v>24</v>
      </c>
      <c r="F40" s="22"/>
      <c r="G40" s="23">
        <v>1</v>
      </c>
      <c r="H40" s="23">
        <f>SUM($G$40:$G$40)</f>
        <v>1</v>
      </c>
      <c r="I40" s="50">
        <f t="array" ref="I40">INDEX(Р[Цена за ед., руб],MATCH(1,IF(($B40=Р[Наименование])*($K40=Р[Примечание]),{1},($B40=Р[Наименование])*($K40=Р[Примечание])),0))</f>
        <v>0</v>
      </c>
      <c r="J40" s="50">
        <f>ROUND($H$40*$I$40,2)</f>
        <v>0</v>
      </c>
      <c r="K40" s="20"/>
      <c r="L40" s="20"/>
    </row>
    <row r="41" spans="1:12" ht="11.1" customHeight="1" outlineLevel="4" x14ac:dyDescent="0.2">
      <c r="A41" s="15"/>
      <c r="B41" s="9" t="s">
        <v>26</v>
      </c>
      <c r="C41" s="16"/>
      <c r="D41" s="16"/>
      <c r="E41" s="16"/>
      <c r="F41" s="16"/>
      <c r="G41" s="16"/>
      <c r="H41" s="16"/>
      <c r="I41" s="48"/>
      <c r="J41" s="49">
        <f>SUM($J$42)</f>
        <v>0</v>
      </c>
      <c r="K41" s="13"/>
      <c r="L41" s="17"/>
    </row>
    <row r="42" spans="1:12" ht="35.1" customHeight="1" outlineLevel="4" x14ac:dyDescent="0.2">
      <c r="A42" s="18" t="s">
        <v>27</v>
      </c>
      <c r="B42" s="19" t="s">
        <v>55</v>
      </c>
      <c r="C42" s="20"/>
      <c r="D42" s="20" t="s">
        <v>56</v>
      </c>
      <c r="E42" s="21" t="s">
        <v>24</v>
      </c>
      <c r="F42" s="22"/>
      <c r="G42" s="23">
        <v>1</v>
      </c>
      <c r="H42" s="23">
        <f>SUM($G$42:$G$42)</f>
        <v>1</v>
      </c>
      <c r="I42" s="50">
        <f t="array" ref="I42">INDEX(М[Цена за ед., руб],MATCH(1,IF(($B42=М[Наим.])*($C42=М[Артикул,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  <c r="J42" s="50">
        <f>ROUND($H$42*$I$42,2)</f>
        <v>0</v>
      </c>
      <c r="K42" s="20" t="s">
        <v>57</v>
      </c>
      <c r="L42" s="20">
        <f t="array" ref="L42">INDEX(М[Форма закупа],MATCH(1,IF(($B42=М[Наим.])*($C42=М[Артикул, марка, произв.])*($D42=М[Хар-ка])*($K42=М[Прим.]),{1},($B42=М[Наим.])*($C42=М[Артикул, марка, произв.])*($D42=М[Хар-ка])*($K42=М[Прим.])),0))</f>
        <v>0</v>
      </c>
    </row>
    <row r="43" spans="1:12" ht="11.1" customHeight="1" outlineLevel="4" x14ac:dyDescent="0.2">
      <c r="A43" s="15"/>
      <c r="B43" s="9" t="s">
        <v>22</v>
      </c>
      <c r="C43" s="16"/>
      <c r="D43" s="16"/>
      <c r="E43" s="16"/>
      <c r="F43" s="16"/>
      <c r="G43" s="16"/>
      <c r="H43" s="16"/>
      <c r="I43" s="48"/>
      <c r="J43" s="49">
        <f>SUM($J$44)</f>
        <v>0</v>
      </c>
      <c r="K43" s="13"/>
      <c r="L43" s="17"/>
    </row>
    <row r="44" spans="1:12" ht="11.1" customHeight="1" outlineLevel="4" x14ac:dyDescent="0.2">
      <c r="A44" s="18"/>
      <c r="B44" s="19" t="s">
        <v>58</v>
      </c>
      <c r="C44" s="20"/>
      <c r="D44" s="20"/>
      <c r="E44" s="21" t="s">
        <v>24</v>
      </c>
      <c r="F44" s="22"/>
      <c r="G44" s="23">
        <v>8</v>
      </c>
      <c r="H44" s="23">
        <f>SUM($G$44:$G$44)</f>
        <v>8</v>
      </c>
      <c r="I44" s="50">
        <f t="array" ref="I44">INDEX(Р[Цена за ед., руб],MATCH(1,IF(($B44=Р[Наименование])*($K44=Р[Примечание]),{1},($B44=Р[Наименование])*($K44=Р[Примечание])),0))</f>
        <v>0</v>
      </c>
      <c r="J44" s="50">
        <f>ROUND($H$44*$I$44,2)</f>
        <v>0</v>
      </c>
      <c r="K44" s="20"/>
      <c r="L44" s="20"/>
    </row>
    <row r="45" spans="1:12" ht="11.1" customHeight="1" outlineLevel="4" x14ac:dyDescent="0.2">
      <c r="A45" s="15"/>
      <c r="B45" s="9" t="s">
        <v>26</v>
      </c>
      <c r="C45" s="16"/>
      <c r="D45" s="16"/>
      <c r="E45" s="16"/>
      <c r="F45" s="16"/>
      <c r="G45" s="16"/>
      <c r="H45" s="16"/>
      <c r="I45" s="48"/>
      <c r="J45" s="49">
        <f>SUM($J$46:$J$47)</f>
        <v>0</v>
      </c>
      <c r="K45" s="13"/>
      <c r="L45" s="17"/>
    </row>
    <row r="46" spans="1:12" ht="23.1" customHeight="1" outlineLevel="4" x14ac:dyDescent="0.2">
      <c r="A46" s="18" t="s">
        <v>27</v>
      </c>
      <c r="B46" s="19" t="s">
        <v>59</v>
      </c>
      <c r="C46" s="20"/>
      <c r="D46" s="20" t="s">
        <v>60</v>
      </c>
      <c r="E46" s="21" t="s">
        <v>24</v>
      </c>
      <c r="F46" s="22"/>
      <c r="G46" s="23">
        <v>8</v>
      </c>
      <c r="H46" s="23">
        <f>SUM($G$46:$G$46)</f>
        <v>8</v>
      </c>
      <c r="I46" s="53">
        <f t="array" ref="I46">INDEX(М[Цена за ед., руб],MATCH(1,IF(($B46=М[Наим.])*($C46=М[Артикул,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  <c r="J46" s="57">
        <f>ROUND($H$46*$I$46,2)</f>
        <v>0</v>
      </c>
      <c r="K46" s="55" t="s">
        <v>61</v>
      </c>
      <c r="L46" s="20">
        <f t="array" ref="L46">INDEX(М[Форма закупа],MATCH(1,IF(($B46=М[Наим.])*($C46=М[Артикул, марка, произв.])*($D46=М[Хар-ка])*($K46=М[Прим.]),{1},($B46=М[Наим.])*($C46=М[Артикул, марка, произв.])*($D46=М[Хар-ка])*($K46=М[Прим.])),0))</f>
        <v>0</v>
      </c>
    </row>
    <row r="47" spans="1:12" ht="23.1" customHeight="1" outlineLevel="4" x14ac:dyDescent="0.2">
      <c r="A47" s="18"/>
      <c r="B47" s="19" t="s">
        <v>139</v>
      </c>
      <c r="C47" s="20"/>
      <c r="D47" s="20" t="s">
        <v>140</v>
      </c>
      <c r="E47" s="21" t="s">
        <v>24</v>
      </c>
      <c r="F47" s="22"/>
      <c r="G47" s="23">
        <f>G46*2</f>
        <v>16</v>
      </c>
      <c r="H47" s="23">
        <f>SUM(G47)</f>
        <v>16</v>
      </c>
      <c r="I47" s="53">
        <f t="array" ref="I47">INDEX(М[Цена за ед., руб],MATCH(1,IF(($B47=М[Наим.])*($C47=М[Артикул,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  <c r="J47" s="57">
        <f>I47*H47</f>
        <v>0</v>
      </c>
      <c r="K47" s="55"/>
      <c r="L47" s="20">
        <f t="array" ref="L47">INDEX(М[Форма закупа],MATCH(1,IF(($B47=М[Наим.])*($C47=М[Артикул, марка, произв.])*($D47=М[Хар-ка])*($K47=М[Прим.]),{1},($B47=М[Наим.])*($C47=М[Артикул, марка, произв.])*($D47=М[Хар-ка])*($K47=М[Прим.])),0))</f>
        <v>0</v>
      </c>
    </row>
    <row r="48" spans="1:12" ht="11.1" customHeight="1" outlineLevel="4" x14ac:dyDescent="0.2">
      <c r="A48" s="15"/>
      <c r="B48" s="9" t="s">
        <v>22</v>
      </c>
      <c r="C48" s="16"/>
      <c r="D48" s="16"/>
      <c r="E48" s="16"/>
      <c r="F48" s="16"/>
      <c r="G48" s="16"/>
      <c r="H48" s="16"/>
      <c r="I48" s="54"/>
      <c r="J48" s="58">
        <f>SUM($J$49)</f>
        <v>0</v>
      </c>
      <c r="K48" s="56"/>
      <c r="L48" s="17"/>
    </row>
    <row r="49" spans="1:12" ht="11.1" customHeight="1" outlineLevel="4" x14ac:dyDescent="0.2">
      <c r="A49" s="18"/>
      <c r="B49" s="19" t="s">
        <v>62</v>
      </c>
      <c r="C49" s="20"/>
      <c r="D49" s="20"/>
      <c r="E49" s="21" t="s">
        <v>63</v>
      </c>
      <c r="F49" s="22"/>
      <c r="G49" s="23">
        <v>80</v>
      </c>
      <c r="H49" s="23">
        <f>SUM($G$49:$G$49)</f>
        <v>80</v>
      </c>
      <c r="I49" s="53">
        <f t="array" ref="I49">INDEX(Р[Цена за ед., руб],MATCH(1,IF(($B49=Р[Наименование])*($K49=Р[Примечание]),{1},($B49=Р[Наименование])*($K49=Р[Примечание])),0))</f>
        <v>0</v>
      </c>
      <c r="J49" s="57">
        <f>ROUND($H$49*$I$49,2)</f>
        <v>0</v>
      </c>
      <c r="K49" s="55"/>
      <c r="L49" s="20"/>
    </row>
    <row r="50" spans="1:12" ht="11.1" customHeight="1" outlineLevel="4" x14ac:dyDescent="0.2">
      <c r="A50" s="15"/>
      <c r="B50" s="9" t="s">
        <v>26</v>
      </c>
      <c r="C50" s="16"/>
      <c r="D50" s="16"/>
      <c r="E50" s="16"/>
      <c r="F50" s="16"/>
      <c r="G50" s="16"/>
      <c r="H50" s="16"/>
      <c r="I50" s="54"/>
      <c r="J50" s="58">
        <f>SUM($J$51:$J$52)</f>
        <v>0</v>
      </c>
      <c r="K50" s="56"/>
      <c r="L50" s="17"/>
    </row>
    <row r="51" spans="1:12" ht="23.1" customHeight="1" outlineLevel="4" x14ac:dyDescent="0.2">
      <c r="A51" s="18" t="s">
        <v>27</v>
      </c>
      <c r="B51" s="19" t="s">
        <v>64</v>
      </c>
      <c r="C51" s="20"/>
      <c r="D51" s="20" t="s">
        <v>65</v>
      </c>
      <c r="E51" s="21" t="s">
        <v>63</v>
      </c>
      <c r="F51" s="22"/>
      <c r="G51" s="23">
        <v>20</v>
      </c>
      <c r="H51" s="23">
        <f>SUM($G$51:$G$51)</f>
        <v>20</v>
      </c>
      <c r="I51" s="50">
        <f t="array" ref="I51">INDEX(М[Цена за ед., руб],MATCH(1,IF(($B51=М[Наим.])*($C51=М[Артикул,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  <c r="J51" s="52">
        <f>ROUND($H$51*$I$51,2)</f>
        <v>0</v>
      </c>
      <c r="K51" s="20"/>
      <c r="L51" s="20">
        <f t="array" ref="L51">INDEX(М[Форма закупа],MATCH(1,IF(($B51=М[Наим.])*($C51=М[Артикул, марка, произв.])*($D51=М[Хар-ка])*($K51=М[Прим.]),{1},($B51=М[Наим.])*($C51=М[Артикул, марка, произв.])*($D51=М[Хар-ка])*($K51=М[Прим.])),0))</f>
        <v>0</v>
      </c>
    </row>
    <row r="52" spans="1:12" ht="11.1" customHeight="1" outlineLevel="4" x14ac:dyDescent="0.2">
      <c r="A52" s="18" t="s">
        <v>31</v>
      </c>
      <c r="B52" s="19" t="s">
        <v>66</v>
      </c>
      <c r="C52" s="20"/>
      <c r="D52" s="20" t="s">
        <v>67</v>
      </c>
      <c r="E52" s="21" t="s">
        <v>63</v>
      </c>
      <c r="F52" s="22"/>
      <c r="G52" s="23">
        <v>60</v>
      </c>
      <c r="H52" s="23">
        <f>SUM($G$52:$G$52)</f>
        <v>60</v>
      </c>
      <c r="I52" s="50">
        <f t="array" ref="I52">INDEX(М[Цена за ед., руб],MATCH(1,IF(($B52=М[Наим.])*($C52=М[Артикул,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  <c r="J52" s="50">
        <f>ROUND($H$52*$I$52,2)</f>
        <v>0</v>
      </c>
      <c r="K52" s="20"/>
      <c r="L52" s="20">
        <f t="array" ref="L52">INDEX(М[Форма закупа],MATCH(1,IF(($B52=М[Наим.])*($C52=М[Артикул, марка, произв.])*($D52=М[Хар-ка])*($K52=М[Прим.]),{1},($B52=М[Наим.])*($C52=М[Артикул, марка, произв.])*($D52=М[Хар-ка])*($K52=М[Прим.])),0))</f>
        <v>0</v>
      </c>
    </row>
    <row r="53" spans="1:12" ht="11.1" customHeight="1" outlineLevel="4" x14ac:dyDescent="0.2">
      <c r="A53" s="15"/>
      <c r="B53" s="9" t="s">
        <v>22</v>
      </c>
      <c r="C53" s="16"/>
      <c r="D53" s="16"/>
      <c r="E53" s="16"/>
      <c r="F53" s="16"/>
      <c r="G53" s="16"/>
      <c r="H53" s="16"/>
      <c r="I53" s="48"/>
      <c r="J53" s="49">
        <f>SUM($J$54)</f>
        <v>0</v>
      </c>
      <c r="K53" s="13"/>
      <c r="L53" s="17"/>
    </row>
    <row r="54" spans="1:12" ht="11.1" customHeight="1" outlineLevel="4" x14ac:dyDescent="0.2">
      <c r="A54" s="18"/>
      <c r="B54" s="19" t="s">
        <v>68</v>
      </c>
      <c r="C54" s="20"/>
      <c r="D54" s="20"/>
      <c r="E54" s="21" t="s">
        <v>69</v>
      </c>
      <c r="F54" s="22"/>
      <c r="G54" s="23">
        <v>465</v>
      </c>
      <c r="H54" s="23">
        <f>SUM($G$54:$G$54)</f>
        <v>465</v>
      </c>
      <c r="I54" s="50">
        <f t="array" ref="I54">INDEX(Р[Цена за ед., руб],MATCH(1,IF(($B54=Р[Наименование])*($K54=Р[Примечание]),{1},($B54=Р[Наименование])*($K54=Р[Примечание])),0))</f>
        <v>0</v>
      </c>
      <c r="J54" s="50">
        <f>ROUND($H$54*$I$54,2)</f>
        <v>0</v>
      </c>
      <c r="K54" s="20"/>
      <c r="L54" s="20"/>
    </row>
    <row r="55" spans="1:12" ht="11.1" customHeight="1" outlineLevel="4" x14ac:dyDescent="0.2">
      <c r="A55" s="15"/>
      <c r="B55" s="9" t="s">
        <v>26</v>
      </c>
      <c r="C55" s="16"/>
      <c r="D55" s="16"/>
      <c r="E55" s="16"/>
      <c r="F55" s="16"/>
      <c r="G55" s="16"/>
      <c r="H55" s="16"/>
      <c r="I55" s="48"/>
      <c r="J55" s="49">
        <f>SUM($J$56:$J$58)</f>
        <v>0</v>
      </c>
      <c r="K55" s="13"/>
      <c r="L55" s="17"/>
    </row>
    <row r="56" spans="1:12" ht="11.1" customHeight="1" outlineLevel="4" x14ac:dyDescent="0.2">
      <c r="A56" s="86" t="s">
        <v>27</v>
      </c>
      <c r="B56" s="19" t="s">
        <v>70</v>
      </c>
      <c r="C56" s="20"/>
      <c r="D56" s="20" t="s">
        <v>71</v>
      </c>
      <c r="E56" s="21" t="s">
        <v>69</v>
      </c>
      <c r="F56" s="22"/>
      <c r="G56" s="23">
        <v>325</v>
      </c>
      <c r="H56" s="23">
        <f>SUM($G$56:$G$56)</f>
        <v>325</v>
      </c>
      <c r="I56" s="50">
        <f t="array" ref="I56">INDEX(М[Цена за ед., руб],MATCH(1,IF(($B56=М[Наим.])*($C56=М[Артикул,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  <c r="J56" s="50">
        <f>ROUND($H$56*$I$56,2)</f>
        <v>0</v>
      </c>
      <c r="K56" s="20"/>
      <c r="L56" s="20">
        <f t="array" ref="L56">INDEX(М[Форма закупа],MATCH(1,IF(($B56=М[Наим.])*($C56=М[Артикул, марка, произв.])*($D56=М[Хар-ка])*($K56=М[Прим.]),{1},($B56=М[Наим.])*($C56=М[Артикул, марка, произв.])*($D56=М[Хар-ка])*($K56=М[Прим.])),0))</f>
        <v>0</v>
      </c>
    </row>
    <row r="57" spans="1:12" ht="11.1" customHeight="1" outlineLevel="4" x14ac:dyDescent="0.2">
      <c r="A57" s="86" t="s">
        <v>31</v>
      </c>
      <c r="B57" s="19" t="s">
        <v>70</v>
      </c>
      <c r="C57" s="20"/>
      <c r="D57" s="20" t="s">
        <v>72</v>
      </c>
      <c r="E57" s="21" t="s">
        <v>69</v>
      </c>
      <c r="F57" s="22"/>
      <c r="G57" s="23">
        <v>130</v>
      </c>
      <c r="H57" s="23">
        <f>SUM($G$57:$G$57)</f>
        <v>130</v>
      </c>
      <c r="I57" s="50">
        <f t="array" ref="I57">INDEX(М[Цена за ед., руб],MATCH(1,IF(($B57=М[Наим.])*($C57=М[Артикул,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  <c r="J57" s="50">
        <f>ROUND($H$57*$I$57,2)</f>
        <v>0</v>
      </c>
      <c r="K57" s="20"/>
      <c r="L57" s="20">
        <f t="array" ref="L57">INDEX(М[Форма закупа],MATCH(1,IF(($B57=М[Наим.])*($C57=М[Артикул, марка, произв.])*($D57=М[Хар-ка])*($K57=М[Прим.]),{1},($B57=М[Наим.])*($C57=М[Артикул, марка, произв.])*($D57=М[Хар-ка])*($K57=М[Прим.])),0))</f>
        <v>0</v>
      </c>
    </row>
    <row r="58" spans="1:12" ht="11.1" customHeight="1" outlineLevel="4" x14ac:dyDescent="0.2">
      <c r="A58" s="86" t="s">
        <v>38</v>
      </c>
      <c r="B58" s="19" t="s">
        <v>70</v>
      </c>
      <c r="C58" s="20"/>
      <c r="D58" s="20" t="s">
        <v>73</v>
      </c>
      <c r="E58" s="21" t="s">
        <v>69</v>
      </c>
      <c r="F58" s="22"/>
      <c r="G58" s="23">
        <v>10</v>
      </c>
      <c r="H58" s="23">
        <f>SUM($G$58:$G$58)</f>
        <v>10</v>
      </c>
      <c r="I58" s="50">
        <f t="array" ref="I58">INDEX(М[Цена за ед., руб],MATCH(1,IF(($B58=М[Наим.])*($C58=М[Артикул,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  <c r="J58" s="50">
        <f>ROUND($H$58*$I$58,2)</f>
        <v>0</v>
      </c>
      <c r="K58" s="20"/>
      <c r="L58" s="20">
        <f t="array" ref="L58">INDEX(М[Форма закупа],MATCH(1,IF(($B58=М[Наим.])*($C58=М[Артикул, марка, произв.])*($D58=М[Хар-ка])*($K58=М[Прим.]),{1},($B58=М[Наим.])*($C58=М[Артикул, марка, произв.])*($D58=М[Хар-ка])*($K58=М[Прим.])),0))</f>
        <v>0</v>
      </c>
    </row>
    <row r="59" spans="1:12" ht="35.1" customHeight="1" outlineLevel="2" x14ac:dyDescent="0.2">
      <c r="A59" s="8" t="s">
        <v>75</v>
      </c>
      <c r="B59" s="9" t="s">
        <v>76</v>
      </c>
      <c r="C59" s="10"/>
      <c r="D59" s="10"/>
      <c r="E59" s="11"/>
      <c r="F59" s="12"/>
      <c r="G59" s="13"/>
      <c r="H59" s="13"/>
      <c r="I59" s="47"/>
      <c r="J59" s="47">
        <f>SUM($J$60)</f>
        <v>0</v>
      </c>
      <c r="K59" s="14"/>
      <c r="L59" s="14"/>
    </row>
    <row r="60" spans="1:12" ht="35.1" customHeight="1" outlineLevel="3" x14ac:dyDescent="0.2">
      <c r="A60" s="8" t="s">
        <v>77</v>
      </c>
      <c r="B60" s="9" t="s">
        <v>76</v>
      </c>
      <c r="C60" s="10"/>
      <c r="D60" s="10"/>
      <c r="E60" s="11"/>
      <c r="F60" s="12"/>
      <c r="G60" s="13"/>
      <c r="H60" s="13"/>
      <c r="I60" s="47"/>
      <c r="J60" s="47">
        <f>SUM($J$124,$J$122,$J$118,$J$116,$J$113,$J$111,$J$108,$J$106,$J$104,$J$102,$J$100,$J$98,$J$95,$J$93,$J$90,$J$88,$J$86,$J$84,$J$81,$J$79,$J$76,$J$74,$J$72,$J$70,$J$65,$J$63,$J$61)</f>
        <v>0</v>
      </c>
      <c r="K60" s="14"/>
      <c r="L60" s="14"/>
    </row>
    <row r="61" spans="1:12" ht="11.1" customHeight="1" outlineLevel="4" x14ac:dyDescent="0.2">
      <c r="A61" s="15"/>
      <c r="B61" s="9" t="s">
        <v>22</v>
      </c>
      <c r="C61" s="16"/>
      <c r="D61" s="16"/>
      <c r="E61" s="16"/>
      <c r="F61" s="16"/>
      <c r="G61" s="16"/>
      <c r="H61" s="16"/>
      <c r="I61" s="48"/>
      <c r="J61" s="49">
        <f>SUM($J$62)</f>
        <v>0</v>
      </c>
      <c r="K61" s="13"/>
      <c r="L61" s="17"/>
    </row>
    <row r="62" spans="1:12" ht="11.1" customHeight="1" outlineLevel="4" x14ac:dyDescent="0.2">
      <c r="A62" s="18"/>
      <c r="B62" s="19" t="s">
        <v>78</v>
      </c>
      <c r="C62" s="20"/>
      <c r="D62" s="20"/>
      <c r="E62" s="21" t="s">
        <v>24</v>
      </c>
      <c r="F62" s="22"/>
      <c r="G62" s="23">
        <v>4</v>
      </c>
      <c r="H62" s="23">
        <f>SUM($G$62:$G$62)</f>
        <v>4</v>
      </c>
      <c r="I62" s="50">
        <f t="array" ref="I62">INDEX(Р[Цена за ед., руб],MATCH(1,IF(($B62=Р[Наименование])*($K62=Р[Примечание]),{1},($B62=Р[Наименование])*($K62=Р[Примечание])),0))</f>
        <v>0</v>
      </c>
      <c r="J62" s="50">
        <f>ROUND($H$62*$I$62,2)</f>
        <v>0</v>
      </c>
      <c r="K62" s="20"/>
      <c r="L62" s="20"/>
    </row>
    <row r="63" spans="1:12" ht="11.1" customHeight="1" outlineLevel="4" x14ac:dyDescent="0.2">
      <c r="A63" s="15"/>
      <c r="B63" s="9" t="s">
        <v>22</v>
      </c>
      <c r="C63" s="16"/>
      <c r="D63" s="16"/>
      <c r="E63" s="16"/>
      <c r="F63" s="16"/>
      <c r="G63" s="16"/>
      <c r="H63" s="16"/>
      <c r="I63" s="48"/>
      <c r="J63" s="49">
        <f>SUM($J$64)</f>
        <v>0</v>
      </c>
      <c r="K63" s="13"/>
      <c r="L63" s="17"/>
    </row>
    <row r="64" spans="1:12" ht="11.1" customHeight="1" outlineLevel="4" x14ac:dyDescent="0.2">
      <c r="A64" s="18"/>
      <c r="B64" s="19" t="s">
        <v>25</v>
      </c>
      <c r="C64" s="20"/>
      <c r="D64" s="20"/>
      <c r="E64" s="21" t="s">
        <v>24</v>
      </c>
      <c r="F64" s="22"/>
      <c r="G64" s="23">
        <v>16</v>
      </c>
      <c r="H64" s="23">
        <f>SUM($G$64:$G$64)</f>
        <v>16</v>
      </c>
      <c r="I64" s="50">
        <f t="array" ref="I64">INDEX(Р[Цена за ед., руб],MATCH(1,IF(($B64=Р[Наименование])*($K64=Р[Примечание]),{1},($B64=Р[Наименование])*($K64=Р[Примечание])),0))</f>
        <v>0</v>
      </c>
      <c r="J64" s="50">
        <f>ROUND($H$64*$I$64,2)</f>
        <v>0</v>
      </c>
      <c r="K64" s="20"/>
      <c r="L64" s="20"/>
    </row>
    <row r="65" spans="1:12" ht="11.1" customHeight="1" outlineLevel="4" x14ac:dyDescent="0.2">
      <c r="A65" s="15"/>
      <c r="B65" s="9" t="s">
        <v>26</v>
      </c>
      <c r="C65" s="16"/>
      <c r="D65" s="16"/>
      <c r="E65" s="16"/>
      <c r="F65" s="16"/>
      <c r="G65" s="16"/>
      <c r="H65" s="16"/>
      <c r="I65" s="48"/>
      <c r="J65" s="49">
        <f>SUM($J$66:$J$69)</f>
        <v>0</v>
      </c>
      <c r="K65" s="13"/>
      <c r="L65" s="17"/>
    </row>
    <row r="66" spans="1:12" ht="59.1" customHeight="1" outlineLevel="4" x14ac:dyDescent="0.2">
      <c r="A66" s="18" t="s">
        <v>27</v>
      </c>
      <c r="B66" s="19" t="s">
        <v>28</v>
      </c>
      <c r="C66" s="20" t="s">
        <v>29</v>
      </c>
      <c r="D66" s="20" t="s">
        <v>30</v>
      </c>
      <c r="E66" s="21" t="s">
        <v>24</v>
      </c>
      <c r="F66" s="22"/>
      <c r="G66" s="23">
        <v>9</v>
      </c>
      <c r="H66" s="23">
        <f>SUM($G$66:$G$66)</f>
        <v>9</v>
      </c>
      <c r="I66" s="50">
        <f t="array" ref="I66">INDEX(М[Цена за ед., руб],MATCH(1,IF(($B66=М[Наим.])*($C66=М[Артикул,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  <c r="J66" s="50">
        <f>ROUND($H$66*$I$66,2)</f>
        <v>0</v>
      </c>
      <c r="K66" s="20"/>
      <c r="L66" s="20">
        <f t="array" ref="L66">INDEX(М[Форма закупа],MATCH(1,IF(($B66=М[Наим.])*($C66=М[Артикул, марка, произв.])*($D66=М[Хар-ка])*($K66=М[Прим.]),{1},($B66=М[Наим.])*($C66=М[Артикул, марка, произв.])*($D66=М[Хар-ка])*($K66=М[Прим.])),0))</f>
        <v>0</v>
      </c>
    </row>
    <row r="67" spans="1:12" ht="59.1" customHeight="1" outlineLevel="4" x14ac:dyDescent="0.2">
      <c r="A67" s="18" t="s">
        <v>31</v>
      </c>
      <c r="B67" s="19" t="s">
        <v>28</v>
      </c>
      <c r="C67" s="20" t="s">
        <v>29</v>
      </c>
      <c r="D67" s="20" t="s">
        <v>79</v>
      </c>
      <c r="E67" s="21" t="s">
        <v>24</v>
      </c>
      <c r="F67" s="22"/>
      <c r="G67" s="23">
        <v>2</v>
      </c>
      <c r="H67" s="23">
        <f>SUM($G$67:$G$67)</f>
        <v>2</v>
      </c>
      <c r="I67" s="50">
        <f t="array" ref="I67">INDEX(М[Цена за ед., руб],MATCH(1,IF(($B67=М[Наим.])*($C67=М[Артикул,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  <c r="J67" s="50">
        <f>ROUND($H$67*$I$67,2)</f>
        <v>0</v>
      </c>
      <c r="K67" s="20"/>
      <c r="L67" s="20">
        <f t="array" ref="L67">INDEX(М[Форма закупа],MATCH(1,IF(($B67=М[Наим.])*($C67=М[Артикул, марка, произв.])*($D67=М[Хар-ка])*($K67=М[Прим.]),{1},($B67=М[Наим.])*($C67=М[Артикул, марка, произв.])*($D67=М[Хар-ка])*($K67=М[Прим.])),0))</f>
        <v>0</v>
      </c>
    </row>
    <row r="68" spans="1:12" ht="47.1" customHeight="1" outlineLevel="4" x14ac:dyDescent="0.2">
      <c r="A68" s="18" t="s">
        <v>38</v>
      </c>
      <c r="B68" s="19" t="s">
        <v>28</v>
      </c>
      <c r="C68" s="20" t="s">
        <v>29</v>
      </c>
      <c r="D68" s="20" t="s">
        <v>80</v>
      </c>
      <c r="E68" s="21" t="s">
        <v>24</v>
      </c>
      <c r="F68" s="22"/>
      <c r="G68" s="23">
        <v>2</v>
      </c>
      <c r="H68" s="23">
        <f>SUM($G$68:$G$68)</f>
        <v>2</v>
      </c>
      <c r="I68" s="50">
        <f t="array" ref="I68">INDEX(М[Цена за ед., руб],MATCH(1,IF(($B68=М[Наим.])*($C68=М[Артикул,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  <c r="J68" s="50">
        <f>ROUND($H$68*$I$68,2)</f>
        <v>0</v>
      </c>
      <c r="K68" s="20"/>
      <c r="L68" s="20">
        <f t="array" ref="L68">INDEX(М[Форма закупа],MATCH(1,IF(($B68=М[Наим.])*($C68=М[Артикул, марка, произв.])*($D68=М[Хар-ка])*($K68=М[Прим.]),{1},($B68=М[Наим.])*($C68=М[Артикул, марка, произв.])*($D68=М[Хар-ка])*($K68=М[Прим.])),0))</f>
        <v>0</v>
      </c>
    </row>
    <row r="69" spans="1:12" ht="59.1" customHeight="1" outlineLevel="4" x14ac:dyDescent="0.2">
      <c r="A69" s="18" t="s">
        <v>81</v>
      </c>
      <c r="B69" s="19" t="s">
        <v>28</v>
      </c>
      <c r="C69" s="20" t="s">
        <v>29</v>
      </c>
      <c r="D69" s="20" t="s">
        <v>32</v>
      </c>
      <c r="E69" s="21" t="s">
        <v>24</v>
      </c>
      <c r="F69" s="22"/>
      <c r="G69" s="23">
        <v>3</v>
      </c>
      <c r="H69" s="23">
        <f>SUM($G$69:$G$69)</f>
        <v>3</v>
      </c>
      <c r="I69" s="50">
        <f t="array" ref="I69">INDEX(М[Цена за ед., руб],MATCH(1,IF(($B69=М[Наим.])*($C69=М[Артикул,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  <c r="J69" s="50">
        <f>ROUND($H$69*$I$69,2)</f>
        <v>0</v>
      </c>
      <c r="K69" s="20"/>
      <c r="L69" s="20">
        <f t="array" ref="L69">INDEX(М[Форма закупа],MATCH(1,IF(($B69=М[Наим.])*($C69=М[Артикул, марка, произв.])*($D69=М[Хар-ка])*($K69=М[Прим.]),{1},($B69=М[Наим.])*($C69=М[Артикул, марка, произв.])*($D69=М[Хар-ка])*($K69=М[Прим.])),0))</f>
        <v>0</v>
      </c>
    </row>
    <row r="70" spans="1:12" ht="11.1" customHeight="1" outlineLevel="4" x14ac:dyDescent="0.2">
      <c r="A70" s="15"/>
      <c r="B70" s="9" t="s">
        <v>22</v>
      </c>
      <c r="C70" s="16"/>
      <c r="D70" s="16"/>
      <c r="E70" s="16"/>
      <c r="F70" s="16"/>
      <c r="G70" s="16"/>
      <c r="H70" s="16"/>
      <c r="I70" s="48"/>
      <c r="J70" s="49">
        <f>SUM($J$71)</f>
        <v>0</v>
      </c>
      <c r="K70" s="13"/>
      <c r="L70" s="17"/>
    </row>
    <row r="71" spans="1:12" ht="23.1" customHeight="1" outlineLevel="4" x14ac:dyDescent="0.2">
      <c r="A71" s="18"/>
      <c r="B71" s="19" t="s">
        <v>42</v>
      </c>
      <c r="C71" s="20"/>
      <c r="D71" s="20"/>
      <c r="E71" s="21" t="s">
        <v>24</v>
      </c>
      <c r="F71" s="22"/>
      <c r="G71" s="23">
        <v>1</v>
      </c>
      <c r="H71" s="23">
        <f>SUM($G$71:$G$71)</f>
        <v>1</v>
      </c>
      <c r="I71" s="50">
        <f t="array" ref="I71">INDEX(Р[Цена за ед., руб],MATCH(1,IF(($B71=Р[Наименование])*($K71=Р[Примечание]),{1},($B71=Р[Наименование])*($K71=Р[Примечание])),0))</f>
        <v>0</v>
      </c>
      <c r="J71" s="50">
        <f>ROUND($H$71*$I$71,2)</f>
        <v>0</v>
      </c>
      <c r="K71" s="20"/>
      <c r="L71" s="20"/>
    </row>
    <row r="72" spans="1:12" ht="11.1" customHeight="1" outlineLevel="4" x14ac:dyDescent="0.2">
      <c r="A72" s="15"/>
      <c r="B72" s="9" t="s">
        <v>26</v>
      </c>
      <c r="C72" s="16"/>
      <c r="D72" s="16"/>
      <c r="E72" s="16"/>
      <c r="F72" s="16"/>
      <c r="G72" s="16"/>
      <c r="H72" s="16"/>
      <c r="I72" s="48"/>
      <c r="J72" s="49">
        <f>SUM($J$73)</f>
        <v>0</v>
      </c>
      <c r="K72" s="13"/>
      <c r="L72" s="17"/>
    </row>
    <row r="73" spans="1:12" ht="23.1" customHeight="1" outlineLevel="4" x14ac:dyDescent="0.2">
      <c r="A73" s="18" t="s">
        <v>27</v>
      </c>
      <c r="B73" s="19" t="s">
        <v>43</v>
      </c>
      <c r="C73" s="20" t="s">
        <v>44</v>
      </c>
      <c r="D73" s="20" t="s">
        <v>45</v>
      </c>
      <c r="E73" s="21" t="s">
        <v>24</v>
      </c>
      <c r="F73" s="22"/>
      <c r="G73" s="23">
        <v>1</v>
      </c>
      <c r="H73" s="23">
        <f>SUM($G$73:$G$73)</f>
        <v>1</v>
      </c>
      <c r="I73" s="50">
        <f t="array" ref="I73">INDEX(М[Цена за ед., руб],MATCH(1,IF(($B73=М[Наим.])*($C73=М[Артикул,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  <c r="J73" s="50">
        <f>ROUND($H$73*$I$73,2)</f>
        <v>0</v>
      </c>
      <c r="K73" s="20"/>
      <c r="L73" s="20">
        <f t="array" ref="L73">INDEX(М[Форма закупа],MATCH(1,IF(($B73=М[Наим.])*($C73=М[Артикул, марка, произв.])*($D73=М[Хар-ка])*($K73=М[Прим.]),{1},($B73=М[Наим.])*($C73=М[Артикул, марка, произв.])*($D73=М[Хар-ка])*($K73=М[Прим.])),0))</f>
        <v>0</v>
      </c>
    </row>
    <row r="74" spans="1:12" ht="11.1" customHeight="1" outlineLevel="4" x14ac:dyDescent="0.2">
      <c r="A74" s="15"/>
      <c r="B74" s="9" t="s">
        <v>22</v>
      </c>
      <c r="C74" s="16"/>
      <c r="D74" s="16"/>
      <c r="E74" s="16"/>
      <c r="F74" s="16"/>
      <c r="G74" s="16"/>
      <c r="H74" s="16"/>
      <c r="I74" s="48"/>
      <c r="J74" s="49">
        <f>SUM($J$75)</f>
        <v>0</v>
      </c>
      <c r="K74" s="13"/>
      <c r="L74" s="17"/>
    </row>
    <row r="75" spans="1:12" ht="23.1" customHeight="1" outlineLevel="4" x14ac:dyDescent="0.2">
      <c r="A75" s="18"/>
      <c r="B75" s="19" t="s">
        <v>48</v>
      </c>
      <c r="C75" s="20"/>
      <c r="D75" s="20"/>
      <c r="E75" s="21" t="s">
        <v>24</v>
      </c>
      <c r="F75" s="22"/>
      <c r="G75" s="23">
        <v>6</v>
      </c>
      <c r="H75" s="23">
        <f>SUM($G$75:$G$75)</f>
        <v>6</v>
      </c>
      <c r="I75" s="50">
        <f t="array" ref="I75">INDEX(Р[Цена за ед., руб],MATCH(1,IF(($B75=Р[Наименование])*($K75=Р[Примечание]),{1},($B75=Р[Наименование])*($K75=Р[Примечание])),0))</f>
        <v>0</v>
      </c>
      <c r="J75" s="50">
        <f>ROUND($H$75*$I$75,2)</f>
        <v>0</v>
      </c>
      <c r="K75" s="20"/>
      <c r="L75" s="20"/>
    </row>
    <row r="76" spans="1:12" ht="11.1" customHeight="1" outlineLevel="4" x14ac:dyDescent="0.2">
      <c r="A76" s="15"/>
      <c r="B76" s="9" t="s">
        <v>26</v>
      </c>
      <c r="C76" s="16"/>
      <c r="D76" s="16"/>
      <c r="E76" s="16"/>
      <c r="F76" s="16"/>
      <c r="G76" s="16"/>
      <c r="H76" s="16"/>
      <c r="I76" s="48"/>
      <c r="J76" s="49">
        <f>SUM($J$77:$J$78)</f>
        <v>0</v>
      </c>
      <c r="K76" s="13"/>
      <c r="L76" s="17"/>
    </row>
    <row r="77" spans="1:12" ht="23.1" customHeight="1" outlineLevel="4" x14ac:dyDescent="0.2">
      <c r="A77" s="18" t="s">
        <v>27</v>
      </c>
      <c r="B77" s="19" t="s">
        <v>43</v>
      </c>
      <c r="C77" s="20" t="s">
        <v>29</v>
      </c>
      <c r="D77" s="20" t="s">
        <v>82</v>
      </c>
      <c r="E77" s="21" t="s">
        <v>24</v>
      </c>
      <c r="F77" s="22"/>
      <c r="G77" s="23">
        <v>2</v>
      </c>
      <c r="H77" s="23">
        <f>SUM($G$77:$G$77)</f>
        <v>2</v>
      </c>
      <c r="I77" s="50">
        <f t="array" ref="I77">INDEX(М[Цена за ед., руб],MATCH(1,IF(($B77=М[Наим.])*($C77=М[Артикул,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  <c r="J77" s="50">
        <f>ROUND($H$77*$I$77,2)</f>
        <v>0</v>
      </c>
      <c r="K77" s="20"/>
      <c r="L77" s="20">
        <f t="array" ref="L77">INDEX(М[Форма закупа],MATCH(1,IF(($B77=М[Наим.])*($C77=М[Артикул, марка, произв.])*($D77=М[Хар-ка])*($K77=М[Прим.]),{1},($B77=М[Наим.])*($C77=М[Артикул, марка, произв.])*($D77=М[Хар-ка])*($K77=М[Прим.])),0))</f>
        <v>0</v>
      </c>
    </row>
    <row r="78" spans="1:12" ht="23.1" customHeight="1" outlineLevel="4" x14ac:dyDescent="0.2">
      <c r="A78" s="18" t="s">
        <v>31</v>
      </c>
      <c r="B78" s="19" t="s">
        <v>43</v>
      </c>
      <c r="C78" s="20" t="s">
        <v>29</v>
      </c>
      <c r="D78" s="20" t="s">
        <v>49</v>
      </c>
      <c r="E78" s="21" t="s">
        <v>24</v>
      </c>
      <c r="F78" s="24">
        <v>1</v>
      </c>
      <c r="G78" s="23">
        <v>4</v>
      </c>
      <c r="H78" s="23">
        <f>SUM($G$78:$G$78)</f>
        <v>4</v>
      </c>
      <c r="I78" s="50">
        <f t="array" ref="I78">INDEX(М[Цена за ед., руб],MATCH(1,IF(($B78=М[Наим.])*($C78=М[Артикул,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  <c r="J78" s="50">
        <f>ROUND($H$78*$I$78,2)</f>
        <v>0</v>
      </c>
      <c r="K78" s="20"/>
      <c r="L78" s="20">
        <f t="array" ref="L78">INDEX(М[Форма закупа],MATCH(1,IF(($B78=М[Наим.])*($C78=М[Артикул, марка, произв.])*($D78=М[Хар-ка])*($K78=М[Прим.]),{1},($B78=М[Наим.])*($C78=М[Артикул, марка, произв.])*($D78=М[Хар-ка])*($K78=М[Прим.])),0))</f>
        <v>0</v>
      </c>
    </row>
    <row r="79" spans="1:12" ht="11.1" customHeight="1" outlineLevel="4" x14ac:dyDescent="0.2">
      <c r="A79" s="15"/>
      <c r="B79" s="9" t="s">
        <v>22</v>
      </c>
      <c r="C79" s="16"/>
      <c r="D79" s="16"/>
      <c r="E79" s="16"/>
      <c r="F79" s="16"/>
      <c r="G79" s="16"/>
      <c r="H79" s="16"/>
      <c r="I79" s="48"/>
      <c r="J79" s="49">
        <f>SUM($J$80)</f>
        <v>0</v>
      </c>
      <c r="K79" s="13"/>
      <c r="L79" s="17"/>
    </row>
    <row r="80" spans="1:12" ht="23.1" customHeight="1" outlineLevel="4" x14ac:dyDescent="0.2">
      <c r="A80" s="18"/>
      <c r="B80" s="19" t="s">
        <v>50</v>
      </c>
      <c r="C80" s="20"/>
      <c r="D80" s="20"/>
      <c r="E80" s="21" t="s">
        <v>24</v>
      </c>
      <c r="F80" s="22"/>
      <c r="G80" s="23">
        <v>52</v>
      </c>
      <c r="H80" s="23">
        <f>SUM($G$80:$G$80)</f>
        <v>52</v>
      </c>
      <c r="I80" s="50">
        <f t="array" ref="I80">INDEX(Р[Цена за ед., руб],MATCH(1,IF(($B80=Р[Наименование])*($K80=Р[Примечание]),{1},($B80=Р[Наименование])*($K80=Р[Примечание])),0))</f>
        <v>0</v>
      </c>
      <c r="J80" s="50">
        <f>ROUND($H$80*$I$80,2)</f>
        <v>0</v>
      </c>
      <c r="K80" s="20"/>
      <c r="L80" s="20"/>
    </row>
    <row r="81" spans="1:12" ht="11.1" customHeight="1" outlineLevel="4" x14ac:dyDescent="0.2">
      <c r="A81" s="15"/>
      <c r="B81" s="9" t="s">
        <v>26</v>
      </c>
      <c r="C81" s="16"/>
      <c r="D81" s="16"/>
      <c r="E81" s="16"/>
      <c r="F81" s="16"/>
      <c r="G81" s="16"/>
      <c r="H81" s="16"/>
      <c r="I81" s="48"/>
      <c r="J81" s="49">
        <f>SUM($J$82:$J$83)</f>
        <v>0</v>
      </c>
      <c r="K81" s="13"/>
      <c r="L81" s="17"/>
    </row>
    <row r="82" spans="1:12" ht="35.1" customHeight="1" outlineLevel="4" x14ac:dyDescent="0.2">
      <c r="A82" s="18" t="s">
        <v>27</v>
      </c>
      <c r="B82" s="19" t="s">
        <v>51</v>
      </c>
      <c r="C82" s="20" t="s">
        <v>44</v>
      </c>
      <c r="D82" s="20" t="s">
        <v>52</v>
      </c>
      <c r="E82" s="21" t="s">
        <v>24</v>
      </c>
      <c r="F82" s="24">
        <v>1</v>
      </c>
      <c r="G82" s="23">
        <v>2</v>
      </c>
      <c r="H82" s="23">
        <f>SUM($G$82:$G$82)</f>
        <v>2</v>
      </c>
      <c r="I82" s="50">
        <f t="array" ref="I82">INDEX(М[Цена за ед., руб],MATCH(1,IF(($B82=М[Наим.])*($C82=М[Артикул,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  <c r="J82" s="50">
        <f>ROUND($H$82*$I$82,2)</f>
        <v>0</v>
      </c>
      <c r="K82" s="20"/>
      <c r="L82" s="20">
        <f t="array" ref="L82">INDEX(М[Форма закупа],MATCH(1,IF(($B82=М[Наим.])*($C82=М[Артикул, марка, произв.])*($D82=М[Хар-ка])*($K82=М[Прим.]),{1},($B82=М[Наим.])*($C82=М[Артикул, марка, произв.])*($D82=М[Хар-ка])*($K82=М[Прим.])),0))</f>
        <v>0</v>
      </c>
    </row>
    <row r="83" spans="1:12" ht="23.1" customHeight="1" outlineLevel="4" x14ac:dyDescent="0.2">
      <c r="A83" s="18" t="s">
        <v>31</v>
      </c>
      <c r="B83" s="19" t="s">
        <v>51</v>
      </c>
      <c r="C83" s="20" t="s">
        <v>44</v>
      </c>
      <c r="D83" s="20" t="s">
        <v>53</v>
      </c>
      <c r="E83" s="21" t="s">
        <v>24</v>
      </c>
      <c r="F83" s="22"/>
      <c r="G83" s="23">
        <v>50</v>
      </c>
      <c r="H83" s="23">
        <f>SUM($G$83:$G$83)</f>
        <v>50</v>
      </c>
      <c r="I83" s="50">
        <f t="array" ref="I83">INDEX(М[Цена за ед., руб],MATCH(1,IF(($B83=М[Наим.])*($C83=М[Артикул,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  <c r="J83" s="50">
        <f>ROUND($H$83*$I$83,2)</f>
        <v>0</v>
      </c>
      <c r="K83" s="20"/>
      <c r="L83" s="20">
        <f t="array" ref="L83">INDEX(М[Форма закупа],MATCH(1,IF(($B83=М[Наим.])*($C83=М[Артикул, марка, произв.])*($D83=М[Хар-ка])*($K83=М[Прим.]),{1},($B83=М[Наим.])*($C83=М[Артикул, марка, произв.])*($D83=М[Хар-ка])*($K83=М[Прим.])),0))</f>
        <v>0</v>
      </c>
    </row>
    <row r="84" spans="1:12" ht="11.1" customHeight="1" outlineLevel="4" x14ac:dyDescent="0.2">
      <c r="A84" s="15"/>
      <c r="B84" s="9" t="s">
        <v>22</v>
      </c>
      <c r="C84" s="16"/>
      <c r="D84" s="16"/>
      <c r="E84" s="16"/>
      <c r="F84" s="16"/>
      <c r="G84" s="16"/>
      <c r="H84" s="16"/>
      <c r="I84" s="48"/>
      <c r="J84" s="49">
        <f>SUM($J$85)</f>
        <v>0</v>
      </c>
      <c r="K84" s="13"/>
      <c r="L84" s="17"/>
    </row>
    <row r="85" spans="1:12" ht="23.1" customHeight="1" outlineLevel="4" x14ac:dyDescent="0.2">
      <c r="A85" s="18"/>
      <c r="B85" s="19" t="s">
        <v>83</v>
      </c>
      <c r="C85" s="20"/>
      <c r="D85" s="20"/>
      <c r="E85" s="21" t="s">
        <v>24</v>
      </c>
      <c r="F85" s="22"/>
      <c r="G85" s="23">
        <v>9</v>
      </c>
      <c r="H85" s="23">
        <f>SUM($G$85:$G$85)</f>
        <v>9</v>
      </c>
      <c r="I85" s="50">
        <f t="array" ref="I85">INDEX(Р[Цена за ед., руб],MATCH(1,IF(($B85=Р[Наименование])*($K85=Р[Примечание]),{1},($B85=Р[Наименование])*($K85=Р[Примечание])),0))</f>
        <v>0</v>
      </c>
      <c r="J85" s="50">
        <f>ROUND($H$85*$I$85,2)</f>
        <v>0</v>
      </c>
      <c r="K85" s="20"/>
      <c r="L85" s="20"/>
    </row>
    <row r="86" spans="1:12" ht="11.1" customHeight="1" outlineLevel="4" x14ac:dyDescent="0.2">
      <c r="A86" s="15"/>
      <c r="B86" s="9" t="s">
        <v>26</v>
      </c>
      <c r="C86" s="16"/>
      <c r="D86" s="16"/>
      <c r="E86" s="16"/>
      <c r="F86" s="16"/>
      <c r="G86" s="16"/>
      <c r="H86" s="16"/>
      <c r="I86" s="48"/>
      <c r="J86" s="49">
        <f>SUM($J$87)</f>
        <v>0</v>
      </c>
      <c r="K86" s="13"/>
      <c r="L86" s="17"/>
    </row>
    <row r="87" spans="1:12" ht="23.1" customHeight="1" outlineLevel="4" x14ac:dyDescent="0.2">
      <c r="A87" s="18" t="s">
        <v>27</v>
      </c>
      <c r="B87" s="19" t="s">
        <v>51</v>
      </c>
      <c r="C87" s="20" t="s">
        <v>44</v>
      </c>
      <c r="D87" s="20" t="s">
        <v>84</v>
      </c>
      <c r="E87" s="21" t="s">
        <v>24</v>
      </c>
      <c r="F87" s="22"/>
      <c r="G87" s="23">
        <v>9</v>
      </c>
      <c r="H87" s="23">
        <f>SUM($G$87:$G$87)</f>
        <v>9</v>
      </c>
      <c r="I87" s="50">
        <f t="array" ref="I87">INDEX(М[Цена за ед., руб],MATCH(1,IF(($B87=М[Наим.])*($C87=М[Артикул,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  <c r="J87" s="50">
        <f>ROUND($H$87*$I$87,2)</f>
        <v>0</v>
      </c>
      <c r="K87" s="20"/>
      <c r="L87" s="20">
        <f t="array" ref="L87">INDEX(М[Форма закупа],MATCH(1,IF(($B87=М[Наим.])*($C87=М[Артикул, марка, произв.])*($D87=М[Хар-ка])*($K87=М[Прим.]),{1},($B87=М[Наим.])*($C87=М[Артикул, марка, произв.])*($D87=М[Хар-ка])*($K87=М[Прим.])),0))</f>
        <v>0</v>
      </c>
    </row>
    <row r="88" spans="1:12" ht="11.1" customHeight="1" outlineLevel="4" x14ac:dyDescent="0.2">
      <c r="A88" s="15"/>
      <c r="B88" s="9" t="s">
        <v>22</v>
      </c>
      <c r="C88" s="16"/>
      <c r="D88" s="16"/>
      <c r="E88" s="16"/>
      <c r="F88" s="16"/>
      <c r="G88" s="16"/>
      <c r="H88" s="16"/>
      <c r="I88" s="48"/>
      <c r="J88" s="49">
        <f>SUM($J$89)</f>
        <v>0</v>
      </c>
      <c r="K88" s="13"/>
      <c r="L88" s="17"/>
    </row>
    <row r="89" spans="1:12" ht="23.1" customHeight="1" outlineLevel="4" x14ac:dyDescent="0.2">
      <c r="A89" s="18"/>
      <c r="B89" s="19" t="s">
        <v>85</v>
      </c>
      <c r="C89" s="20"/>
      <c r="D89" s="20"/>
      <c r="E89" s="21" t="s">
        <v>24</v>
      </c>
      <c r="F89" s="22"/>
      <c r="G89" s="23">
        <v>2</v>
      </c>
      <c r="H89" s="23">
        <f>SUM($G$89:$G$89)</f>
        <v>2</v>
      </c>
      <c r="I89" s="50">
        <f t="array" ref="I89">INDEX(Р[Цена за ед., руб],MATCH(1,IF(($B89=Р[Наименование])*($K89=Р[Примечание]),{1},($B89=Р[Наименование])*($K89=Р[Примечание])),0))</f>
        <v>0</v>
      </c>
      <c r="J89" s="50">
        <f>ROUND($H$89*$I$89,2)</f>
        <v>0</v>
      </c>
      <c r="K89" s="20"/>
      <c r="L89" s="20"/>
    </row>
    <row r="90" spans="1:12" ht="11.1" customHeight="1" outlineLevel="4" x14ac:dyDescent="0.2">
      <c r="A90" s="15"/>
      <c r="B90" s="9" t="s">
        <v>26</v>
      </c>
      <c r="C90" s="16"/>
      <c r="D90" s="16"/>
      <c r="E90" s="16"/>
      <c r="F90" s="16"/>
      <c r="G90" s="16"/>
      <c r="H90" s="16"/>
      <c r="I90" s="48"/>
      <c r="J90" s="49">
        <f>SUM($J$91:$J$92)</f>
        <v>0</v>
      </c>
      <c r="K90" s="13"/>
      <c r="L90" s="17"/>
    </row>
    <row r="91" spans="1:12" ht="35.1" customHeight="1" outlineLevel="4" x14ac:dyDescent="0.2">
      <c r="A91" s="18" t="s">
        <v>27</v>
      </c>
      <c r="B91" s="19" t="s">
        <v>55</v>
      </c>
      <c r="C91" s="20" t="s">
        <v>86</v>
      </c>
      <c r="D91" s="20" t="s">
        <v>87</v>
      </c>
      <c r="E91" s="21" t="s">
        <v>24</v>
      </c>
      <c r="F91" s="22"/>
      <c r="G91" s="23">
        <v>1</v>
      </c>
      <c r="H91" s="23">
        <f>SUM($G$91:$G$91)</f>
        <v>1</v>
      </c>
      <c r="I91" s="50">
        <f t="array" ref="I91">INDEX(М[Цена за ед., руб],MATCH(1,IF(($B91=М[Наим.])*($C91=М[Артикул,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  <c r="J91" s="50">
        <f>ROUND($H$91*$I$91,2)</f>
        <v>0</v>
      </c>
      <c r="K91" s="20" t="s">
        <v>88</v>
      </c>
      <c r="L91" s="20">
        <f t="array" ref="L91">INDEX(М[Форма закупа],MATCH(1,IF(($B91=М[Наим.])*($C91=М[Артикул, марка, произв.])*($D91=М[Хар-ка])*($K91=М[Прим.]),{1},($B91=М[Наим.])*($C91=М[Артикул, марка, произв.])*($D91=М[Хар-ка])*($K91=М[Прим.])),0))</f>
        <v>0</v>
      </c>
    </row>
    <row r="92" spans="1:12" ht="23.1" customHeight="1" outlineLevel="4" x14ac:dyDescent="0.2">
      <c r="A92" s="18" t="s">
        <v>31</v>
      </c>
      <c r="B92" s="19" t="s">
        <v>89</v>
      </c>
      <c r="C92" s="20" t="s">
        <v>86</v>
      </c>
      <c r="D92" s="20" t="s">
        <v>90</v>
      </c>
      <c r="E92" s="21" t="s">
        <v>24</v>
      </c>
      <c r="F92" s="22"/>
      <c r="G92" s="23">
        <v>1</v>
      </c>
      <c r="H92" s="23">
        <f>SUM($G$92:$G$92)</f>
        <v>1</v>
      </c>
      <c r="I92" s="50">
        <f t="array" ref="I92">INDEX(М[Цена за ед., руб],MATCH(1,IF(($B92=М[Наим.])*($C92=М[Артикул,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  <c r="J92" s="50">
        <f>ROUND($H$92*$I$92,2)</f>
        <v>0</v>
      </c>
      <c r="K92" s="20" t="s">
        <v>91</v>
      </c>
      <c r="L92" s="20">
        <f t="array" ref="L92">INDEX(М[Форма закупа],MATCH(1,IF(($B92=М[Наим.])*($C92=М[Артикул, марка, произв.])*($D92=М[Хар-ка])*($K92=М[Прим.]),{1},($B92=М[Наим.])*($C92=М[Артикул, марка, произв.])*($D92=М[Хар-ка])*($K92=М[Прим.])),0))</f>
        <v>0</v>
      </c>
    </row>
    <row r="93" spans="1:12" ht="11.1" customHeight="1" outlineLevel="4" x14ac:dyDescent="0.2">
      <c r="A93" s="15"/>
      <c r="B93" s="9" t="s">
        <v>22</v>
      </c>
      <c r="C93" s="16"/>
      <c r="D93" s="16"/>
      <c r="E93" s="16"/>
      <c r="F93" s="16"/>
      <c r="G93" s="16"/>
      <c r="H93" s="16"/>
      <c r="I93" s="48"/>
      <c r="J93" s="49">
        <f>SUM($J$94)</f>
        <v>0</v>
      </c>
      <c r="K93" s="13"/>
      <c r="L93" s="17"/>
    </row>
    <row r="94" spans="1:12" ht="11.1" customHeight="1" outlineLevel="4" x14ac:dyDescent="0.2">
      <c r="A94" s="18"/>
      <c r="B94" s="19" t="s">
        <v>92</v>
      </c>
      <c r="C94" s="20"/>
      <c r="D94" s="20"/>
      <c r="E94" s="21" t="s">
        <v>24</v>
      </c>
      <c r="F94" s="22"/>
      <c r="G94" s="23">
        <v>628</v>
      </c>
      <c r="H94" s="23">
        <f>SUM($G$94:$G$94)</f>
        <v>628</v>
      </c>
      <c r="I94" s="50">
        <f t="array" ref="I94">INDEX(Р[Цена за ед., руб],MATCH(1,IF(($B94=Р[Наименование])*($K94=Р[Примечание]),{1},($B94=Р[Наименование])*($K94=Р[Примечание])),0))</f>
        <v>0</v>
      </c>
      <c r="J94" s="50">
        <f>ROUND($H$94*$I$94,2)</f>
        <v>0</v>
      </c>
      <c r="K94" s="20"/>
      <c r="L94" s="20"/>
    </row>
    <row r="95" spans="1:12" ht="11.1" customHeight="1" outlineLevel="4" x14ac:dyDescent="0.2">
      <c r="A95" s="15"/>
      <c r="B95" s="9" t="s">
        <v>26</v>
      </c>
      <c r="C95" s="16"/>
      <c r="D95" s="16"/>
      <c r="E95" s="16"/>
      <c r="F95" s="16"/>
      <c r="G95" s="16"/>
      <c r="H95" s="16"/>
      <c r="I95" s="48"/>
      <c r="J95" s="49">
        <f>SUM($J$96:$J$97)</f>
        <v>0</v>
      </c>
      <c r="K95" s="13"/>
      <c r="L95" s="17"/>
    </row>
    <row r="96" spans="1:12" ht="47.1" customHeight="1" outlineLevel="4" x14ac:dyDescent="0.2">
      <c r="A96" s="18" t="s">
        <v>27</v>
      </c>
      <c r="B96" s="19" t="s">
        <v>93</v>
      </c>
      <c r="C96" s="20"/>
      <c r="D96" s="20" t="s">
        <v>94</v>
      </c>
      <c r="E96" s="21" t="s">
        <v>24</v>
      </c>
      <c r="F96" s="22"/>
      <c r="G96" s="23">
        <v>628</v>
      </c>
      <c r="H96" s="23">
        <f>SUM($G$96:$G$96)</f>
        <v>628</v>
      </c>
      <c r="I96" s="50">
        <f t="array" ref="I96">INDEX(М[Цена за ед., руб],MATCH(1,IF(($B96=М[Наим.])*($C96=М[Артикул,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  <c r="J96" s="50">
        <f>ROUND($H$96*$I$96,2)</f>
        <v>0</v>
      </c>
      <c r="K96" s="20" t="s">
        <v>95</v>
      </c>
      <c r="L96" s="20">
        <f t="array" ref="L96">INDEX(М[Форма закупа],MATCH(1,IF(($B96=М[Наим.])*($C96=М[Артикул, марка, произв.])*($D96=М[Хар-ка])*($K96=М[Прим.]),{1},($B96=М[Наим.])*($C96=М[Артикул, марка, произв.])*($D96=М[Хар-ка])*($K96=М[Прим.])),0))</f>
        <v>0</v>
      </c>
    </row>
    <row r="97" spans="1:12" ht="47.1" customHeight="1" outlineLevel="4" x14ac:dyDescent="0.2">
      <c r="A97" s="18" t="s">
        <v>31</v>
      </c>
      <c r="B97" s="19" t="s">
        <v>96</v>
      </c>
      <c r="C97" s="20"/>
      <c r="D97" s="20" t="s">
        <v>97</v>
      </c>
      <c r="E97" s="21" t="s">
        <v>24</v>
      </c>
      <c r="F97" s="22"/>
      <c r="G97" s="23">
        <v>628</v>
      </c>
      <c r="H97" s="23">
        <f>SUM($G$97:$G$97)</f>
        <v>628</v>
      </c>
      <c r="I97" s="50">
        <f t="array" ref="I97">INDEX(М[Цена за ед., руб],MATCH(1,IF(($B97=М[Наим.])*($C97=М[Артикул,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  <c r="J97" s="50">
        <f>ROUND($H$97*$I$97,2)</f>
        <v>0</v>
      </c>
      <c r="K97" s="20"/>
      <c r="L97" s="20">
        <f t="array" ref="L97">INDEX(М[Форма закупа],MATCH(1,IF(($B97=М[Наим.])*($C97=М[Артикул, марка, произв.])*($D97=М[Хар-ка])*($K97=М[Прим.]),{1},($B97=М[Наим.])*($C97=М[Артикул, марка, произв.])*($D97=М[Хар-ка])*($K97=М[Прим.])),0))</f>
        <v>0</v>
      </c>
    </row>
    <row r="98" spans="1:12" ht="11.1" customHeight="1" outlineLevel="4" x14ac:dyDescent="0.2">
      <c r="A98" s="15"/>
      <c r="B98" s="9" t="s">
        <v>22</v>
      </c>
      <c r="C98" s="16"/>
      <c r="D98" s="16"/>
      <c r="E98" s="16"/>
      <c r="F98" s="16"/>
      <c r="G98" s="16"/>
      <c r="H98" s="16"/>
      <c r="I98" s="48"/>
      <c r="J98" s="49">
        <f>SUM($J$99)</f>
        <v>0</v>
      </c>
      <c r="K98" s="13"/>
      <c r="L98" s="17"/>
    </row>
    <row r="99" spans="1:12" ht="11.1" customHeight="1" outlineLevel="4" x14ac:dyDescent="0.2">
      <c r="A99" s="18"/>
      <c r="B99" s="19" t="s">
        <v>98</v>
      </c>
      <c r="C99" s="20"/>
      <c r="D99" s="20"/>
      <c r="E99" s="21" t="s">
        <v>24</v>
      </c>
      <c r="F99" s="22"/>
      <c r="G99" s="23">
        <v>1</v>
      </c>
      <c r="H99" s="23">
        <f>SUM($G$99:$G$99)</f>
        <v>1</v>
      </c>
      <c r="I99" s="50">
        <f t="array" ref="I99">INDEX(Р[Цена за ед., руб],MATCH(1,IF(($B99=Р[Наименование])*($K99=Р[Примечание]),{1},($B99=Р[Наименование])*($K99=Р[Примечание])),0))</f>
        <v>0</v>
      </c>
      <c r="J99" s="50">
        <f>ROUND($H$99*$I$99,2)</f>
        <v>0</v>
      </c>
      <c r="K99" s="20"/>
      <c r="L99" s="20"/>
    </row>
    <row r="100" spans="1:12" ht="11.1" customHeight="1" outlineLevel="4" x14ac:dyDescent="0.2">
      <c r="A100" s="15"/>
      <c r="B100" s="9" t="s">
        <v>26</v>
      </c>
      <c r="C100" s="16"/>
      <c r="D100" s="16"/>
      <c r="E100" s="16"/>
      <c r="F100" s="16"/>
      <c r="G100" s="16"/>
      <c r="H100" s="16"/>
      <c r="I100" s="48"/>
      <c r="J100" s="49">
        <f>SUM($J$101)</f>
        <v>0</v>
      </c>
      <c r="K100" s="13"/>
      <c r="L100" s="17"/>
    </row>
    <row r="101" spans="1:12" ht="35.1" customHeight="1" outlineLevel="4" x14ac:dyDescent="0.2">
      <c r="A101" s="18" t="s">
        <v>27</v>
      </c>
      <c r="B101" s="19" t="s">
        <v>99</v>
      </c>
      <c r="C101" s="20"/>
      <c r="D101" s="20" t="s">
        <v>100</v>
      </c>
      <c r="E101" s="21" t="s">
        <v>24</v>
      </c>
      <c r="F101" s="22"/>
      <c r="G101" s="23">
        <v>1</v>
      </c>
      <c r="H101" s="23">
        <f>SUM($G$101:$G$101)</f>
        <v>1</v>
      </c>
      <c r="I101" s="50">
        <f t="array" ref="I101">INDEX(М[Цена за ед., руб],MATCH(1,IF(($B101=М[Наим.])*($C101=М[Артикул,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  <c r="J101" s="50">
        <f>ROUND($H$101*$I$101,2)</f>
        <v>0</v>
      </c>
      <c r="K101" s="20" t="s">
        <v>101</v>
      </c>
      <c r="L101" s="20">
        <f t="array" ref="L101">INDEX(М[Форма закупа],MATCH(1,IF(($B101=М[Наим.])*($C101=М[Артикул, марка, произв.])*($D101=М[Хар-ка])*($K101=М[Прим.]),{1},($B101=М[Наим.])*($C101=М[Артикул, марка, произв.])*($D101=М[Хар-ка])*($K101=М[Прим.])),0))</f>
        <v>0</v>
      </c>
    </row>
    <row r="102" spans="1:12" ht="11.1" customHeight="1" outlineLevel="4" x14ac:dyDescent="0.2">
      <c r="A102" s="15"/>
      <c r="B102" s="9" t="s">
        <v>22</v>
      </c>
      <c r="C102" s="16"/>
      <c r="D102" s="16"/>
      <c r="E102" s="16"/>
      <c r="F102" s="16"/>
      <c r="G102" s="16"/>
      <c r="H102" s="16"/>
      <c r="I102" s="48"/>
      <c r="J102" s="49">
        <f>SUM($J$103)</f>
        <v>0</v>
      </c>
      <c r="K102" s="13"/>
      <c r="L102" s="17"/>
    </row>
    <row r="103" spans="1:12" ht="11.1" customHeight="1" outlineLevel="4" x14ac:dyDescent="0.2">
      <c r="A103" s="18"/>
      <c r="B103" s="19" t="s">
        <v>102</v>
      </c>
      <c r="C103" s="20"/>
      <c r="D103" s="20"/>
      <c r="E103" s="21" t="s">
        <v>24</v>
      </c>
      <c r="F103" s="22"/>
      <c r="G103" s="23">
        <v>1</v>
      </c>
      <c r="H103" s="23">
        <f>SUM($G$103:$G$103)</f>
        <v>1</v>
      </c>
      <c r="I103" s="50">
        <f t="array" ref="I103">INDEX(Р[Цена за ед., руб],MATCH(1,IF(($B103=Р[Наименование])*($K103=Р[Примечание]),{1},($B103=Р[Наименование])*($K103=Р[Примечание])),0))</f>
        <v>0</v>
      </c>
      <c r="J103" s="50">
        <f>ROUND($H$103*$I$103,2)</f>
        <v>0</v>
      </c>
      <c r="K103" s="20"/>
      <c r="L103" s="20"/>
    </row>
    <row r="104" spans="1:12" ht="11.1" customHeight="1" outlineLevel="4" x14ac:dyDescent="0.2">
      <c r="A104" s="15"/>
      <c r="B104" s="9" t="s">
        <v>26</v>
      </c>
      <c r="C104" s="16"/>
      <c r="D104" s="16"/>
      <c r="E104" s="16"/>
      <c r="F104" s="16"/>
      <c r="G104" s="16"/>
      <c r="H104" s="16"/>
      <c r="I104" s="48"/>
      <c r="J104" s="49">
        <f>SUM($J$105)</f>
        <v>0</v>
      </c>
      <c r="K104" s="13"/>
      <c r="L104" s="17"/>
    </row>
    <row r="105" spans="1:12" ht="35.1" customHeight="1" outlineLevel="4" x14ac:dyDescent="0.2">
      <c r="A105" s="18" t="s">
        <v>27</v>
      </c>
      <c r="B105" s="19" t="s">
        <v>103</v>
      </c>
      <c r="C105" s="20"/>
      <c r="D105" s="20" t="s">
        <v>104</v>
      </c>
      <c r="E105" s="21" t="s">
        <v>24</v>
      </c>
      <c r="F105" s="22"/>
      <c r="G105" s="23">
        <v>1</v>
      </c>
      <c r="H105" s="23">
        <f>SUM($G$105:$G$105)</f>
        <v>1</v>
      </c>
      <c r="I105" s="50">
        <f t="array" ref="I105">INDEX(М[Цена за ед., руб],MATCH(1,IF(($B105=М[Наим.])*($C105=М[Артикул,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  <c r="J105" s="50">
        <f>ROUND($H$105*$I$105,2)</f>
        <v>0</v>
      </c>
      <c r="K105" s="20" t="s">
        <v>105</v>
      </c>
      <c r="L105" s="20">
        <f t="array" ref="L105">INDEX(М[Форма закупа],MATCH(1,IF(($B105=М[Наим.])*($C105=М[Артикул, марка, произв.])*($D105=М[Хар-ка])*($K105=М[Прим.]),{1},($B105=М[Наим.])*($C105=М[Артикул, марка, произв.])*($D105=М[Хар-ка])*($K105=М[Прим.])),0))</f>
        <v>0</v>
      </c>
    </row>
    <row r="106" spans="1:12" ht="11.1" customHeight="1" outlineLevel="4" x14ac:dyDescent="0.2">
      <c r="A106" s="15"/>
      <c r="B106" s="9" t="s">
        <v>22</v>
      </c>
      <c r="C106" s="16"/>
      <c r="D106" s="16"/>
      <c r="E106" s="16"/>
      <c r="F106" s="16"/>
      <c r="G106" s="16"/>
      <c r="H106" s="16"/>
      <c r="I106" s="48"/>
      <c r="J106" s="49">
        <f>SUM($J$107)</f>
        <v>0</v>
      </c>
      <c r="K106" s="13"/>
      <c r="L106" s="17"/>
    </row>
    <row r="107" spans="1:12" ht="11.1" customHeight="1" outlineLevel="4" x14ac:dyDescent="0.2">
      <c r="A107" s="18"/>
      <c r="B107" s="19" t="s">
        <v>106</v>
      </c>
      <c r="C107" s="20"/>
      <c r="D107" s="20"/>
      <c r="E107" s="21" t="s">
        <v>24</v>
      </c>
      <c r="F107" s="22"/>
      <c r="G107" s="23">
        <v>143</v>
      </c>
      <c r="H107" s="23">
        <f>SUM($G$107:$G$107)</f>
        <v>143</v>
      </c>
      <c r="I107" s="50">
        <f t="array" ref="I107">INDEX(Р[Цена за ед., руб],MATCH(1,IF(($B107=Р[Наименование])*($K107=Р[Примечание]),{1},($B107=Р[Наименование])*($K107=Р[Примечание])),0))</f>
        <v>0</v>
      </c>
      <c r="J107" s="50">
        <f>ROUND($H$107*$I$107,2)</f>
        <v>0</v>
      </c>
      <c r="K107" s="20"/>
      <c r="L107" s="20"/>
    </row>
    <row r="108" spans="1:12" ht="11.1" customHeight="1" outlineLevel="4" x14ac:dyDescent="0.2">
      <c r="A108" s="15"/>
      <c r="B108" s="9" t="s">
        <v>26</v>
      </c>
      <c r="C108" s="16"/>
      <c r="D108" s="16"/>
      <c r="E108" s="16"/>
      <c r="F108" s="16"/>
      <c r="G108" s="16"/>
      <c r="H108" s="16"/>
      <c r="I108" s="48"/>
      <c r="J108" s="49">
        <f>SUM($J$109:$J$110)</f>
        <v>0</v>
      </c>
      <c r="K108" s="13"/>
      <c r="L108" s="17"/>
    </row>
    <row r="109" spans="1:12" ht="23.1" customHeight="1" outlineLevel="4" x14ac:dyDescent="0.2">
      <c r="A109" s="18" t="s">
        <v>27</v>
      </c>
      <c r="B109" s="19" t="s">
        <v>107</v>
      </c>
      <c r="C109" s="20" t="s">
        <v>44</v>
      </c>
      <c r="D109" s="20" t="s">
        <v>108</v>
      </c>
      <c r="E109" s="21" t="s">
        <v>24</v>
      </c>
      <c r="F109" s="22"/>
      <c r="G109" s="23">
        <v>15</v>
      </c>
      <c r="H109" s="23">
        <f>SUM($G$109:$G$109)</f>
        <v>15</v>
      </c>
      <c r="I109" s="50">
        <f t="array" ref="I109">INDEX(М[Цена за ед., руб],MATCH(1,IF(($B109=М[Наим.])*($C109=М[Артикул,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  <c r="J109" s="50">
        <f>ROUND($H$109*$I$109,2)</f>
        <v>0</v>
      </c>
      <c r="K109" s="20"/>
      <c r="L109" s="20">
        <f t="array" ref="L109">INDEX(М[Форма закупа],MATCH(1,IF(($B109=М[Наим.])*($C109=М[Артикул, марка, произв.])*($D109=М[Хар-ка])*($K109=М[Прим.]),{1},($B109=М[Наим.])*($C109=М[Артикул, марка, произв.])*($D109=М[Хар-ка])*($K109=М[Прим.])),0))</f>
        <v>0</v>
      </c>
    </row>
    <row r="110" spans="1:12" ht="11.1" customHeight="1" outlineLevel="4" x14ac:dyDescent="0.2">
      <c r="A110" s="18" t="s">
        <v>31</v>
      </c>
      <c r="B110" s="19" t="s">
        <v>107</v>
      </c>
      <c r="C110" s="20" t="s">
        <v>44</v>
      </c>
      <c r="D110" s="20" t="s">
        <v>109</v>
      </c>
      <c r="E110" s="21" t="s">
        <v>24</v>
      </c>
      <c r="F110" s="22"/>
      <c r="G110" s="23">
        <v>128</v>
      </c>
      <c r="H110" s="23">
        <f>SUM($G$110:$G$110)</f>
        <v>128</v>
      </c>
      <c r="I110" s="50">
        <f t="array" ref="I110">INDEX(М[Цена за ед., руб],MATCH(1,IF(($B110=М[Наим.])*($C110=М[Артикул,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  <c r="J110" s="50">
        <f>ROUND($H$110*$I$110,2)</f>
        <v>0</v>
      </c>
      <c r="K110" s="20"/>
      <c r="L110" s="20">
        <f t="array" ref="L110">INDEX(М[Форма закупа],MATCH(1,IF(($B110=М[Наим.])*($C110=М[Артикул, марка, произв.])*($D110=М[Хар-ка])*($K110=М[Прим.]),{1},($B110=М[Наим.])*($C110=М[Артикул, марка, произв.])*($D110=М[Хар-ка])*($K110=М[Прим.])),0))</f>
        <v>0</v>
      </c>
    </row>
    <row r="111" spans="1:12" ht="11.1" customHeight="1" outlineLevel="4" x14ac:dyDescent="0.2">
      <c r="A111" s="15"/>
      <c r="B111" s="9" t="s">
        <v>22</v>
      </c>
      <c r="C111" s="16"/>
      <c r="D111" s="16"/>
      <c r="E111" s="16"/>
      <c r="F111" s="16"/>
      <c r="G111" s="16"/>
      <c r="H111" s="16"/>
      <c r="I111" s="48"/>
      <c r="J111" s="49">
        <f>SUM($J$112)</f>
        <v>0</v>
      </c>
      <c r="K111" s="13"/>
      <c r="L111" s="17"/>
    </row>
    <row r="112" spans="1:12" ht="11.1" customHeight="1" outlineLevel="4" x14ac:dyDescent="0.2">
      <c r="A112" s="18"/>
      <c r="B112" s="19" t="s">
        <v>62</v>
      </c>
      <c r="C112" s="20"/>
      <c r="D112" s="20"/>
      <c r="E112" s="21" t="s">
        <v>63</v>
      </c>
      <c r="F112" s="22"/>
      <c r="G112" s="23">
        <v>176</v>
      </c>
      <c r="H112" s="23">
        <f>SUM($G$112:$G$112)</f>
        <v>176</v>
      </c>
      <c r="I112" s="50">
        <f t="array" ref="I112">INDEX(Р[Цена за ед., руб],MATCH(1,IF(($B112=Р[Наименование])*($K112=Р[Примечание]),{1},($B112=Р[Наименование])*($K112=Р[Примечание])),0))</f>
        <v>0</v>
      </c>
      <c r="J112" s="50">
        <f>ROUND($H$112*$I$112,2)</f>
        <v>0</v>
      </c>
      <c r="K112" s="20"/>
      <c r="L112" s="20"/>
    </row>
    <row r="113" spans="1:12" ht="11.1" customHeight="1" outlineLevel="4" x14ac:dyDescent="0.2">
      <c r="A113" s="15"/>
      <c r="B113" s="9" t="s">
        <v>26</v>
      </c>
      <c r="C113" s="16"/>
      <c r="D113" s="16"/>
      <c r="E113" s="16"/>
      <c r="F113" s="16"/>
      <c r="G113" s="16"/>
      <c r="H113" s="16"/>
      <c r="I113" s="48"/>
      <c r="J113" s="49">
        <f>SUM($J$114:$J$115)</f>
        <v>0</v>
      </c>
      <c r="K113" s="13"/>
      <c r="L113" s="17"/>
    </row>
    <row r="114" spans="1:12" ht="23.1" customHeight="1" outlineLevel="4" x14ac:dyDescent="0.2">
      <c r="A114" s="18" t="s">
        <v>27</v>
      </c>
      <c r="B114" s="19" t="s">
        <v>64</v>
      </c>
      <c r="C114" s="20"/>
      <c r="D114" s="20" t="s">
        <v>65</v>
      </c>
      <c r="E114" s="21" t="s">
        <v>63</v>
      </c>
      <c r="F114" s="22"/>
      <c r="G114" s="23">
        <v>42</v>
      </c>
      <c r="H114" s="23">
        <f>SUM($G$114:$G$114)</f>
        <v>42</v>
      </c>
      <c r="I114" s="50">
        <f t="array" ref="I114">INDEX(М[Цена за ед., руб],MATCH(1,IF(($B114=М[Наим.])*($C114=М[Артикул,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  <c r="J114" s="50">
        <f>ROUND($H$114*$I$114,2)</f>
        <v>0</v>
      </c>
      <c r="K114" s="20"/>
      <c r="L114" s="20">
        <f t="array" ref="L114">INDEX(М[Форма закупа],MATCH(1,IF(($B114=М[Наим.])*($C114=М[Артикул, марка, произв.])*($D114=М[Хар-ка])*($K114=М[Прим.]),{1},($B114=М[Наим.])*($C114=М[Артикул, марка, произв.])*($D114=М[Хар-ка])*($K114=М[Прим.])),0))</f>
        <v>0</v>
      </c>
    </row>
    <row r="115" spans="1:12" ht="11.1" customHeight="1" outlineLevel="4" x14ac:dyDescent="0.2">
      <c r="A115" s="18" t="s">
        <v>31</v>
      </c>
      <c r="B115" s="19" t="s">
        <v>66</v>
      </c>
      <c r="C115" s="20"/>
      <c r="D115" s="20" t="s">
        <v>67</v>
      </c>
      <c r="E115" s="21" t="s">
        <v>63</v>
      </c>
      <c r="F115" s="22"/>
      <c r="G115" s="23">
        <v>134</v>
      </c>
      <c r="H115" s="23">
        <f>SUM($G$115:$G$115)</f>
        <v>134</v>
      </c>
      <c r="I115" s="50">
        <f t="array" ref="I115">INDEX(М[Цена за ед., руб],MATCH(1,IF(($B115=М[Наим.])*($C115=М[Артикул,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  <c r="J115" s="50">
        <f>ROUND($H$115*$I$115,2)</f>
        <v>0</v>
      </c>
      <c r="K115" s="20"/>
      <c r="L115" s="20">
        <f t="array" ref="L115">INDEX(М[Форма закупа],MATCH(1,IF(($B115=М[Наим.])*($C115=М[Артикул, марка, произв.])*($D115=М[Хар-ка])*($K115=М[Прим.]),{1},($B115=М[Наим.])*($C115=М[Артикул, марка, произв.])*($D115=М[Хар-ка])*($K115=М[Прим.])),0))</f>
        <v>0</v>
      </c>
    </row>
    <row r="116" spans="1:12" ht="11.1" customHeight="1" outlineLevel="4" x14ac:dyDescent="0.2">
      <c r="A116" s="15"/>
      <c r="B116" s="9" t="s">
        <v>22</v>
      </c>
      <c r="C116" s="16"/>
      <c r="D116" s="16"/>
      <c r="E116" s="16"/>
      <c r="F116" s="16"/>
      <c r="G116" s="16"/>
      <c r="H116" s="16"/>
      <c r="I116" s="48"/>
      <c r="J116" s="49">
        <f>SUM($J$117)</f>
        <v>0</v>
      </c>
      <c r="K116" s="13"/>
      <c r="L116" s="17"/>
    </row>
    <row r="117" spans="1:12" ht="11.1" customHeight="1" outlineLevel="4" x14ac:dyDescent="0.2">
      <c r="A117" s="18"/>
      <c r="B117" s="19" t="s">
        <v>110</v>
      </c>
      <c r="C117" s="20"/>
      <c r="D117" s="20"/>
      <c r="E117" s="21" t="s">
        <v>69</v>
      </c>
      <c r="F117" s="22"/>
      <c r="G117" s="25">
        <v>1984</v>
      </c>
      <c r="H117" s="25">
        <f>SUM($G$117:$G$117)</f>
        <v>1984</v>
      </c>
      <c r="I117" s="50">
        <f t="array" ref="I117">INDEX(Р[Цена за ед., руб],MATCH(1,IF(($B117=Р[Наименование])*($K117=Р[Примечание]),{1},($B117=Р[Наименование])*($K117=Р[Примечание])),0))</f>
        <v>0</v>
      </c>
      <c r="J117" s="50">
        <f>ROUND($H$117*$I$117,2)</f>
        <v>0</v>
      </c>
      <c r="K117" s="20"/>
      <c r="L117" s="20"/>
    </row>
    <row r="118" spans="1:12" ht="11.1" customHeight="1" outlineLevel="4" x14ac:dyDescent="0.2">
      <c r="A118" s="15"/>
      <c r="B118" s="9" t="s">
        <v>26</v>
      </c>
      <c r="C118" s="16"/>
      <c r="D118" s="16"/>
      <c r="E118" s="16"/>
      <c r="F118" s="16"/>
      <c r="G118" s="16"/>
      <c r="H118" s="16"/>
      <c r="I118" s="48"/>
      <c r="J118" s="49">
        <f>SUM($J$119:$J$121)</f>
        <v>0</v>
      </c>
      <c r="K118" s="13"/>
      <c r="L118" s="17"/>
    </row>
    <row r="119" spans="1:12" ht="23.1" customHeight="1" outlineLevel="4" x14ac:dyDescent="0.2">
      <c r="A119" s="86" t="s">
        <v>27</v>
      </c>
      <c r="B119" s="19" t="s">
        <v>111</v>
      </c>
      <c r="C119" s="20"/>
      <c r="D119" s="20" t="s">
        <v>112</v>
      </c>
      <c r="E119" s="21" t="s">
        <v>69</v>
      </c>
      <c r="F119" s="22"/>
      <c r="G119" s="23">
        <v>700</v>
      </c>
      <c r="H119" s="23">
        <f>SUM($G$119:$G$119)</f>
        <v>700</v>
      </c>
      <c r="I119" s="50">
        <f t="array" ref="I119">INDEX(М[Цена за ед., руб],MATCH(1,IF(($B119=М[Наим.])*($C119=М[Артикул,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  <c r="J119" s="50">
        <f>ROUND($H$119*$I$119,2)</f>
        <v>0</v>
      </c>
      <c r="K119" s="20"/>
      <c r="L119" s="20">
        <f t="array" ref="L119">INDEX(М[Форма закупа],MATCH(1,IF(($B119=М[Наим.])*($C119=М[Артикул, марка, произв.])*($D119=М[Хар-ка])*($K119=М[Прим.]),{1},($B119=М[Наим.])*($C119=М[Артикул, марка, произв.])*($D119=М[Хар-ка])*($K119=М[Прим.])),0))</f>
        <v>0</v>
      </c>
    </row>
    <row r="120" spans="1:12" ht="23.1" customHeight="1" outlineLevel="4" x14ac:dyDescent="0.2">
      <c r="A120" s="86" t="s">
        <v>31</v>
      </c>
      <c r="B120" s="19" t="s">
        <v>111</v>
      </c>
      <c r="C120" s="20"/>
      <c r="D120" s="20" t="s">
        <v>113</v>
      </c>
      <c r="E120" s="21" t="s">
        <v>69</v>
      </c>
      <c r="F120" s="22"/>
      <c r="G120" s="23">
        <v>10</v>
      </c>
      <c r="H120" s="23">
        <f>SUM($G$120:$G$120)</f>
        <v>10</v>
      </c>
      <c r="I120" s="50">
        <f t="array" ref="I120">INDEX(М[Цена за ед., руб],MATCH(1,IF(($B120=М[Наим.])*($C120=М[Артикул,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  <c r="J120" s="50">
        <f>ROUND($H$120*$I$120,2)</f>
        <v>0</v>
      </c>
      <c r="K120" s="20"/>
      <c r="L120" s="20">
        <f t="array" ref="L120">INDEX(М[Форма закупа],MATCH(1,IF(($B120=М[Наим.])*($C120=М[Артикул, марка, произв.])*($D120=М[Хар-ка])*($K120=М[Прим.]),{1},($B120=М[Наим.])*($C120=М[Артикул, марка, произв.])*($D120=М[Хар-ка])*($K120=М[Прим.])),0))</f>
        <v>0</v>
      </c>
    </row>
    <row r="121" spans="1:12" ht="23.1" customHeight="1" outlineLevel="4" x14ac:dyDescent="0.2">
      <c r="A121" s="86" t="s">
        <v>38</v>
      </c>
      <c r="B121" s="19" t="s">
        <v>111</v>
      </c>
      <c r="C121" s="20"/>
      <c r="D121" s="20" t="s">
        <v>114</v>
      </c>
      <c r="E121" s="21" t="s">
        <v>69</v>
      </c>
      <c r="F121" s="22"/>
      <c r="G121" s="25">
        <v>1274</v>
      </c>
      <c r="H121" s="25">
        <f>SUM($G$121:$G$121)</f>
        <v>1274</v>
      </c>
      <c r="I121" s="50">
        <f t="array" ref="I121">INDEX(М[Цена за ед., руб],MATCH(1,IF(($B121=М[Наим.])*($C121=М[Артикул,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0</v>
      </c>
      <c r="J121" s="50">
        <f>ROUND($H$121*$I$121,2)</f>
        <v>0</v>
      </c>
      <c r="K121" s="20"/>
      <c r="L121" s="20">
        <f t="array" ref="L121">INDEX(М[Форма закупа],MATCH(1,IF(($B121=М[Наим.])*($C121=М[Артикул, марка, произв.])*($D121=М[Хар-ка])*($K121=М[Прим.]),{1},($B121=М[Наим.])*($C121=М[Артикул, марка, произв.])*($D121=М[Хар-ка])*($K121=М[Прим.])),0))</f>
        <v>0</v>
      </c>
    </row>
    <row r="122" spans="1:12" ht="11.1" customHeight="1" outlineLevel="4" x14ac:dyDescent="0.2">
      <c r="A122" s="15"/>
      <c r="B122" s="9" t="s">
        <v>22</v>
      </c>
      <c r="C122" s="16"/>
      <c r="D122" s="16"/>
      <c r="E122" s="16"/>
      <c r="F122" s="16"/>
      <c r="G122" s="16"/>
      <c r="H122" s="16"/>
      <c r="I122" s="48"/>
      <c r="J122" s="49">
        <f>SUM($J$123)</f>
        <v>0</v>
      </c>
      <c r="K122" s="13"/>
      <c r="L122" s="17"/>
    </row>
    <row r="123" spans="1:12" ht="11.1" customHeight="1" outlineLevel="4" x14ac:dyDescent="0.2">
      <c r="A123" s="18"/>
      <c r="B123" s="19" t="s">
        <v>68</v>
      </c>
      <c r="C123" s="20"/>
      <c r="D123" s="20"/>
      <c r="E123" s="21" t="s">
        <v>69</v>
      </c>
      <c r="F123" s="22"/>
      <c r="G123" s="23">
        <v>398</v>
      </c>
      <c r="H123" s="23">
        <f>SUM($G$123:$G$123)</f>
        <v>398</v>
      </c>
      <c r="I123" s="50">
        <f t="array" ref="I123">INDEX(Р[Цена за ед., руб],MATCH(1,IF(($B123=Р[Наименование])*($K123=Р[Примечание]),{1},($B123=Р[Наименование])*($K123=Р[Примечание])),0))</f>
        <v>0</v>
      </c>
      <c r="J123" s="50">
        <f>ROUND($H$123*$I$123,2)</f>
        <v>0</v>
      </c>
      <c r="K123" s="20"/>
      <c r="L123" s="20"/>
    </row>
    <row r="124" spans="1:12" ht="11.1" customHeight="1" outlineLevel="4" x14ac:dyDescent="0.2">
      <c r="A124" s="15"/>
      <c r="B124" s="9" t="s">
        <v>26</v>
      </c>
      <c r="C124" s="16"/>
      <c r="D124" s="16"/>
      <c r="E124" s="16"/>
      <c r="F124" s="16"/>
      <c r="G124" s="16"/>
      <c r="H124" s="16"/>
      <c r="I124" s="48"/>
      <c r="J124" s="49">
        <f>SUM($J$125:$J$127)</f>
        <v>0</v>
      </c>
      <c r="K124" s="13"/>
      <c r="L124" s="17"/>
    </row>
    <row r="125" spans="1:12" ht="11.1" customHeight="1" outlineLevel="4" x14ac:dyDescent="0.2">
      <c r="A125" s="86" t="s">
        <v>27</v>
      </c>
      <c r="B125" s="19" t="s">
        <v>70</v>
      </c>
      <c r="C125" s="20"/>
      <c r="D125" s="20" t="s">
        <v>71</v>
      </c>
      <c r="E125" s="21" t="s">
        <v>69</v>
      </c>
      <c r="F125" s="22"/>
      <c r="G125" s="23">
        <v>305</v>
      </c>
      <c r="H125" s="23">
        <f>SUM($G$125:$G$125)</f>
        <v>305</v>
      </c>
      <c r="I125" s="50">
        <f t="array" ref="I125">INDEX(М[Цена за ед., руб],MATCH(1,IF(($B125=М[Наим.])*($C125=М[Артикул,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  <c r="J125" s="50">
        <f>ROUND($H$125*$I$125,2)</f>
        <v>0</v>
      </c>
      <c r="K125" s="20"/>
      <c r="L125" s="20">
        <f t="array" ref="L125">INDEX(М[Форма закупа],MATCH(1,IF(($B125=М[Наим.])*($C125=М[Артикул, марка, произв.])*($D125=М[Хар-ка])*($K125=М[Прим.]),{1},($B125=М[Наим.])*($C125=М[Артикул, марка, произв.])*($D125=М[Хар-ка])*($K125=М[Прим.])),0))</f>
        <v>0</v>
      </c>
    </row>
    <row r="126" spans="1:12" ht="23.1" customHeight="1" outlineLevel="4" x14ac:dyDescent="0.2">
      <c r="A126" s="86" t="s">
        <v>31</v>
      </c>
      <c r="B126" s="19" t="s">
        <v>70</v>
      </c>
      <c r="C126" s="20"/>
      <c r="D126" s="20" t="s">
        <v>115</v>
      </c>
      <c r="E126" s="21" t="s">
        <v>69</v>
      </c>
      <c r="F126" s="22"/>
      <c r="G126" s="23">
        <v>85</v>
      </c>
      <c r="H126" s="23">
        <f>SUM($G$126:$G$126)</f>
        <v>85</v>
      </c>
      <c r="I126" s="50">
        <f t="array" ref="I126">INDEX(М[Цена за ед., руб],MATCH(1,IF(($B126=М[Наим.])*($C126=М[Артикул,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  <c r="J126" s="50">
        <f>ROUND($H$126*$I$126,2)</f>
        <v>0</v>
      </c>
      <c r="K126" s="20"/>
      <c r="L126" s="20">
        <f t="array" ref="L126">INDEX(М[Форма закупа],MATCH(1,IF(($B126=М[Наим.])*($C126=М[Артикул, марка, произв.])*($D126=М[Хар-ка])*($K126=М[Прим.]),{1},($B126=М[Наим.])*($C126=М[Артикул, марка, произв.])*($D126=М[Хар-ка])*($K126=М[Прим.])),0))</f>
        <v>0</v>
      </c>
    </row>
    <row r="127" spans="1:12" ht="11.1" customHeight="1" outlineLevel="4" x14ac:dyDescent="0.2">
      <c r="A127" s="86" t="s">
        <v>38</v>
      </c>
      <c r="B127" s="19" t="s">
        <v>70</v>
      </c>
      <c r="C127" s="20"/>
      <c r="D127" s="20" t="s">
        <v>73</v>
      </c>
      <c r="E127" s="21" t="s">
        <v>69</v>
      </c>
      <c r="F127" s="22"/>
      <c r="G127" s="23">
        <v>8</v>
      </c>
      <c r="H127" s="23">
        <f>SUM($G$127:$G$127)</f>
        <v>8</v>
      </c>
      <c r="I127" s="50">
        <f t="array" ref="I127">INDEX(М[Цена за ед., руб],MATCH(1,IF(($B127=М[Наим.])*($C127=М[Артикул,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  <c r="J127" s="50">
        <f>ROUND($H$127*$I$127,2)</f>
        <v>0</v>
      </c>
      <c r="K127" s="20"/>
      <c r="L127" s="20">
        <f t="array" ref="L127">INDEX(М[Форма закупа],MATCH(1,IF(($B127=М[Наим.])*($C127=М[Артикул, марка, произв.])*($D127=М[Хар-ка])*($K127=М[Прим.]),{1},($B127=М[Наим.])*($C127=М[Артикул, марка, произв.])*($D127=М[Хар-ка])*($K127=М[Прим.])),0))</f>
        <v>0</v>
      </c>
    </row>
    <row r="128" spans="1:12" s="68" customFormat="1" ht="11.1" customHeight="1" outlineLevel="4" x14ac:dyDescent="0.2">
      <c r="A128" s="59"/>
      <c r="B128" s="60" t="s">
        <v>26</v>
      </c>
      <c r="C128" s="63"/>
      <c r="D128" s="63"/>
      <c r="E128" s="63"/>
      <c r="F128" s="63"/>
      <c r="G128" s="63"/>
      <c r="H128" s="63"/>
      <c r="I128" s="64"/>
      <c r="J128" s="65">
        <f ca="1">SUM(J129:J130)</f>
        <v>0</v>
      </c>
      <c r="K128" s="66"/>
      <c r="L128" s="67"/>
    </row>
    <row r="129" spans="1:15" ht="22.5" outlineLevel="4" x14ac:dyDescent="0.2">
      <c r="A129" s="61" t="s">
        <v>27</v>
      </c>
      <c r="B129" s="62" t="s">
        <v>136</v>
      </c>
      <c r="C129" s="20"/>
      <c r="D129" s="20"/>
      <c r="E129" s="69" t="s">
        <v>74</v>
      </c>
      <c r="F129" s="22"/>
      <c r="G129" s="23"/>
      <c r="H129" s="70">
        <f ca="1">SUMIF(М[[Наим.]:[Сумма, руб]],B129,М[Количество])</f>
        <v>0</v>
      </c>
      <c r="I129" s="71"/>
      <c r="J129" s="71">
        <f ca="1">ROUND(SUM(J17:J18,J22:J24,J28:J29,J33,J37:J38,J42,J46:J47,J51:J52,J56:J58,J66:J69,J73,J77:J78,J82:J83,J87,J91:J92,J96:J97,J101,J105,J109:J110,J114:J115,J119:J121,J125:J127)*H129%,3)</f>
        <v>0</v>
      </c>
      <c r="K129" s="72" t="s">
        <v>138</v>
      </c>
      <c r="L129" s="73">
        <f t="array" ref="L129">INDEX(М[Форма закупа],MATCH(1,IF(($B129=М[Наим.])*($C129=М[Артикул, марка, произв.])*($D129=М[Хар-ка])*($K129=М[Прим.]),{1},($B129=М[Наим.])*($C129=М[Артикул, марка, произв.])*($D129=М[Хар-ка])*($K129=М[Прим.])),0))</f>
        <v>0</v>
      </c>
    </row>
    <row r="130" spans="1:15" ht="22.5" outlineLevel="4" x14ac:dyDescent="0.2">
      <c r="A130" s="85">
        <v>2</v>
      </c>
      <c r="B130" s="62" t="s">
        <v>137</v>
      </c>
      <c r="C130" s="20"/>
      <c r="D130" s="20"/>
      <c r="E130" s="69" t="s">
        <v>74</v>
      </c>
      <c r="F130" s="22"/>
      <c r="G130" s="23"/>
      <c r="H130" s="70">
        <f ca="1">SUMIF(М[[Наим.]:[Сумма, руб]],B130,М[Количество])</f>
        <v>0</v>
      </c>
      <c r="I130" s="71"/>
      <c r="J130" s="71">
        <f ca="1">ROUND(SUM(J56:J58,J119:J121,J125:J127)*H130%,3)</f>
        <v>0</v>
      </c>
      <c r="K130" s="72" t="s">
        <v>138</v>
      </c>
      <c r="L130" s="73">
        <f t="array" ref="L130">INDEX(М[Форма закупа],MATCH(1,IF(($B130=М[Наим.])*($C130=М[Артикул, марка, произв.])*($D130=М[Хар-ка])*($K130=М[Прим.]),{1},($B130=М[Наим.])*($C130=М[Артикул, марка, произв.])*($D130=М[Хар-ка])*($K130=М[Прим.])),0))</f>
        <v>0</v>
      </c>
    </row>
    <row r="131" spans="1:15" ht="11.1" customHeight="1" outlineLevel="2" x14ac:dyDescent="0.2">
      <c r="A131" s="8" t="s">
        <v>116</v>
      </c>
      <c r="B131" s="9" t="s">
        <v>117</v>
      </c>
      <c r="C131" s="10"/>
      <c r="D131" s="10"/>
      <c r="E131" s="11"/>
      <c r="F131" s="12"/>
      <c r="G131" s="13"/>
      <c r="H131" s="13"/>
      <c r="I131" s="47"/>
      <c r="J131" s="47">
        <f>SUM($J$132)</f>
        <v>0</v>
      </c>
      <c r="K131" s="14"/>
      <c r="L131" s="14"/>
    </row>
    <row r="132" spans="1:15" ht="11.1" customHeight="1" outlineLevel="3" x14ac:dyDescent="0.2">
      <c r="A132" s="8" t="s">
        <v>118</v>
      </c>
      <c r="B132" s="9" t="s">
        <v>117</v>
      </c>
      <c r="C132" s="10"/>
      <c r="D132" s="10"/>
      <c r="E132" s="11"/>
      <c r="F132" s="12"/>
      <c r="G132" s="13"/>
      <c r="H132" s="13"/>
      <c r="I132" s="47"/>
      <c r="J132" s="47">
        <f>SUM($J$133)</f>
        <v>0</v>
      </c>
      <c r="K132" s="14"/>
      <c r="L132" s="14"/>
    </row>
    <row r="133" spans="1:15" ht="11.1" customHeight="1" outlineLevel="4" x14ac:dyDescent="0.2">
      <c r="A133" s="15"/>
      <c r="B133" s="9" t="s">
        <v>22</v>
      </c>
      <c r="C133" s="16"/>
      <c r="D133" s="16"/>
      <c r="E133" s="16"/>
      <c r="F133" s="16"/>
      <c r="G133" s="16"/>
      <c r="H133" s="16"/>
      <c r="I133" s="48"/>
      <c r="J133" s="49">
        <f>SUM($J$134)</f>
        <v>0</v>
      </c>
      <c r="K133" s="13"/>
      <c r="L133" s="17"/>
    </row>
    <row r="134" spans="1:15" ht="35.1" customHeight="1" outlineLevel="4" x14ac:dyDescent="0.2">
      <c r="A134" s="18"/>
      <c r="B134" s="19" t="s">
        <v>119</v>
      </c>
      <c r="C134" s="20"/>
      <c r="D134" s="20"/>
      <c r="E134" s="21" t="s">
        <v>120</v>
      </c>
      <c r="F134" s="22"/>
      <c r="G134" s="23">
        <v>1</v>
      </c>
      <c r="H134" s="23">
        <f>SUM($G$134:$G$134)</f>
        <v>1</v>
      </c>
      <c r="I134" s="50">
        <f t="array" ref="I134">INDEX(Р[Цена за ед., руб],MATCH(1,IF(($B134=Р[Наименование])*($K134=Р[Примечание]),{1},($B134=Р[Наименование])*($K134=Р[Примечание])),0))</f>
        <v>0</v>
      </c>
      <c r="J134" s="50">
        <f>ROUND($H$134*$I$134,2)</f>
        <v>0</v>
      </c>
      <c r="K134" s="20"/>
      <c r="L134" s="20"/>
    </row>
    <row r="135" spans="1:15" ht="11.1" customHeight="1" x14ac:dyDescent="0.2">
      <c r="A135" s="95" t="s">
        <v>141</v>
      </c>
      <c r="B135" s="96"/>
      <c r="C135" s="96"/>
      <c r="D135" s="96"/>
      <c r="E135" s="96"/>
      <c r="F135" s="96"/>
      <c r="G135" s="96"/>
      <c r="H135" s="96"/>
      <c r="I135" s="97"/>
      <c r="J135" s="51">
        <f>$J$9</f>
        <v>0</v>
      </c>
      <c r="K135" s="26"/>
      <c r="L135" s="26"/>
    </row>
    <row r="136" spans="1:15" ht="11.1" customHeight="1" x14ac:dyDescent="0.2">
      <c r="A136" s="98" t="s">
        <v>121</v>
      </c>
      <c r="B136" s="99"/>
      <c r="C136" s="99"/>
      <c r="D136" s="99"/>
      <c r="E136" s="99"/>
      <c r="F136" s="99"/>
      <c r="G136" s="99"/>
      <c r="H136" s="99"/>
      <c r="I136" s="100"/>
      <c r="J136" s="51">
        <f>SUM($J$133,$J$122,$J$116,$J$111,$J$106,$J$102,$J$98,$J$93,$J$88,$J$84,$J$79,$J$74,$J$70,$J$63,$J$61,$J$53,$J$48,$J$43,$J$39,$J$34,$J$30,$J$25,$J$19,$J$14,$J$12)</f>
        <v>0</v>
      </c>
      <c r="K136" s="26"/>
      <c r="L136" s="26"/>
    </row>
    <row r="137" spans="1:15" ht="11.1" customHeight="1" x14ac:dyDescent="0.2">
      <c r="A137" s="98" t="s">
        <v>122</v>
      </c>
      <c r="B137" s="99"/>
      <c r="C137" s="99"/>
      <c r="D137" s="99"/>
      <c r="E137" s="99"/>
      <c r="F137" s="99"/>
      <c r="G137" s="99"/>
      <c r="H137" s="99"/>
      <c r="I137" s="100"/>
      <c r="J137" s="51">
        <f ca="1">SUM($J$124,$J$118,$J$113,$J$108,$J$104,$J$100,$J$95,$J$90,$J$86,$J$81,$J$76,$J$72,$J$65,$J$55,$J$50,$J$45,$J$41,$J$36,$J$32,$J$27,$J$21,$J$16,J128)</f>
        <v>0</v>
      </c>
      <c r="K137" s="26"/>
      <c r="L137" s="26"/>
    </row>
    <row r="138" spans="1:15" ht="11.1" customHeight="1" x14ac:dyDescent="0.2">
      <c r="A138" s="101" t="s">
        <v>142</v>
      </c>
      <c r="B138" s="102"/>
      <c r="C138" s="102"/>
      <c r="D138" s="102"/>
      <c r="E138" s="102"/>
      <c r="F138" s="102"/>
      <c r="G138" s="102"/>
      <c r="H138" s="102"/>
      <c r="I138" s="103"/>
      <c r="J138" s="75"/>
      <c r="K138" s="76" t="s">
        <v>143</v>
      </c>
      <c r="L138" s="26"/>
    </row>
    <row r="139" spans="1:15" ht="11.1" customHeight="1" x14ac:dyDescent="0.2">
      <c r="A139" s="27"/>
      <c r="B139" s="87" t="s">
        <v>123</v>
      </c>
      <c r="C139" s="87"/>
      <c r="D139" s="87"/>
      <c r="E139" s="87"/>
      <c r="F139" s="87"/>
      <c r="G139" s="87"/>
      <c r="H139" s="87"/>
      <c r="I139" s="88"/>
      <c r="J139" s="88"/>
      <c r="K139" s="87"/>
      <c r="L139" s="27"/>
    </row>
    <row r="140" spans="1:15" ht="11.1" customHeight="1" x14ac:dyDescent="0.2">
      <c r="B140" s="89"/>
      <c r="C140" s="89"/>
      <c r="D140" s="89"/>
      <c r="E140" s="89"/>
      <c r="F140" s="89"/>
      <c r="G140" s="89"/>
      <c r="H140" s="89"/>
      <c r="I140" s="90"/>
      <c r="J140" s="90"/>
      <c r="K140" s="89"/>
    </row>
    <row r="141" spans="1:15" ht="46.5" customHeight="1" x14ac:dyDescent="0.25">
      <c r="A141" s="80"/>
      <c r="B141" s="81" t="s">
        <v>145</v>
      </c>
      <c r="C141" s="82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3"/>
      <c r="O141" s="84"/>
    </row>
    <row r="142" spans="1:15" ht="15.75" x14ac:dyDescent="0.2">
      <c r="A142" s="80"/>
      <c r="B142" s="114" t="s">
        <v>146</v>
      </c>
      <c r="C142" s="114"/>
      <c r="D142" s="114"/>
      <c r="E142" s="114"/>
      <c r="F142" s="114"/>
      <c r="G142" s="114"/>
      <c r="H142" s="114"/>
      <c r="I142" s="114"/>
      <c r="J142" s="114"/>
      <c r="K142" s="114"/>
      <c r="L142" s="114"/>
      <c r="M142" s="114"/>
      <c r="N142" s="114"/>
      <c r="O142" s="114"/>
    </row>
    <row r="143" spans="1:15" ht="15.75" x14ac:dyDescent="0.2">
      <c r="A143" s="80"/>
      <c r="B143" s="114" t="s">
        <v>147</v>
      </c>
      <c r="C143" s="114"/>
      <c r="D143" s="114"/>
      <c r="E143" s="114"/>
      <c r="F143" s="114"/>
      <c r="G143" s="114"/>
      <c r="H143" s="114"/>
      <c r="I143" s="114"/>
      <c r="J143" s="114"/>
      <c r="K143" s="114"/>
      <c r="L143" s="114"/>
      <c r="M143" s="114"/>
      <c r="N143" s="114"/>
      <c r="O143" s="114"/>
    </row>
    <row r="144" spans="1:15" ht="46.5" customHeight="1" x14ac:dyDescent="0.2">
      <c r="A144" s="80"/>
      <c r="B144" s="115" t="s">
        <v>148</v>
      </c>
      <c r="C144" s="115"/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</row>
    <row r="145" spans="1:19" ht="46.5" customHeight="1" x14ac:dyDescent="0.2">
      <c r="A145" s="80"/>
      <c r="B145" s="116" t="s">
        <v>149</v>
      </c>
      <c r="C145" s="116"/>
      <c r="D145" s="116"/>
      <c r="E145" s="116"/>
      <c r="F145" s="116"/>
      <c r="G145" s="116"/>
      <c r="H145" s="116"/>
      <c r="I145" s="116"/>
      <c r="J145" s="116"/>
      <c r="K145" s="116"/>
      <c r="L145" s="116"/>
      <c r="M145" s="116"/>
      <c r="N145" s="116"/>
      <c r="O145" s="116"/>
    </row>
    <row r="146" spans="1:19" ht="15.75" x14ac:dyDescent="0.2">
      <c r="A146" s="80"/>
      <c r="B146" s="117" t="s">
        <v>150</v>
      </c>
      <c r="C146" s="117"/>
      <c r="D146" s="117"/>
      <c r="E146" s="117"/>
      <c r="F146" s="117"/>
      <c r="G146" s="117"/>
      <c r="H146" s="117"/>
      <c r="I146" s="117"/>
      <c r="J146" s="117"/>
      <c r="K146" s="117"/>
      <c r="L146" s="117"/>
      <c r="M146" s="117"/>
      <c r="N146" s="117"/>
      <c r="O146" s="117"/>
    </row>
    <row r="147" spans="1:19" ht="15.75" x14ac:dyDescent="0.2">
      <c r="B147" s="112" t="s">
        <v>151</v>
      </c>
      <c r="C147" s="112"/>
      <c r="D147" s="112"/>
      <c r="E147" s="112"/>
      <c r="F147" s="112"/>
      <c r="G147" s="112"/>
      <c r="H147" s="112"/>
      <c r="I147" s="112"/>
      <c r="J147" s="112"/>
      <c r="K147" s="112"/>
      <c r="L147" s="112"/>
      <c r="M147" s="112"/>
      <c r="N147" s="112"/>
      <c r="O147" s="112"/>
      <c r="P147" s="80"/>
      <c r="Q147" s="80"/>
      <c r="R147" s="80"/>
      <c r="S147" s="80"/>
    </row>
    <row r="148" spans="1:19" ht="46.5" customHeight="1" x14ac:dyDescent="0.2">
      <c r="B148" s="113" t="s">
        <v>152</v>
      </c>
      <c r="C148" s="113"/>
      <c r="D148" s="113"/>
      <c r="E148" s="113"/>
      <c r="F148" s="113"/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  <c r="R148" s="113"/>
      <c r="S148" s="113"/>
    </row>
  </sheetData>
  <autoFilter ref="A7:L139" xr:uid="{00000000-0001-0000-0000-000000000000}"/>
  <mergeCells count="28">
    <mergeCell ref="B147:O147"/>
    <mergeCell ref="B148:S148"/>
    <mergeCell ref="B142:O142"/>
    <mergeCell ref="B143:O143"/>
    <mergeCell ref="B144:O144"/>
    <mergeCell ref="B145:O145"/>
    <mergeCell ref="B146:O146"/>
    <mergeCell ref="B2:J2"/>
    <mergeCell ref="B3:J3"/>
    <mergeCell ref="B4:J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39:K139"/>
    <mergeCell ref="B140:K140"/>
    <mergeCell ref="K6:K7"/>
    <mergeCell ref="L6:L7"/>
    <mergeCell ref="A135:I135"/>
    <mergeCell ref="A136:I136"/>
    <mergeCell ref="A137:I137"/>
    <mergeCell ref="A138:I138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F25"/>
  <sheetViews>
    <sheetView workbookViewId="0">
      <pane ySplit="3" topLeftCell="A4" activePane="bottomLeft" state="frozen"/>
      <selection pane="bottomLeft" activeCell="C41" sqref="C41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118" t="s">
        <v>124</v>
      </c>
      <c r="B1" s="118"/>
      <c r="C1" s="118"/>
      <c r="D1" s="118"/>
      <c r="E1" s="118"/>
      <c r="F1" s="118"/>
    </row>
    <row r="3" spans="1:6" ht="11.1" customHeight="1" x14ac:dyDescent="0.2">
      <c r="A3" s="34" t="s">
        <v>4</v>
      </c>
      <c r="B3" s="2" t="s">
        <v>7</v>
      </c>
      <c r="C3" s="2" t="s">
        <v>10</v>
      </c>
      <c r="D3" s="41" t="s">
        <v>11</v>
      </c>
      <c r="E3" s="41" t="s">
        <v>12</v>
      </c>
      <c r="F3" s="35" t="s">
        <v>13</v>
      </c>
    </row>
    <row r="4" spans="1:6" ht="11.1" customHeight="1" x14ac:dyDescent="0.2">
      <c r="A4" s="32" t="s">
        <v>23</v>
      </c>
      <c r="B4" s="28" t="s">
        <v>24</v>
      </c>
      <c r="C4" s="29">
        <v>4</v>
      </c>
      <c r="D4" s="42"/>
      <c r="E4" s="42">
        <f>ROUND(Р[[#This Row],[Количество]]*Р[[#This Row],[Цена за ед., руб]],2)</f>
        <v>0</v>
      </c>
      <c r="F4" s="33"/>
    </row>
    <row r="5" spans="1:6" ht="11.1" customHeight="1" x14ac:dyDescent="0.2">
      <c r="A5" s="32" t="s">
        <v>25</v>
      </c>
      <c r="B5" s="28" t="s">
        <v>24</v>
      </c>
      <c r="C5" s="29">
        <v>38</v>
      </c>
      <c r="D5" s="42"/>
      <c r="E5" s="42">
        <f>ROUND(Р[[#This Row],[Количество]]*Р[[#This Row],[Цена за ед., руб]],2)</f>
        <v>0</v>
      </c>
      <c r="F5" s="33"/>
    </row>
    <row r="6" spans="1:6" ht="11.1" customHeight="1" x14ac:dyDescent="0.2">
      <c r="A6" s="32" t="s">
        <v>33</v>
      </c>
      <c r="B6" s="28" t="s">
        <v>24</v>
      </c>
      <c r="C6" s="29">
        <v>16</v>
      </c>
      <c r="D6" s="42"/>
      <c r="E6" s="42">
        <f>ROUND(Р[[#This Row],[Количество]]*Р[[#This Row],[Цена за ед., руб]],2)</f>
        <v>0</v>
      </c>
      <c r="F6" s="33"/>
    </row>
    <row r="7" spans="1:6" ht="11.1" customHeight="1" x14ac:dyDescent="0.2">
      <c r="A7" s="32" t="s">
        <v>42</v>
      </c>
      <c r="B7" s="28" t="s">
        <v>24</v>
      </c>
      <c r="C7" s="29">
        <v>3</v>
      </c>
      <c r="D7" s="42"/>
      <c r="E7" s="42">
        <f>ROUND(Р[[#This Row],[Количество]]*Р[[#This Row],[Цена за ед., руб]],2)</f>
        <v>0</v>
      </c>
      <c r="F7" s="33"/>
    </row>
    <row r="8" spans="1:6" ht="11.1" customHeight="1" x14ac:dyDescent="0.2">
      <c r="A8" s="32" t="s">
        <v>48</v>
      </c>
      <c r="B8" s="28" t="s">
        <v>24</v>
      </c>
      <c r="C8" s="29">
        <v>12</v>
      </c>
      <c r="D8" s="42"/>
      <c r="E8" s="42">
        <f>ROUND(Р[[#This Row],[Количество]]*Р[[#This Row],[Цена за ед., руб]],2)</f>
        <v>0</v>
      </c>
      <c r="F8" s="33"/>
    </row>
    <row r="9" spans="1:6" ht="11.1" customHeight="1" x14ac:dyDescent="0.2">
      <c r="A9" s="32" t="s">
        <v>50</v>
      </c>
      <c r="B9" s="28" t="s">
        <v>24</v>
      </c>
      <c r="C9" s="29">
        <v>64</v>
      </c>
      <c r="D9" s="42"/>
      <c r="E9" s="42">
        <f>ROUND(Р[[#This Row],[Количество]]*Р[[#This Row],[Цена за ед., руб]],2)</f>
        <v>0</v>
      </c>
      <c r="F9" s="33"/>
    </row>
    <row r="10" spans="1:6" ht="11.1" customHeight="1" x14ac:dyDescent="0.2">
      <c r="A10" s="32" t="s">
        <v>54</v>
      </c>
      <c r="B10" s="28" t="s">
        <v>24</v>
      </c>
      <c r="C10" s="29">
        <v>1</v>
      </c>
      <c r="D10" s="42"/>
      <c r="E10" s="42">
        <f>ROUND(Р[[#This Row],[Количество]]*Р[[#This Row],[Цена за ед., руб]],2)</f>
        <v>0</v>
      </c>
      <c r="F10" s="33"/>
    </row>
    <row r="11" spans="1:6" ht="11.1" customHeight="1" x14ac:dyDescent="0.2">
      <c r="A11" s="32" t="s">
        <v>58</v>
      </c>
      <c r="B11" s="28" t="s">
        <v>24</v>
      </c>
      <c r="C11" s="29">
        <v>8</v>
      </c>
      <c r="D11" s="42"/>
      <c r="E11" s="42">
        <f>ROUND(Р[[#This Row],[Количество]]*Р[[#This Row],[Цена за ед., руб]],2)</f>
        <v>0</v>
      </c>
      <c r="F11" s="33"/>
    </row>
    <row r="12" spans="1:6" ht="11.1" customHeight="1" x14ac:dyDescent="0.2">
      <c r="A12" s="32" t="s">
        <v>62</v>
      </c>
      <c r="B12" s="28" t="s">
        <v>63</v>
      </c>
      <c r="C12" s="29">
        <v>256</v>
      </c>
      <c r="D12" s="42"/>
      <c r="E12" s="42">
        <f>ROUND(Р[[#This Row],[Количество]]*Р[[#This Row],[Цена за ед., руб]],2)</f>
        <v>0</v>
      </c>
      <c r="F12" s="33"/>
    </row>
    <row r="13" spans="1:6" ht="11.1" customHeight="1" x14ac:dyDescent="0.2">
      <c r="A13" s="32" t="s">
        <v>68</v>
      </c>
      <c r="B13" s="28" t="s">
        <v>69</v>
      </c>
      <c r="C13" s="29">
        <v>863</v>
      </c>
      <c r="D13" s="42"/>
      <c r="E13" s="42">
        <f>ROUND(Р[[#This Row],[Количество]]*Р[[#This Row],[Цена за ед., руб]],2)</f>
        <v>0</v>
      </c>
      <c r="F13" s="33"/>
    </row>
    <row r="14" spans="1:6" ht="11.1" customHeight="1" x14ac:dyDescent="0.2">
      <c r="A14" s="32" t="s">
        <v>78</v>
      </c>
      <c r="B14" s="28" t="s">
        <v>24</v>
      </c>
      <c r="C14" s="29">
        <v>4</v>
      </c>
      <c r="D14" s="42"/>
      <c r="E14" s="42">
        <f>ROUND(Р[[#This Row],[Количество]]*Р[[#This Row],[Цена за ед., руб]],2)</f>
        <v>0</v>
      </c>
      <c r="F14" s="33"/>
    </row>
    <row r="15" spans="1:6" ht="11.1" customHeight="1" x14ac:dyDescent="0.2">
      <c r="A15" s="32" t="s">
        <v>83</v>
      </c>
      <c r="B15" s="28" t="s">
        <v>24</v>
      </c>
      <c r="C15" s="29">
        <v>9</v>
      </c>
      <c r="D15" s="42"/>
      <c r="E15" s="42">
        <f>ROUND(Р[[#This Row],[Количество]]*Р[[#This Row],[Цена за ед., руб]],2)</f>
        <v>0</v>
      </c>
      <c r="F15" s="33"/>
    </row>
    <row r="16" spans="1:6" ht="11.1" customHeight="1" x14ac:dyDescent="0.2">
      <c r="A16" s="32" t="s">
        <v>85</v>
      </c>
      <c r="B16" s="28" t="s">
        <v>24</v>
      </c>
      <c r="C16" s="29">
        <v>2</v>
      </c>
      <c r="D16" s="42"/>
      <c r="E16" s="42">
        <f>ROUND(Р[[#This Row],[Количество]]*Р[[#This Row],[Цена за ед., руб]],2)</f>
        <v>0</v>
      </c>
      <c r="F16" s="33"/>
    </row>
    <row r="17" spans="1:6" ht="11.1" customHeight="1" x14ac:dyDescent="0.2">
      <c r="A17" s="32" t="s">
        <v>92</v>
      </c>
      <c r="B17" s="28" t="s">
        <v>24</v>
      </c>
      <c r="C17" s="29">
        <v>628</v>
      </c>
      <c r="D17" s="42"/>
      <c r="E17" s="42">
        <f>ROUND(Р[[#This Row],[Количество]]*Р[[#This Row],[Цена за ед., руб]],2)</f>
        <v>0</v>
      </c>
      <c r="F17" s="33"/>
    </row>
    <row r="18" spans="1:6" ht="11.1" customHeight="1" x14ac:dyDescent="0.2">
      <c r="A18" s="32" t="s">
        <v>98</v>
      </c>
      <c r="B18" s="28" t="s">
        <v>24</v>
      </c>
      <c r="C18" s="29">
        <v>1</v>
      </c>
      <c r="D18" s="42"/>
      <c r="E18" s="42">
        <f>ROUND(Р[[#This Row],[Количество]]*Р[[#This Row],[Цена за ед., руб]],2)</f>
        <v>0</v>
      </c>
      <c r="F18" s="33"/>
    </row>
    <row r="19" spans="1:6" ht="11.1" customHeight="1" x14ac:dyDescent="0.2">
      <c r="A19" s="32" t="s">
        <v>102</v>
      </c>
      <c r="B19" s="28" t="s">
        <v>24</v>
      </c>
      <c r="C19" s="29">
        <v>1</v>
      </c>
      <c r="D19" s="42"/>
      <c r="E19" s="42">
        <f>ROUND(Р[[#This Row],[Количество]]*Р[[#This Row],[Цена за ед., руб]],2)</f>
        <v>0</v>
      </c>
      <c r="F19" s="33"/>
    </row>
    <row r="20" spans="1:6" ht="11.1" customHeight="1" x14ac:dyDescent="0.2">
      <c r="A20" s="32" t="s">
        <v>106</v>
      </c>
      <c r="B20" s="28" t="s">
        <v>24</v>
      </c>
      <c r="C20" s="29">
        <v>143</v>
      </c>
      <c r="D20" s="42"/>
      <c r="E20" s="42">
        <f>ROUND(Р[[#This Row],[Количество]]*Р[[#This Row],[Цена за ед., руб]],2)</f>
        <v>0</v>
      </c>
      <c r="F20" s="33"/>
    </row>
    <row r="21" spans="1:6" ht="11.1" customHeight="1" x14ac:dyDescent="0.2">
      <c r="A21" s="32" t="s">
        <v>110</v>
      </c>
      <c r="B21" s="28" t="s">
        <v>69</v>
      </c>
      <c r="C21" s="31">
        <v>1984</v>
      </c>
      <c r="D21" s="42"/>
      <c r="E21" s="42">
        <f>ROUND(Р[[#This Row],[Количество]]*Р[[#This Row],[Цена за ед., руб]],2)</f>
        <v>0</v>
      </c>
      <c r="F21" s="33"/>
    </row>
    <row r="22" spans="1:6" ht="23.1" customHeight="1" x14ac:dyDescent="0.2">
      <c r="A22" s="36" t="s">
        <v>119</v>
      </c>
      <c r="B22" s="37" t="s">
        <v>120</v>
      </c>
      <c r="C22" s="38">
        <v>1</v>
      </c>
      <c r="D22" s="42"/>
      <c r="E22" s="43">
        <f>ROUND(Р[[#This Row],[Количество]]*Р[[#This Row],[Цена за ед., руб]],2)</f>
        <v>0</v>
      </c>
      <c r="F22" s="40"/>
    </row>
    <row r="23" spans="1:6" ht="11.45" customHeight="1" x14ac:dyDescent="0.2">
      <c r="A23" s="36" t="s">
        <v>135</v>
      </c>
      <c r="B23" s="37"/>
      <c r="C23" s="39"/>
      <c r="D23" s="43"/>
      <c r="E23" s="43">
        <f>SUBTOTAL(109,Р[Сумма, руб])</f>
        <v>0</v>
      </c>
      <c r="F23" s="40"/>
    </row>
    <row r="25" spans="1:6" ht="11.45" customHeight="1" x14ac:dyDescent="0.2">
      <c r="D25" s="78" t="s">
        <v>144</v>
      </c>
      <c r="E25" s="79">
        <f>ЛСР!J136-Р[[#Totals],[Сумма, руб]]</f>
        <v>0</v>
      </c>
    </row>
  </sheetData>
  <mergeCells count="1">
    <mergeCell ref="A1:F1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I42"/>
  <sheetViews>
    <sheetView workbookViewId="0">
      <pane ySplit="3" topLeftCell="A16" activePane="bottomLeft" state="frozen"/>
      <selection pane="bottomLeft" activeCell="I39" sqref="I4:I39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118" t="s">
        <v>125</v>
      </c>
      <c r="B1" s="118"/>
      <c r="C1" s="118"/>
      <c r="D1" s="118"/>
      <c r="E1" s="118"/>
      <c r="F1" s="118"/>
      <c r="G1" s="118"/>
      <c r="H1" s="118"/>
    </row>
    <row r="2" spans="1:9" ht="11.1" customHeight="1" x14ac:dyDescent="0.2"/>
    <row r="3" spans="1:9" ht="23.1" customHeight="1" x14ac:dyDescent="0.2">
      <c r="A3" s="34" t="s">
        <v>126</v>
      </c>
      <c r="B3" s="44" t="s">
        <v>127</v>
      </c>
      <c r="C3" s="35" t="s">
        <v>128</v>
      </c>
      <c r="D3" s="2" t="s">
        <v>7</v>
      </c>
      <c r="E3" s="2" t="s">
        <v>10</v>
      </c>
      <c r="F3" s="41" t="s">
        <v>11</v>
      </c>
      <c r="G3" s="41" t="s">
        <v>12</v>
      </c>
      <c r="H3" s="2" t="s">
        <v>129</v>
      </c>
      <c r="I3" s="35" t="s">
        <v>130</v>
      </c>
    </row>
    <row r="4" spans="1:9" ht="35.1" customHeight="1" x14ac:dyDescent="0.2">
      <c r="A4" s="32" t="s">
        <v>55</v>
      </c>
      <c r="B4" s="30"/>
      <c r="C4" s="30" t="s">
        <v>56</v>
      </c>
      <c r="D4" s="28" t="s">
        <v>24</v>
      </c>
      <c r="E4" s="29">
        <v>1</v>
      </c>
      <c r="F4" s="42"/>
      <c r="G4" s="42">
        <f>ROUND(М[[#This Row],[Количество]]*М[[#This Row],[Цена за ед., руб]],2)</f>
        <v>0</v>
      </c>
      <c r="H4" s="30" t="s">
        <v>57</v>
      </c>
      <c r="I4" s="33"/>
    </row>
    <row r="5" spans="1:9" ht="35.1" customHeight="1" x14ac:dyDescent="0.2">
      <c r="A5" s="32" t="s">
        <v>55</v>
      </c>
      <c r="B5" s="30" t="s">
        <v>86</v>
      </c>
      <c r="C5" s="30" t="s">
        <v>87</v>
      </c>
      <c r="D5" s="28" t="s">
        <v>24</v>
      </c>
      <c r="E5" s="29">
        <v>1</v>
      </c>
      <c r="F5" s="42"/>
      <c r="G5" s="42">
        <f>ROUND(М[[#This Row],[Количество]]*М[[#This Row],[Цена за ед., руб]],2)</f>
        <v>0</v>
      </c>
      <c r="H5" s="30" t="s">
        <v>88</v>
      </c>
      <c r="I5" s="33"/>
    </row>
    <row r="6" spans="1:9" ht="23.1" customHeight="1" x14ac:dyDescent="0.2">
      <c r="A6" s="32" t="s">
        <v>99</v>
      </c>
      <c r="B6" s="30"/>
      <c r="C6" s="30" t="s">
        <v>100</v>
      </c>
      <c r="D6" s="28" t="s">
        <v>24</v>
      </c>
      <c r="E6" s="29">
        <v>1</v>
      </c>
      <c r="F6" s="42"/>
      <c r="G6" s="42">
        <f>ROUND(М[[#This Row],[Количество]]*М[[#This Row],[Цена за ед., руб]],2)</f>
        <v>0</v>
      </c>
      <c r="H6" s="30" t="s">
        <v>101</v>
      </c>
      <c r="I6" s="33"/>
    </row>
    <row r="7" spans="1:9" ht="11.1" customHeight="1" x14ac:dyDescent="0.2">
      <c r="A7" s="32" t="s">
        <v>64</v>
      </c>
      <c r="B7" s="30"/>
      <c r="C7" s="30" t="s">
        <v>65</v>
      </c>
      <c r="D7" s="28" t="s">
        <v>63</v>
      </c>
      <c r="E7" s="29">
        <v>62</v>
      </c>
      <c r="F7" s="42"/>
      <c r="G7" s="42">
        <f>ROUND(М[[#This Row],[Количество]]*М[[#This Row],[Цена за ед., руб]],2)</f>
        <v>0</v>
      </c>
      <c r="H7" s="30"/>
      <c r="I7" s="33"/>
    </row>
    <row r="8" spans="1:9" ht="23.1" customHeight="1" x14ac:dyDescent="0.2">
      <c r="A8" s="32" t="s">
        <v>28</v>
      </c>
      <c r="B8" s="30" t="s">
        <v>29</v>
      </c>
      <c r="C8" s="30" t="s">
        <v>30</v>
      </c>
      <c r="D8" s="28" t="s">
        <v>24</v>
      </c>
      <c r="E8" s="29">
        <v>26</v>
      </c>
      <c r="F8" s="42"/>
      <c r="G8" s="42">
        <f>ROUND(М[[#This Row],[Количество]]*М[[#This Row],[Цена за ед., руб]],2)</f>
        <v>0</v>
      </c>
      <c r="H8" s="30"/>
      <c r="I8" s="33"/>
    </row>
    <row r="9" spans="1:9" ht="35.1" customHeight="1" x14ac:dyDescent="0.2">
      <c r="A9" s="32" t="s">
        <v>28</v>
      </c>
      <c r="B9" s="30" t="s">
        <v>29</v>
      </c>
      <c r="C9" s="30" t="s">
        <v>79</v>
      </c>
      <c r="D9" s="28" t="s">
        <v>24</v>
      </c>
      <c r="E9" s="29">
        <v>2</v>
      </c>
      <c r="F9" s="42"/>
      <c r="G9" s="42">
        <f>ROUND(М[[#This Row],[Количество]]*М[[#This Row],[Цена за ед., руб]],2)</f>
        <v>0</v>
      </c>
      <c r="H9" s="30"/>
      <c r="I9" s="33"/>
    </row>
    <row r="10" spans="1:9" ht="35.1" customHeight="1" x14ac:dyDescent="0.2">
      <c r="A10" s="32" t="s">
        <v>28</v>
      </c>
      <c r="B10" s="30" t="s">
        <v>29</v>
      </c>
      <c r="C10" s="30" t="s">
        <v>80</v>
      </c>
      <c r="D10" s="28" t="s">
        <v>24</v>
      </c>
      <c r="E10" s="29">
        <v>2</v>
      </c>
      <c r="F10" s="42"/>
      <c r="G10" s="42">
        <f>ROUND(М[[#This Row],[Количество]]*М[[#This Row],[Цена за ед., руб]],2)</f>
        <v>0</v>
      </c>
      <c r="H10" s="30"/>
      <c r="I10" s="33"/>
    </row>
    <row r="11" spans="1:9" ht="23.1" customHeight="1" x14ac:dyDescent="0.2">
      <c r="A11" s="32" t="s">
        <v>28</v>
      </c>
      <c r="B11" s="30" t="s">
        <v>29</v>
      </c>
      <c r="C11" s="30" t="s">
        <v>32</v>
      </c>
      <c r="D11" s="28" t="s">
        <v>24</v>
      </c>
      <c r="E11" s="29">
        <v>8</v>
      </c>
      <c r="F11" s="42"/>
      <c r="G11" s="42">
        <f>ROUND(М[[#This Row],[Количество]]*М[[#This Row],[Цена за ед., руб]],2)</f>
        <v>0</v>
      </c>
      <c r="H11" s="30"/>
      <c r="I11" s="33"/>
    </row>
    <row r="12" spans="1:9" ht="11.1" customHeight="1" x14ac:dyDescent="0.2">
      <c r="A12" s="32" t="s">
        <v>111</v>
      </c>
      <c r="B12" s="30"/>
      <c r="C12" s="30" t="s">
        <v>112</v>
      </c>
      <c r="D12" s="28" t="s">
        <v>69</v>
      </c>
      <c r="E12" s="29">
        <v>700</v>
      </c>
      <c r="F12" s="42"/>
      <c r="G12" s="42">
        <f>ROUND(М[[#This Row],[Количество]]*М[[#This Row],[Цена за ед., руб]],2)</f>
        <v>0</v>
      </c>
      <c r="H12" s="30"/>
      <c r="I12" s="33"/>
    </row>
    <row r="13" spans="1:9" ht="11.1" customHeight="1" x14ac:dyDescent="0.2">
      <c r="A13" s="32" t="s">
        <v>111</v>
      </c>
      <c r="B13" s="30"/>
      <c r="C13" s="30" t="s">
        <v>113</v>
      </c>
      <c r="D13" s="28" t="s">
        <v>69</v>
      </c>
      <c r="E13" s="29">
        <v>10</v>
      </c>
      <c r="F13" s="42"/>
      <c r="G13" s="42">
        <f>ROUND(М[[#This Row],[Количество]]*М[[#This Row],[Цена за ед., руб]],2)</f>
        <v>0</v>
      </c>
      <c r="H13" s="30"/>
      <c r="I13" s="33"/>
    </row>
    <row r="14" spans="1:9" ht="11.1" customHeight="1" x14ac:dyDescent="0.2">
      <c r="A14" s="32" t="s">
        <v>111</v>
      </c>
      <c r="B14" s="30"/>
      <c r="C14" s="30" t="s">
        <v>114</v>
      </c>
      <c r="D14" s="28" t="s">
        <v>69</v>
      </c>
      <c r="E14" s="31">
        <v>1274</v>
      </c>
      <c r="F14" s="42"/>
      <c r="G14" s="42">
        <f>ROUND(М[[#This Row],[Количество]]*М[[#This Row],[Цена за ед., руб]],2)</f>
        <v>0</v>
      </c>
      <c r="H14" s="30"/>
      <c r="I14" s="33"/>
    </row>
    <row r="15" spans="1:9" ht="11.1" customHeight="1" x14ac:dyDescent="0.2">
      <c r="A15" s="32" t="s">
        <v>70</v>
      </c>
      <c r="B15" s="30"/>
      <c r="C15" s="30" t="s">
        <v>71</v>
      </c>
      <c r="D15" s="28" t="s">
        <v>69</v>
      </c>
      <c r="E15" s="29">
        <v>630</v>
      </c>
      <c r="F15" s="42"/>
      <c r="G15" s="42">
        <f>ROUND(М[[#This Row],[Количество]]*М[[#This Row],[Цена за ед., руб]],2)</f>
        <v>0</v>
      </c>
      <c r="H15" s="30"/>
      <c r="I15" s="33"/>
    </row>
    <row r="16" spans="1:9" ht="11.1" customHeight="1" x14ac:dyDescent="0.2">
      <c r="A16" s="32" t="s">
        <v>70</v>
      </c>
      <c r="B16" s="30"/>
      <c r="C16" s="30" t="s">
        <v>115</v>
      </c>
      <c r="D16" s="28" t="s">
        <v>69</v>
      </c>
      <c r="E16" s="29">
        <v>85</v>
      </c>
      <c r="F16" s="42"/>
      <c r="G16" s="42">
        <f>ROUND(М[[#This Row],[Количество]]*М[[#This Row],[Цена за ед., руб]],2)</f>
        <v>0</v>
      </c>
      <c r="H16" s="30"/>
      <c r="I16" s="33"/>
    </row>
    <row r="17" spans="1:9" ht="11.1" customHeight="1" x14ac:dyDescent="0.2">
      <c r="A17" s="32" t="s">
        <v>70</v>
      </c>
      <c r="B17" s="30"/>
      <c r="C17" s="30" t="s">
        <v>72</v>
      </c>
      <c r="D17" s="28" t="s">
        <v>69</v>
      </c>
      <c r="E17" s="29">
        <v>130</v>
      </c>
      <c r="F17" s="42"/>
      <c r="G17" s="42">
        <f>ROUND(М[[#This Row],[Количество]]*М[[#This Row],[Цена за ед., руб]],2)</f>
        <v>0</v>
      </c>
      <c r="H17" s="30"/>
      <c r="I17" s="33"/>
    </row>
    <row r="18" spans="1:9" ht="11.1" customHeight="1" x14ac:dyDescent="0.2">
      <c r="A18" s="32" t="s">
        <v>70</v>
      </c>
      <c r="B18" s="30"/>
      <c r="C18" s="30" t="s">
        <v>73</v>
      </c>
      <c r="D18" s="28" t="s">
        <v>69</v>
      </c>
      <c r="E18" s="29">
        <v>18</v>
      </c>
      <c r="F18" s="42"/>
      <c r="G18" s="42">
        <f>ROUND(М[[#This Row],[Количество]]*М[[#This Row],[Цена за ед., руб]],2)</f>
        <v>0</v>
      </c>
      <c r="H18" s="30"/>
      <c r="I18" s="33"/>
    </row>
    <row r="19" spans="1:9" ht="11.1" customHeight="1" x14ac:dyDescent="0.2">
      <c r="A19" s="32" t="s">
        <v>51</v>
      </c>
      <c r="B19" s="30" t="s">
        <v>44</v>
      </c>
      <c r="C19" s="30" t="s">
        <v>52</v>
      </c>
      <c r="D19" s="28" t="s">
        <v>24</v>
      </c>
      <c r="E19" s="29">
        <v>4</v>
      </c>
      <c r="F19" s="42"/>
      <c r="G19" s="42">
        <f>ROUND(М[[#This Row],[Количество]]*М[[#This Row],[Цена за ед., руб]],2)</f>
        <v>0</v>
      </c>
      <c r="H19" s="30"/>
      <c r="I19" s="33"/>
    </row>
    <row r="20" spans="1:9" ht="11.1" customHeight="1" x14ac:dyDescent="0.2">
      <c r="A20" s="32" t="s">
        <v>51</v>
      </c>
      <c r="B20" s="30" t="s">
        <v>44</v>
      </c>
      <c r="C20" s="30" t="s">
        <v>53</v>
      </c>
      <c r="D20" s="28" t="s">
        <v>24</v>
      </c>
      <c r="E20" s="29">
        <v>60</v>
      </c>
      <c r="F20" s="42"/>
      <c r="G20" s="42">
        <f>ROUND(М[[#This Row],[Количество]]*М[[#This Row],[Цена за ед., руб]],2)</f>
        <v>0</v>
      </c>
      <c r="H20" s="30"/>
      <c r="I20" s="33"/>
    </row>
    <row r="21" spans="1:9" ht="11.1" customHeight="1" x14ac:dyDescent="0.2">
      <c r="A21" s="32" t="s">
        <v>51</v>
      </c>
      <c r="B21" s="30" t="s">
        <v>44</v>
      </c>
      <c r="C21" s="30" t="s">
        <v>84</v>
      </c>
      <c r="D21" s="28" t="s">
        <v>24</v>
      </c>
      <c r="E21" s="29">
        <v>9</v>
      </c>
      <c r="F21" s="42"/>
      <c r="G21" s="42">
        <f>ROUND(М[[#This Row],[Количество]]*М[[#This Row],[Цена за ед., руб]],2)</f>
        <v>0</v>
      </c>
      <c r="H21" s="30"/>
      <c r="I21" s="33"/>
    </row>
    <row r="22" spans="1:9" ht="23.1" customHeight="1" x14ac:dyDescent="0.2">
      <c r="A22" s="32" t="s">
        <v>34</v>
      </c>
      <c r="B22" s="30"/>
      <c r="C22" s="30" t="s">
        <v>35</v>
      </c>
      <c r="D22" s="28" t="s">
        <v>24</v>
      </c>
      <c r="E22" s="29">
        <v>16</v>
      </c>
      <c r="F22" s="42"/>
      <c r="G22" s="42">
        <f>ROUND(М[[#This Row],[Количество]]*М[[#This Row],[Цена за ед., руб]],2)</f>
        <v>0</v>
      </c>
      <c r="H22" s="30"/>
      <c r="I22" s="33"/>
    </row>
    <row r="23" spans="1:9" ht="11.1" customHeight="1" x14ac:dyDescent="0.2">
      <c r="A23" s="32" t="s">
        <v>36</v>
      </c>
      <c r="B23" s="30"/>
      <c r="C23" s="30" t="s">
        <v>37</v>
      </c>
      <c r="D23" s="28" t="s">
        <v>24</v>
      </c>
      <c r="E23" s="29">
        <v>16</v>
      </c>
      <c r="F23" s="42"/>
      <c r="G23" s="42">
        <f>ROUND(М[[#This Row],[Количество]]*М[[#This Row],[Цена за ед., руб]],2)</f>
        <v>0</v>
      </c>
      <c r="H23" s="30"/>
      <c r="I23" s="33"/>
    </row>
    <row r="24" spans="1:9" ht="23.1" customHeight="1" x14ac:dyDescent="0.2">
      <c r="A24" s="32" t="s">
        <v>39</v>
      </c>
      <c r="B24" s="30"/>
      <c r="C24" s="30" t="s">
        <v>40</v>
      </c>
      <c r="D24" s="28" t="s">
        <v>24</v>
      </c>
      <c r="E24" s="29">
        <v>16</v>
      </c>
      <c r="F24" s="42"/>
      <c r="G24" s="42">
        <f>ROUND(М[[#This Row],[Количество]]*М[[#This Row],[Цена за ед., руб]],2)</f>
        <v>0</v>
      </c>
      <c r="H24" s="30" t="s">
        <v>41</v>
      </c>
      <c r="I24" s="33"/>
    </row>
    <row r="25" spans="1:9" ht="23.1" customHeight="1" x14ac:dyDescent="0.2">
      <c r="A25" s="32" t="s">
        <v>59</v>
      </c>
      <c r="B25" s="30"/>
      <c r="C25" s="30" t="s">
        <v>60</v>
      </c>
      <c r="D25" s="28" t="s">
        <v>24</v>
      </c>
      <c r="E25" s="29">
        <v>8</v>
      </c>
      <c r="F25" s="42"/>
      <c r="G25" s="42">
        <f>ROUND(М[[#This Row],[Количество]]*М[[#This Row],[Цена за ед., руб]],2)</f>
        <v>0</v>
      </c>
      <c r="H25" s="30" t="s">
        <v>61</v>
      </c>
      <c r="I25" s="33"/>
    </row>
    <row r="26" spans="1:9" ht="23.1" customHeight="1" x14ac:dyDescent="0.2">
      <c r="A26" s="32" t="s">
        <v>139</v>
      </c>
      <c r="B26" s="30"/>
      <c r="C26" s="30" t="s">
        <v>140</v>
      </c>
      <c r="D26" s="74" t="s">
        <v>24</v>
      </c>
      <c r="E26" s="29">
        <v>16</v>
      </c>
      <c r="F26" s="42"/>
      <c r="G26" s="42">
        <f>ROUND(М[[#This Row],[Количество]]*М[[#This Row],[Цена за ед., руб]],2)</f>
        <v>0</v>
      </c>
      <c r="H26" s="30"/>
      <c r="I26" s="33"/>
    </row>
    <row r="27" spans="1:9" ht="11.1" customHeight="1" x14ac:dyDescent="0.2">
      <c r="A27" s="32" t="s">
        <v>107</v>
      </c>
      <c r="B27" s="30" t="s">
        <v>44</v>
      </c>
      <c r="C27" s="30" t="s">
        <v>108</v>
      </c>
      <c r="D27" s="28" t="s">
        <v>24</v>
      </c>
      <c r="E27" s="29">
        <v>15</v>
      </c>
      <c r="F27" s="42"/>
      <c r="G27" s="42">
        <f>ROUND(М[[#This Row],[Количество]]*М[[#This Row],[Цена за ед., руб]],2)</f>
        <v>0</v>
      </c>
      <c r="H27" s="30"/>
      <c r="I27" s="33"/>
    </row>
    <row r="28" spans="1:9" ht="11.1" customHeight="1" x14ac:dyDescent="0.2">
      <c r="A28" s="32" t="s">
        <v>107</v>
      </c>
      <c r="B28" s="30" t="s">
        <v>44</v>
      </c>
      <c r="C28" s="30" t="s">
        <v>109</v>
      </c>
      <c r="D28" s="28" t="s">
        <v>24</v>
      </c>
      <c r="E28" s="29">
        <v>128</v>
      </c>
      <c r="F28" s="42"/>
      <c r="G28" s="42">
        <f>ROUND(М[[#This Row],[Количество]]*М[[#This Row],[Цена за ед., руб]],2)</f>
        <v>0</v>
      </c>
      <c r="H28" s="30"/>
      <c r="I28" s="33"/>
    </row>
    <row r="29" spans="1:9" ht="11.1" customHeight="1" x14ac:dyDescent="0.2">
      <c r="A29" s="32" t="s">
        <v>66</v>
      </c>
      <c r="B29" s="30"/>
      <c r="C29" s="30" t="s">
        <v>67</v>
      </c>
      <c r="D29" s="28" t="s">
        <v>63</v>
      </c>
      <c r="E29" s="29">
        <v>194</v>
      </c>
      <c r="F29" s="42"/>
      <c r="G29" s="42">
        <f>ROUND(М[[#This Row],[Количество]]*М[[#This Row],[Цена за ед., руб]],2)</f>
        <v>0</v>
      </c>
      <c r="H29" s="30"/>
      <c r="I29" s="33"/>
    </row>
    <row r="30" spans="1:9" ht="47.1" customHeight="1" x14ac:dyDescent="0.2">
      <c r="A30" s="32" t="s">
        <v>93</v>
      </c>
      <c r="B30" s="30"/>
      <c r="C30" s="30" t="s">
        <v>94</v>
      </c>
      <c r="D30" s="28" t="s">
        <v>24</v>
      </c>
      <c r="E30" s="29">
        <v>628</v>
      </c>
      <c r="F30" s="42"/>
      <c r="G30" s="42">
        <f>ROUND(М[[#This Row],[Количество]]*М[[#This Row],[Цена за ед., руб]],2)</f>
        <v>0</v>
      </c>
      <c r="H30" s="30" t="s">
        <v>95</v>
      </c>
      <c r="I30" s="33"/>
    </row>
    <row r="31" spans="1:9" ht="11.1" customHeight="1" x14ac:dyDescent="0.2">
      <c r="A31" s="32" t="s">
        <v>89</v>
      </c>
      <c r="B31" s="30" t="s">
        <v>86</v>
      </c>
      <c r="C31" s="30" t="s">
        <v>90</v>
      </c>
      <c r="D31" s="28" t="s">
        <v>24</v>
      </c>
      <c r="E31" s="29">
        <v>1</v>
      </c>
      <c r="F31" s="42"/>
      <c r="G31" s="42">
        <f>ROUND(М[[#This Row],[Количество]]*М[[#This Row],[Цена за ед., руб]],2)</f>
        <v>0</v>
      </c>
      <c r="H31" s="30" t="s">
        <v>91</v>
      </c>
      <c r="I31" s="33"/>
    </row>
    <row r="32" spans="1:9" ht="35.1" customHeight="1" x14ac:dyDescent="0.2">
      <c r="A32" s="32" t="s">
        <v>103</v>
      </c>
      <c r="B32" s="30"/>
      <c r="C32" s="30" t="s">
        <v>104</v>
      </c>
      <c r="D32" s="28" t="s">
        <v>24</v>
      </c>
      <c r="E32" s="29">
        <v>1</v>
      </c>
      <c r="F32" s="42"/>
      <c r="G32" s="42">
        <f>ROUND(М[[#This Row],[Количество]]*М[[#This Row],[Цена за ед., руб]],2)</f>
        <v>0</v>
      </c>
      <c r="H32" s="30" t="s">
        <v>105</v>
      </c>
      <c r="I32" s="33"/>
    </row>
    <row r="33" spans="1:9" ht="23.1" customHeight="1" x14ac:dyDescent="0.2">
      <c r="A33" s="32" t="s">
        <v>43</v>
      </c>
      <c r="B33" s="30" t="s">
        <v>29</v>
      </c>
      <c r="C33" s="30" t="s">
        <v>82</v>
      </c>
      <c r="D33" s="28" t="s">
        <v>24</v>
      </c>
      <c r="E33" s="29">
        <v>2</v>
      </c>
      <c r="F33" s="42"/>
      <c r="G33" s="42">
        <f>ROUND(М[[#This Row],[Количество]]*М[[#This Row],[Цена за ед., руб]],2)</f>
        <v>0</v>
      </c>
      <c r="H33" s="30"/>
      <c r="I33" s="33"/>
    </row>
    <row r="34" spans="1:9" ht="11.1" customHeight="1" x14ac:dyDescent="0.2">
      <c r="A34" s="32" t="s">
        <v>43</v>
      </c>
      <c r="B34" s="30" t="s">
        <v>29</v>
      </c>
      <c r="C34" s="30" t="s">
        <v>49</v>
      </c>
      <c r="D34" s="28" t="s">
        <v>24</v>
      </c>
      <c r="E34" s="29">
        <v>10</v>
      </c>
      <c r="F34" s="42"/>
      <c r="G34" s="42">
        <f>ROUND(М[[#This Row],[Количество]]*М[[#This Row],[Цена за ед., руб]],2)</f>
        <v>0</v>
      </c>
      <c r="H34" s="30"/>
      <c r="I34" s="33"/>
    </row>
    <row r="35" spans="1:9" ht="11.1" customHeight="1" x14ac:dyDescent="0.2">
      <c r="A35" s="32" t="s">
        <v>43</v>
      </c>
      <c r="B35" s="30" t="s">
        <v>44</v>
      </c>
      <c r="C35" s="30" t="s">
        <v>45</v>
      </c>
      <c r="D35" s="28" t="s">
        <v>24</v>
      </c>
      <c r="E35" s="29">
        <v>2</v>
      </c>
      <c r="F35" s="42"/>
      <c r="G35" s="42">
        <f>ROUND(М[[#This Row],[Количество]]*М[[#This Row],[Цена за ед., руб]],2)</f>
        <v>0</v>
      </c>
      <c r="H35" s="30"/>
      <c r="I35" s="33"/>
    </row>
    <row r="36" spans="1:9" ht="23.1" customHeight="1" x14ac:dyDescent="0.2">
      <c r="A36" s="32" t="s">
        <v>46</v>
      </c>
      <c r="B36" s="30" t="s">
        <v>44</v>
      </c>
      <c r="C36" s="30" t="s">
        <v>47</v>
      </c>
      <c r="D36" s="28" t="s">
        <v>24</v>
      </c>
      <c r="E36" s="29">
        <v>1</v>
      </c>
      <c r="F36" s="42"/>
      <c r="G36" s="42">
        <f>ROUND(М[[#This Row],[Количество]]*М[[#This Row],[Цена за ед., руб]],2)</f>
        <v>0</v>
      </c>
      <c r="H36" s="30"/>
      <c r="I36" s="33"/>
    </row>
    <row r="37" spans="1:9" ht="23.1" customHeight="1" x14ac:dyDescent="0.2">
      <c r="A37" s="36" t="s">
        <v>96</v>
      </c>
      <c r="B37" s="45"/>
      <c r="C37" s="45" t="s">
        <v>97</v>
      </c>
      <c r="D37" s="37" t="s">
        <v>24</v>
      </c>
      <c r="E37" s="38">
        <v>628</v>
      </c>
      <c r="F37" s="42"/>
      <c r="G37" s="43">
        <f>ROUND(М[[#This Row],[Количество]]*М[[#This Row],[Цена за ед., руб]],2)</f>
        <v>0</v>
      </c>
      <c r="H37" s="45"/>
      <c r="I37" s="40"/>
    </row>
    <row r="38" spans="1:9" ht="23.1" customHeight="1" x14ac:dyDescent="0.2">
      <c r="A38" s="36" t="s">
        <v>136</v>
      </c>
      <c r="B38" s="45"/>
      <c r="C38" s="45"/>
      <c r="D38" s="37" t="s">
        <v>74</v>
      </c>
      <c r="E38" s="77"/>
      <c r="F38" s="43"/>
      <c r="G38" s="43">
        <f ca="1">SUMIF(ЛСР!$B$6:$K$134,М[[#This Row],[Наим.]],ЛСР!$J$6:$J$134)</f>
        <v>0</v>
      </c>
      <c r="H38" s="45" t="s">
        <v>138</v>
      </c>
      <c r="I38" s="40"/>
    </row>
    <row r="39" spans="1:9" ht="23.1" customHeight="1" x14ac:dyDescent="0.2">
      <c r="A39" s="36" t="s">
        <v>137</v>
      </c>
      <c r="B39" s="45"/>
      <c r="C39" s="45"/>
      <c r="D39" s="37" t="s">
        <v>74</v>
      </c>
      <c r="E39" s="77"/>
      <c r="F39" s="43"/>
      <c r="G39" s="43">
        <f ca="1">SUMIF(ЛСР!$B$6:$K$134,М[[#This Row],[Наим.]],ЛСР!$J$6:$J$134)</f>
        <v>0</v>
      </c>
      <c r="H39" s="45" t="s">
        <v>138</v>
      </c>
      <c r="I39" s="40"/>
    </row>
    <row r="40" spans="1:9" ht="11.45" customHeight="1" x14ac:dyDescent="0.2">
      <c r="A40" s="36" t="s">
        <v>135</v>
      </c>
      <c r="B40" s="45"/>
      <c r="C40" s="45"/>
      <c r="D40" s="37"/>
      <c r="E40" s="39"/>
      <c r="F40" s="43"/>
      <c r="G40" s="43">
        <f ca="1">SUBTOTAL(109,М[Сумма, руб])</f>
        <v>0</v>
      </c>
      <c r="H40" s="45"/>
      <c r="I40" s="40"/>
    </row>
    <row r="42" spans="1:9" ht="11.45" customHeight="1" x14ac:dyDescent="0.2">
      <c r="F42" s="78" t="s">
        <v>144</v>
      </c>
      <c r="G42" s="79">
        <f ca="1">ЛСР!J137-М[[#Totals],[Сумма, руб]]</f>
        <v>0</v>
      </c>
    </row>
  </sheetData>
  <mergeCells count="1">
    <mergeCell ref="A1:H1"/>
  </mergeCells>
  <dataValidations count="1">
    <dataValidation type="list" errorStyle="information" allowBlank="1" showInputMessage="1" showErrorMessage="1" sqref="I3:I39" xr:uid="{36105C3E-C698-49A7-9FC1-20FF53CE625E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2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131</v>
      </c>
      <c r="B1" s="1" t="s">
        <v>132</v>
      </c>
    </row>
    <row r="2" spans="1:2" ht="11.1" customHeight="1" x14ac:dyDescent="0.2">
      <c r="A2" s="1" t="s">
        <v>133</v>
      </c>
      <c r="B2" s="1" t="s">
        <v>134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2026-07-22T08:46:45Z</dcterms:modified>
</cp:coreProperties>
</file>