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E24CEB2E-353A-4775-AEE2-8BC9D3E0AB4F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ЛСР!$A$7:$M$195</definedName>
  </definedNames>
  <calcPr calcId="191029"/>
</workbook>
</file>

<file path=xl/calcChain.xml><?xml version="1.0" encoding="utf-8"?>
<calcChain xmlns="http://schemas.openxmlformats.org/spreadsheetml/2006/main">
  <c r="M186" i="1" l="1" a="1"/>
  <c r="M186" i="1" s="1"/>
  <c r="M185" i="1" a="1"/>
  <c r="M185" i="1" s="1"/>
  <c r="M184" i="1" a="1"/>
  <c r="M184" i="1" s="1"/>
  <c r="M183" i="1" a="1"/>
  <c r="M183" i="1" s="1"/>
  <c r="M182" i="1" a="1"/>
  <c r="M182" i="1" s="1"/>
  <c r="M181" i="1" a="1"/>
  <c r="M181" i="1" s="1"/>
  <c r="J131" i="1" a="1"/>
  <c r="J131" i="1" s="1"/>
  <c r="M131" i="1" a="1"/>
  <c r="M131" i="1" s="1"/>
  <c r="J129" i="1" a="1"/>
  <c r="J129" i="1" s="1"/>
  <c r="I131" i="1"/>
  <c r="I129" i="1"/>
  <c r="I182" i="1"/>
  <c r="I183" i="1"/>
  <c r="I184" i="1"/>
  <c r="I185" i="1"/>
  <c r="I186" i="1"/>
  <c r="I181" i="1"/>
  <c r="I13" i="1"/>
  <c r="J13" i="1" a="1"/>
  <c r="J13" i="1" s="1"/>
  <c r="K13" i="1" s="1"/>
  <c r="K12" i="1" s="1"/>
  <c r="I15" i="1"/>
  <c r="J15" i="1" a="1"/>
  <c r="J15" i="1" s="1"/>
  <c r="I17" i="1"/>
  <c r="J17" i="1" a="1"/>
  <c r="J17" i="1" s="1"/>
  <c r="K17" i="1" s="1"/>
  <c r="K16" i="1" s="1"/>
  <c r="I19" i="1"/>
  <c r="M19" i="1" a="1"/>
  <c r="M19" i="1" s="1"/>
  <c r="J19" i="1" a="1"/>
  <c r="J19" i="1" s="1"/>
  <c r="K19" i="1" s="1"/>
  <c r="I20" i="1"/>
  <c r="M20" i="1" a="1"/>
  <c r="M20" i="1" s="1"/>
  <c r="J20" i="1" a="1"/>
  <c r="J20" i="1" s="1"/>
  <c r="I21" i="1"/>
  <c r="M21" i="1" a="1"/>
  <c r="M21" i="1" s="1"/>
  <c r="J21" i="1" a="1"/>
  <c r="J21" i="1" s="1"/>
  <c r="K21" i="1" s="1"/>
  <c r="I23" i="1"/>
  <c r="J23" i="1" a="1"/>
  <c r="J23" i="1" s="1"/>
  <c r="I25" i="1"/>
  <c r="M25" i="1" a="1"/>
  <c r="M25" i="1" s="1"/>
  <c r="J25" i="1" a="1"/>
  <c r="J25" i="1" s="1"/>
  <c r="I27" i="1"/>
  <c r="J27" i="1" a="1"/>
  <c r="J27" i="1" s="1"/>
  <c r="K27" i="1" s="1"/>
  <c r="K26" i="1" s="1"/>
  <c r="I29" i="1"/>
  <c r="M29" i="1" a="1"/>
  <c r="M29" i="1" s="1"/>
  <c r="J29" i="1" a="1"/>
  <c r="J29" i="1" s="1"/>
  <c r="I31" i="1"/>
  <c r="J31" i="1" a="1"/>
  <c r="J31" i="1" s="1"/>
  <c r="I33" i="1"/>
  <c r="M33" i="1" a="1"/>
  <c r="M33" i="1" s="1"/>
  <c r="J33" i="1" a="1"/>
  <c r="J33" i="1" s="1"/>
  <c r="K33" i="1" s="1"/>
  <c r="K32" i="1" s="1"/>
  <c r="I35" i="1"/>
  <c r="J35" i="1" a="1"/>
  <c r="J35" i="1" s="1"/>
  <c r="K35" i="1" s="1"/>
  <c r="K34" i="1" s="1"/>
  <c r="I37" i="1"/>
  <c r="M37" i="1" a="1"/>
  <c r="M37" i="1" s="1"/>
  <c r="J37" i="1" a="1"/>
  <c r="J37" i="1" s="1"/>
  <c r="I39" i="1"/>
  <c r="J39" i="1" a="1"/>
  <c r="J39" i="1" s="1"/>
  <c r="I41" i="1"/>
  <c r="M41" i="1" a="1"/>
  <c r="M41" i="1" s="1"/>
  <c r="J41" i="1" a="1"/>
  <c r="J41" i="1" s="1"/>
  <c r="K41" i="1" s="1"/>
  <c r="I42" i="1"/>
  <c r="M42" i="1" a="1"/>
  <c r="M42" i="1" s="1"/>
  <c r="J42" i="1" a="1"/>
  <c r="J42" i="1" s="1"/>
  <c r="I44" i="1"/>
  <c r="J44" i="1" a="1"/>
  <c r="J44" i="1" s="1"/>
  <c r="I46" i="1"/>
  <c r="M46" i="1" a="1"/>
  <c r="M46" i="1" s="1"/>
  <c r="J46" i="1" a="1"/>
  <c r="J46" i="1" s="1"/>
  <c r="I47" i="1"/>
  <c r="M47" i="1" a="1"/>
  <c r="M47" i="1" s="1"/>
  <c r="J47" i="1" a="1"/>
  <c r="J47" i="1" s="1"/>
  <c r="K47" i="1" s="1"/>
  <c r="I49" i="1"/>
  <c r="J49" i="1" a="1"/>
  <c r="J49" i="1" s="1"/>
  <c r="I51" i="1"/>
  <c r="M51" i="1" a="1"/>
  <c r="M51" i="1" s="1"/>
  <c r="J51" i="1" a="1"/>
  <c r="J51" i="1" s="1"/>
  <c r="I53" i="1"/>
  <c r="J53" i="1" a="1"/>
  <c r="J53" i="1" s="1"/>
  <c r="I55" i="1"/>
  <c r="M55" i="1" a="1"/>
  <c r="M55" i="1" s="1"/>
  <c r="J55" i="1" a="1"/>
  <c r="J55" i="1" s="1"/>
  <c r="I56" i="1"/>
  <c r="M56" i="1" a="1"/>
  <c r="M56" i="1" s="1"/>
  <c r="J56" i="1" a="1"/>
  <c r="J56" i="1" s="1"/>
  <c r="I57" i="1"/>
  <c r="M57" i="1" a="1"/>
  <c r="M57" i="1" s="1"/>
  <c r="J57" i="1" a="1"/>
  <c r="J57" i="1" s="1"/>
  <c r="I59" i="1"/>
  <c r="J59" i="1" a="1"/>
  <c r="J59" i="1" s="1"/>
  <c r="I61" i="1"/>
  <c r="M61" i="1" a="1"/>
  <c r="M61" i="1" s="1"/>
  <c r="J61" i="1" a="1"/>
  <c r="J61" i="1" s="1"/>
  <c r="I63" i="1"/>
  <c r="J63" i="1" a="1"/>
  <c r="J63" i="1" s="1"/>
  <c r="K63" i="1" s="1"/>
  <c r="K62" i="1" s="1"/>
  <c r="I65" i="1"/>
  <c r="M65" i="1" a="1"/>
  <c r="M65" i="1" s="1"/>
  <c r="J65" i="1" a="1"/>
  <c r="J65" i="1" s="1"/>
  <c r="K65" i="1" s="1"/>
  <c r="I69" i="1"/>
  <c r="J69" i="1" a="1"/>
  <c r="J69" i="1" s="1"/>
  <c r="K69" i="1" s="1"/>
  <c r="K68" i="1" s="1"/>
  <c r="I71" i="1"/>
  <c r="J71" i="1" a="1"/>
  <c r="J71" i="1" s="1"/>
  <c r="I73" i="1"/>
  <c r="M73" i="1" a="1"/>
  <c r="M73" i="1" s="1"/>
  <c r="J73" i="1" a="1"/>
  <c r="J73" i="1" s="1"/>
  <c r="I74" i="1"/>
  <c r="M74" i="1" a="1"/>
  <c r="M74" i="1" s="1"/>
  <c r="J74" i="1" a="1"/>
  <c r="J74" i="1" s="1"/>
  <c r="I76" i="1"/>
  <c r="J76" i="1" a="1"/>
  <c r="J76" i="1" s="1"/>
  <c r="K76" i="1" s="1"/>
  <c r="K75" i="1" s="1"/>
  <c r="I78" i="1"/>
  <c r="M78" i="1" a="1"/>
  <c r="M78" i="1" s="1"/>
  <c r="J78" i="1" a="1"/>
  <c r="J78" i="1" s="1"/>
  <c r="I80" i="1"/>
  <c r="J80" i="1" a="1"/>
  <c r="J80" i="1" s="1"/>
  <c r="I82" i="1"/>
  <c r="M82" i="1" a="1"/>
  <c r="M82" i="1" s="1"/>
  <c r="J82" i="1" a="1"/>
  <c r="J82" i="1" s="1"/>
  <c r="I84" i="1"/>
  <c r="J84" i="1" a="1"/>
  <c r="J84" i="1" s="1"/>
  <c r="I86" i="1"/>
  <c r="M86" i="1" a="1"/>
  <c r="M86" i="1" s="1"/>
  <c r="J86" i="1" a="1"/>
  <c r="J86" i="1" s="1"/>
  <c r="I87" i="1"/>
  <c r="M87" i="1" a="1"/>
  <c r="M87" i="1" s="1"/>
  <c r="J87" i="1" a="1"/>
  <c r="J87" i="1" s="1"/>
  <c r="I89" i="1"/>
  <c r="J89" i="1" a="1"/>
  <c r="J89" i="1" s="1"/>
  <c r="K89" i="1" s="1"/>
  <c r="K88" i="1" s="1"/>
  <c r="I91" i="1"/>
  <c r="M91" i="1" a="1"/>
  <c r="M91" i="1" s="1"/>
  <c r="J91" i="1" a="1"/>
  <c r="J91" i="1" s="1"/>
  <c r="I95" i="1"/>
  <c r="J95" i="1" a="1"/>
  <c r="J95" i="1" s="1"/>
  <c r="I97" i="1"/>
  <c r="J97" i="1" a="1"/>
  <c r="J97" i="1" s="1"/>
  <c r="I99" i="1"/>
  <c r="M99" i="1" a="1"/>
  <c r="M99" i="1" s="1"/>
  <c r="J99" i="1" a="1"/>
  <c r="J99" i="1" s="1"/>
  <c r="I100" i="1"/>
  <c r="M100" i="1" a="1"/>
  <c r="M100" i="1" s="1"/>
  <c r="J100" i="1" a="1"/>
  <c r="J100" i="1" s="1"/>
  <c r="I101" i="1"/>
  <c r="M101" i="1" a="1"/>
  <c r="M101" i="1" s="1"/>
  <c r="J101" i="1" a="1"/>
  <c r="J101" i="1" s="1"/>
  <c r="I102" i="1"/>
  <c r="M102" i="1" a="1"/>
  <c r="M102" i="1" s="1"/>
  <c r="J102" i="1" a="1"/>
  <c r="J102" i="1" s="1"/>
  <c r="I104" i="1"/>
  <c r="J104" i="1" a="1"/>
  <c r="J104" i="1" s="1"/>
  <c r="I106" i="1"/>
  <c r="M106" i="1" a="1"/>
  <c r="M106" i="1" s="1"/>
  <c r="J106" i="1" a="1"/>
  <c r="J106" i="1" s="1"/>
  <c r="I108" i="1"/>
  <c r="J108" i="1" a="1"/>
  <c r="J108" i="1" s="1"/>
  <c r="K108" i="1" s="1"/>
  <c r="K107" i="1" s="1"/>
  <c r="I110" i="1"/>
  <c r="M110" i="1" a="1"/>
  <c r="M110" i="1" s="1"/>
  <c r="J110" i="1" a="1"/>
  <c r="J110" i="1" s="1"/>
  <c r="K110" i="1" s="1"/>
  <c r="K109" i="1" s="1"/>
  <c r="I112" i="1"/>
  <c r="J112" i="1" a="1"/>
  <c r="J112" i="1" s="1"/>
  <c r="I114" i="1"/>
  <c r="M114" i="1" a="1"/>
  <c r="M114" i="1" s="1"/>
  <c r="J114" i="1" a="1"/>
  <c r="J114" i="1" s="1"/>
  <c r="I116" i="1"/>
  <c r="J116" i="1" a="1"/>
  <c r="J116" i="1" s="1"/>
  <c r="K116" i="1" s="1"/>
  <c r="K115" i="1" s="1"/>
  <c r="I118" i="1"/>
  <c r="J118" i="1" a="1"/>
  <c r="J118" i="1" s="1"/>
  <c r="I120" i="1"/>
  <c r="M120" i="1" a="1"/>
  <c r="M120" i="1" s="1"/>
  <c r="J120" i="1" a="1"/>
  <c r="J120" i="1" s="1"/>
  <c r="I121" i="1"/>
  <c r="M121" i="1" a="1"/>
  <c r="M121" i="1" s="1"/>
  <c r="J121" i="1" a="1"/>
  <c r="J121" i="1" s="1"/>
  <c r="K121" i="1" s="1"/>
  <c r="I123" i="1"/>
  <c r="J123" i="1" a="1"/>
  <c r="J123" i="1" s="1"/>
  <c r="K123" i="1" s="1"/>
  <c r="K122" i="1" s="1"/>
  <c r="I125" i="1"/>
  <c r="M125" i="1" a="1"/>
  <c r="M125" i="1" s="1"/>
  <c r="J125" i="1" a="1"/>
  <c r="J125" i="1" s="1"/>
  <c r="K125" i="1" s="1"/>
  <c r="I133" i="1"/>
  <c r="J133" i="1" a="1"/>
  <c r="J133" i="1" s="1"/>
  <c r="K133" i="1" s="1"/>
  <c r="K132" i="1" s="1"/>
  <c r="I135" i="1"/>
  <c r="M135" i="1" a="1"/>
  <c r="M135" i="1" s="1"/>
  <c r="J135" i="1" a="1"/>
  <c r="J135" i="1" s="1"/>
  <c r="I137" i="1"/>
  <c r="J137" i="1" a="1"/>
  <c r="J137" i="1" s="1"/>
  <c r="I139" i="1"/>
  <c r="M139" i="1" a="1"/>
  <c r="M139" i="1" s="1"/>
  <c r="J139" i="1" a="1"/>
  <c r="J139" i="1" s="1"/>
  <c r="I141" i="1"/>
  <c r="J141" i="1" a="1"/>
  <c r="J141" i="1" s="1"/>
  <c r="K141" i="1" s="1"/>
  <c r="K140" i="1" s="1"/>
  <c r="I143" i="1"/>
  <c r="M143" i="1" a="1"/>
  <c r="M143" i="1" s="1"/>
  <c r="J143" i="1" a="1"/>
  <c r="J143" i="1" s="1"/>
  <c r="K143" i="1" s="1"/>
  <c r="K142" i="1" s="1"/>
  <c r="I145" i="1"/>
  <c r="J145" i="1" a="1"/>
  <c r="J145" i="1" s="1"/>
  <c r="I147" i="1"/>
  <c r="M147" i="1" a="1"/>
  <c r="M147" i="1" s="1"/>
  <c r="J147" i="1" a="1"/>
  <c r="J147" i="1" s="1"/>
  <c r="I151" i="1"/>
  <c r="J151" i="1" a="1"/>
  <c r="J151" i="1" s="1"/>
  <c r="I153" i="1"/>
  <c r="J153" i="1" a="1"/>
  <c r="J153" i="1" s="1"/>
  <c r="K153" i="1" s="1"/>
  <c r="K152" i="1" s="1"/>
  <c r="I155" i="1"/>
  <c r="M155" i="1" a="1"/>
  <c r="M155" i="1" s="1"/>
  <c r="J155" i="1" a="1"/>
  <c r="J155" i="1" s="1"/>
  <c r="I157" i="1"/>
  <c r="J157" i="1" a="1"/>
  <c r="J157" i="1" s="1"/>
  <c r="I159" i="1"/>
  <c r="M159" i="1" a="1"/>
  <c r="M159" i="1" s="1"/>
  <c r="J159" i="1" a="1"/>
  <c r="J159" i="1" s="1"/>
  <c r="I160" i="1"/>
  <c r="M160" i="1" a="1"/>
  <c r="M160" i="1" s="1"/>
  <c r="J160" i="1" a="1"/>
  <c r="J160" i="1" s="1"/>
  <c r="I162" i="1"/>
  <c r="J162" i="1" a="1"/>
  <c r="J162" i="1" s="1"/>
  <c r="I164" i="1"/>
  <c r="M164" i="1" a="1"/>
  <c r="M164" i="1" s="1"/>
  <c r="J164" i="1" a="1"/>
  <c r="J164" i="1" s="1"/>
  <c r="K164" i="1" s="1"/>
  <c r="K163" i="1" s="1"/>
  <c r="I166" i="1"/>
  <c r="J166" i="1" a="1"/>
  <c r="J166" i="1" s="1"/>
  <c r="K166" i="1" s="1"/>
  <c r="K165" i="1" s="1"/>
  <c r="I168" i="1"/>
  <c r="M168" i="1" a="1"/>
  <c r="M168" i="1" s="1"/>
  <c r="J168" i="1" a="1"/>
  <c r="J168" i="1" s="1"/>
  <c r="I169" i="1"/>
  <c r="M169" i="1" a="1"/>
  <c r="M169" i="1" s="1"/>
  <c r="J169" i="1" a="1"/>
  <c r="J169" i="1" s="1"/>
  <c r="K169" i="1" s="1"/>
  <c r="I171" i="1"/>
  <c r="J171" i="1" a="1"/>
  <c r="J171" i="1" s="1"/>
  <c r="K171" i="1" s="1"/>
  <c r="K170" i="1" s="1"/>
  <c r="I173" i="1"/>
  <c r="M173" i="1" a="1"/>
  <c r="M173" i="1" s="1"/>
  <c r="J173" i="1" a="1"/>
  <c r="J173" i="1" s="1"/>
  <c r="I190" i="1"/>
  <c r="J190" i="1" a="1"/>
  <c r="J190" i="1" s="1"/>
  <c r="K190" i="1" s="1"/>
  <c r="K189" i="1" s="1"/>
  <c r="K188" i="1" s="1"/>
  <c r="K187" i="1" s="1"/>
  <c r="I177" i="1"/>
  <c r="J177" i="1" a="1"/>
  <c r="J177" i="1" s="1"/>
  <c r="I179" i="1"/>
  <c r="M179" i="1" a="1"/>
  <c r="M179" i="1" s="1"/>
  <c r="J179" i="1" a="1"/>
  <c r="J179" i="1" s="1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K84" i="1" l="1"/>
  <c r="K83" i="1" s="1"/>
  <c r="K118" i="1"/>
  <c r="K117" i="1" s="1"/>
  <c r="K49" i="1"/>
  <c r="K48" i="1" s="1"/>
  <c r="K131" i="1"/>
  <c r="K130" i="1" s="1"/>
  <c r="K129" i="1"/>
  <c r="K128" i="1" s="1"/>
  <c r="K177" i="1"/>
  <c r="K176" i="1" s="1"/>
  <c r="K20" i="1"/>
  <c r="K51" i="1"/>
  <c r="K50" i="1" s="1"/>
  <c r="K86" i="1"/>
  <c r="K120" i="1"/>
  <c r="K119" i="1" s="1"/>
  <c r="K99" i="1"/>
  <c r="K173" i="1"/>
  <c r="K172" i="1" s="1"/>
  <c r="K55" i="1"/>
  <c r="K106" i="1"/>
  <c r="K105" i="1" s="1"/>
  <c r="K42" i="1"/>
  <c r="K40" i="1" s="1"/>
  <c r="K183" i="1"/>
  <c r="K184" i="1"/>
  <c r="E30" i="2"/>
  <c r="K64" i="1"/>
  <c r="K124" i="1"/>
  <c r="K46" i="1"/>
  <c r="K45" i="1" s="1"/>
  <c r="K155" i="1"/>
  <c r="K154" i="1" s="1"/>
  <c r="K44" i="1"/>
  <c r="K43" i="1" s="1"/>
  <c r="K112" i="1"/>
  <c r="K111" i="1" s="1"/>
  <c r="K78" i="1"/>
  <c r="K77" i="1" s="1"/>
  <c r="K73" i="1"/>
  <c r="K102" i="1"/>
  <c r="K80" i="1"/>
  <c r="K79" i="1" s="1"/>
  <c r="K59" i="1"/>
  <c r="K58" i="1" s="1"/>
  <c r="K87" i="1"/>
  <c r="K145" i="1"/>
  <c r="K144" i="1" s="1"/>
  <c r="K157" i="1"/>
  <c r="K156" i="1" s="1"/>
  <c r="K159" i="1"/>
  <c r="K74" i="1"/>
  <c r="K101" i="1"/>
  <c r="K104" i="1"/>
  <c r="K103" i="1" s="1"/>
  <c r="K114" i="1"/>
  <c r="K113" i="1" s="1"/>
  <c r="K137" i="1"/>
  <c r="K136" i="1" s="1"/>
  <c r="K139" i="1"/>
  <c r="K138" i="1" s="1"/>
  <c r="K168" i="1"/>
  <c r="K167" i="1" s="1"/>
  <c r="K179" i="1"/>
  <c r="K25" i="1"/>
  <c r="K39" i="1"/>
  <c r="K38" i="1" s="1"/>
  <c r="K61" i="1"/>
  <c r="K97" i="1"/>
  <c r="K96" i="1" s="1"/>
  <c r="K23" i="1"/>
  <c r="K22" i="1" s="1"/>
  <c r="K151" i="1"/>
  <c r="K150" i="1" s="1"/>
  <c r="K71" i="1"/>
  <c r="K70" i="1" s="1"/>
  <c r="K31" i="1"/>
  <c r="K30" i="1" s="1"/>
  <c r="K135" i="1"/>
  <c r="K134" i="1" s="1"/>
  <c r="K95" i="1"/>
  <c r="K94" i="1" s="1"/>
  <c r="K57" i="1"/>
  <c r="K29" i="1"/>
  <c r="K28" i="1" s="1"/>
  <c r="K91" i="1"/>
  <c r="K182" i="1" s="1"/>
  <c r="K56" i="1"/>
  <c r="K82" i="1"/>
  <c r="K81" i="1" s="1"/>
  <c r="K147" i="1"/>
  <c r="K162" i="1"/>
  <c r="K161" i="1" s="1"/>
  <c r="K160" i="1"/>
  <c r="K100" i="1"/>
  <c r="K37" i="1"/>
  <c r="K36" i="1" s="1"/>
  <c r="K15" i="1"/>
  <c r="K14" i="1" s="1"/>
  <c r="K53" i="1"/>
  <c r="K52" i="1" s="1"/>
  <c r="K186" i="1" l="1"/>
  <c r="K18" i="1"/>
  <c r="K85" i="1"/>
  <c r="K192" i="1"/>
  <c r="E32" i="2" s="1"/>
  <c r="K185" i="1"/>
  <c r="K146" i="1"/>
  <c r="K127" i="1" s="1"/>
  <c r="K126" i="1" s="1"/>
  <c r="K181" i="1"/>
  <c r="K24" i="1"/>
  <c r="K60" i="1"/>
  <c r="K90" i="1"/>
  <c r="K178" i="1"/>
  <c r="K72" i="1"/>
  <c r="K54" i="1"/>
  <c r="K158" i="1"/>
  <c r="K149" i="1" s="1"/>
  <c r="K98" i="1"/>
  <c r="K93" i="1" s="1"/>
  <c r="K11" i="1" l="1"/>
  <c r="K10" i="1" s="1"/>
  <c r="K67" i="1"/>
  <c r="K66" i="1" s="1"/>
  <c r="K180" i="1"/>
  <c r="K193" i="1" s="1"/>
  <c r="K92" i="1"/>
  <c r="K148" i="1"/>
  <c r="K175" i="1" l="1"/>
  <c r="K174" i="1" s="1"/>
  <c r="K9" i="1" s="1"/>
  <c r="K191" i="1" l="1"/>
  <c r="G44" i="3"/>
  <c r="G43" i="3"/>
  <c r="G42" i="3"/>
  <c r="G45" i="3"/>
  <c r="G41" i="3"/>
  <c r="G46" i="3"/>
  <c r="G47" i="3" l="1"/>
  <c r="G49" i="3" s="1"/>
</calcChain>
</file>

<file path=xl/sharedStrings.xml><?xml version="1.0" encoding="utf-8"?>
<sst xmlns="http://schemas.openxmlformats.org/spreadsheetml/2006/main" count="670" uniqueCount="179">
  <si>
    <t>Локальный сметный расчет (ЛСР) №7</t>
  </si>
  <si>
    <t>Объект: «Комплексная застройка территории, расположенной в границах улиц: Тобольский тракт - Обход города Тюмени (мкр. Губернаторский). Многоэтажный жилой дом ГП-72.107» Секция 1, 2</t>
  </si>
  <si>
    <t>Ведомость объемов работ и расхода материалов по работе: Устройство системы канализации и сопутствующим работам (согласно проекту шифр ВК,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</si>
  <si>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</si>
  <si>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</si>
  <si>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</si>
  <si>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</si>
  <si>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</si>
  <si>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</si>
  <si>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</si>
  <si>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</si>
  <si>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</si>
  <si>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</si>
  <si>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</si>
  <si>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</si>
  <si>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</si>
  <si>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</si>
  <si>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</si>
  <si>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11.03</t>
  </si>
  <si>
    <t>Устройство системы канализации</t>
  </si>
  <si>
    <t>11.03.01</t>
  </si>
  <si>
    <t>Устройство канализации К-1</t>
  </si>
  <si>
    <t>11.03.01.00</t>
  </si>
  <si>
    <t>Работы:</t>
  </si>
  <si>
    <t>Бурение отверстий до 130 мм</t>
  </si>
  <si>
    <t>шт</t>
  </si>
  <si>
    <t>Бурение отверстий до 80 мм</t>
  </si>
  <si>
    <t>Изоляция трубопровода</t>
  </si>
  <si>
    <t>м</t>
  </si>
  <si>
    <t>Материалы:</t>
  </si>
  <si>
    <t>1</t>
  </si>
  <si>
    <t>Цилиндры фольгированные</t>
  </si>
  <si>
    <t>110x30 мм</t>
  </si>
  <si>
    <t>пог. м</t>
  </si>
  <si>
    <t>2</t>
  </si>
  <si>
    <t>включая гильзы</t>
  </si>
  <si>
    <t>3</t>
  </si>
  <si>
    <t>Трубная изоляция</t>
  </si>
  <si>
    <t>из вспененного полиэтилена 13мм 42х13</t>
  </si>
  <si>
    <t>Монтаж защитного кожуха</t>
  </si>
  <si>
    <t>м2</t>
  </si>
  <si>
    <t>Окожушка</t>
  </si>
  <si>
    <t>оцинк. сталь 0,5мм</t>
  </si>
  <si>
    <t>гильзы</t>
  </si>
  <si>
    <t>Монтаж клапана (фланцевые, резьбовые) до 32 мм</t>
  </si>
  <si>
    <t>Клапан обратный</t>
  </si>
  <si>
    <t>Valtec</t>
  </si>
  <si>
    <t>1 1/4 Ду-32 Ру-16бар</t>
  </si>
  <si>
    <t>Монтаж клапана канализационного</t>
  </si>
  <si>
    <t>Клапан канализационный</t>
  </si>
  <si>
    <t>110 вакуумный белый</t>
  </si>
  <si>
    <t>Монтаж кранов (фланцевые, резьбовые) до 32 мм</t>
  </si>
  <si>
    <t>Кран шаровой</t>
  </si>
  <si>
    <t>полнопроходной с НГ 1 1/4</t>
  </si>
  <si>
    <t>Монтаж муфты противопожарной</t>
  </si>
  <si>
    <t>Муфта противопожарная</t>
  </si>
  <si>
    <t>ПМ-50/60</t>
  </si>
  <si>
    <t>ПМ-110/60</t>
  </si>
  <si>
    <t>Монтаж ревизии</t>
  </si>
  <si>
    <t>Ревизия канализационная</t>
  </si>
  <si>
    <t>полипропиленовая Ду-50 бесшумная</t>
  </si>
  <si>
    <t>полипропиленовая Ду-110 бесшумная</t>
  </si>
  <si>
    <t>Монтаж трапа</t>
  </si>
  <si>
    <t>Трап</t>
  </si>
  <si>
    <t>с сухим затвором верикальный Ф50</t>
  </si>
  <si>
    <t>Прокладка трубы канализационной (для внутренних работ)</t>
  </si>
  <si>
    <t>Труба канализационная (пог.м.)</t>
  </si>
  <si>
    <t>бесшумная белая D-110х3,4</t>
  </si>
  <si>
    <t>бесшумная белая D-50х3,4</t>
  </si>
  <si>
    <t>серая ПП D-50х3,4</t>
  </si>
  <si>
    <t>Прокладка трубы ППН</t>
  </si>
  <si>
    <t>Труба полипропиленовая</t>
  </si>
  <si>
    <t>PPH PN20 DN40х5,4</t>
  </si>
  <si>
    <t>Прокладка трубы ПЭ</t>
  </si>
  <si>
    <t>Труба полиэтиленовая (пог.м.)</t>
  </si>
  <si>
    <t>ПЭ-100 SDR17,0 DN110 N-техническая</t>
  </si>
  <si>
    <t>%</t>
  </si>
  <si>
    <t>11.03.02</t>
  </si>
  <si>
    <t>Устройство канализации К-2</t>
  </si>
  <si>
    <t>11.03.02.00</t>
  </si>
  <si>
    <t>Бурение отверстий 130 мм</t>
  </si>
  <si>
    <t>Теплоизоляция трубная</t>
  </si>
  <si>
    <t>110х13мм вспененный каучук</t>
  </si>
  <si>
    <t>110х20мм Навивные цилидры из каменной ваты фольгированные</t>
  </si>
  <si>
    <t>НПВХ Ду-110</t>
  </si>
  <si>
    <t>Оstendorf</t>
  </si>
  <si>
    <t>Прокладка трубы НПВХ клеевая</t>
  </si>
  <si>
    <t>Труба НПВХ</t>
  </si>
  <si>
    <t>Aquaviva, либо аналог</t>
  </si>
  <si>
    <t>клеевая Ф110х4,2 PN10 L=3m</t>
  </si>
  <si>
    <t>11.03.03</t>
  </si>
  <si>
    <t>Устройство канализации Т-8</t>
  </si>
  <si>
    <t>11.03.03.00</t>
  </si>
  <si>
    <t>Бурение отверстий до 60мм</t>
  </si>
  <si>
    <t>22х13мм вспененный полиэтилен</t>
  </si>
  <si>
    <t>K-FLEX</t>
  </si>
  <si>
    <t>42х13мм вспененный полиэтилен</t>
  </si>
  <si>
    <t>4</t>
  </si>
  <si>
    <t>Ф50 вакуумный серый</t>
  </si>
  <si>
    <t>ПМ-40</t>
  </si>
  <si>
    <t>Пробивка отверстий до 40 мм</t>
  </si>
  <si>
    <t>PPH PN25 DN25х4,2 арм.стекловолокно</t>
  </si>
  <si>
    <t>PPH PN20 DN40х6,7 арм.стекловолокно</t>
  </si>
  <si>
    <t>Прокладка трубы ПЭ сшитый (МП)</t>
  </si>
  <si>
    <t>Труба сшитый полиэтилен</t>
  </si>
  <si>
    <t>ONE PLUS</t>
  </si>
  <si>
    <t>DN-20х2,8 PN-10bar PEXа</t>
  </si>
  <si>
    <t>11.03.04</t>
  </si>
  <si>
    <t>Устройство канализации К-3</t>
  </si>
  <si>
    <t>11.03.04.00</t>
  </si>
  <si>
    <t>Монтаж дренажного насоса</t>
  </si>
  <si>
    <t>Насос дренажный</t>
  </si>
  <si>
    <t>ГНОМ 7/7</t>
  </si>
  <si>
    <t>Монтаж клапанов</t>
  </si>
  <si>
    <t>Монтаж кранов</t>
  </si>
  <si>
    <t>Ду-32 полнопроходный с НГ</t>
  </si>
  <si>
    <t>11.03.05</t>
  </si>
  <si>
    <t>Устройство канализации в КУИ</t>
  </si>
  <si>
    <t>11.03.05.00</t>
  </si>
  <si>
    <t>Установка раковины</t>
  </si>
  <si>
    <t>Раковина</t>
  </si>
  <si>
    <t>с пьедесталом керамика</t>
  </si>
  <si>
    <t>Установка смесителя</t>
  </si>
  <si>
    <t>Смеситель</t>
  </si>
  <si>
    <t>для раковины однорычажный хром</t>
  </si>
  <si>
    <t>для ванны и душа двухвентильный хром</t>
  </si>
  <si>
    <t>Установка унитаза</t>
  </si>
  <si>
    <t>Унитаз</t>
  </si>
  <si>
    <t>компакт с косым выпуском</t>
  </si>
  <si>
    <t>11.03.06</t>
  </si>
  <si>
    <t>ПНР</t>
  </si>
  <si>
    <t>11.03.06.00</t>
  </si>
  <si>
    <t>Пусконаладочные работы системы канализации: пролив</t>
  </si>
  <si>
    <t>компл.</t>
  </si>
  <si>
    <t>11.03.99</t>
  </si>
  <si>
    <t>Прочие работы</t>
  </si>
  <si>
    <t>11.03.99.00</t>
  </si>
  <si>
    <t>Эмаль (кг.)</t>
  </si>
  <si>
    <t>ПФ-115</t>
  </si>
  <si>
    <t>кг</t>
  </si>
  <si>
    <t>Для навигации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</si>
  <si>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</si>
  <si>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</si>
  <si>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</si>
  <si>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</si>
  <si>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</si>
  <si>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</si>
  <si>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</si>
  <si>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</si>
  <si>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</si>
  <si>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</si>
  <si>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</si>
  <si>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</si>
  <si>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ГП-72.107.02.11.03 Секция 2_Устройство системы канализации №1</t>
  </si>
  <si>
    <t>799928e5-c15b-11f0-8b59-a036bcbd010b</t>
  </si>
  <si>
    <t>ГП-72.107.01.11.03 Секция 1_Устройство системы канализации №1</t>
  </si>
  <si>
    <t>ce62167a-c151-11f0-8b59-a036bcbd010b</t>
  </si>
  <si>
    <t>Итог</t>
  </si>
  <si>
    <t>Фасонные изделия и фитинги для ППН трубы</t>
  </si>
  <si>
    <t>Фасонные изделия и фитинги для НПВХ трубы</t>
  </si>
  <si>
    <t>Фасонные изделия и фитинги для ПЭ трубы</t>
  </si>
  <si>
    <t>Фасонные изделия и фитинги для ПЭ (сшитый) трубы</t>
  </si>
  <si>
    <t>Фасонные изделия и фитинги для канализационной трубы</t>
  </si>
  <si>
    <t>Прочие материалы</t>
  </si>
  <si>
    <t>ИТОГО по сметному расчету, в тч НДС:</t>
  </si>
  <si>
    <t>в тч НДС ____%</t>
  </si>
  <si>
    <t>Прочие работы (навигация)</t>
  </si>
  <si>
    <t>Проверка:</t>
  </si>
  <si>
    <t>указать %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</si>
  <si>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</si>
  <si>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</si>
  <si>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</si>
  <si>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</si>
  <si>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</si>
  <si>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</si>
  <si>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</si>
  <si>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В стоимость пусконоладочных работ входит: ПНР Насосной станции ХП, ПНР Насосной станции пожаротушения, Автоматизация (узлов учета воды, повысительной НУ) с учетом материалов, Автоматизация насосов системы пожаротушения (кабельно проводниковая продукция, лотки итд) с учетом материалов</t>
  </si>
  <si>
    <t>Rockwool</t>
  </si>
  <si>
    <t>для всех разделов, расчитывается от стоимости материалов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</si>
</sst>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00"/>
    <numFmt numFmtId="165" formatCode="0.0"/>
    <numFmt numFmtId="166" formatCode="#,##0.00\ _₽"/>
  </numFmts>
  <fonts count="15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theme="1"/>
      <name val="Arial Narrow"/>
      <family val="2"/>
      <charset val="204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1" fillId="0" borderId="0"/>
    <xf numFmtId="0" fontId="1" fillId="0" borderId="0"/>
  </cellStyleXfs>
  <cellXfs count="129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center" vertical="center"/>
    </xf>
    <xf numFmtId="1" fontId="6" fillId="9" borderId="5" xfId="0" applyNumberFormat="1" applyFont="1" applyFill="1" applyBorder="1" applyAlignment="1">
      <alignment horizontal="right" vertical="center"/>
    </xf>
    <xf numFmtId="4" fontId="6" fillId="5" borderId="5" xfId="0" applyNumberFormat="1" applyFont="1" applyFill="1" applyBorder="1" applyAlignment="1">
      <alignment horizontal="right" vertical="center"/>
    </xf>
    <xf numFmtId="1" fontId="0" fillId="9" borderId="2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/>
    </xf>
    <xf numFmtId="4" fontId="3" fillId="6" borderId="7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left" wrapText="1"/>
    </xf>
    <xf numFmtId="0" fontId="6" fillId="4" borderId="5" xfId="0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center" vertical="center"/>
    </xf>
    <xf numFmtId="4" fontId="7" fillId="4" borderId="0" xfId="0" applyNumberFormat="1" applyFont="1" applyFill="1" applyAlignment="1">
      <alignment horizontal="right" vertical="center"/>
    </xf>
    <xf numFmtId="0" fontId="6" fillId="0" borderId="5" xfId="0" applyFont="1" applyBorder="1" applyAlignment="1">
      <alignment horizontal="center"/>
    </xf>
    <xf numFmtId="0" fontId="6" fillId="5" borderId="5" xfId="0" applyFont="1" applyFill="1" applyBorder="1" applyAlignment="1">
      <alignment horizontal="left" wrapText="1"/>
    </xf>
    <xf numFmtId="0" fontId="6" fillId="5" borderId="5" xfId="0" applyFont="1" applyFill="1" applyBorder="1" applyAlignment="1">
      <alignment horizontal="right" vertical="center"/>
    </xf>
    <xf numFmtId="1" fontId="6" fillId="5" borderId="5" xfId="0" applyNumberFormat="1" applyFont="1" applyFill="1" applyBorder="1" applyAlignment="1">
      <alignment horizontal="right" vertical="center"/>
    </xf>
    <xf numFmtId="0" fontId="5" fillId="5" borderId="5" xfId="0" applyFont="1" applyFill="1" applyBorder="1" applyAlignment="1">
      <alignment horizontal="left" wrapText="1"/>
    </xf>
    <xf numFmtId="0" fontId="5" fillId="0" borderId="12" xfId="0" applyFont="1" applyBorder="1" applyAlignment="1">
      <alignment horizontal="left" wrapText="1"/>
    </xf>
    <xf numFmtId="0" fontId="5" fillId="0" borderId="0" xfId="0" applyFont="1" applyAlignment="1">
      <alignment horizontal="left"/>
    </xf>
    <xf numFmtId="4" fontId="0" fillId="0" borderId="0" xfId="0" applyNumberFormat="1" applyAlignment="1">
      <alignment horizontal="left"/>
    </xf>
    <xf numFmtId="0" fontId="6" fillId="6" borderId="7" xfId="0" applyFont="1" applyFill="1" applyBorder="1" applyAlignment="1">
      <alignment horizontal="center"/>
    </xf>
    <xf numFmtId="49" fontId="9" fillId="10" borderId="0" xfId="0" applyNumberFormat="1" applyFont="1" applyFill="1" applyAlignment="1">
      <alignment horizontal="center" vertical="center"/>
    </xf>
    <xf numFmtId="0" fontId="10" fillId="10" borderId="0" xfId="0" applyFont="1" applyFill="1" applyAlignment="1">
      <alignment vertical="center" wrapText="1"/>
    </xf>
    <xf numFmtId="0" fontId="9" fillId="10" borderId="0" xfId="0" applyFont="1" applyFill="1" applyAlignment="1">
      <alignment horizontal="center" vertical="center" wrapText="1"/>
    </xf>
    <xf numFmtId="166" fontId="9" fillId="10" borderId="0" xfId="0" applyNumberFormat="1" applyFont="1" applyFill="1" applyAlignment="1">
      <alignment horizontal="center" vertical="center" wrapText="1"/>
    </xf>
    <xf numFmtId="166" fontId="11" fillId="10" borderId="0" xfId="0" applyNumberFormat="1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3" fontId="9" fillId="0" borderId="0" xfId="1" applyFont="1" applyFill="1" applyBorder="1" applyAlignment="1">
      <alignment horizontal="center" vertical="center"/>
    </xf>
    <xf numFmtId="0" fontId="9" fillId="0" borderId="0" xfId="3" applyFont="1" applyAlignment="1">
      <alignment vertical="center" wrapText="1"/>
    </xf>
    <xf numFmtId="0" fontId="9" fillId="0" borderId="0" xfId="3" applyFont="1" applyAlignment="1">
      <alignment vertical="top" wrapText="1"/>
    </xf>
    <xf numFmtId="0" fontId="9" fillId="0" borderId="0" xfId="0" applyFont="1" applyAlignment="1">
      <alignment vertical="top" wrapText="1"/>
    </xf>
    <xf numFmtId="0" fontId="13" fillId="0" borderId="0" xfId="0" applyFont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4" fontId="0" fillId="4" borderId="0" xfId="0" applyNumberFormat="1" applyFill="1" applyAlignment="1">
      <alignment horizontal="right" vertical="center"/>
    </xf>
    <xf numFmtId="0" fontId="5" fillId="0" borderId="5" xfId="0" applyFont="1" applyBorder="1" applyAlignment="1">
      <alignment horizontal="center" vertical="center" wrapText="1"/>
    </xf>
    <xf numFmtId="0" fontId="14" fillId="8" borderId="0" xfId="0" applyFont="1" applyFill="1" applyAlignment="1">
      <alignment horizontal="left" vertical="center" wrapText="1"/>
    </xf>
    <xf numFmtId="0" fontId="12" fillId="10" borderId="0" xfId="2" applyFont="1" applyFill="1" applyAlignment="1">
      <alignment horizontal="left" vertical="center" wrapText="1"/>
    </xf>
    <xf numFmtId="0" fontId="9" fillId="0" borderId="0" xfId="3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9" xfId="0" applyNumberFormat="1" applyFont="1" applyFill="1" applyBorder="1" applyAlignment="1">
      <alignment horizontal="right"/>
    </xf>
    <xf numFmtId="4" fontId="4" fillId="6" borderId="6" xfId="0" applyNumberFormat="1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/>
    </xf>
  </cellXfs>
  <cellStyles count="4">
    <cellStyle name="Обычный" xfId="0" builtinId="0"/>
    <cellStyle name="Обычный 3 2 2 3 2" xfId="3" xr:uid="{D6058DD5-D5AC-45C7-A97D-D32A63133550}"/>
    <cellStyle name="Обычный 3 2 2 4 7" xfId="2" xr:uid="{EA37A2F2-595C-49DF-9A74-04F1998DC349}"/>
    <cellStyle name="Финансовый" xfId="1" builtinId="3"/>
  </cellStyles>
  <dxfs count="40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FB4C4F-1197-4D21-8160-C4208BB356F2}" name="Р" displayName="Р" ref="A3:F30" totalsRowCount="1" headerRowDxfId="39" headerRowBorderDxfId="38" tableBorderDxfId="37" totalsRowBorderDxfId="36">
  <autoFilter ref="A3:F29" xr:uid="{00FB4C4F-1197-4D21-8160-C4208BB356F2}"/>
  <tableColumns count="6">
    <tableColumn id="1" xr3:uid="{7BA0D7B3-D3C4-4831-9F9E-D95AF3BDEEF4}" name="Наименование" totalsRowLabel="Итог" dataDxfId="35" totalsRowDxfId="34"/>
    <tableColumn id="2" xr3:uid="{0062C2CB-AF0A-4E1F-964E-9994BBBA4829}" name="Ед. изм." dataDxfId="33" totalsRowDxfId="32"/>
    <tableColumn id="3" xr3:uid="{059286D0-BD83-40F8-A29C-F4451CBB3876}" name="Количество" dataDxfId="31" totalsRowDxfId="30"/>
    <tableColumn id="4" xr3:uid="{B16D1648-6E80-4551-9C65-4C138FB13A4C}" name="Цена за ед., руб" dataDxfId="29" totalsRowDxfId="28"/>
    <tableColumn id="5" xr3:uid="{13E67ECB-453B-4F5D-BDAB-8A9CA9FD87A9}" name="Сумма, руб" totalsRowFunction="sum" dataDxfId="27" totalsRowDxfId="26">
      <calculatedColumnFormula>ROUND(Р[[#This Row],[Количество]]*Р[[#This Row],[Цена за ед., руб]],2)</calculatedColumnFormula>
    </tableColumn>
    <tableColumn id="6" xr3:uid="{0FC9C910-82F0-4510-BCB9-D971D2595442}" name="Примечание" dataDxfId="25" totalsRow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2141F27-FDD8-48CA-8CAD-380E8AD73508}" name="М" displayName="М" ref="A3:I47" totalsRowCount="1" headerRowDxfId="23" headerRowBorderDxfId="22" tableBorderDxfId="21" totalsRowBorderDxfId="20">
  <autoFilter ref="A3:I46" xr:uid="{E2141F27-FDD8-48CA-8CAD-380E8AD73508}"/>
  <tableColumns count="9">
    <tableColumn id="1" xr3:uid="{E97B3FC7-D9EE-4B9A-B630-6D8E959E4C71}" name="Наим." totalsRowLabel="Итог" dataDxfId="19" totalsRowDxfId="8"/>
    <tableColumn id="2" xr3:uid="{208E4128-189E-4E1F-8558-87D340EE6778}" name="Артикул, марка, произв." dataDxfId="18" totalsRowDxfId="7"/>
    <tableColumn id="3" xr3:uid="{90EEEC1E-56AF-4FB7-891D-A846D7BEAA7D}" name="Хар-ка" dataDxfId="17" totalsRowDxfId="6"/>
    <tableColumn id="4" xr3:uid="{65DF2C33-613B-400C-A7C5-C8AA67BA0DCD}" name="Ед. изм." dataDxfId="16" totalsRowDxfId="5"/>
    <tableColumn id="5" xr3:uid="{C6D0D234-384F-449A-BE53-C5CD01F8B1A1}" name="Количество" dataDxfId="15" totalsRowDxfId="4"/>
    <tableColumn id="6" xr3:uid="{FCB8D44F-092A-4EDA-A301-2BF466E85CC6}" name="Цена за ед., руб" dataDxfId="14" totalsRowDxfId="3"/>
    <tableColumn id="7" xr3:uid="{8DC88B49-E32F-44DA-BFDE-8015FCF65AD0}" name="Сумма, руб" totalsRowFunction="sum" dataDxfId="13" totalsRowDxfId="2">
      <calculatedColumnFormula>ROUND(М[[#This Row],[Количество]]*М[[#This Row],[Цена за ед., руб]],2)</calculatedColumnFormula>
    </tableColumn>
    <tableColumn id="8" xr3:uid="{0EBB4918-3A82-4657-8694-39AC9832F0A5}" name="Прим." dataDxfId="12" totalsRowDxfId="1"/>
    <tableColumn id="9" xr3:uid="{3DCF4752-04B3-46F0-AB0B-4E1BB0A586E2}" name="Форма закупа" dataDxfId="1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DX203"/>
  <sheetViews>
    <sheetView tabSelected="1" workbookViewId="0">
      <pane ySplit="7" topLeftCell="A167" activePane="bottomLeft" state="frozen"/>
      <selection pane="bottomLeft" activeCell="M181" sqref="M181:M186"/>
    </sheetView>
  </sheetViews>
  <sheetFormatPr defaultColWidth="10.5" defaultRowHeight="11.25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8" width="10.5" style="1" customWidth="1"/>
    <col min="9" max="9" width="14.6640625" style="1" customWidth="1"/>
    <col min="10" max="10" width="16" style="1" customWidth="1"/>
    <col min="11" max="11" width="17" style="1" customWidth="1"/>
    <col min="12" max="12" width="35" style="1" customWidth="1"/>
    <col min="13" max="13" width="23.33203125" style="1" customWidth="1"/>
  </cols>
  <sheetData>
    <row r="2" spans="1:13" x14ac:dyDescent="0.2">
      <c r="B2" s="105" t="s">
        <v>0</v>
      </c>
      <c r="C2" s="105"/>
      <c r="D2" s="105"/>
      <c r="E2" s="105"/>
      <c r="F2" s="105"/>
      <c r="G2" s="105"/>
      <c r="H2" s="105"/>
      <c r="I2" s="105"/>
      <c r="J2" s="105"/>
    </row>
    <row r="3" spans="1:13" x14ac:dyDescent="0.2">
      <c r="B3" s="106" t="s">
        <v>1</v>
      </c>
      <c r="C3" s="106"/>
      <c r="D3" s="106"/>
      <c r="E3" s="106"/>
      <c r="F3" s="106"/>
      <c r="G3" s="106"/>
      <c r="H3" s="106"/>
      <c r="I3" s="106"/>
      <c r="J3" s="106"/>
    </row>
    <row r="4" spans="1:13" x14ac:dyDescent="0.2">
      <c r="B4" s="106" t="s">
        <v>2</v>
      </c>
      <c r="C4" s="106"/>
      <c r="D4" s="106"/>
      <c r="E4" s="106"/>
      <c r="F4" s="106"/>
      <c r="G4" s="106"/>
      <c r="H4" s="106"/>
      <c r="I4" s="106"/>
      <c r="J4" s="106"/>
    </row>
    <row r="6" spans="1:13" x14ac:dyDescent="0.2">
      <c r="A6" s="109" t="s">
        <v>3</v>
      </c>
      <c r="B6" s="109" t="s">
        <v>4</v>
      </c>
      <c r="C6" s="111" t="s">
        <v>5</v>
      </c>
      <c r="D6" s="113" t="s">
        <v>6</v>
      </c>
      <c r="E6" s="109" t="s">
        <v>7</v>
      </c>
      <c r="F6" s="103" t="s">
        <v>8</v>
      </c>
      <c r="G6" s="107" t="s">
        <v>9</v>
      </c>
      <c r="H6" s="107" t="s">
        <v>10</v>
      </c>
      <c r="I6" s="109" t="s">
        <v>11</v>
      </c>
      <c r="J6" s="103" t="s">
        <v>12</v>
      </c>
      <c r="K6" s="103" t="s">
        <v>13</v>
      </c>
      <c r="L6" s="109" t="s">
        <v>14</v>
      </c>
      <c r="M6" s="103" t="s">
        <v>15</v>
      </c>
    </row>
    <row r="7" spans="1:13" x14ac:dyDescent="0.2">
      <c r="A7" s="110"/>
      <c r="B7" s="110"/>
      <c r="C7" s="112"/>
      <c r="D7" s="114"/>
      <c r="E7" s="110"/>
      <c r="F7" s="104"/>
      <c r="G7" s="108"/>
      <c r="H7" s="108"/>
      <c r="I7" s="110"/>
      <c r="J7" s="104"/>
      <c r="K7" s="104"/>
      <c r="L7" s="110"/>
      <c r="M7" s="104"/>
    </row>
    <row r="8" spans="1:13" x14ac:dyDescent="0.2">
      <c r="A8" s="3" t="s">
        <v>16</v>
      </c>
      <c r="B8" s="4" t="s">
        <v>17</v>
      </c>
      <c r="C8" s="5"/>
      <c r="D8" s="5"/>
      <c r="E8" s="6"/>
      <c r="F8" s="7"/>
      <c r="G8" s="7"/>
      <c r="H8" s="7"/>
      <c r="I8" s="7"/>
      <c r="J8" s="53"/>
      <c r="K8" s="53"/>
      <c r="L8" s="5"/>
      <c r="M8" s="5"/>
    </row>
    <row r="9" spans="1:13" outlineLevel="1" x14ac:dyDescent="0.2">
      <c r="A9" s="8" t="s">
        <v>18</v>
      </c>
      <c r="B9" s="9" t="s">
        <v>19</v>
      </c>
      <c r="C9" s="10"/>
      <c r="D9" s="10"/>
      <c r="E9" s="11"/>
      <c r="F9" s="12"/>
      <c r="G9" s="12"/>
      <c r="H9" s="12"/>
      <c r="I9" s="12"/>
      <c r="J9" s="54"/>
      <c r="K9" s="54">
        <f ca="1">SUM($K$174,$K$187,$K$148,$K$126,$K$92,$K$66,$K$10)</f>
        <v>0</v>
      </c>
      <c r="L9" s="10"/>
      <c r="M9" s="10"/>
    </row>
    <row r="10" spans="1:13" outlineLevel="2" x14ac:dyDescent="0.2">
      <c r="A10" s="13" t="s">
        <v>20</v>
      </c>
      <c r="B10" s="14" t="s">
        <v>21</v>
      </c>
      <c r="C10" s="15"/>
      <c r="D10" s="15"/>
      <c r="E10" s="16"/>
      <c r="F10" s="17"/>
      <c r="G10" s="18"/>
      <c r="H10" s="18"/>
      <c r="I10" s="18"/>
      <c r="J10" s="55"/>
      <c r="K10" s="55">
        <f>SUM($K$11)</f>
        <v>0</v>
      </c>
      <c r="L10" s="19"/>
      <c r="M10" s="19"/>
    </row>
    <row r="11" spans="1:13" outlineLevel="3" x14ac:dyDescent="0.2">
      <c r="A11" s="13" t="s">
        <v>22</v>
      </c>
      <c r="B11" s="14" t="s">
        <v>21</v>
      </c>
      <c r="C11" s="15"/>
      <c r="D11" s="15"/>
      <c r="E11" s="16"/>
      <c r="F11" s="17"/>
      <c r="G11" s="18"/>
      <c r="H11" s="18"/>
      <c r="I11" s="18"/>
      <c r="J11" s="55"/>
      <c r="K11" s="55">
        <f>SUM($K$64,$K$62,$K$60,$K$58,$K$54,$K$52,$K$50,$K$48,$K$45,$K$43,$K$40,$K$38,$K$36,$K$34,$K$32,$K$30,$K$28,$K$26,$K$24,$K$22,$K$18,$K$16,$K$14,$K$12)</f>
        <v>0</v>
      </c>
      <c r="L11" s="19"/>
      <c r="M11" s="19"/>
    </row>
    <row r="12" spans="1:13" outlineLevel="4" x14ac:dyDescent="0.2">
      <c r="A12" s="20"/>
      <c r="B12" s="14" t="s">
        <v>23</v>
      </c>
      <c r="C12" s="21"/>
      <c r="D12" s="21"/>
      <c r="E12" s="21"/>
      <c r="F12" s="21"/>
      <c r="G12" s="21"/>
      <c r="H12" s="21"/>
      <c r="I12" s="21"/>
      <c r="J12" s="56"/>
      <c r="K12" s="57">
        <f>SUM($K$13)</f>
        <v>0</v>
      </c>
      <c r="L12" s="18"/>
      <c r="M12" s="22"/>
    </row>
    <row r="13" spans="1:13" outlineLevel="4" x14ac:dyDescent="0.2">
      <c r="A13" s="23"/>
      <c r="B13" s="24" t="s">
        <v>24</v>
      </c>
      <c r="C13" s="25"/>
      <c r="D13" s="25"/>
      <c r="E13" s="26" t="s">
        <v>25</v>
      </c>
      <c r="F13" s="27"/>
      <c r="G13" s="28">
        <v>144</v>
      </c>
      <c r="H13" s="28">
        <v>308</v>
      </c>
      <c r="I13" s="28">
        <f>SUM($G$13:$H$13)</f>
        <v>452</v>
      </c>
      <c r="J13" s="58">
        <f t="array" ref="J13">INDEX(Р[Цена за ед., руб],MATCH(1,IF(($B13=Р[Наименование])*($L13=Р[Примечание]),{1},($B13=Р[Наименование])*($L13=Р[Примечание])),0))</f>
        <v>0</v>
      </c>
      <c r="K13" s="58">
        <f>ROUND($I$13*$J$13,2)</f>
        <v>0</v>
      </c>
      <c r="L13" s="25"/>
      <c r="M13" s="25"/>
    </row>
    <row r="14" spans="1:13" outlineLevel="4" x14ac:dyDescent="0.2">
      <c r="A14" s="20"/>
      <c r="B14" s="14" t="s">
        <v>23</v>
      </c>
      <c r="C14" s="21"/>
      <c r="D14" s="21"/>
      <c r="E14" s="21"/>
      <c r="F14" s="21"/>
      <c r="G14" s="21"/>
      <c r="H14" s="21"/>
      <c r="I14" s="21"/>
      <c r="J14" s="56"/>
      <c r="K14" s="57">
        <f>SUM($K$15)</f>
        <v>0</v>
      </c>
      <c r="L14" s="18"/>
      <c r="M14" s="22"/>
    </row>
    <row r="15" spans="1:13" outlineLevel="4" x14ac:dyDescent="0.2">
      <c r="A15" s="23"/>
      <c r="B15" s="24" t="s">
        <v>26</v>
      </c>
      <c r="C15" s="25"/>
      <c r="D15" s="25"/>
      <c r="E15" s="26" t="s">
        <v>25</v>
      </c>
      <c r="F15" s="27"/>
      <c r="G15" s="28">
        <v>60</v>
      </c>
      <c r="H15" s="28">
        <v>68</v>
      </c>
      <c r="I15" s="28">
        <f>SUM($G$15:$H$15)</f>
        <v>128</v>
      </c>
      <c r="J15" s="58">
        <f t="array" ref="J15">INDEX(Р[Цена за ед., руб],MATCH(1,IF(($B15=Р[Наименование])*($L15=Р[Примечание]),{1},($B15=Р[Наименование])*($L15=Р[Примечание])),0))</f>
        <v>0</v>
      </c>
      <c r="K15" s="58">
        <f>ROUND($I$15*$J$15,2)</f>
        <v>0</v>
      </c>
      <c r="L15" s="25"/>
      <c r="M15" s="25"/>
    </row>
    <row r="16" spans="1:13" outlineLevel="4" x14ac:dyDescent="0.2">
      <c r="A16" s="20"/>
      <c r="B16" s="14" t="s">
        <v>23</v>
      </c>
      <c r="C16" s="21"/>
      <c r="D16" s="21"/>
      <c r="E16" s="21"/>
      <c r="F16" s="21"/>
      <c r="G16" s="21"/>
      <c r="H16" s="21"/>
      <c r="I16" s="21"/>
      <c r="J16" s="56"/>
      <c r="K16" s="57">
        <f>SUM($K$17)</f>
        <v>0</v>
      </c>
      <c r="L16" s="18"/>
      <c r="M16" s="22"/>
    </row>
    <row r="17" spans="1:13" outlineLevel="4" x14ac:dyDescent="0.2">
      <c r="A17" s="23"/>
      <c r="B17" s="24" t="s">
        <v>27</v>
      </c>
      <c r="C17" s="25"/>
      <c r="D17" s="25"/>
      <c r="E17" s="26" t="s">
        <v>28</v>
      </c>
      <c r="F17" s="27"/>
      <c r="G17" s="28">
        <v>69</v>
      </c>
      <c r="H17" s="28">
        <v>135</v>
      </c>
      <c r="I17" s="28">
        <f>SUM($G$17:$H$17)</f>
        <v>204</v>
      </c>
      <c r="J17" s="58">
        <f t="array" ref="J17">INDEX(Р[Цена за ед., руб],MATCH(1,IF(($B17=Р[Наименование])*($L17=Р[Примечание]),{1},($B17=Р[Наименование])*($L17=Р[Примечание])),0))</f>
        <v>0</v>
      </c>
      <c r="K17" s="58">
        <f>ROUND($I$17*$J$17,2)</f>
        <v>0</v>
      </c>
      <c r="L17" s="25"/>
      <c r="M17" s="25"/>
    </row>
    <row r="18" spans="1:13" outlineLevel="4" x14ac:dyDescent="0.2">
      <c r="A18" s="20"/>
      <c r="B18" s="14" t="s">
        <v>29</v>
      </c>
      <c r="C18" s="21"/>
      <c r="D18" s="21"/>
      <c r="E18" s="21"/>
      <c r="F18" s="21"/>
      <c r="G18" s="21"/>
      <c r="H18" s="21"/>
      <c r="I18" s="21"/>
      <c r="J18" s="56"/>
      <c r="K18" s="57">
        <f>SUM($K$19:$K$21)</f>
        <v>0</v>
      </c>
      <c r="L18" s="18"/>
      <c r="M18" s="22"/>
    </row>
    <row r="19" spans="1:13" outlineLevel="4" x14ac:dyDescent="0.2">
      <c r="A19" s="23" t="s">
        <v>30</v>
      </c>
      <c r="B19" s="24" t="s">
        <v>31</v>
      </c>
      <c r="C19" s="67" t="s">
        <v>177</v>
      </c>
      <c r="D19" s="25" t="s">
        <v>32</v>
      </c>
      <c r="E19" s="26" t="s">
        <v>33</v>
      </c>
      <c r="F19" s="27"/>
      <c r="G19" s="28">
        <v>61</v>
      </c>
      <c r="H19" s="27"/>
      <c r="I19" s="28">
        <f>SUM($G$19:$H$19)</f>
        <v>61</v>
      </c>
      <c r="J19" s="58">
        <f t="array" ref="J19">INDEX(М[Цена за ед., руб],MATCH(1,IF(($B19=М[Наим.])*($C19=М[Артикул, марка, произв.])*($D19=М[Хар-ка])*($L19=М[Прим.]),{1},($B19=М[Наим.])*($C19=М[Артикул, марка, произв.])*($D19=М[Хар-ка])*($L19=М[Прим.])),0))</f>
        <v>0</v>
      </c>
      <c r="K19" s="58">
        <f>ROUND($I$19*$J$19,2)</f>
        <v>0</v>
      </c>
      <c r="L19" s="25"/>
      <c r="M19" s="25">
        <f t="array" ref="M19">INDEX(М[Форма закупа],MATCH(1,IF(($B19=М[Наим.])*($C19=М[Артикул, марка, произв.])*($D19=М[Хар-ка])*($L19=М[Прим.]),{1},($B19=М[Наим.])*($C19=М[Артикул, марка, произв.])*($D19=М[Хар-ка])*($L19=М[Прим.])),0))</f>
        <v>0</v>
      </c>
    </row>
    <row r="20" spans="1:13" outlineLevel="4" x14ac:dyDescent="0.2">
      <c r="A20" s="23" t="s">
        <v>34</v>
      </c>
      <c r="B20" s="24" t="s">
        <v>31</v>
      </c>
      <c r="C20" s="67" t="s">
        <v>177</v>
      </c>
      <c r="D20" s="25" t="s">
        <v>32</v>
      </c>
      <c r="E20" s="26" t="s">
        <v>33</v>
      </c>
      <c r="F20" s="27"/>
      <c r="G20" s="27"/>
      <c r="H20" s="28">
        <v>127</v>
      </c>
      <c r="I20" s="28">
        <f>SUM($G$20:$H$20)</f>
        <v>127</v>
      </c>
      <c r="J20" s="58">
        <f t="array" ref="J20">INDEX(М[Цена за ед., руб],MATCH(1,IF(($B20=М[Наим.])*($C20=М[Артикул, марка, произв.])*($D20=М[Хар-ка])*($L20=М[Прим.]),{1},($B20=М[Наим.])*($C20=М[Артикул, марка, произв.])*($D20=М[Хар-ка])*($L20=М[Прим.])),0))</f>
        <v>0</v>
      </c>
      <c r="K20" s="58">
        <f>ROUND($I$20*$J$20,2)</f>
        <v>0</v>
      </c>
      <c r="L20" s="25" t="s">
        <v>35</v>
      </c>
      <c r="M20" s="25">
        <f t="array" ref="M20">INDEX(М[Форма закупа],MATCH(1,IF(($B20=М[Наим.])*($C20=М[Артикул, марка, произв.])*($D20=М[Хар-ка])*($L20=М[Прим.]),{1},($B20=М[Наим.])*($C20=М[Артикул, марка, произв.])*($D20=М[Хар-ка])*($L20=М[Прим.])),0))</f>
        <v>0</v>
      </c>
    </row>
    <row r="21" spans="1:13" ht="33.75" outlineLevel="4" x14ac:dyDescent="0.2">
      <c r="A21" s="23" t="s">
        <v>36</v>
      </c>
      <c r="B21" s="24" t="s">
        <v>37</v>
      </c>
      <c r="C21" s="67" t="s">
        <v>95</v>
      </c>
      <c r="D21" s="25" t="s">
        <v>38</v>
      </c>
      <c r="E21" s="26" t="s">
        <v>33</v>
      </c>
      <c r="F21" s="27"/>
      <c r="G21" s="28">
        <v>8</v>
      </c>
      <c r="H21" s="28">
        <v>8</v>
      </c>
      <c r="I21" s="28">
        <f>SUM($G$21:$H$21)</f>
        <v>16</v>
      </c>
      <c r="J21" s="58">
        <f t="array" ref="J21">INDEX(М[Цена за ед., руб],MATCH(1,IF(($B21=М[Наим.])*($C21=М[Артикул, марка, произв.])*($D21=М[Хар-ка])*($L21=М[Прим.]),{1},($B21=М[Наим.])*($C21=М[Артикул, марка, произв.])*($D21=М[Хар-ка])*($L21=М[Прим.])),0))</f>
        <v>0</v>
      </c>
      <c r="K21" s="58">
        <f>ROUND($I$21*$J$21,2)</f>
        <v>0</v>
      </c>
      <c r="L21" s="25"/>
      <c r="M21" s="25">
        <f t="array" ref="M21">INDEX(М[Форма закупа],MATCH(1,IF(($B21=М[Наим.])*($C21=М[Артикул, марка, произв.])*($D21=М[Хар-ка])*($L21=М[Прим.]),{1},($B21=М[Наим.])*($C21=М[Артикул, марка, произв.])*($D21=М[Хар-ка])*($L21=М[Прим.])),0))</f>
        <v>0</v>
      </c>
    </row>
    <row r="22" spans="1:13" outlineLevel="4" x14ac:dyDescent="0.2">
      <c r="A22" s="20"/>
      <c r="B22" s="14" t="s">
        <v>23</v>
      </c>
      <c r="C22" s="21"/>
      <c r="D22" s="21"/>
      <c r="E22" s="21"/>
      <c r="F22" s="21"/>
      <c r="G22" s="21"/>
      <c r="H22" s="21"/>
      <c r="I22" s="21"/>
      <c r="J22" s="56"/>
      <c r="K22" s="57">
        <f>SUM($K$23)</f>
        <v>0</v>
      </c>
      <c r="L22" s="18"/>
      <c r="M22" s="22"/>
    </row>
    <row r="23" spans="1:13" outlineLevel="4" x14ac:dyDescent="0.2">
      <c r="A23" s="23"/>
      <c r="B23" s="24" t="s">
        <v>39</v>
      </c>
      <c r="C23" s="25"/>
      <c r="D23" s="25"/>
      <c r="E23" s="26" t="s">
        <v>40</v>
      </c>
      <c r="F23" s="27"/>
      <c r="G23" s="28">
        <v>32</v>
      </c>
      <c r="H23" s="28">
        <v>46</v>
      </c>
      <c r="I23" s="28">
        <f>SUM($G$23:$H$23)</f>
        <v>78</v>
      </c>
      <c r="J23" s="58">
        <f t="array" ref="J23">INDEX(Р[Цена за ед., руб],MATCH(1,IF(($B23=Р[Наименование])*($L23=Р[Примечание]),{1},($B23=Р[Наименование])*($L23=Р[Примечание])),0))</f>
        <v>0</v>
      </c>
      <c r="K23" s="58">
        <f>ROUND($I$23*$J$23,2)</f>
        <v>0</v>
      </c>
      <c r="L23" s="25"/>
      <c r="M23" s="25"/>
    </row>
    <row r="24" spans="1:13" outlineLevel="4" x14ac:dyDescent="0.2">
      <c r="A24" s="20"/>
      <c r="B24" s="14" t="s">
        <v>29</v>
      </c>
      <c r="C24" s="21"/>
      <c r="D24" s="21"/>
      <c r="E24" s="21"/>
      <c r="F24" s="21"/>
      <c r="G24" s="21"/>
      <c r="H24" s="21"/>
      <c r="I24" s="21"/>
      <c r="J24" s="56"/>
      <c r="K24" s="57">
        <f>SUM($K$25)</f>
        <v>0</v>
      </c>
      <c r="L24" s="18"/>
      <c r="M24" s="22"/>
    </row>
    <row r="25" spans="1:13" ht="22.5" outlineLevel="4" x14ac:dyDescent="0.2">
      <c r="A25" s="23" t="s">
        <v>30</v>
      </c>
      <c r="B25" s="24" t="s">
        <v>41</v>
      </c>
      <c r="C25" s="25"/>
      <c r="D25" s="25" t="s">
        <v>42</v>
      </c>
      <c r="E25" s="26" t="s">
        <v>40</v>
      </c>
      <c r="F25" s="27"/>
      <c r="G25" s="28">
        <v>32</v>
      </c>
      <c r="H25" s="28">
        <v>46</v>
      </c>
      <c r="I25" s="28">
        <f>SUM($G$25:$H$25)</f>
        <v>78</v>
      </c>
      <c r="J25" s="58">
        <f t="array" ref="J25">INDEX(М[Цена за ед., руб],MATCH(1,IF(($B25=М[Наим.])*($C25=М[Артикул, марка, произв.])*($D25=М[Хар-ка])*($L25=М[Прим.]),{1},($B25=М[Наим.])*($C25=М[Артикул, марка, произв.])*($D25=М[Хар-ка])*($L25=М[Прим.])),0))</f>
        <v>0</v>
      </c>
      <c r="K25" s="58">
        <f>ROUND($I$25*$J$25,2)</f>
        <v>0</v>
      </c>
      <c r="L25" s="25" t="s">
        <v>43</v>
      </c>
      <c r="M25" s="25">
        <f t="array" ref="M25">INDEX(М[Форма закупа],MATCH(1,IF(($B25=М[Наим.])*($C25=М[Артикул, марка, произв.])*($D25=М[Хар-ка])*($L25=М[Прим.]),{1},($B25=М[Наим.])*($C25=М[Артикул, марка, произв.])*($D25=М[Хар-ка])*($L25=М[Прим.])),0))</f>
        <v>0</v>
      </c>
    </row>
    <row r="26" spans="1:13" outlineLevel="4" x14ac:dyDescent="0.2">
      <c r="A26" s="20"/>
      <c r="B26" s="14" t="s">
        <v>23</v>
      </c>
      <c r="C26" s="21"/>
      <c r="D26" s="21"/>
      <c r="E26" s="21"/>
      <c r="F26" s="21"/>
      <c r="G26" s="21"/>
      <c r="H26" s="21"/>
      <c r="I26" s="21"/>
      <c r="J26" s="56"/>
      <c r="K26" s="57">
        <f>SUM($K$27)</f>
        <v>0</v>
      </c>
      <c r="L26" s="18"/>
      <c r="M26" s="22"/>
    </row>
    <row r="27" spans="1:13" ht="22.5" outlineLevel="4" x14ac:dyDescent="0.2">
      <c r="A27" s="23"/>
      <c r="B27" s="24" t="s">
        <v>44</v>
      </c>
      <c r="C27" s="25"/>
      <c r="D27" s="25"/>
      <c r="E27" s="26" t="s">
        <v>25</v>
      </c>
      <c r="F27" s="27"/>
      <c r="G27" s="28">
        <v>1</v>
      </c>
      <c r="H27" s="28">
        <v>1</v>
      </c>
      <c r="I27" s="28">
        <f>SUM($G$27:$H$27)</f>
        <v>2</v>
      </c>
      <c r="J27" s="58">
        <f t="array" ref="J27">INDEX(Р[Цена за ед., руб],MATCH(1,IF(($B27=Р[Наименование])*($L27=Р[Примечание]),{1},($B27=Р[Наименование])*($L27=Р[Примечание])),0))</f>
        <v>0</v>
      </c>
      <c r="K27" s="58">
        <f>ROUND($I$27*$J$27,2)</f>
        <v>0</v>
      </c>
      <c r="L27" s="25"/>
      <c r="M27" s="25"/>
    </row>
    <row r="28" spans="1:13" outlineLevel="4" x14ac:dyDescent="0.2">
      <c r="A28" s="20"/>
      <c r="B28" s="14" t="s">
        <v>29</v>
      </c>
      <c r="C28" s="21"/>
      <c r="D28" s="21"/>
      <c r="E28" s="21"/>
      <c r="F28" s="21"/>
      <c r="G28" s="21"/>
      <c r="H28" s="21"/>
      <c r="I28" s="21"/>
      <c r="J28" s="56"/>
      <c r="K28" s="57">
        <f>SUM($K$29)</f>
        <v>0</v>
      </c>
      <c r="L28" s="18"/>
      <c r="M28" s="22"/>
    </row>
    <row r="29" spans="1:13" ht="22.5" outlineLevel="4" x14ac:dyDescent="0.2">
      <c r="A29" s="23" t="s">
        <v>30</v>
      </c>
      <c r="B29" s="24" t="s">
        <v>45</v>
      </c>
      <c r="C29" s="25" t="s">
        <v>46</v>
      </c>
      <c r="D29" s="25" t="s">
        <v>47</v>
      </c>
      <c r="E29" s="26" t="s">
        <v>25</v>
      </c>
      <c r="F29" s="27"/>
      <c r="G29" s="28">
        <v>1</v>
      </c>
      <c r="H29" s="28">
        <v>1</v>
      </c>
      <c r="I29" s="28">
        <f>SUM($G$29:$H$29)</f>
        <v>2</v>
      </c>
      <c r="J29" s="58">
        <f t="array" ref="J29">INDEX(М[Цена за ед., руб],MATCH(1,IF(($B29=М[Наим.])*($C29=М[Артикул, марка, произв.])*($D29=М[Хар-ка])*($L29=М[Прим.]),{1},($B29=М[Наим.])*($C29=М[Артикул, марка, произв.])*($D29=М[Хар-ка])*($L29=М[Прим.])),0))</f>
        <v>0</v>
      </c>
      <c r="K29" s="58">
        <f>ROUND($I$29*$J$29,2)</f>
        <v>0</v>
      </c>
      <c r="L29" s="25"/>
      <c r="M29" s="25">
        <f t="array" ref="M29">INDEX(М[Форма закупа],MATCH(1,IF(($B29=М[Наим.])*($C29=М[Артикул, марка, произв.])*($D29=М[Хар-ка])*($L29=М[Прим.]),{1},($B29=М[Наим.])*($C29=М[Артикул, марка, произв.])*($D29=М[Хар-ка])*($L29=М[Прим.])),0))</f>
        <v>0</v>
      </c>
    </row>
    <row r="30" spans="1:13" outlineLevel="4" x14ac:dyDescent="0.2">
      <c r="A30" s="20"/>
      <c r="B30" s="14" t="s">
        <v>23</v>
      </c>
      <c r="C30" s="21"/>
      <c r="D30" s="21"/>
      <c r="E30" s="21"/>
      <c r="F30" s="21"/>
      <c r="G30" s="21"/>
      <c r="H30" s="21"/>
      <c r="I30" s="21"/>
      <c r="J30" s="56"/>
      <c r="K30" s="57">
        <f>SUM($K$31)</f>
        <v>0</v>
      </c>
      <c r="L30" s="18"/>
      <c r="M30" s="22"/>
    </row>
    <row r="31" spans="1:13" outlineLevel="4" x14ac:dyDescent="0.2">
      <c r="A31" s="23"/>
      <c r="B31" s="24" t="s">
        <v>48</v>
      </c>
      <c r="C31" s="25"/>
      <c r="D31" s="25"/>
      <c r="E31" s="26" t="s">
        <v>25</v>
      </c>
      <c r="F31" s="27"/>
      <c r="G31" s="28">
        <v>4</v>
      </c>
      <c r="H31" s="28">
        <v>4</v>
      </c>
      <c r="I31" s="28">
        <f>SUM($G$31:$H$31)</f>
        <v>8</v>
      </c>
      <c r="J31" s="58">
        <f t="array" ref="J31">INDEX(Р[Цена за ед., руб],MATCH(1,IF(($B31=Р[Наименование])*($L31=Р[Примечание]),{1},($B31=Р[Наименование])*($L31=Р[Примечание])),0))</f>
        <v>0</v>
      </c>
      <c r="K31" s="58">
        <f>ROUND($I$31*$J$31,2)</f>
        <v>0</v>
      </c>
      <c r="L31" s="25"/>
      <c r="M31" s="25"/>
    </row>
    <row r="32" spans="1:13" outlineLevel="4" x14ac:dyDescent="0.2">
      <c r="A32" s="20"/>
      <c r="B32" s="14" t="s">
        <v>29</v>
      </c>
      <c r="C32" s="21"/>
      <c r="D32" s="21"/>
      <c r="E32" s="21"/>
      <c r="F32" s="21"/>
      <c r="G32" s="21"/>
      <c r="H32" s="21"/>
      <c r="I32" s="21"/>
      <c r="J32" s="56"/>
      <c r="K32" s="57">
        <f>SUM($K$33)</f>
        <v>0</v>
      </c>
      <c r="L32" s="18"/>
      <c r="M32" s="22"/>
    </row>
    <row r="33" spans="1:13" ht="22.5" outlineLevel="4" x14ac:dyDescent="0.2">
      <c r="A33" s="23" t="s">
        <v>30</v>
      </c>
      <c r="B33" s="24" t="s">
        <v>49</v>
      </c>
      <c r="C33" s="25"/>
      <c r="D33" s="25" t="s">
        <v>50</v>
      </c>
      <c r="E33" s="26" t="s">
        <v>25</v>
      </c>
      <c r="F33" s="27"/>
      <c r="G33" s="28">
        <v>4</v>
      </c>
      <c r="H33" s="28">
        <v>4</v>
      </c>
      <c r="I33" s="28">
        <f>SUM($G$33:$H$33)</f>
        <v>8</v>
      </c>
      <c r="J33" s="58">
        <f t="array" ref="J33">INDEX(М[Цена за ед., руб],MATCH(1,IF(($B33=М[Наим.])*($C33=М[Артикул, марка, произв.])*($D33=М[Хар-ка])*($L33=М[Прим.]),{1},($B33=М[Наим.])*($C33=М[Артикул, марка, произв.])*($D33=М[Хар-ка])*($L33=М[Прим.])),0))</f>
        <v>0</v>
      </c>
      <c r="K33" s="58">
        <f>ROUND($I$33*$J$33,2)</f>
        <v>0</v>
      </c>
      <c r="L33" s="25"/>
      <c r="M33" s="25">
        <f t="array" ref="M33">INDEX(М[Форма закупа],MATCH(1,IF(($B33=М[Наим.])*($C33=М[Артикул, марка, произв.])*($D33=М[Хар-ка])*($L33=М[Прим.]),{1},($B33=М[Наим.])*($C33=М[Артикул, марка, произв.])*($D33=М[Хар-ка])*($L33=М[Прим.])),0))</f>
        <v>0</v>
      </c>
    </row>
    <row r="34" spans="1:13" outlineLevel="4" x14ac:dyDescent="0.2">
      <c r="A34" s="20"/>
      <c r="B34" s="14" t="s">
        <v>23</v>
      </c>
      <c r="C34" s="21"/>
      <c r="D34" s="21"/>
      <c r="E34" s="21"/>
      <c r="F34" s="21"/>
      <c r="G34" s="21"/>
      <c r="H34" s="21"/>
      <c r="I34" s="21"/>
      <c r="J34" s="56"/>
      <c r="K34" s="57">
        <f>SUM($K$35)</f>
        <v>0</v>
      </c>
      <c r="L34" s="18"/>
      <c r="M34" s="22"/>
    </row>
    <row r="35" spans="1:13" ht="22.5" outlineLevel="4" x14ac:dyDescent="0.2">
      <c r="A35" s="23"/>
      <c r="B35" s="24" t="s">
        <v>51</v>
      </c>
      <c r="C35" s="25"/>
      <c r="D35" s="25"/>
      <c r="E35" s="26" t="s">
        <v>25</v>
      </c>
      <c r="F35" s="27"/>
      <c r="G35" s="28">
        <v>1</v>
      </c>
      <c r="H35" s="28">
        <v>1</v>
      </c>
      <c r="I35" s="28">
        <f>SUM($G$35:$H$35)</f>
        <v>2</v>
      </c>
      <c r="J35" s="58">
        <f t="array" ref="J35">INDEX(Р[Цена за ед., руб],MATCH(1,IF(($B35=Р[Наименование])*($L35=Р[Примечание]),{1},($B35=Р[Наименование])*($L35=Р[Примечание])),0))</f>
        <v>0</v>
      </c>
      <c r="K35" s="58">
        <f>ROUND($I$35*$J$35,2)</f>
        <v>0</v>
      </c>
      <c r="L35" s="25"/>
      <c r="M35" s="25"/>
    </row>
    <row r="36" spans="1:13" outlineLevel="4" x14ac:dyDescent="0.2">
      <c r="A36" s="20"/>
      <c r="B36" s="14" t="s">
        <v>29</v>
      </c>
      <c r="C36" s="21"/>
      <c r="D36" s="21"/>
      <c r="E36" s="21"/>
      <c r="F36" s="21"/>
      <c r="G36" s="21"/>
      <c r="H36" s="21"/>
      <c r="I36" s="21"/>
      <c r="J36" s="56"/>
      <c r="K36" s="57">
        <f>SUM($K$37)</f>
        <v>0</v>
      </c>
      <c r="L36" s="18"/>
      <c r="M36" s="22"/>
    </row>
    <row r="37" spans="1:13" ht="22.5" outlineLevel="4" x14ac:dyDescent="0.2">
      <c r="A37" s="23" t="s">
        <v>30</v>
      </c>
      <c r="B37" s="24" t="s">
        <v>52</v>
      </c>
      <c r="C37" s="25" t="s">
        <v>46</v>
      </c>
      <c r="D37" s="25" t="s">
        <v>53</v>
      </c>
      <c r="E37" s="26" t="s">
        <v>25</v>
      </c>
      <c r="F37" s="29">
        <v>1</v>
      </c>
      <c r="G37" s="28">
        <v>1</v>
      </c>
      <c r="H37" s="28">
        <v>1</v>
      </c>
      <c r="I37" s="28">
        <f>SUM($G$37:$H$37)</f>
        <v>2</v>
      </c>
      <c r="J37" s="58">
        <f t="array" ref="J37">INDEX(М[Цена за ед., руб],MATCH(1,IF(($B37=М[Наим.])*($C37=М[Артикул, марка, произв.])*($D37=М[Хар-ка])*($L37=М[Прим.]),{1},($B37=М[Наим.])*($C37=М[Артикул, марка, произв.])*($D37=М[Хар-ка])*($L37=М[Прим.])),0))</f>
        <v>0</v>
      </c>
      <c r="K37" s="58">
        <f>ROUND($I$37*$J$37,2)</f>
        <v>0</v>
      </c>
      <c r="L37" s="25"/>
      <c r="M37" s="25">
        <f t="array" ref="M37">INDEX(М[Форма закупа],MATCH(1,IF(($B37=М[Наим.])*($C37=М[Артикул, марка, произв.])*($D37=М[Хар-ка])*($L37=М[Прим.]),{1},($B37=М[Наим.])*($C37=М[Артикул, марка, произв.])*($D37=М[Хар-ка])*($L37=М[Прим.])),0))</f>
        <v>0</v>
      </c>
    </row>
    <row r="38" spans="1:13" outlineLevel="4" x14ac:dyDescent="0.2">
      <c r="A38" s="20"/>
      <c r="B38" s="14" t="s">
        <v>23</v>
      </c>
      <c r="C38" s="21"/>
      <c r="D38" s="21"/>
      <c r="E38" s="21"/>
      <c r="F38" s="21"/>
      <c r="G38" s="21"/>
      <c r="H38" s="21"/>
      <c r="I38" s="21"/>
      <c r="J38" s="56"/>
      <c r="K38" s="57">
        <f>SUM($K$39)</f>
        <v>0</v>
      </c>
      <c r="L38" s="18"/>
      <c r="M38" s="22"/>
    </row>
    <row r="39" spans="1:13" outlineLevel="4" x14ac:dyDescent="0.2">
      <c r="A39" s="23"/>
      <c r="B39" s="24" t="s">
        <v>54</v>
      </c>
      <c r="C39" s="25"/>
      <c r="D39" s="25"/>
      <c r="E39" s="26" t="s">
        <v>25</v>
      </c>
      <c r="F39" s="27"/>
      <c r="G39" s="28">
        <v>268</v>
      </c>
      <c r="H39" s="28">
        <v>457</v>
      </c>
      <c r="I39" s="28">
        <f>SUM($G$39:$H$39)</f>
        <v>725</v>
      </c>
      <c r="J39" s="58">
        <f t="array" ref="J39">INDEX(Р[Цена за ед., руб],MATCH(1,IF(($B39=Р[Наименование])*($L39=Р[Примечание]),{1},($B39=Р[Наименование])*($L39=Р[Примечание])),0))</f>
        <v>0</v>
      </c>
      <c r="K39" s="58">
        <f>ROUND($I$39*$J$39,2)</f>
        <v>0</v>
      </c>
      <c r="L39" s="25"/>
      <c r="M39" s="25"/>
    </row>
    <row r="40" spans="1:13" outlineLevel="4" x14ac:dyDescent="0.2">
      <c r="A40" s="20"/>
      <c r="B40" s="14" t="s">
        <v>29</v>
      </c>
      <c r="C40" s="21"/>
      <c r="D40" s="21"/>
      <c r="E40" s="21"/>
      <c r="F40" s="21"/>
      <c r="G40" s="21"/>
      <c r="H40" s="21"/>
      <c r="I40" s="21"/>
      <c r="J40" s="56"/>
      <c r="K40" s="57">
        <f>SUM($K$41:$K$42)</f>
        <v>0</v>
      </c>
      <c r="L40" s="18"/>
      <c r="M40" s="22"/>
    </row>
    <row r="41" spans="1:13" outlineLevel="4" x14ac:dyDescent="0.2">
      <c r="A41" s="23" t="s">
        <v>30</v>
      </c>
      <c r="B41" s="24" t="s">
        <v>55</v>
      </c>
      <c r="C41" s="25"/>
      <c r="D41" s="25" t="s">
        <v>56</v>
      </c>
      <c r="E41" s="26" t="s">
        <v>25</v>
      </c>
      <c r="F41" s="27"/>
      <c r="G41" s="28">
        <v>114</v>
      </c>
      <c r="H41" s="28">
        <v>130</v>
      </c>
      <c r="I41" s="28">
        <f>SUM($G$41:$H$41)</f>
        <v>244</v>
      </c>
      <c r="J41" s="58">
        <f t="array" ref="J41">INDEX(М[Цена за ед., руб],MATCH(1,IF(($B41=М[Наим.])*($C41=М[Артикул, марка, произв.])*($D41=М[Хар-ка])*($L41=М[Прим.]),{1},($B41=М[Наим.])*($C41=М[Артикул, марка, произв.])*($D41=М[Хар-ка])*($L41=М[Прим.])),0))</f>
        <v>0</v>
      </c>
      <c r="K41" s="58">
        <f>ROUND($I$41*$J$41,2)</f>
        <v>0</v>
      </c>
      <c r="L41" s="25"/>
      <c r="M41" s="25">
        <f t="array" ref="M41">INDEX(М[Форма закупа],MATCH(1,IF(($B41=М[Наим.])*($C41=М[Артикул, марка, произв.])*($D41=М[Хар-ка])*($L41=М[Прим.]),{1},($B41=М[Наим.])*($C41=М[Артикул, марка, произв.])*($D41=М[Хар-ка])*($L41=М[Прим.])),0))</f>
        <v>0</v>
      </c>
    </row>
    <row r="42" spans="1:13" outlineLevel="4" x14ac:dyDescent="0.2">
      <c r="A42" s="23" t="s">
        <v>34</v>
      </c>
      <c r="B42" s="24" t="s">
        <v>55</v>
      </c>
      <c r="C42" s="25"/>
      <c r="D42" s="25" t="s">
        <v>57</v>
      </c>
      <c r="E42" s="26" t="s">
        <v>25</v>
      </c>
      <c r="F42" s="27"/>
      <c r="G42" s="28">
        <v>154</v>
      </c>
      <c r="H42" s="28">
        <v>327</v>
      </c>
      <c r="I42" s="28">
        <f>SUM($G$42:$H$42)</f>
        <v>481</v>
      </c>
      <c r="J42" s="58">
        <f t="array" ref="J42">INDEX(М[Цена за ед., руб],MATCH(1,IF(($B42=М[Наим.])*($C42=М[Артикул, марка, произв.])*($D42=М[Хар-ка])*($L42=М[Прим.]),{1},($B42=М[Наим.])*($C42=М[Артикул, марка, произв.])*($D42=М[Хар-ка])*($L42=М[Прим.])),0))</f>
        <v>0</v>
      </c>
      <c r="K42" s="58">
        <f>ROUND($I$42*$J$42,2)</f>
        <v>0</v>
      </c>
      <c r="L42" s="25"/>
      <c r="M42" s="25">
        <f t="array" ref="M42">INDEX(М[Форма закупа],MATCH(1,IF(($B42=М[Наим.])*($C42=М[Артикул, марка, произв.])*($D42=М[Хар-ка])*($L42=М[Прим.]),{1},($B42=М[Наим.])*($C42=М[Артикул, марка, произв.])*($D42=М[Хар-ка])*($L42=М[Прим.])),0))</f>
        <v>0</v>
      </c>
    </row>
    <row r="43" spans="1:13" outlineLevel="4" x14ac:dyDescent="0.2">
      <c r="A43" s="20"/>
      <c r="B43" s="14" t="s">
        <v>23</v>
      </c>
      <c r="C43" s="21"/>
      <c r="D43" s="21"/>
      <c r="E43" s="21"/>
      <c r="F43" s="21"/>
      <c r="G43" s="21"/>
      <c r="H43" s="21"/>
      <c r="I43" s="21"/>
      <c r="J43" s="56"/>
      <c r="K43" s="57">
        <f>SUM($K$44)</f>
        <v>0</v>
      </c>
      <c r="L43" s="18"/>
      <c r="M43" s="22"/>
    </row>
    <row r="44" spans="1:13" outlineLevel="4" x14ac:dyDescent="0.2">
      <c r="A44" s="23"/>
      <c r="B44" s="24" t="s">
        <v>58</v>
      </c>
      <c r="C44" s="25"/>
      <c r="D44" s="25"/>
      <c r="E44" s="26" t="s">
        <v>25</v>
      </c>
      <c r="F44" s="27"/>
      <c r="G44" s="28">
        <v>73</v>
      </c>
      <c r="H44" s="28">
        <v>145</v>
      </c>
      <c r="I44" s="28">
        <f>SUM($G$44:$H$44)</f>
        <v>218</v>
      </c>
      <c r="J44" s="58">
        <f t="array" ref="J44">INDEX(Р[Цена за ед., руб],MATCH(1,IF(($B44=Р[Наименование])*($L44=Р[Примечание]),{1},($B44=Р[Наименование])*($L44=Р[Примечание])),0))</f>
        <v>0</v>
      </c>
      <c r="K44" s="58">
        <f>ROUND($I$44*$J$44,2)</f>
        <v>0</v>
      </c>
      <c r="L44" s="25"/>
      <c r="M44" s="25"/>
    </row>
    <row r="45" spans="1:13" outlineLevel="4" x14ac:dyDescent="0.2">
      <c r="A45" s="20"/>
      <c r="B45" s="14" t="s">
        <v>29</v>
      </c>
      <c r="C45" s="21"/>
      <c r="D45" s="21"/>
      <c r="E45" s="21"/>
      <c r="F45" s="21"/>
      <c r="G45" s="21"/>
      <c r="H45" s="21"/>
      <c r="I45" s="21"/>
      <c r="J45" s="56"/>
      <c r="K45" s="57">
        <f>SUM($K$46:$K$47)</f>
        <v>0</v>
      </c>
      <c r="L45" s="18"/>
      <c r="M45" s="22"/>
    </row>
    <row r="46" spans="1:13" ht="33.75" outlineLevel="4" x14ac:dyDescent="0.2">
      <c r="A46" s="23" t="s">
        <v>30</v>
      </c>
      <c r="B46" s="24" t="s">
        <v>59</v>
      </c>
      <c r="C46" s="25"/>
      <c r="D46" s="25" t="s">
        <v>60</v>
      </c>
      <c r="E46" s="26" t="s">
        <v>25</v>
      </c>
      <c r="F46" s="27"/>
      <c r="G46" s="28">
        <v>2</v>
      </c>
      <c r="H46" s="28">
        <v>2</v>
      </c>
      <c r="I46" s="28">
        <f>SUM($G$46:$H$46)</f>
        <v>4</v>
      </c>
      <c r="J46" s="58">
        <f t="array" ref="J46">INDEX(М[Цена за ед., руб],MATCH(1,IF(($B46=М[Наим.])*($C46=М[Артикул, марка, произв.])*($D46=М[Хар-ка])*($L46=М[Прим.]),{1},($B46=М[Наим.])*($C46=М[Артикул, марка, произв.])*($D46=М[Хар-ка])*($L46=М[Прим.])),0))</f>
        <v>0</v>
      </c>
      <c r="K46" s="58">
        <f>ROUND($I$46*$J$46,2)</f>
        <v>0</v>
      </c>
      <c r="L46" s="25"/>
      <c r="M46" s="25">
        <f t="array" ref="M46">INDEX(М[Форма закупа],MATCH(1,IF(($B46=М[Наим.])*($C46=М[Артикул, марка, произв.])*($D46=М[Хар-ка])*($L46=М[Прим.]),{1},($B46=М[Наим.])*($C46=М[Артикул, марка, произв.])*($D46=М[Хар-ка])*($L46=М[Прим.])),0))</f>
        <v>0</v>
      </c>
    </row>
    <row r="47" spans="1:13" ht="33.75" outlineLevel="4" x14ac:dyDescent="0.2">
      <c r="A47" s="23" t="s">
        <v>34</v>
      </c>
      <c r="B47" s="24" t="s">
        <v>59</v>
      </c>
      <c r="C47" s="25"/>
      <c r="D47" s="25" t="s">
        <v>61</v>
      </c>
      <c r="E47" s="26" t="s">
        <v>25</v>
      </c>
      <c r="F47" s="27"/>
      <c r="G47" s="28">
        <v>71</v>
      </c>
      <c r="H47" s="28">
        <v>143</v>
      </c>
      <c r="I47" s="28">
        <f>SUM($G$47:$H$47)</f>
        <v>214</v>
      </c>
      <c r="J47" s="58">
        <f t="array" ref="J47">INDEX(М[Цена за ед., руб],MATCH(1,IF(($B47=М[Наим.])*($C47=М[Артикул, марка, произв.])*($D47=М[Хар-ка])*($L47=М[Прим.]),{1},($B47=М[Наим.])*($C47=М[Артикул, марка, произв.])*($D47=М[Хар-ка])*($L47=М[Прим.])),0))</f>
        <v>0</v>
      </c>
      <c r="K47" s="58">
        <f>ROUND($I$47*$J$47,2)</f>
        <v>0</v>
      </c>
      <c r="L47" s="25"/>
      <c r="M47" s="25">
        <f t="array" ref="M47">INDEX(М[Форма закупа],MATCH(1,IF(($B47=М[Наим.])*($C47=М[Артикул, марка, произв.])*($D47=М[Хар-ка])*($L47=М[Прим.]),{1},($B47=М[Наим.])*($C47=М[Артикул, марка, произв.])*($D47=М[Хар-ка])*($L47=М[Прим.])),0))</f>
        <v>0</v>
      </c>
    </row>
    <row r="48" spans="1:13" outlineLevel="4" x14ac:dyDescent="0.2">
      <c r="A48" s="20"/>
      <c r="B48" s="14" t="s">
        <v>23</v>
      </c>
      <c r="C48" s="21"/>
      <c r="D48" s="21"/>
      <c r="E48" s="21"/>
      <c r="F48" s="21"/>
      <c r="G48" s="21"/>
      <c r="H48" s="21"/>
      <c r="I48" s="21"/>
      <c r="J48" s="56"/>
      <c r="K48" s="57">
        <f>SUM($K$49)</f>
        <v>0</v>
      </c>
      <c r="L48" s="18"/>
      <c r="M48" s="22"/>
    </row>
    <row r="49" spans="1:13" outlineLevel="4" x14ac:dyDescent="0.2">
      <c r="A49" s="23"/>
      <c r="B49" s="24" t="s">
        <v>62</v>
      </c>
      <c r="C49" s="25"/>
      <c r="D49" s="25"/>
      <c r="E49" s="26" t="s">
        <v>25</v>
      </c>
      <c r="F49" s="27"/>
      <c r="G49" s="28">
        <v>56</v>
      </c>
      <c r="H49" s="28">
        <v>64</v>
      </c>
      <c r="I49" s="28">
        <f>SUM($G$49:$H$49)</f>
        <v>120</v>
      </c>
      <c r="J49" s="58">
        <f t="array" ref="J49">INDEX(Р[Цена за ед., руб],MATCH(1,IF(($B49=Р[Наименование])*($L49=Р[Примечание]),{1},($B49=Р[Наименование])*($L49=Р[Примечание])),0))</f>
        <v>0</v>
      </c>
      <c r="K49" s="58">
        <f>ROUND($I$49*$J$49,2)</f>
        <v>0</v>
      </c>
      <c r="L49" s="25"/>
      <c r="M49" s="25"/>
    </row>
    <row r="50" spans="1:13" outlineLevel="4" x14ac:dyDescent="0.2">
      <c r="A50" s="20"/>
      <c r="B50" s="14" t="s">
        <v>29</v>
      </c>
      <c r="C50" s="21"/>
      <c r="D50" s="21"/>
      <c r="E50" s="21"/>
      <c r="F50" s="21"/>
      <c r="G50" s="21"/>
      <c r="H50" s="21"/>
      <c r="I50" s="21"/>
      <c r="J50" s="56"/>
      <c r="K50" s="57">
        <f>SUM($K$51)</f>
        <v>0</v>
      </c>
      <c r="L50" s="18"/>
      <c r="M50" s="22"/>
    </row>
    <row r="51" spans="1:13" ht="22.5" outlineLevel="4" x14ac:dyDescent="0.2">
      <c r="A51" s="23" t="s">
        <v>30</v>
      </c>
      <c r="B51" s="24" t="s">
        <v>63</v>
      </c>
      <c r="C51" s="25"/>
      <c r="D51" s="25" t="s">
        <v>64</v>
      </c>
      <c r="E51" s="26" t="s">
        <v>25</v>
      </c>
      <c r="F51" s="29">
        <v>1</v>
      </c>
      <c r="G51" s="28">
        <v>56</v>
      </c>
      <c r="H51" s="28">
        <v>64</v>
      </c>
      <c r="I51" s="28">
        <f>SUM($G$51:$H$51)</f>
        <v>120</v>
      </c>
      <c r="J51" s="58">
        <f t="array" ref="J51">INDEX(М[Цена за ед., руб],MATCH(1,IF(($B51=М[Наим.])*($C51=М[Артикул, марка, произв.])*($D51=М[Хар-ка])*($L51=М[Прим.]),{1},($B51=М[Наим.])*($C51=М[Артикул, марка, произв.])*($D51=М[Хар-ка])*($L51=М[Прим.])),0))</f>
        <v>0</v>
      </c>
      <c r="K51" s="58">
        <f>ROUND($I$51*$J$51,2)</f>
        <v>0</v>
      </c>
      <c r="L51" s="25"/>
      <c r="M51" s="25">
        <f t="array" ref="M51">INDEX(М[Форма закупа],MATCH(1,IF(($B51=М[Наим.])*($C51=М[Артикул, марка, произв.])*($D51=М[Хар-ка])*($L51=М[Прим.]),{1},($B51=М[Наим.])*($C51=М[Артикул, марка, произв.])*($D51=М[Хар-ка])*($L51=М[Прим.])),0))</f>
        <v>0</v>
      </c>
    </row>
    <row r="52" spans="1:13" outlineLevel="4" x14ac:dyDescent="0.2">
      <c r="A52" s="20"/>
      <c r="B52" s="14" t="s">
        <v>23</v>
      </c>
      <c r="C52" s="21"/>
      <c r="D52" s="21"/>
      <c r="E52" s="21"/>
      <c r="F52" s="21"/>
      <c r="G52" s="21"/>
      <c r="H52" s="21"/>
      <c r="I52" s="21"/>
      <c r="J52" s="56"/>
      <c r="K52" s="57">
        <f>SUM($K$53)</f>
        <v>0</v>
      </c>
      <c r="L52" s="18"/>
      <c r="M52" s="22"/>
    </row>
    <row r="53" spans="1:13" ht="22.5" outlineLevel="4" x14ac:dyDescent="0.2">
      <c r="A53" s="23"/>
      <c r="B53" s="24" t="s">
        <v>65</v>
      </c>
      <c r="C53" s="25"/>
      <c r="D53" s="25"/>
      <c r="E53" s="26" t="s">
        <v>28</v>
      </c>
      <c r="F53" s="27"/>
      <c r="G53" s="28">
        <v>688</v>
      </c>
      <c r="H53" s="30">
        <v>1209</v>
      </c>
      <c r="I53" s="30">
        <f>SUM($G$53:$H$53)</f>
        <v>1897</v>
      </c>
      <c r="J53" s="58">
        <f t="array" ref="J53">INDEX(Р[Цена за ед., руб],MATCH(1,IF(($B53=Р[Наименование])*($L53=Р[Примечание]),{1},($B53=Р[Наименование])*($L53=Р[Примечание])),0))</f>
        <v>0</v>
      </c>
      <c r="K53" s="58">
        <f>ROUND($I$53*$J$53,2)</f>
        <v>0</v>
      </c>
      <c r="L53" s="25"/>
      <c r="M53" s="25"/>
    </row>
    <row r="54" spans="1:13" outlineLevel="4" x14ac:dyDescent="0.2">
      <c r="A54" s="20"/>
      <c r="B54" s="14" t="s">
        <v>29</v>
      </c>
      <c r="C54" s="21"/>
      <c r="D54" s="21"/>
      <c r="E54" s="21"/>
      <c r="F54" s="21"/>
      <c r="G54" s="21"/>
      <c r="H54" s="21"/>
      <c r="I54" s="21"/>
      <c r="J54" s="56"/>
      <c r="K54" s="57">
        <f>SUM($K$55:$K$57)</f>
        <v>0</v>
      </c>
      <c r="L54" s="18"/>
      <c r="M54" s="22"/>
    </row>
    <row r="55" spans="1:13" ht="22.5" outlineLevel="4" x14ac:dyDescent="0.2">
      <c r="A55" s="64" t="s">
        <v>30</v>
      </c>
      <c r="B55" s="24" t="s">
        <v>66</v>
      </c>
      <c r="C55" s="25"/>
      <c r="D55" s="25" t="s">
        <v>67</v>
      </c>
      <c r="E55" s="26" t="s">
        <v>33</v>
      </c>
      <c r="F55" s="29">
        <v>1</v>
      </c>
      <c r="G55" s="28">
        <v>538</v>
      </c>
      <c r="H55" s="30">
        <v>1059</v>
      </c>
      <c r="I55" s="30">
        <f>SUM($G$55:$H$55)</f>
        <v>1597</v>
      </c>
      <c r="J55" s="58">
        <f t="array" ref="J55">INDEX(М[Цена за ед., руб],MATCH(1,IF(($B55=М[Наим.])*($C55=М[Артикул, марка, произв.])*($D55=М[Хар-ка])*($L55=М[Прим.]),{1},($B55=М[Наим.])*($C55=М[Артикул, марка, произв.])*($D55=М[Хар-ка])*($L55=М[Прим.])),0))</f>
        <v>0</v>
      </c>
      <c r="K55" s="58">
        <f>ROUND($I$55*$J$55,2)</f>
        <v>0</v>
      </c>
      <c r="L55" s="25"/>
      <c r="M55" s="25">
        <f t="array" ref="M55">INDEX(М[Форма закупа],MATCH(1,IF(($B55=М[Наим.])*($C55=М[Артикул, марка, произв.])*($D55=М[Хар-ка])*($L55=М[Прим.]),{1},($B55=М[Наим.])*($C55=М[Артикул, марка, произв.])*($D55=М[Хар-ка])*($L55=М[Прим.])),0))</f>
        <v>0</v>
      </c>
    </row>
    <row r="56" spans="1:13" ht="22.5" outlineLevel="4" x14ac:dyDescent="0.2">
      <c r="A56" s="64" t="s">
        <v>34</v>
      </c>
      <c r="B56" s="24" t="s">
        <v>66</v>
      </c>
      <c r="C56" s="25"/>
      <c r="D56" s="25" t="s">
        <v>68</v>
      </c>
      <c r="E56" s="26" t="s">
        <v>33</v>
      </c>
      <c r="F56" s="29">
        <v>1</v>
      </c>
      <c r="G56" s="28">
        <v>20</v>
      </c>
      <c r="H56" s="28">
        <v>20</v>
      </c>
      <c r="I56" s="28">
        <f>SUM($G$56:$H$56)</f>
        <v>40</v>
      </c>
      <c r="J56" s="58">
        <f t="array" ref="J56">INDEX(М[Цена за ед., руб],MATCH(1,IF(($B56=М[Наим.])*($C56=М[Артикул, марка, произв.])*($D56=М[Хар-ка])*($L56=М[Прим.]),{1},($B56=М[Наим.])*($C56=М[Артикул, марка, произв.])*($D56=М[Хар-ка])*($L56=М[Прим.])),0))</f>
        <v>0</v>
      </c>
      <c r="K56" s="58">
        <f>ROUND($I$56*$J$56,2)</f>
        <v>0</v>
      </c>
      <c r="L56" s="25"/>
      <c r="M56" s="25">
        <f t="array" ref="M56">INDEX(М[Форма закупа],MATCH(1,IF(($B56=М[Наим.])*($C56=М[Артикул, марка, произв.])*($D56=М[Хар-ка])*($L56=М[Прим.]),{1},($B56=М[Наим.])*($C56=М[Артикул, марка, произв.])*($D56=М[Хар-ка])*($L56=М[Прим.])),0))</f>
        <v>0</v>
      </c>
    </row>
    <row r="57" spans="1:13" outlineLevel="4" x14ac:dyDescent="0.2">
      <c r="A57" s="64" t="s">
        <v>36</v>
      </c>
      <c r="B57" s="24" t="s">
        <v>66</v>
      </c>
      <c r="C57" s="25"/>
      <c r="D57" s="25" t="s">
        <v>69</v>
      </c>
      <c r="E57" s="26" t="s">
        <v>33</v>
      </c>
      <c r="F57" s="27"/>
      <c r="G57" s="28">
        <v>130</v>
      </c>
      <c r="H57" s="28">
        <v>130</v>
      </c>
      <c r="I57" s="28">
        <f>SUM($G$57:$H$57)</f>
        <v>260</v>
      </c>
      <c r="J57" s="58">
        <f t="array" ref="J57">INDEX(М[Цена за ед., руб],MATCH(1,IF(($B57=М[Наим.])*($C57=М[Артикул, марка, произв.])*($D57=М[Хар-ка])*($L57=М[Прим.]),{1},($B57=М[Наим.])*($C57=М[Артикул, марка, произв.])*($D57=М[Хар-ка])*($L57=М[Прим.])),0))</f>
        <v>0</v>
      </c>
      <c r="K57" s="58">
        <f>ROUND($I$57*$J$57,2)</f>
        <v>0</v>
      </c>
      <c r="L57" s="25"/>
      <c r="M57" s="25">
        <f t="array" ref="M57">INDEX(М[Форма закупа],MATCH(1,IF(($B57=М[Наим.])*($C57=М[Артикул, марка, произв.])*($D57=М[Хар-ка])*($L57=М[Прим.]),{1},($B57=М[Наим.])*($C57=М[Артикул, марка, произв.])*($D57=М[Хар-ка])*($L57=М[Прим.])),0))</f>
        <v>0</v>
      </c>
    </row>
    <row r="58" spans="1:13" outlineLevel="4" x14ac:dyDescent="0.2">
      <c r="A58" s="20"/>
      <c r="B58" s="14" t="s">
        <v>23</v>
      </c>
      <c r="C58" s="21"/>
      <c r="D58" s="21"/>
      <c r="E58" s="21"/>
      <c r="F58" s="21"/>
      <c r="G58" s="21"/>
      <c r="H58" s="21"/>
      <c r="I58" s="21"/>
      <c r="J58" s="56"/>
      <c r="K58" s="57">
        <f>SUM($K$59)</f>
        <v>0</v>
      </c>
      <c r="L58" s="18"/>
      <c r="M58" s="22"/>
    </row>
    <row r="59" spans="1:13" outlineLevel="4" x14ac:dyDescent="0.2">
      <c r="A59" s="23"/>
      <c r="B59" s="24" t="s">
        <v>70</v>
      </c>
      <c r="C59" s="25"/>
      <c r="D59" s="25"/>
      <c r="E59" s="26" t="s">
        <v>28</v>
      </c>
      <c r="F59" s="27"/>
      <c r="G59" s="28">
        <v>8</v>
      </c>
      <c r="H59" s="28">
        <v>8</v>
      </c>
      <c r="I59" s="28">
        <f>SUM($G$59:$H$59)</f>
        <v>16</v>
      </c>
      <c r="J59" s="58">
        <f t="array" ref="J59">INDEX(Р[Цена за ед., руб],MATCH(1,IF(($B59=Р[Наименование])*($L59=Р[Примечание]),{1},($B59=Р[Наименование])*($L59=Р[Примечание])),0))</f>
        <v>0</v>
      </c>
      <c r="K59" s="58">
        <f>ROUND($I$59*$J$59,2)</f>
        <v>0</v>
      </c>
      <c r="L59" s="25"/>
      <c r="M59" s="25"/>
    </row>
    <row r="60" spans="1:13" outlineLevel="4" x14ac:dyDescent="0.2">
      <c r="A60" s="20"/>
      <c r="B60" s="14" t="s">
        <v>29</v>
      </c>
      <c r="C60" s="21"/>
      <c r="D60" s="21"/>
      <c r="E60" s="21"/>
      <c r="F60" s="21"/>
      <c r="G60" s="21"/>
      <c r="H60" s="21"/>
      <c r="I60" s="21"/>
      <c r="J60" s="56"/>
      <c r="K60" s="57">
        <f>SUM($K$61)</f>
        <v>0</v>
      </c>
      <c r="L60" s="18"/>
      <c r="M60" s="22"/>
    </row>
    <row r="61" spans="1:13" ht="22.5" outlineLevel="4" x14ac:dyDescent="0.2">
      <c r="A61" s="64" t="s">
        <v>30</v>
      </c>
      <c r="B61" s="24" t="s">
        <v>71</v>
      </c>
      <c r="C61" s="25"/>
      <c r="D61" s="25" t="s">
        <v>72</v>
      </c>
      <c r="E61" s="26" t="s">
        <v>33</v>
      </c>
      <c r="F61" s="29">
        <v>1</v>
      </c>
      <c r="G61" s="28">
        <v>8</v>
      </c>
      <c r="H61" s="28">
        <v>8</v>
      </c>
      <c r="I61" s="28">
        <f>SUM($G$61:$H$61)</f>
        <v>16</v>
      </c>
      <c r="J61" s="58">
        <f t="array" ref="J61">INDEX(М[Цена за ед., руб],MATCH(1,IF(($B61=М[Наим.])*($C61=М[Артикул, марка, произв.])*($D61=М[Хар-ка])*($L61=М[Прим.]),{1},($B61=М[Наим.])*($C61=М[Артикул, марка, произв.])*($D61=М[Хар-ка])*($L61=М[Прим.])),0))</f>
        <v>0</v>
      </c>
      <c r="K61" s="58">
        <f>ROUND($I$61*$J$61,2)</f>
        <v>0</v>
      </c>
      <c r="L61" s="25"/>
      <c r="M61" s="25">
        <f t="array" ref="M61">INDEX(М[Форма закупа],MATCH(1,IF(($B61=М[Наим.])*($C61=М[Артикул, марка, произв.])*($D61=М[Хар-ка])*($L61=М[Прим.]),{1},($B61=М[Наим.])*($C61=М[Артикул, марка, произв.])*($D61=М[Хар-ка])*($L61=М[Прим.])),0))</f>
        <v>0</v>
      </c>
    </row>
    <row r="62" spans="1:13" outlineLevel="4" x14ac:dyDescent="0.2">
      <c r="A62" s="20"/>
      <c r="B62" s="14" t="s">
        <v>23</v>
      </c>
      <c r="C62" s="21"/>
      <c r="D62" s="21"/>
      <c r="E62" s="21"/>
      <c r="F62" s="21"/>
      <c r="G62" s="21"/>
      <c r="H62" s="21"/>
      <c r="I62" s="21"/>
      <c r="J62" s="56"/>
      <c r="K62" s="57">
        <f>SUM($K$63)</f>
        <v>0</v>
      </c>
      <c r="L62" s="18"/>
      <c r="M62" s="22"/>
    </row>
    <row r="63" spans="1:13" outlineLevel="4" x14ac:dyDescent="0.2">
      <c r="A63" s="23"/>
      <c r="B63" s="24" t="s">
        <v>73</v>
      </c>
      <c r="C63" s="25"/>
      <c r="D63" s="25"/>
      <c r="E63" s="26" t="s">
        <v>28</v>
      </c>
      <c r="F63" s="27"/>
      <c r="G63" s="28">
        <v>25</v>
      </c>
      <c r="H63" s="31">
        <v>47.5</v>
      </c>
      <c r="I63" s="31">
        <f>SUM($G$63:$H$63)</f>
        <v>72.5</v>
      </c>
      <c r="J63" s="58">
        <f t="array" ref="J63">INDEX(Р[Цена за ед., руб],MATCH(1,IF(($B63=Р[Наименование])*($L63=Р[Примечание]),{1},($B63=Р[Наименование])*($L63=Р[Примечание])),0))</f>
        <v>0</v>
      </c>
      <c r="K63" s="58">
        <f>ROUND($I$63*$J$63,2)</f>
        <v>0</v>
      </c>
      <c r="L63" s="25"/>
      <c r="M63" s="25"/>
    </row>
    <row r="64" spans="1:13" outlineLevel="4" x14ac:dyDescent="0.2">
      <c r="A64" s="20"/>
      <c r="B64" s="14" t="s">
        <v>29</v>
      </c>
      <c r="C64" s="21"/>
      <c r="D64" s="21"/>
      <c r="E64" s="21"/>
      <c r="F64" s="21"/>
      <c r="G64" s="21"/>
      <c r="H64" s="21"/>
      <c r="I64" s="21"/>
      <c r="J64" s="56"/>
      <c r="K64" s="57">
        <f>SUM($K$65)</f>
        <v>0</v>
      </c>
      <c r="L64" s="18"/>
      <c r="M64" s="22"/>
    </row>
    <row r="65" spans="1:13" ht="33.75" outlineLevel="4" x14ac:dyDescent="0.2">
      <c r="A65" s="64" t="s">
        <v>30</v>
      </c>
      <c r="B65" s="24" t="s">
        <v>74</v>
      </c>
      <c r="C65" s="25"/>
      <c r="D65" s="25" t="s">
        <v>75</v>
      </c>
      <c r="E65" s="26" t="s">
        <v>33</v>
      </c>
      <c r="F65" s="27"/>
      <c r="G65" s="28">
        <v>25</v>
      </c>
      <c r="H65" s="31">
        <v>47.5</v>
      </c>
      <c r="I65" s="31">
        <f>SUM($G$65:$H$65)</f>
        <v>72.5</v>
      </c>
      <c r="J65" s="58">
        <f t="array" ref="J65">INDEX(М[Цена за ед., руб],MATCH(1,IF(($B65=М[Наим.])*($C65=М[Артикул, марка, произв.])*($D65=М[Хар-ка])*($L65=М[Прим.]),{1},($B65=М[Наим.])*($C65=М[Артикул, марка, произв.])*($D65=М[Хар-ка])*($L65=М[Прим.])),0))</f>
        <v>0</v>
      </c>
      <c r="K65" s="58">
        <f>ROUND($I$65*$J$65,2)</f>
        <v>0</v>
      </c>
      <c r="L65" s="25"/>
      <c r="M65" s="25">
        <f t="array" ref="M65">INDEX(М[Форма закупа],MATCH(1,IF(($B65=М[Наим.])*($C65=М[Артикул, марка, произв.])*($D65=М[Хар-ка])*($L65=М[Прим.]),{1},($B65=М[Наим.])*($C65=М[Артикул, марка, произв.])*($D65=М[Хар-ка])*($L65=М[Прим.])),0))</f>
        <v>0</v>
      </c>
    </row>
    <row r="66" spans="1:13" outlineLevel="2" x14ac:dyDescent="0.2">
      <c r="A66" s="13" t="s">
        <v>77</v>
      </c>
      <c r="B66" s="14" t="s">
        <v>78</v>
      </c>
      <c r="C66" s="15"/>
      <c r="D66" s="15"/>
      <c r="E66" s="16"/>
      <c r="F66" s="17"/>
      <c r="G66" s="18"/>
      <c r="H66" s="18"/>
      <c r="I66" s="18"/>
      <c r="J66" s="55"/>
      <c r="K66" s="55">
        <f>SUM($K$67)</f>
        <v>0</v>
      </c>
      <c r="L66" s="19"/>
      <c r="M66" s="19"/>
    </row>
    <row r="67" spans="1:13" outlineLevel="3" x14ac:dyDescent="0.2">
      <c r="A67" s="13" t="s">
        <v>79</v>
      </c>
      <c r="B67" s="14" t="s">
        <v>78</v>
      </c>
      <c r="C67" s="15"/>
      <c r="D67" s="15"/>
      <c r="E67" s="16"/>
      <c r="F67" s="17"/>
      <c r="G67" s="18"/>
      <c r="H67" s="18"/>
      <c r="I67" s="18"/>
      <c r="J67" s="55"/>
      <c r="K67" s="55">
        <f>SUM($K$90,$K$88,$K$85,$K$83,$K$81,$K$79,$K$77,$K$75,$K$72,$K$70,$K$68)</f>
        <v>0</v>
      </c>
      <c r="L67" s="19"/>
      <c r="M67" s="19"/>
    </row>
    <row r="68" spans="1:13" outlineLevel="4" x14ac:dyDescent="0.2">
      <c r="A68" s="20"/>
      <c r="B68" s="14" t="s">
        <v>23</v>
      </c>
      <c r="C68" s="21"/>
      <c r="D68" s="21"/>
      <c r="E68" s="21"/>
      <c r="F68" s="21"/>
      <c r="G68" s="21"/>
      <c r="H68" s="21"/>
      <c r="I68" s="21"/>
      <c r="J68" s="56"/>
      <c r="K68" s="57">
        <f>SUM($K$69)</f>
        <v>0</v>
      </c>
      <c r="L68" s="18"/>
      <c r="M68" s="22"/>
    </row>
    <row r="69" spans="1:13" outlineLevel="4" x14ac:dyDescent="0.2">
      <c r="A69" s="23"/>
      <c r="B69" s="24" t="s">
        <v>80</v>
      </c>
      <c r="C69" s="25"/>
      <c r="D69" s="25"/>
      <c r="E69" s="26" t="s">
        <v>25</v>
      </c>
      <c r="F69" s="27"/>
      <c r="G69" s="28">
        <v>42</v>
      </c>
      <c r="H69" s="28">
        <v>53</v>
      </c>
      <c r="I69" s="28">
        <f>SUM($G$69:$H$69)</f>
        <v>95</v>
      </c>
      <c r="J69" s="58">
        <f t="array" ref="J69">INDEX(Р[Цена за ед., руб],MATCH(1,IF(($B69=Р[Наименование])*($L69=Р[Примечание]),{1},($B69=Р[Наименование])*($L69=Р[Примечание])),0))</f>
        <v>0</v>
      </c>
      <c r="K69" s="58">
        <f>ROUND($I$69*$J$69,2)</f>
        <v>0</v>
      </c>
      <c r="L69" s="25"/>
      <c r="M69" s="25"/>
    </row>
    <row r="70" spans="1:13" outlineLevel="4" x14ac:dyDescent="0.2">
      <c r="A70" s="20"/>
      <c r="B70" s="14" t="s">
        <v>23</v>
      </c>
      <c r="C70" s="21"/>
      <c r="D70" s="21"/>
      <c r="E70" s="21"/>
      <c r="F70" s="21"/>
      <c r="G70" s="21"/>
      <c r="H70" s="21"/>
      <c r="I70" s="21"/>
      <c r="J70" s="56"/>
      <c r="K70" s="57">
        <f>SUM($K$71)</f>
        <v>0</v>
      </c>
      <c r="L70" s="18"/>
      <c r="M70" s="22"/>
    </row>
    <row r="71" spans="1:13" outlineLevel="4" x14ac:dyDescent="0.2">
      <c r="A71" s="23"/>
      <c r="B71" s="24" t="s">
        <v>27</v>
      </c>
      <c r="C71" s="25"/>
      <c r="D71" s="25"/>
      <c r="E71" s="26" t="s">
        <v>28</v>
      </c>
      <c r="F71" s="27"/>
      <c r="G71" s="28">
        <v>24</v>
      </c>
      <c r="H71" s="28">
        <v>26</v>
      </c>
      <c r="I71" s="28">
        <f>SUM($G$71:$H$71)</f>
        <v>50</v>
      </c>
      <c r="J71" s="58">
        <f t="array" ref="J71">INDEX(Р[Цена за ед., руб],MATCH(1,IF(($B71=Р[Наименование])*($L71=Р[Примечание]),{1},($B71=Р[Наименование])*($L71=Р[Примечание])),0))</f>
        <v>0</v>
      </c>
      <c r="K71" s="58">
        <f>ROUND($I$71*$J$71,2)</f>
        <v>0</v>
      </c>
      <c r="L71" s="25"/>
      <c r="M71" s="25"/>
    </row>
    <row r="72" spans="1:13" outlineLevel="4" x14ac:dyDescent="0.2">
      <c r="A72" s="20"/>
      <c r="B72" s="14" t="s">
        <v>29</v>
      </c>
      <c r="C72" s="21"/>
      <c r="D72" s="21"/>
      <c r="E72" s="21"/>
      <c r="F72" s="21"/>
      <c r="G72" s="21"/>
      <c r="H72" s="21"/>
      <c r="I72" s="21"/>
      <c r="J72" s="56"/>
      <c r="K72" s="57">
        <f>SUM($K$73:$K$74)</f>
        <v>0</v>
      </c>
      <c r="L72" s="18"/>
      <c r="M72" s="22"/>
    </row>
    <row r="73" spans="1:13" ht="33.75" outlineLevel="4" x14ac:dyDescent="0.2">
      <c r="A73" s="23" t="s">
        <v>30</v>
      </c>
      <c r="B73" s="24" t="s">
        <v>81</v>
      </c>
      <c r="C73" s="25"/>
      <c r="D73" s="25" t="s">
        <v>82</v>
      </c>
      <c r="E73" s="26" t="s">
        <v>33</v>
      </c>
      <c r="F73" s="27"/>
      <c r="G73" s="28">
        <v>10</v>
      </c>
      <c r="H73" s="28">
        <v>10</v>
      </c>
      <c r="I73" s="28">
        <f>SUM($G$73:$H$73)</f>
        <v>20</v>
      </c>
      <c r="J73" s="58">
        <f t="array" ref="J73">INDEX(М[Цена за ед., руб],MATCH(1,IF(($B73=М[Наим.])*($C73=М[Артикул, марка, произв.])*($D73=М[Хар-ка])*($L73=М[Прим.]),{1},($B73=М[Наим.])*($C73=М[Артикул, марка, произв.])*($D73=М[Хар-ка])*($L73=М[Прим.])),0))</f>
        <v>0</v>
      </c>
      <c r="K73" s="58">
        <f>ROUND($I$73*$J$73,2)</f>
        <v>0</v>
      </c>
      <c r="L73" s="25"/>
      <c r="M73" s="25">
        <f t="array" ref="M73">INDEX(М[Форма закупа],MATCH(1,IF(($B73=М[Наим.])*($C73=М[Артикул, марка, произв.])*($D73=М[Хар-ка])*($L73=М[Прим.]),{1},($B73=М[Наим.])*($C73=М[Артикул, марка, произв.])*($D73=М[Хар-ка])*($L73=М[Прим.])),0))</f>
        <v>0</v>
      </c>
    </row>
    <row r="74" spans="1:13" ht="56.25" outlineLevel="4" x14ac:dyDescent="0.2">
      <c r="A74" s="23" t="s">
        <v>34</v>
      </c>
      <c r="B74" s="24" t="s">
        <v>81</v>
      </c>
      <c r="C74" s="67" t="s">
        <v>177</v>
      </c>
      <c r="D74" s="25" t="s">
        <v>83</v>
      </c>
      <c r="E74" s="26" t="s">
        <v>33</v>
      </c>
      <c r="F74" s="27"/>
      <c r="G74" s="28">
        <v>14</v>
      </c>
      <c r="H74" s="28">
        <v>16</v>
      </c>
      <c r="I74" s="28">
        <f>SUM($G$74:$H$74)</f>
        <v>30</v>
      </c>
      <c r="J74" s="58">
        <f t="array" ref="J74">INDEX(М[Цена за ед., руб],MATCH(1,IF(($B74=М[Наим.])*($C74=М[Артикул, марка, произв.])*($D74=М[Хар-ка])*($L74=М[Прим.]),{1},($B74=М[Наим.])*($C74=М[Артикул, марка, произв.])*($D74=М[Хар-ка])*($L74=М[Прим.])),0))</f>
        <v>0</v>
      </c>
      <c r="K74" s="58">
        <f>ROUND($I$74*$J$74,2)</f>
        <v>0</v>
      </c>
      <c r="L74" s="25" t="s">
        <v>43</v>
      </c>
      <c r="M74" s="25">
        <f t="array" ref="M74">INDEX(М[Форма закупа],MATCH(1,IF(($B74=М[Наим.])*($C74=М[Артикул, марка, произв.])*($D74=М[Хар-ка])*($L74=М[Прим.]),{1},($B74=М[Наим.])*($C74=М[Артикул, марка, произв.])*($D74=М[Хар-ка])*($L74=М[Прим.])),0))</f>
        <v>0</v>
      </c>
    </row>
    <row r="75" spans="1:13" outlineLevel="4" x14ac:dyDescent="0.2">
      <c r="A75" s="20"/>
      <c r="B75" s="14" t="s">
        <v>23</v>
      </c>
      <c r="C75" s="21"/>
      <c r="D75" s="21"/>
      <c r="E75" s="21"/>
      <c r="F75" s="21"/>
      <c r="G75" s="21"/>
      <c r="H75" s="21"/>
      <c r="I75" s="21"/>
      <c r="J75" s="56"/>
      <c r="K75" s="57">
        <f>SUM($K$76)</f>
        <v>0</v>
      </c>
      <c r="L75" s="18"/>
      <c r="M75" s="22"/>
    </row>
    <row r="76" spans="1:13" outlineLevel="4" x14ac:dyDescent="0.2">
      <c r="A76" s="23"/>
      <c r="B76" s="24" t="s">
        <v>39</v>
      </c>
      <c r="C76" s="25"/>
      <c r="D76" s="25"/>
      <c r="E76" s="26" t="s">
        <v>40</v>
      </c>
      <c r="F76" s="27"/>
      <c r="G76" s="28">
        <v>2</v>
      </c>
      <c r="H76" s="28">
        <v>8</v>
      </c>
      <c r="I76" s="28">
        <f>SUM($G$76:$H$76)</f>
        <v>10</v>
      </c>
      <c r="J76" s="58">
        <f t="array" ref="J76">INDEX(Р[Цена за ед., руб],MATCH(1,IF(($B76=Р[Наименование])*($L76=Р[Примечание]),{1},($B76=Р[Наименование])*($L76=Р[Примечание])),0))</f>
        <v>0</v>
      </c>
      <c r="K76" s="58">
        <f>ROUND($I$76*$J$76,2)</f>
        <v>0</v>
      </c>
      <c r="L76" s="25"/>
      <c r="M76" s="25"/>
    </row>
    <row r="77" spans="1:13" outlineLevel="4" x14ac:dyDescent="0.2">
      <c r="A77" s="20"/>
      <c r="B77" s="14" t="s">
        <v>29</v>
      </c>
      <c r="C77" s="21"/>
      <c r="D77" s="21"/>
      <c r="E77" s="21"/>
      <c r="F77" s="21"/>
      <c r="G77" s="21"/>
      <c r="H77" s="21"/>
      <c r="I77" s="21"/>
      <c r="J77" s="56"/>
      <c r="K77" s="57">
        <f>SUM($K$78)</f>
        <v>0</v>
      </c>
      <c r="L77" s="18"/>
      <c r="M77" s="22"/>
    </row>
    <row r="78" spans="1:13" ht="22.5" outlineLevel="4" x14ac:dyDescent="0.2">
      <c r="A78" s="23" t="s">
        <v>30</v>
      </c>
      <c r="B78" s="24" t="s">
        <v>41</v>
      </c>
      <c r="C78" s="25"/>
      <c r="D78" s="25" t="s">
        <v>42</v>
      </c>
      <c r="E78" s="26" t="s">
        <v>40</v>
      </c>
      <c r="F78" s="27"/>
      <c r="G78" s="28">
        <v>2</v>
      </c>
      <c r="H78" s="28">
        <v>8</v>
      </c>
      <c r="I78" s="28">
        <f>SUM($G$78:$H$78)</f>
        <v>10</v>
      </c>
      <c r="J78" s="58">
        <f t="array" ref="J78">INDEX(М[Цена за ед., руб],MATCH(1,IF(($B78=М[Наим.])*($C78=М[Артикул, марка, произв.])*($D78=М[Хар-ка])*($L78=М[Прим.]),{1},($B78=М[Наим.])*($C78=М[Артикул, марка, произв.])*($D78=М[Хар-ка])*($L78=М[Прим.])),0))</f>
        <v>0</v>
      </c>
      <c r="K78" s="58">
        <f>ROUND($I$78*$J$78,2)</f>
        <v>0</v>
      </c>
      <c r="L78" s="25" t="s">
        <v>43</v>
      </c>
      <c r="M78" s="25">
        <f t="array" ref="M78">INDEX(М[Форма закупа],MATCH(1,IF(($B78=М[Наим.])*($C78=М[Артикул, марка, произв.])*($D78=М[Хар-ка])*($L78=М[Прим.]),{1},($B78=М[Наим.])*($C78=М[Артикул, марка, произв.])*($D78=М[Хар-ка])*($L78=М[Прим.])),0))</f>
        <v>0</v>
      </c>
    </row>
    <row r="79" spans="1:13" outlineLevel="4" x14ac:dyDescent="0.2">
      <c r="A79" s="20"/>
      <c r="B79" s="14" t="s">
        <v>23</v>
      </c>
      <c r="C79" s="21"/>
      <c r="D79" s="21"/>
      <c r="E79" s="21"/>
      <c r="F79" s="21"/>
      <c r="G79" s="21"/>
      <c r="H79" s="21"/>
      <c r="I79" s="21"/>
      <c r="J79" s="56"/>
      <c r="K79" s="57">
        <f>SUM($K$80)</f>
        <v>0</v>
      </c>
      <c r="L79" s="18"/>
      <c r="M79" s="22"/>
    </row>
    <row r="80" spans="1:13" outlineLevel="4" x14ac:dyDescent="0.2">
      <c r="A80" s="23"/>
      <c r="B80" s="24" t="s">
        <v>54</v>
      </c>
      <c r="C80" s="25"/>
      <c r="D80" s="25"/>
      <c r="E80" s="26" t="s">
        <v>25</v>
      </c>
      <c r="F80" s="27"/>
      <c r="G80" s="28">
        <v>17</v>
      </c>
      <c r="H80" s="28">
        <v>53</v>
      </c>
      <c r="I80" s="28">
        <f>SUM($G$80:$H$80)</f>
        <v>70</v>
      </c>
      <c r="J80" s="58">
        <f t="array" ref="J80">INDEX(Р[Цена за ед., руб],MATCH(1,IF(($B80=Р[Наименование])*($L80=Р[Примечание]),{1},($B80=Р[Наименование])*($L80=Р[Примечание])),0))</f>
        <v>0</v>
      </c>
      <c r="K80" s="58">
        <f>ROUND($I$80*$J$80,2)</f>
        <v>0</v>
      </c>
      <c r="L80" s="25"/>
      <c r="M80" s="25"/>
    </row>
    <row r="81" spans="1:13" outlineLevel="4" x14ac:dyDescent="0.2">
      <c r="A81" s="20"/>
      <c r="B81" s="14" t="s">
        <v>29</v>
      </c>
      <c r="C81" s="21"/>
      <c r="D81" s="21"/>
      <c r="E81" s="21"/>
      <c r="F81" s="21"/>
      <c r="G81" s="21"/>
      <c r="H81" s="21"/>
      <c r="I81" s="21"/>
      <c r="J81" s="56"/>
      <c r="K81" s="57">
        <f>SUM($K$82)</f>
        <v>0</v>
      </c>
      <c r="L81" s="18"/>
      <c r="M81" s="22"/>
    </row>
    <row r="82" spans="1:13" outlineLevel="4" x14ac:dyDescent="0.2">
      <c r="A82" s="23" t="s">
        <v>30</v>
      </c>
      <c r="B82" s="24" t="s">
        <v>55</v>
      </c>
      <c r="C82" s="25"/>
      <c r="D82" s="25" t="s">
        <v>57</v>
      </c>
      <c r="E82" s="26" t="s">
        <v>25</v>
      </c>
      <c r="F82" s="27"/>
      <c r="G82" s="28">
        <v>17</v>
      </c>
      <c r="H82" s="28">
        <v>53</v>
      </c>
      <c r="I82" s="28">
        <f>SUM($G$82:$H$82)</f>
        <v>70</v>
      </c>
      <c r="J82" s="58">
        <f t="array" ref="J82">INDEX(М[Цена за ед., руб],MATCH(1,IF(($B82=М[Наим.])*($C82=М[Артикул, марка, произв.])*($D82=М[Хар-ка])*($L82=М[Прим.]),{1},($B82=М[Наим.])*($C82=М[Артикул, марка, произв.])*($D82=М[Хар-ка])*($L82=М[Прим.])),0))</f>
        <v>0</v>
      </c>
      <c r="K82" s="58">
        <f>ROUND($I$82*$J$82,2)</f>
        <v>0</v>
      </c>
      <c r="L82" s="25"/>
      <c r="M82" s="25">
        <f t="array" ref="M82">INDEX(М[Форма закупа],MATCH(1,IF(($B82=М[Наим.])*($C82=М[Артикул, марка, произв.])*($D82=М[Хар-ка])*($L82=М[Прим.]),{1},($B82=М[Наим.])*($C82=М[Артикул, марка, произв.])*($D82=М[Хар-ка])*($L82=М[Прим.])),0))</f>
        <v>0</v>
      </c>
    </row>
    <row r="83" spans="1:13" outlineLevel="4" x14ac:dyDescent="0.2">
      <c r="A83" s="20"/>
      <c r="B83" s="14" t="s">
        <v>23</v>
      </c>
      <c r="C83" s="21"/>
      <c r="D83" s="21"/>
      <c r="E83" s="21"/>
      <c r="F83" s="21"/>
      <c r="G83" s="21"/>
      <c r="H83" s="21"/>
      <c r="I83" s="21"/>
      <c r="J83" s="56"/>
      <c r="K83" s="57">
        <f>SUM($K$84)</f>
        <v>0</v>
      </c>
      <c r="L83" s="18"/>
      <c r="M83" s="22"/>
    </row>
    <row r="84" spans="1:13" outlineLevel="4" x14ac:dyDescent="0.2">
      <c r="A84" s="23"/>
      <c r="B84" s="24" t="s">
        <v>58</v>
      </c>
      <c r="C84" s="25"/>
      <c r="D84" s="25"/>
      <c r="E84" s="26" t="s">
        <v>25</v>
      </c>
      <c r="F84" s="27"/>
      <c r="G84" s="28">
        <v>12</v>
      </c>
      <c r="H84" s="28">
        <v>12</v>
      </c>
      <c r="I84" s="28">
        <f>SUM($G$84:$H$84)</f>
        <v>24</v>
      </c>
      <c r="J84" s="58">
        <f t="array" ref="J84">INDEX(Р[Цена за ед., руб],MATCH(1,IF(($B84=Р[Наименование])*($L84=Р[Примечание]),{1},($B84=Р[Наименование])*($L84=Р[Примечание])),0))</f>
        <v>0</v>
      </c>
      <c r="K84" s="58">
        <f>ROUND($I$84*$J$84,2)</f>
        <v>0</v>
      </c>
      <c r="L84" s="25"/>
      <c r="M84" s="25"/>
    </row>
    <row r="85" spans="1:13" outlineLevel="4" x14ac:dyDescent="0.2">
      <c r="A85" s="20"/>
      <c r="B85" s="14" t="s">
        <v>29</v>
      </c>
      <c r="C85" s="21"/>
      <c r="D85" s="21"/>
      <c r="E85" s="21"/>
      <c r="F85" s="21"/>
      <c r="G85" s="21"/>
      <c r="H85" s="21"/>
      <c r="I85" s="21"/>
      <c r="J85" s="56"/>
      <c r="K85" s="57">
        <f>SUM($K$86:$K$87)</f>
        <v>0</v>
      </c>
      <c r="L85" s="18"/>
      <c r="M85" s="22"/>
    </row>
    <row r="86" spans="1:13" outlineLevel="4" x14ac:dyDescent="0.2">
      <c r="A86" s="23" t="s">
        <v>30</v>
      </c>
      <c r="B86" s="24" t="s">
        <v>59</v>
      </c>
      <c r="C86" s="25"/>
      <c r="D86" s="25" t="s">
        <v>84</v>
      </c>
      <c r="E86" s="26" t="s">
        <v>25</v>
      </c>
      <c r="F86" s="27"/>
      <c r="G86" s="28">
        <v>6</v>
      </c>
      <c r="H86" s="28">
        <v>6</v>
      </c>
      <c r="I86" s="28">
        <f>SUM($G$86:$H$86)</f>
        <v>12</v>
      </c>
      <c r="J86" s="58">
        <f t="array" ref="J86">INDEX(М[Цена за ед., руб],MATCH(1,IF(($B86=М[Наим.])*($C86=М[Артикул, марка, произв.])*($D86=М[Хар-ка])*($L86=М[Прим.]),{1},($B86=М[Наим.])*($C86=М[Артикул, марка, произв.])*($D86=М[Хар-ка])*($L86=М[Прим.])),0))</f>
        <v>0</v>
      </c>
      <c r="K86" s="58">
        <f>ROUND($I$86*$J$86,2)</f>
        <v>0</v>
      </c>
      <c r="L86" s="25"/>
      <c r="M86" s="25">
        <f t="array" ref="M86">INDEX(М[Форма закупа],MATCH(1,IF(($B86=М[Наим.])*($C86=М[Артикул, марка, произв.])*($D86=М[Хар-ка])*($L86=М[Прим.]),{1},($B86=М[Наим.])*($C86=М[Артикул, марка, произв.])*($D86=М[Хар-ка])*($L86=М[Прим.])),0))</f>
        <v>0</v>
      </c>
    </row>
    <row r="87" spans="1:13" ht="33.75" outlineLevel="4" x14ac:dyDescent="0.2">
      <c r="A87" s="23" t="s">
        <v>34</v>
      </c>
      <c r="B87" s="24" t="s">
        <v>59</v>
      </c>
      <c r="C87" s="25" t="s">
        <v>85</v>
      </c>
      <c r="D87" s="25" t="s">
        <v>61</v>
      </c>
      <c r="E87" s="26" t="s">
        <v>25</v>
      </c>
      <c r="F87" s="27"/>
      <c r="G87" s="28">
        <v>6</v>
      </c>
      <c r="H87" s="28">
        <v>6</v>
      </c>
      <c r="I87" s="28">
        <f>SUM($G$87:$H$87)</f>
        <v>12</v>
      </c>
      <c r="J87" s="58">
        <f t="array" ref="J87">INDEX(М[Цена за ед., руб],MATCH(1,IF(($B87=М[Наим.])*($C87=М[Артикул, марка, произв.])*($D87=М[Хар-ка])*($L87=М[Прим.]),{1},($B87=М[Наим.])*($C87=М[Артикул, марка, произв.])*($D87=М[Хар-ка])*($L87=М[Прим.])),0))</f>
        <v>0</v>
      </c>
      <c r="K87" s="58">
        <f>ROUND($I$87*$J$87,2)</f>
        <v>0</v>
      </c>
      <c r="L87" s="25"/>
      <c r="M87" s="25">
        <f t="array" ref="M87">INDEX(М[Форма закупа],MATCH(1,IF(($B87=М[Наим.])*($C87=М[Артикул, марка, произв.])*($D87=М[Хар-ка])*($L87=М[Прим.]),{1},($B87=М[Наим.])*($C87=М[Артикул, марка, произв.])*($D87=М[Хар-ка])*($L87=М[Прим.])),0))</f>
        <v>0</v>
      </c>
    </row>
    <row r="88" spans="1:13" outlineLevel="4" x14ac:dyDescent="0.2">
      <c r="A88" s="20"/>
      <c r="B88" s="14" t="s">
        <v>23</v>
      </c>
      <c r="C88" s="21"/>
      <c r="D88" s="21"/>
      <c r="E88" s="21"/>
      <c r="F88" s="21"/>
      <c r="G88" s="21"/>
      <c r="H88" s="21"/>
      <c r="I88" s="21"/>
      <c r="J88" s="56"/>
      <c r="K88" s="57">
        <f>SUM($K$89)</f>
        <v>0</v>
      </c>
      <c r="L88" s="18"/>
      <c r="M88" s="22"/>
    </row>
    <row r="89" spans="1:13" outlineLevel="4" x14ac:dyDescent="0.2">
      <c r="A89" s="23"/>
      <c r="B89" s="24" t="s">
        <v>86</v>
      </c>
      <c r="C89" s="25"/>
      <c r="D89" s="25"/>
      <c r="E89" s="26" t="s">
        <v>28</v>
      </c>
      <c r="F89" s="27"/>
      <c r="G89" s="28">
        <v>140</v>
      </c>
      <c r="H89" s="28">
        <v>248</v>
      </c>
      <c r="I89" s="28">
        <f>SUM($G$89:$H$89)</f>
        <v>388</v>
      </c>
      <c r="J89" s="58">
        <f t="array" ref="J89">INDEX(Р[Цена за ед., руб],MATCH(1,IF(($B89=Р[Наименование])*($L89=Р[Примечание]),{1},($B89=Р[Наименование])*($L89=Р[Примечание])),0))</f>
        <v>0</v>
      </c>
      <c r="K89" s="58">
        <f>ROUND($I$89*$J$89,2)</f>
        <v>0</v>
      </c>
      <c r="L89" s="25"/>
      <c r="M89" s="25"/>
    </row>
    <row r="90" spans="1:13" outlineLevel="4" x14ac:dyDescent="0.2">
      <c r="A90" s="20"/>
      <c r="B90" s="14" t="s">
        <v>29</v>
      </c>
      <c r="C90" s="21"/>
      <c r="D90" s="21"/>
      <c r="E90" s="21"/>
      <c r="F90" s="21"/>
      <c r="G90" s="21"/>
      <c r="H90" s="21"/>
      <c r="I90" s="21"/>
      <c r="J90" s="56"/>
      <c r="K90" s="57">
        <f>SUM($K$91)</f>
        <v>0</v>
      </c>
      <c r="L90" s="18"/>
      <c r="M90" s="22"/>
    </row>
    <row r="91" spans="1:13" ht="22.5" outlineLevel="4" x14ac:dyDescent="0.2">
      <c r="A91" s="64" t="s">
        <v>30</v>
      </c>
      <c r="B91" s="24" t="s">
        <v>87</v>
      </c>
      <c r="C91" s="25" t="s">
        <v>88</v>
      </c>
      <c r="D91" s="25" t="s">
        <v>89</v>
      </c>
      <c r="E91" s="26" t="s">
        <v>33</v>
      </c>
      <c r="F91" s="27"/>
      <c r="G91" s="28">
        <v>140</v>
      </c>
      <c r="H91" s="28">
        <v>248</v>
      </c>
      <c r="I91" s="28">
        <f>SUM($G$91:$H$91)</f>
        <v>388</v>
      </c>
      <c r="J91" s="58">
        <f t="array" ref="J91">INDEX(М[Цена за ед., руб],MATCH(1,IF(($B91=М[Наим.])*($C91=М[Артикул, марка, произв.])*($D91=М[Хар-ка])*($L91=М[Прим.]),{1},($B91=М[Наим.])*($C91=М[Артикул, марка, произв.])*($D91=М[Хар-ка])*($L91=М[Прим.])),0))</f>
        <v>0</v>
      </c>
      <c r="K91" s="58">
        <f>ROUND($I$91*$J$91,2)</f>
        <v>0</v>
      </c>
      <c r="L91" s="25"/>
      <c r="M91" s="25">
        <f t="array" ref="M91">INDEX(М[Форма закупа],MATCH(1,IF(($B91=М[Наим.])*($C91=М[Артикул, марка, произв.])*($D91=М[Хар-ка])*($L91=М[Прим.]),{1},($B91=М[Наим.])*($C91=М[Артикул, марка, произв.])*($D91=М[Хар-ка])*($L91=М[Прим.])),0))</f>
        <v>0</v>
      </c>
    </row>
    <row r="92" spans="1:13" outlineLevel="2" x14ac:dyDescent="0.2">
      <c r="A92" s="13" t="s">
        <v>90</v>
      </c>
      <c r="B92" s="14" t="s">
        <v>91</v>
      </c>
      <c r="C92" s="15"/>
      <c r="D92" s="15"/>
      <c r="E92" s="16"/>
      <c r="F92" s="17"/>
      <c r="G92" s="18"/>
      <c r="H92" s="18"/>
      <c r="I92" s="18"/>
      <c r="J92" s="55"/>
      <c r="K92" s="55">
        <f>SUM($K$93)</f>
        <v>0</v>
      </c>
      <c r="L92" s="19"/>
      <c r="M92" s="19"/>
    </row>
    <row r="93" spans="1:13" outlineLevel="3" x14ac:dyDescent="0.2">
      <c r="A93" s="13" t="s">
        <v>92</v>
      </c>
      <c r="B93" s="14" t="s">
        <v>91</v>
      </c>
      <c r="C93" s="15"/>
      <c r="D93" s="15"/>
      <c r="E93" s="16"/>
      <c r="F93" s="17"/>
      <c r="G93" s="18"/>
      <c r="H93" s="18"/>
      <c r="I93" s="18"/>
      <c r="J93" s="55"/>
      <c r="K93" s="55">
        <f>SUM($K$124,$K$122,$K$119,$K$117,$K$115,$K$113,$K$111,$K$109,$K$107,$K$105,$K$103,$K$98,$K$96,$K$94)</f>
        <v>0</v>
      </c>
      <c r="L93" s="19"/>
      <c r="M93" s="19"/>
    </row>
    <row r="94" spans="1:13" outlineLevel="4" x14ac:dyDescent="0.2">
      <c r="A94" s="20"/>
      <c r="B94" s="14" t="s">
        <v>23</v>
      </c>
      <c r="C94" s="21"/>
      <c r="D94" s="21"/>
      <c r="E94" s="21"/>
      <c r="F94" s="21"/>
      <c r="G94" s="21"/>
      <c r="H94" s="21"/>
      <c r="I94" s="21"/>
      <c r="J94" s="56"/>
      <c r="K94" s="57">
        <f>SUM($K$95)</f>
        <v>0</v>
      </c>
      <c r="L94" s="18"/>
      <c r="M94" s="22"/>
    </row>
    <row r="95" spans="1:13" outlineLevel="4" x14ac:dyDescent="0.2">
      <c r="A95" s="23"/>
      <c r="B95" s="24" t="s">
        <v>93</v>
      </c>
      <c r="C95" s="25"/>
      <c r="D95" s="25"/>
      <c r="E95" s="26" t="s">
        <v>25</v>
      </c>
      <c r="F95" s="27"/>
      <c r="G95" s="28">
        <v>70</v>
      </c>
      <c r="H95" s="28">
        <v>160</v>
      </c>
      <c r="I95" s="28">
        <f>SUM($G$95:$H$95)</f>
        <v>230</v>
      </c>
      <c r="J95" s="58">
        <f t="array" ref="J95">INDEX(Р[Цена за ед., руб],MATCH(1,IF(($B95=Р[Наименование])*($L95=Р[Примечание]),{1},($B95=Р[Наименование])*($L95=Р[Примечание])),0))</f>
        <v>0</v>
      </c>
      <c r="K95" s="58">
        <f>ROUND($I$95*$J$95,2)</f>
        <v>0</v>
      </c>
      <c r="L95" s="25"/>
      <c r="M95" s="25"/>
    </row>
    <row r="96" spans="1:13" outlineLevel="4" x14ac:dyDescent="0.2">
      <c r="A96" s="20"/>
      <c r="B96" s="14" t="s">
        <v>23</v>
      </c>
      <c r="C96" s="21"/>
      <c r="D96" s="21"/>
      <c r="E96" s="21"/>
      <c r="F96" s="21"/>
      <c r="G96" s="21"/>
      <c r="H96" s="21"/>
      <c r="I96" s="21"/>
      <c r="J96" s="56"/>
      <c r="K96" s="57">
        <f>SUM($K$97)</f>
        <v>0</v>
      </c>
      <c r="L96" s="18"/>
      <c r="M96" s="22"/>
    </row>
    <row r="97" spans="1:13" outlineLevel="4" x14ac:dyDescent="0.2">
      <c r="A97" s="23"/>
      <c r="B97" s="24" t="s">
        <v>27</v>
      </c>
      <c r="C97" s="25"/>
      <c r="D97" s="25"/>
      <c r="E97" s="26" t="s">
        <v>28</v>
      </c>
      <c r="F97" s="27"/>
      <c r="G97" s="30">
        <v>1165</v>
      </c>
      <c r="H97" s="30">
        <v>2499</v>
      </c>
      <c r="I97" s="30">
        <f>SUM($G$97:$H$97)</f>
        <v>3664</v>
      </c>
      <c r="J97" s="58">
        <f t="array" ref="J97">INDEX(Р[Цена за ед., руб],MATCH(1,IF(($B97=Р[Наименование])*($L97=Р[Примечание]),{1},($B97=Р[Наименование])*($L97=Р[Примечание])),0))</f>
        <v>0</v>
      </c>
      <c r="K97" s="58">
        <f>ROUND($I$97*$J$97,2)</f>
        <v>0</v>
      </c>
      <c r="L97" s="25"/>
      <c r="M97" s="25"/>
    </row>
    <row r="98" spans="1:13" outlineLevel="4" x14ac:dyDescent="0.2">
      <c r="A98" s="20"/>
      <c r="B98" s="14" t="s">
        <v>29</v>
      </c>
      <c r="C98" s="21"/>
      <c r="D98" s="21"/>
      <c r="E98" s="21"/>
      <c r="F98" s="21"/>
      <c r="G98" s="21"/>
      <c r="H98" s="21"/>
      <c r="I98" s="21"/>
      <c r="J98" s="56"/>
      <c r="K98" s="57">
        <f>SUM($K$99:$K$102)</f>
        <v>0</v>
      </c>
      <c r="L98" s="18"/>
      <c r="M98" s="22"/>
    </row>
    <row r="99" spans="1:13" ht="33.75" outlineLevel="4" x14ac:dyDescent="0.2">
      <c r="A99" s="23" t="s">
        <v>30</v>
      </c>
      <c r="B99" s="24" t="s">
        <v>81</v>
      </c>
      <c r="C99" s="25" t="s">
        <v>95</v>
      </c>
      <c r="D99" s="25" t="s">
        <v>94</v>
      </c>
      <c r="E99" s="26" t="s">
        <v>33</v>
      </c>
      <c r="F99" s="27"/>
      <c r="G99" s="28">
        <v>910</v>
      </c>
      <c r="H99" s="27"/>
      <c r="I99" s="28">
        <f>SUM($G$99:$H$99)</f>
        <v>910</v>
      </c>
      <c r="J99" s="58">
        <f t="array" ref="J99">INDEX(М[Цена за ед., руб],MATCH(1,IF(($B99=М[Наим.])*($C99=М[Артикул, марка, произв.])*($D99=М[Хар-ка])*($L99=М[Прим.]),{1},($B99=М[Наим.])*($C99=М[Артикул, марка, произв.])*($D99=М[Хар-ка])*($L99=М[Прим.])),0))</f>
        <v>0</v>
      </c>
      <c r="K99" s="58">
        <f>ROUND($I$99*$J$99,2)</f>
        <v>0</v>
      </c>
      <c r="L99" s="25"/>
      <c r="M99" s="25">
        <f t="array" ref="M99">INDEX(М[Форма закупа],MATCH(1,IF(($B99=М[Наим.])*($C99=М[Артикул, марка, произв.])*($D99=М[Хар-ка])*($L99=М[Прим.]),{1},($B99=М[Наим.])*($C99=М[Артикул, марка, произв.])*($D99=М[Хар-ка])*($L99=М[Прим.])),0))</f>
        <v>0</v>
      </c>
    </row>
    <row r="100" spans="1:13" ht="33.75" outlineLevel="4" x14ac:dyDescent="0.2">
      <c r="A100" s="23" t="s">
        <v>34</v>
      </c>
      <c r="B100" s="24" t="s">
        <v>81</v>
      </c>
      <c r="C100" s="25" t="s">
        <v>95</v>
      </c>
      <c r="D100" s="25" t="s">
        <v>94</v>
      </c>
      <c r="E100" s="26" t="s">
        <v>33</v>
      </c>
      <c r="F100" s="27"/>
      <c r="G100" s="27"/>
      <c r="H100" s="30">
        <v>1974</v>
      </c>
      <c r="I100" s="30">
        <f>SUM($G$100:$H$100)</f>
        <v>1974</v>
      </c>
      <c r="J100" s="58">
        <f t="array" ref="J100">INDEX(М[Цена за ед., руб],MATCH(1,IF(($B100=М[Наим.])*($C100=М[Артикул, марка, произв.])*($D100=М[Хар-ка])*($L100=М[Прим.]),{1},($B100=М[Наим.])*($C100=М[Артикул, марка, произв.])*($D100=М[Хар-ка])*($L100=М[Прим.])),0))</f>
        <v>0</v>
      </c>
      <c r="K100" s="58">
        <f>ROUND($I$100*$J$100,2)</f>
        <v>0</v>
      </c>
      <c r="L100" s="25"/>
      <c r="M100" s="25">
        <f t="array" ref="M100">INDEX(М[Форма закупа],MATCH(1,IF(($B100=М[Наим.])*($C100=М[Артикул, марка, произв.])*($D100=М[Хар-ка])*($L100=М[Прим.]),{1},($B100=М[Наим.])*($C100=М[Артикул, марка, произв.])*($D100=М[Хар-ка])*($L100=М[Прим.])),0))</f>
        <v>0</v>
      </c>
    </row>
    <row r="101" spans="1:13" ht="33.75" outlineLevel="4" x14ac:dyDescent="0.2">
      <c r="A101" s="23" t="s">
        <v>36</v>
      </c>
      <c r="B101" s="24" t="s">
        <v>81</v>
      </c>
      <c r="C101" s="67" t="s">
        <v>95</v>
      </c>
      <c r="D101" s="25" t="s">
        <v>96</v>
      </c>
      <c r="E101" s="26" t="s">
        <v>33</v>
      </c>
      <c r="F101" s="29">
        <v>1</v>
      </c>
      <c r="G101" s="28">
        <v>255</v>
      </c>
      <c r="H101" s="27"/>
      <c r="I101" s="28">
        <f>SUM($G$101:$H$101)</f>
        <v>255</v>
      </c>
      <c r="J101" s="58">
        <f t="array" ref="J101">INDEX(М[Цена за ед., руб],MATCH(1,IF(($B101=М[Наим.])*($C101=М[Артикул, марка, произв.])*($D101=М[Хар-ка])*($L101=М[Прим.]),{1},($B101=М[Наим.])*($C101=М[Артикул, марка, произв.])*($D101=М[Хар-ка])*($L101=М[Прим.])),0))</f>
        <v>0</v>
      </c>
      <c r="K101" s="58">
        <f>ROUND($I$101*$J$101,2)</f>
        <v>0</v>
      </c>
      <c r="L101" s="25"/>
      <c r="M101" s="25">
        <f t="array" ref="M101">INDEX(М[Форма закупа],MATCH(1,IF(($B101=М[Наим.])*($C101=М[Артикул, марка, произв.])*($D101=М[Хар-ка])*($L101=М[Прим.]),{1},($B101=М[Наим.])*($C101=М[Артикул, марка, произв.])*($D101=М[Хар-ка])*($L101=М[Прим.])),0))</f>
        <v>0</v>
      </c>
    </row>
    <row r="102" spans="1:13" ht="33.75" outlineLevel="4" x14ac:dyDescent="0.2">
      <c r="A102" s="23" t="s">
        <v>97</v>
      </c>
      <c r="B102" s="24" t="s">
        <v>81</v>
      </c>
      <c r="C102" s="25" t="s">
        <v>95</v>
      </c>
      <c r="D102" s="25" t="s">
        <v>96</v>
      </c>
      <c r="E102" s="26" t="s">
        <v>33</v>
      </c>
      <c r="F102" s="29">
        <v>1</v>
      </c>
      <c r="G102" s="27"/>
      <c r="H102" s="28">
        <v>525</v>
      </c>
      <c r="I102" s="28">
        <f>SUM($G$102:$H$102)</f>
        <v>525</v>
      </c>
      <c r="J102" s="58">
        <f t="array" ref="J102">INDEX(М[Цена за ед., руб],MATCH(1,IF(($B102=М[Наим.])*($C102=М[Артикул, марка, произв.])*($D102=М[Хар-ка])*($L102=М[Прим.]),{1},($B102=М[Наим.])*($C102=М[Артикул, марка, произв.])*($D102=М[Хар-ка])*($L102=М[Прим.])),0))</f>
        <v>0</v>
      </c>
      <c r="K102" s="58">
        <f>ROUND($I$102*$J$102,2)</f>
        <v>0</v>
      </c>
      <c r="L102" s="25"/>
      <c r="M102" s="25">
        <f t="array" ref="M102">INDEX(М[Форма закупа],MATCH(1,IF(($B102=М[Наим.])*($C102=М[Артикул, марка, произв.])*($D102=М[Хар-ка])*($L102=М[Прим.]),{1},($B102=М[Наим.])*($C102=М[Артикул, марка, произв.])*($D102=М[Хар-ка])*($L102=М[Прим.])),0))</f>
        <v>0</v>
      </c>
    </row>
    <row r="103" spans="1:13" outlineLevel="4" x14ac:dyDescent="0.2">
      <c r="A103" s="20"/>
      <c r="B103" s="14" t="s">
        <v>23</v>
      </c>
      <c r="C103" s="21"/>
      <c r="D103" s="21"/>
      <c r="E103" s="21"/>
      <c r="F103" s="21"/>
      <c r="G103" s="21"/>
      <c r="H103" s="21"/>
      <c r="I103" s="21"/>
      <c r="J103" s="56"/>
      <c r="K103" s="57">
        <f>SUM($K$104)</f>
        <v>0</v>
      </c>
      <c r="L103" s="18"/>
      <c r="M103" s="22"/>
    </row>
    <row r="104" spans="1:13" outlineLevel="4" x14ac:dyDescent="0.2">
      <c r="A104" s="23"/>
      <c r="B104" s="24" t="s">
        <v>39</v>
      </c>
      <c r="C104" s="25"/>
      <c r="D104" s="25"/>
      <c r="E104" s="26" t="s">
        <v>40</v>
      </c>
      <c r="F104" s="27"/>
      <c r="G104" s="28">
        <v>18</v>
      </c>
      <c r="H104" s="28">
        <v>26</v>
      </c>
      <c r="I104" s="28">
        <f>SUM($G$104:$H$104)</f>
        <v>44</v>
      </c>
      <c r="J104" s="58">
        <f t="array" ref="J104">INDEX(Р[Цена за ед., руб],MATCH(1,IF(($B104=Р[Наименование])*($L104=Р[Примечание]),{1},($B104=Р[Наименование])*($L104=Р[Примечание])),0))</f>
        <v>0</v>
      </c>
      <c r="K104" s="58">
        <f>ROUND($I$104*$J$104,2)</f>
        <v>0</v>
      </c>
      <c r="L104" s="25"/>
      <c r="M104" s="25"/>
    </row>
    <row r="105" spans="1:13" outlineLevel="4" x14ac:dyDescent="0.2">
      <c r="A105" s="20"/>
      <c r="B105" s="14" t="s">
        <v>29</v>
      </c>
      <c r="C105" s="21"/>
      <c r="D105" s="21"/>
      <c r="E105" s="21"/>
      <c r="F105" s="21"/>
      <c r="G105" s="21"/>
      <c r="H105" s="21"/>
      <c r="I105" s="21"/>
      <c r="J105" s="56"/>
      <c r="K105" s="57">
        <f>SUM($K$106)</f>
        <v>0</v>
      </c>
      <c r="L105" s="18"/>
      <c r="M105" s="22"/>
    </row>
    <row r="106" spans="1:13" ht="22.5" outlineLevel="4" x14ac:dyDescent="0.2">
      <c r="A106" s="23" t="s">
        <v>30</v>
      </c>
      <c r="B106" s="24" t="s">
        <v>41</v>
      </c>
      <c r="C106" s="25"/>
      <c r="D106" s="25" t="s">
        <v>42</v>
      </c>
      <c r="E106" s="26" t="s">
        <v>40</v>
      </c>
      <c r="F106" s="27"/>
      <c r="G106" s="28">
        <v>18</v>
      </c>
      <c r="H106" s="28">
        <v>26</v>
      </c>
      <c r="I106" s="28">
        <f>SUM($G$106:$H$106)</f>
        <v>44</v>
      </c>
      <c r="J106" s="58">
        <f t="array" ref="J106">INDEX(М[Цена за ед., руб],MATCH(1,IF(($B106=М[Наим.])*($C106=М[Артикул, марка, произв.])*($D106=М[Хар-ка])*($L106=М[Прим.]),{1},($B106=М[Наим.])*($C106=М[Артикул, марка, произв.])*($D106=М[Хар-ка])*($L106=М[Прим.])),0))</f>
        <v>0</v>
      </c>
      <c r="K106" s="58">
        <f>ROUND($I$106*$J$106,2)</f>
        <v>0</v>
      </c>
      <c r="L106" s="25"/>
      <c r="M106" s="25">
        <f t="array" ref="M106">INDEX(М[Форма закупа],MATCH(1,IF(($B106=М[Наим.])*($C106=М[Артикул, марка, произв.])*($D106=М[Хар-ка])*($L106=М[Прим.]),{1},($B106=М[Наим.])*($C106=М[Артикул, марка, произв.])*($D106=М[Хар-ка])*($L106=М[Прим.])),0))</f>
        <v>0</v>
      </c>
    </row>
    <row r="107" spans="1:13" outlineLevel="4" x14ac:dyDescent="0.2">
      <c r="A107" s="20"/>
      <c r="B107" s="14" t="s">
        <v>23</v>
      </c>
      <c r="C107" s="21"/>
      <c r="D107" s="21"/>
      <c r="E107" s="21"/>
      <c r="F107" s="21"/>
      <c r="G107" s="21"/>
      <c r="H107" s="21"/>
      <c r="I107" s="21"/>
      <c r="J107" s="56"/>
      <c r="K107" s="57">
        <f>SUM($K$108)</f>
        <v>0</v>
      </c>
      <c r="L107" s="18"/>
      <c r="M107" s="22"/>
    </row>
    <row r="108" spans="1:13" outlineLevel="4" x14ac:dyDescent="0.2">
      <c r="A108" s="23"/>
      <c r="B108" s="24" t="s">
        <v>48</v>
      </c>
      <c r="C108" s="25"/>
      <c r="D108" s="25"/>
      <c r="E108" s="26" t="s">
        <v>25</v>
      </c>
      <c r="F108" s="27"/>
      <c r="G108" s="28">
        <v>5</v>
      </c>
      <c r="H108" s="28">
        <v>10</v>
      </c>
      <c r="I108" s="28">
        <f>SUM($G$108:$H$108)</f>
        <v>15</v>
      </c>
      <c r="J108" s="58">
        <f t="array" ref="J108">INDEX(Р[Цена за ед., руб],MATCH(1,IF(($B108=Р[Наименование])*($L108=Р[Примечание]),{1},($B108=Р[Наименование])*($L108=Р[Примечание])),0))</f>
        <v>0</v>
      </c>
      <c r="K108" s="58">
        <f>ROUND($I$108*$J$108,2)</f>
        <v>0</v>
      </c>
      <c r="L108" s="25"/>
      <c r="M108" s="25"/>
    </row>
    <row r="109" spans="1:13" outlineLevel="4" x14ac:dyDescent="0.2">
      <c r="A109" s="20"/>
      <c r="B109" s="14" t="s">
        <v>29</v>
      </c>
      <c r="C109" s="21"/>
      <c r="D109" s="21"/>
      <c r="E109" s="21"/>
      <c r="F109" s="21"/>
      <c r="G109" s="21"/>
      <c r="H109" s="21"/>
      <c r="I109" s="21"/>
      <c r="J109" s="56"/>
      <c r="K109" s="57">
        <f>SUM($K$110)</f>
        <v>0</v>
      </c>
      <c r="L109" s="18"/>
      <c r="M109" s="22"/>
    </row>
    <row r="110" spans="1:13" ht="22.5" outlineLevel="4" x14ac:dyDescent="0.2">
      <c r="A110" s="23" t="s">
        <v>30</v>
      </c>
      <c r="B110" s="24" t="s">
        <v>49</v>
      </c>
      <c r="C110" s="25"/>
      <c r="D110" s="25" t="s">
        <v>98</v>
      </c>
      <c r="E110" s="26" t="s">
        <v>25</v>
      </c>
      <c r="F110" s="27"/>
      <c r="G110" s="28">
        <v>5</v>
      </c>
      <c r="H110" s="28">
        <v>10</v>
      </c>
      <c r="I110" s="28">
        <f>SUM($G$110:$H$110)</f>
        <v>15</v>
      </c>
      <c r="J110" s="58">
        <f t="array" ref="J110">INDEX(М[Цена за ед., руб],MATCH(1,IF(($B110=М[Наим.])*($C110=М[Артикул, марка, произв.])*($D110=М[Хар-ка])*($L110=М[Прим.]),{1},($B110=М[Наим.])*($C110=М[Артикул, марка, произв.])*($D110=М[Хар-ка])*($L110=М[Прим.])),0))</f>
        <v>0</v>
      </c>
      <c r="K110" s="58">
        <f>ROUND($I$110*$J$110,2)</f>
        <v>0</v>
      </c>
      <c r="L110" s="25"/>
      <c r="M110" s="25">
        <f t="array" ref="M110">INDEX(М[Форма закупа],MATCH(1,IF(($B110=М[Наим.])*($C110=М[Артикул, марка, произв.])*($D110=М[Хар-ка])*($L110=М[Прим.]),{1},($B110=М[Наим.])*($C110=М[Артикул, марка, произв.])*($D110=М[Хар-ка])*($L110=М[Прим.])),0))</f>
        <v>0</v>
      </c>
    </row>
    <row r="111" spans="1:13" outlineLevel="4" x14ac:dyDescent="0.2">
      <c r="A111" s="20"/>
      <c r="B111" s="14" t="s">
        <v>23</v>
      </c>
      <c r="C111" s="21"/>
      <c r="D111" s="21"/>
      <c r="E111" s="21"/>
      <c r="F111" s="21"/>
      <c r="G111" s="21"/>
      <c r="H111" s="21"/>
      <c r="I111" s="21"/>
      <c r="J111" s="56"/>
      <c r="K111" s="57">
        <f>SUM($K$112)</f>
        <v>0</v>
      </c>
      <c r="L111" s="18"/>
      <c r="M111" s="22"/>
    </row>
    <row r="112" spans="1:13" outlineLevel="4" x14ac:dyDescent="0.2">
      <c r="A112" s="23"/>
      <c r="B112" s="24" t="s">
        <v>54</v>
      </c>
      <c r="C112" s="25"/>
      <c r="D112" s="25"/>
      <c r="E112" s="26" t="s">
        <v>25</v>
      </c>
      <c r="F112" s="27"/>
      <c r="G112" s="28">
        <v>70</v>
      </c>
      <c r="H112" s="28">
        <v>160</v>
      </c>
      <c r="I112" s="28">
        <f>SUM($G$112:$H$112)</f>
        <v>230</v>
      </c>
      <c r="J112" s="58">
        <f t="array" ref="J112">INDEX(Р[Цена за ед., руб],MATCH(1,IF(($B112=Р[Наименование])*($L112=Р[Примечание]),{1},($B112=Р[Наименование])*($L112=Р[Примечание])),0))</f>
        <v>0</v>
      </c>
      <c r="K112" s="58">
        <f>ROUND($I$112*$J$112,2)</f>
        <v>0</v>
      </c>
      <c r="L112" s="25"/>
      <c r="M112" s="25"/>
    </row>
    <row r="113" spans="1:13" outlineLevel="4" x14ac:dyDescent="0.2">
      <c r="A113" s="20"/>
      <c r="B113" s="14" t="s">
        <v>29</v>
      </c>
      <c r="C113" s="21"/>
      <c r="D113" s="21"/>
      <c r="E113" s="21"/>
      <c r="F113" s="21"/>
      <c r="G113" s="21"/>
      <c r="H113" s="21"/>
      <c r="I113" s="21"/>
      <c r="J113" s="56"/>
      <c r="K113" s="57">
        <f>SUM($K$114)</f>
        <v>0</v>
      </c>
      <c r="L113" s="18"/>
      <c r="M113" s="22"/>
    </row>
    <row r="114" spans="1:13" outlineLevel="4" x14ac:dyDescent="0.2">
      <c r="A114" s="23" t="s">
        <v>30</v>
      </c>
      <c r="B114" s="24" t="s">
        <v>55</v>
      </c>
      <c r="C114" s="25"/>
      <c r="D114" s="25" t="s">
        <v>99</v>
      </c>
      <c r="E114" s="26" t="s">
        <v>25</v>
      </c>
      <c r="F114" s="27"/>
      <c r="G114" s="28">
        <v>70</v>
      </c>
      <c r="H114" s="28">
        <v>160</v>
      </c>
      <c r="I114" s="28">
        <f>SUM($G$114:$H$114)</f>
        <v>230</v>
      </c>
      <c r="J114" s="58">
        <f t="array" ref="J114">INDEX(М[Цена за ед., руб],MATCH(1,IF(($B114=М[Наим.])*($C114=М[Артикул, марка, произв.])*($D114=М[Хар-ка])*($L114=М[Прим.]),{1},($B114=М[Наим.])*($C114=М[Артикул, марка, произв.])*($D114=М[Хар-ка])*($L114=М[Прим.])),0))</f>
        <v>0</v>
      </c>
      <c r="K114" s="58">
        <f>ROUND($I$114*$J$114,2)</f>
        <v>0</v>
      </c>
      <c r="L114" s="25"/>
      <c r="M114" s="25">
        <f t="array" ref="M114">INDEX(М[Форма закупа],MATCH(1,IF(($B114=М[Наим.])*($C114=М[Артикул, марка, произв.])*($D114=М[Хар-ка])*($L114=М[Прим.]),{1},($B114=М[Наим.])*($C114=М[Артикул, марка, произв.])*($D114=М[Хар-ка])*($L114=М[Прим.])),0))</f>
        <v>0</v>
      </c>
    </row>
    <row r="115" spans="1:13" outlineLevel="4" x14ac:dyDescent="0.2">
      <c r="A115" s="20"/>
      <c r="B115" s="14" t="s">
        <v>23</v>
      </c>
      <c r="C115" s="21"/>
      <c r="D115" s="21"/>
      <c r="E115" s="21"/>
      <c r="F115" s="21"/>
      <c r="G115" s="21"/>
      <c r="H115" s="21"/>
      <c r="I115" s="21"/>
      <c r="J115" s="56"/>
      <c r="K115" s="57">
        <f>SUM($K$116)</f>
        <v>0</v>
      </c>
      <c r="L115" s="18"/>
      <c r="M115" s="22"/>
    </row>
    <row r="116" spans="1:13" outlineLevel="4" x14ac:dyDescent="0.2">
      <c r="A116" s="23"/>
      <c r="B116" s="24" t="s">
        <v>100</v>
      </c>
      <c r="C116" s="25"/>
      <c r="D116" s="25"/>
      <c r="E116" s="26" t="s">
        <v>25</v>
      </c>
      <c r="F116" s="27"/>
      <c r="G116" s="28">
        <v>180</v>
      </c>
      <c r="H116" s="28">
        <v>180</v>
      </c>
      <c r="I116" s="28">
        <f>SUM($G$116:$H$116)</f>
        <v>360</v>
      </c>
      <c r="J116" s="58">
        <f t="array" ref="J116">INDEX(Р[Цена за ед., руб],MATCH(1,IF(($B116=Р[Наименование])*($L116=Р[Примечание]),{1},($B116=Р[Наименование])*($L116=Р[Примечание])),0))</f>
        <v>0</v>
      </c>
      <c r="K116" s="58">
        <f>ROUND($I$116*$J$116,2)</f>
        <v>0</v>
      </c>
      <c r="L116" s="25"/>
      <c r="M116" s="25"/>
    </row>
    <row r="117" spans="1:13" outlineLevel="4" x14ac:dyDescent="0.2">
      <c r="A117" s="20"/>
      <c r="B117" s="14" t="s">
        <v>23</v>
      </c>
      <c r="C117" s="21"/>
      <c r="D117" s="21"/>
      <c r="E117" s="21"/>
      <c r="F117" s="21"/>
      <c r="G117" s="21"/>
      <c r="H117" s="21"/>
      <c r="I117" s="21"/>
      <c r="J117" s="56"/>
      <c r="K117" s="57">
        <f>SUM($K$118)</f>
        <v>0</v>
      </c>
      <c r="L117" s="18"/>
      <c r="M117" s="22"/>
    </row>
    <row r="118" spans="1:13" outlineLevel="4" x14ac:dyDescent="0.2">
      <c r="A118" s="23"/>
      <c r="B118" s="24" t="s">
        <v>70</v>
      </c>
      <c r="C118" s="25"/>
      <c r="D118" s="25"/>
      <c r="E118" s="26" t="s">
        <v>28</v>
      </c>
      <c r="F118" s="27"/>
      <c r="G118" s="28">
        <v>265</v>
      </c>
      <c r="H118" s="28">
        <v>545</v>
      </c>
      <c r="I118" s="28">
        <f>SUM($G$118:$H$118)</f>
        <v>810</v>
      </c>
      <c r="J118" s="58">
        <f t="array" ref="J118">INDEX(Р[Цена за ед., руб],MATCH(1,IF(($B118=Р[Наименование])*($L118=Р[Примечание]),{1},($B118=Р[Наименование])*($L118=Р[Примечание])),0))</f>
        <v>0</v>
      </c>
      <c r="K118" s="58">
        <f>ROUND($I$118*$J$118,2)</f>
        <v>0</v>
      </c>
      <c r="L118" s="25"/>
      <c r="M118" s="25"/>
    </row>
    <row r="119" spans="1:13" outlineLevel="4" x14ac:dyDescent="0.2">
      <c r="A119" s="20"/>
      <c r="B119" s="14" t="s">
        <v>29</v>
      </c>
      <c r="C119" s="21"/>
      <c r="D119" s="21"/>
      <c r="E119" s="21"/>
      <c r="F119" s="21"/>
      <c r="G119" s="21"/>
      <c r="H119" s="21"/>
      <c r="I119" s="21"/>
      <c r="J119" s="56"/>
      <c r="K119" s="57">
        <f>SUM($K$120:$K$121)</f>
        <v>0</v>
      </c>
      <c r="L119" s="18"/>
      <c r="M119" s="22"/>
    </row>
    <row r="120" spans="1:13" ht="45" outlineLevel="4" x14ac:dyDescent="0.2">
      <c r="A120" s="64" t="s">
        <v>30</v>
      </c>
      <c r="B120" s="24" t="s">
        <v>71</v>
      </c>
      <c r="C120" s="25"/>
      <c r="D120" s="25" t="s">
        <v>101</v>
      </c>
      <c r="E120" s="26" t="s">
        <v>33</v>
      </c>
      <c r="F120" s="27"/>
      <c r="G120" s="28">
        <v>10</v>
      </c>
      <c r="H120" s="28">
        <v>20</v>
      </c>
      <c r="I120" s="28">
        <f>SUM($G$120:$H$120)</f>
        <v>30</v>
      </c>
      <c r="J120" s="58">
        <f t="array" ref="J120">INDEX(М[Цена за ед., руб],MATCH(1,IF(($B120=М[Наим.])*($C120=М[Артикул, марка, произв.])*($D120=М[Хар-ка])*($L120=М[Прим.]),{1},($B120=М[Наим.])*($C120=М[Артикул, марка, произв.])*($D120=М[Хар-ка])*($L120=М[Прим.])),0))</f>
        <v>0</v>
      </c>
      <c r="K120" s="58">
        <f>ROUND($I$120*$J$120,2)</f>
        <v>0</v>
      </c>
      <c r="L120" s="25"/>
      <c r="M120" s="25">
        <f t="array" ref="M120">INDEX(М[Форма закупа],MATCH(1,IF(($B120=М[Наим.])*($C120=М[Артикул, марка, произв.])*($D120=М[Хар-ка])*($L120=М[Прим.]),{1},($B120=М[Наим.])*($C120=М[Артикул, марка, произв.])*($D120=М[Хар-ка])*($L120=М[Прим.])),0))</f>
        <v>0</v>
      </c>
    </row>
    <row r="121" spans="1:13" ht="45" outlineLevel="4" x14ac:dyDescent="0.2">
      <c r="A121" s="64" t="s">
        <v>34</v>
      </c>
      <c r="B121" s="24" t="s">
        <v>71</v>
      </c>
      <c r="C121" s="25"/>
      <c r="D121" s="25" t="s">
        <v>102</v>
      </c>
      <c r="E121" s="26" t="s">
        <v>33</v>
      </c>
      <c r="F121" s="27"/>
      <c r="G121" s="28">
        <v>255</v>
      </c>
      <c r="H121" s="28">
        <v>525</v>
      </c>
      <c r="I121" s="28">
        <f>SUM($G$121:$H$121)</f>
        <v>780</v>
      </c>
      <c r="J121" s="58">
        <f t="array" ref="J121">INDEX(М[Цена за ед., руб],MATCH(1,IF(($B121=М[Наим.])*($C121=М[Артикул, марка, произв.])*($D121=М[Хар-ка])*($L121=М[Прим.]),{1},($B121=М[Наим.])*($C121=М[Артикул, марка, произв.])*($D121=М[Хар-ка])*($L121=М[Прим.])),0))</f>
        <v>0</v>
      </c>
      <c r="K121" s="58">
        <f>ROUND($I$121*$J$121,2)</f>
        <v>0</v>
      </c>
      <c r="L121" s="25"/>
      <c r="M121" s="25">
        <f t="array" ref="M121">INDEX(М[Форма закупа],MATCH(1,IF(($B121=М[Наим.])*($C121=М[Артикул, марка, произв.])*($D121=М[Хар-ка])*($L121=М[Прим.]),{1},($B121=М[Наим.])*($C121=М[Артикул, марка, произв.])*($D121=М[Хар-ка])*($L121=М[Прим.])),0))</f>
        <v>0</v>
      </c>
    </row>
    <row r="122" spans="1:13" outlineLevel="4" x14ac:dyDescent="0.2">
      <c r="A122" s="20"/>
      <c r="B122" s="14" t="s">
        <v>23</v>
      </c>
      <c r="C122" s="21"/>
      <c r="D122" s="21"/>
      <c r="E122" s="21"/>
      <c r="F122" s="21"/>
      <c r="G122" s="21"/>
      <c r="H122" s="21"/>
      <c r="I122" s="21"/>
      <c r="J122" s="56"/>
      <c r="K122" s="57">
        <f>SUM($K$123)</f>
        <v>0</v>
      </c>
      <c r="L122" s="18"/>
      <c r="M122" s="22"/>
    </row>
    <row r="123" spans="1:13" outlineLevel="4" x14ac:dyDescent="0.2">
      <c r="A123" s="23"/>
      <c r="B123" s="24" t="s">
        <v>103</v>
      </c>
      <c r="C123" s="25"/>
      <c r="D123" s="25"/>
      <c r="E123" s="26" t="s">
        <v>28</v>
      </c>
      <c r="F123" s="27"/>
      <c r="G123" s="28">
        <v>910</v>
      </c>
      <c r="H123" s="30">
        <v>1974</v>
      </c>
      <c r="I123" s="30">
        <f>SUM($G$123:$H$123)</f>
        <v>2884</v>
      </c>
      <c r="J123" s="58">
        <f t="array" ref="J123">INDEX(Р[Цена за ед., руб],MATCH(1,IF(($B123=Р[Наименование])*($L123=Р[Примечание]),{1},($B123=Р[Наименование])*($L123=Р[Примечание])),0))</f>
        <v>0</v>
      </c>
      <c r="K123" s="58">
        <f>ROUND($I$123*$J$123,2)</f>
        <v>0</v>
      </c>
      <c r="L123" s="25"/>
      <c r="M123" s="25"/>
    </row>
    <row r="124" spans="1:13" outlineLevel="4" x14ac:dyDescent="0.2">
      <c r="A124" s="20"/>
      <c r="B124" s="14" t="s">
        <v>29</v>
      </c>
      <c r="C124" s="21"/>
      <c r="D124" s="21"/>
      <c r="E124" s="21"/>
      <c r="F124" s="21"/>
      <c r="G124" s="21"/>
      <c r="H124" s="21"/>
      <c r="I124" s="21"/>
      <c r="J124" s="56"/>
      <c r="K124" s="57">
        <f>SUM($K$125)</f>
        <v>0</v>
      </c>
      <c r="L124" s="18"/>
      <c r="M124" s="22"/>
    </row>
    <row r="125" spans="1:13" ht="22.5" outlineLevel="4" x14ac:dyDescent="0.2">
      <c r="A125" s="64" t="s">
        <v>30</v>
      </c>
      <c r="B125" s="24" t="s">
        <v>104</v>
      </c>
      <c r="C125" s="25" t="s">
        <v>105</v>
      </c>
      <c r="D125" s="25" t="s">
        <v>106</v>
      </c>
      <c r="E125" s="26" t="s">
        <v>33</v>
      </c>
      <c r="F125" s="27"/>
      <c r="G125" s="28">
        <v>910</v>
      </c>
      <c r="H125" s="30">
        <v>1974</v>
      </c>
      <c r="I125" s="30">
        <f>SUM($G$125:$H$125)</f>
        <v>2884</v>
      </c>
      <c r="J125" s="58">
        <f t="array" ref="J125">INDEX(М[Цена за ед., руб],MATCH(1,IF(($B125=М[Наим.])*($C125=М[Артикул, марка, произв.])*($D125=М[Хар-ка])*($L125=М[Прим.]),{1},($B125=М[Наим.])*($C125=М[Артикул, марка, произв.])*($D125=М[Хар-ка])*($L125=М[Прим.])),0))</f>
        <v>0</v>
      </c>
      <c r="K125" s="58">
        <f>ROUND($I$125*$J$125,2)</f>
        <v>0</v>
      </c>
      <c r="L125" s="25"/>
      <c r="M125" s="25">
        <f t="array" ref="M125">INDEX(М[Форма закупа],MATCH(1,IF(($B125=М[Наим.])*($C125=М[Артикул, марка, произв.])*($D125=М[Хар-ка])*($L125=М[Прим.]),{1},($B125=М[Наим.])*($C125=М[Артикул, марка, произв.])*($D125=М[Хар-ка])*($L125=М[Прим.])),0))</f>
        <v>0</v>
      </c>
    </row>
    <row r="126" spans="1:13" outlineLevel="2" x14ac:dyDescent="0.2">
      <c r="A126" s="13" t="s">
        <v>107</v>
      </c>
      <c r="B126" s="14" t="s">
        <v>108</v>
      </c>
      <c r="C126" s="15"/>
      <c r="D126" s="15"/>
      <c r="E126" s="16"/>
      <c r="F126" s="17"/>
      <c r="G126" s="18"/>
      <c r="H126" s="18"/>
      <c r="I126" s="18"/>
      <c r="J126" s="55"/>
      <c r="K126" s="55">
        <f>SUM($K$127)</f>
        <v>0</v>
      </c>
      <c r="L126" s="19"/>
      <c r="M126" s="19"/>
    </row>
    <row r="127" spans="1:13" outlineLevel="3" x14ac:dyDescent="0.2">
      <c r="A127" s="13" t="s">
        <v>109</v>
      </c>
      <c r="B127" s="14" t="s">
        <v>108</v>
      </c>
      <c r="C127" s="15"/>
      <c r="D127" s="15"/>
      <c r="E127" s="16"/>
      <c r="F127" s="17"/>
      <c r="G127" s="18"/>
      <c r="H127" s="18"/>
      <c r="I127" s="18"/>
      <c r="J127" s="55"/>
      <c r="K127" s="55">
        <f>SUM($K$146,$K$144,$K$142,$K$140,$K$138,$K$136,$K$134,$K$132,K130,K128)</f>
        <v>0</v>
      </c>
      <c r="L127" s="19"/>
      <c r="M127" s="19"/>
    </row>
    <row r="128" spans="1:13" outlineLevel="3" x14ac:dyDescent="0.2">
      <c r="A128" s="20"/>
      <c r="B128" s="14" t="s">
        <v>23</v>
      </c>
      <c r="C128" s="21"/>
      <c r="D128" s="21"/>
      <c r="E128" s="16"/>
      <c r="F128" s="17"/>
      <c r="G128" s="18"/>
      <c r="H128" s="18"/>
      <c r="I128" s="18"/>
      <c r="J128" s="55"/>
      <c r="K128" s="96">
        <f>K129</f>
        <v>0</v>
      </c>
      <c r="L128" s="19"/>
      <c r="M128" s="19"/>
    </row>
    <row r="129" spans="1:13" outlineLevel="4" x14ac:dyDescent="0.2">
      <c r="A129" s="23"/>
      <c r="B129" s="24" t="s">
        <v>27</v>
      </c>
      <c r="C129" s="25"/>
      <c r="D129" s="25"/>
      <c r="E129" s="26" t="s">
        <v>28</v>
      </c>
      <c r="F129" s="27"/>
      <c r="G129" s="28">
        <v>55</v>
      </c>
      <c r="H129" s="28">
        <v>40</v>
      </c>
      <c r="I129" s="28">
        <f>SUM(G129:H129)</f>
        <v>95</v>
      </c>
      <c r="J129" s="58">
        <f t="array" ref="J129">INDEX(Р[Цена за ед., руб],MATCH(1,IF(($B129=Р[Наименование])*($L129=Р[Примечание]),{1},($B129=Р[Наименование])*($L129=Р[Примечание])),0))</f>
        <v>0</v>
      </c>
      <c r="K129" s="58">
        <f>I129*J129</f>
        <v>0</v>
      </c>
      <c r="L129" s="25"/>
      <c r="M129" s="25"/>
    </row>
    <row r="130" spans="1:13" outlineLevel="3" x14ac:dyDescent="0.2">
      <c r="A130" s="20"/>
      <c r="B130" s="14" t="s">
        <v>29</v>
      </c>
      <c r="C130" s="21"/>
      <c r="D130" s="21"/>
      <c r="E130" s="21"/>
      <c r="F130" s="17"/>
      <c r="G130" s="18"/>
      <c r="H130" s="18"/>
      <c r="I130" s="18"/>
      <c r="J130" s="55"/>
      <c r="K130" s="96">
        <f>K131</f>
        <v>0</v>
      </c>
      <c r="L130" s="19"/>
      <c r="M130" s="19"/>
    </row>
    <row r="131" spans="1:13" ht="33.75" outlineLevel="4" x14ac:dyDescent="0.2">
      <c r="A131" s="23" t="s">
        <v>30</v>
      </c>
      <c r="B131" s="24" t="s">
        <v>81</v>
      </c>
      <c r="C131" s="25" t="s">
        <v>95</v>
      </c>
      <c r="D131" s="67" t="s">
        <v>96</v>
      </c>
      <c r="E131" s="26" t="s">
        <v>33</v>
      </c>
      <c r="F131" s="29">
        <v>1</v>
      </c>
      <c r="G131" s="28">
        <v>55</v>
      </c>
      <c r="H131" s="28">
        <v>40</v>
      </c>
      <c r="I131" s="28">
        <f>SUM(G131:H131)</f>
        <v>95</v>
      </c>
      <c r="J131" s="58">
        <f t="array" ref="J131">INDEX(М[Цена за ед., руб],MATCH(1,IF(($B131=М[Наим.])*($C131=М[Артикул, марка, произв.])*($D131=М[Хар-ка])*($L131=М[Прим.]),{1},($B131=М[Наим.])*($C131=М[Артикул, марка, произв.])*($D131=М[Хар-ка])*($L131=М[Прим.])),0))</f>
        <v>0</v>
      </c>
      <c r="K131" s="58">
        <f>I131*J131</f>
        <v>0</v>
      </c>
      <c r="L131" s="25"/>
      <c r="M131" s="25">
        <f t="array" ref="M131">INDEX(М[Форма закупа],MATCH(1,IF(($B131=М[Наим.])*($C131=М[Артикул, марка, произв.])*($D131=М[Хар-ка])*($L131=М[Прим.]),{1},($B131=М[Наим.])*($C131=М[Артикул, марка, произв.])*($D131=М[Хар-ка])*($L131=М[Прим.])),0))</f>
        <v>0</v>
      </c>
    </row>
    <row r="132" spans="1:13" outlineLevel="4" x14ac:dyDescent="0.2">
      <c r="A132" s="20"/>
      <c r="B132" s="14" t="s">
        <v>23</v>
      </c>
      <c r="C132" s="21"/>
      <c r="D132" s="21"/>
      <c r="E132" s="21"/>
      <c r="F132" s="21"/>
      <c r="G132" s="21"/>
      <c r="H132" s="21"/>
      <c r="I132" s="21"/>
      <c r="J132" s="56"/>
      <c r="K132" s="57">
        <f>SUM($K$133)</f>
        <v>0</v>
      </c>
      <c r="L132" s="18"/>
      <c r="M132" s="22"/>
    </row>
    <row r="133" spans="1:13" outlineLevel="4" x14ac:dyDescent="0.2">
      <c r="A133" s="23"/>
      <c r="B133" s="24" t="s">
        <v>110</v>
      </c>
      <c r="C133" s="25"/>
      <c r="D133" s="25"/>
      <c r="E133" s="26" t="s">
        <v>25</v>
      </c>
      <c r="F133" s="27"/>
      <c r="G133" s="28">
        <v>6</v>
      </c>
      <c r="H133" s="28">
        <v>5</v>
      </c>
      <c r="I133" s="28">
        <f>SUM($G$133:$H$133)</f>
        <v>11</v>
      </c>
      <c r="J133" s="58">
        <f t="array" ref="J133">INDEX(Р[Цена за ед., руб],MATCH(1,IF(($B133=Р[Наименование])*($L133=Р[Примечание]),{1},($B133=Р[Наименование])*($L133=Р[Примечание])),0))</f>
        <v>0</v>
      </c>
      <c r="K133" s="58">
        <f>ROUND($I$133*$J$133,2)</f>
        <v>0</v>
      </c>
      <c r="L133" s="25"/>
      <c r="M133" s="25"/>
    </row>
    <row r="134" spans="1:13" outlineLevel="4" x14ac:dyDescent="0.2">
      <c r="A134" s="20"/>
      <c r="B134" s="14" t="s">
        <v>29</v>
      </c>
      <c r="C134" s="21"/>
      <c r="D134" s="21"/>
      <c r="E134" s="21"/>
      <c r="F134" s="21"/>
      <c r="G134" s="21"/>
      <c r="H134" s="21"/>
      <c r="I134" s="21"/>
      <c r="J134" s="56"/>
      <c r="K134" s="57">
        <f>SUM($K$135)</f>
        <v>0</v>
      </c>
      <c r="L134" s="18"/>
      <c r="M134" s="22"/>
    </row>
    <row r="135" spans="1:13" outlineLevel="4" x14ac:dyDescent="0.2">
      <c r="A135" s="23" t="s">
        <v>30</v>
      </c>
      <c r="B135" s="24" t="s">
        <v>111</v>
      </c>
      <c r="C135" s="25"/>
      <c r="D135" s="25" t="s">
        <v>112</v>
      </c>
      <c r="E135" s="26" t="s">
        <v>25</v>
      </c>
      <c r="F135" s="27"/>
      <c r="G135" s="28">
        <v>6</v>
      </c>
      <c r="H135" s="28">
        <v>5</v>
      </c>
      <c r="I135" s="28">
        <f>SUM($G$135:$H$135)</f>
        <v>11</v>
      </c>
      <c r="J135" s="58">
        <f t="array" ref="J135">INDEX(М[Цена за ед., руб],MATCH(1,IF(($B135=М[Наим.])*($C135=М[Артикул, марка, произв.])*($D135=М[Хар-ка])*($L135=М[Прим.]),{1},($B135=М[Наим.])*($C135=М[Артикул, марка, произв.])*($D135=М[Хар-ка])*($L135=М[Прим.])),0))</f>
        <v>0</v>
      </c>
      <c r="K135" s="58">
        <f>ROUND($I$135*$J$135,2)</f>
        <v>0</v>
      </c>
      <c r="L135" s="25"/>
      <c r="M135" s="25">
        <f t="array" ref="M135">INDEX(М[Форма закупа],MATCH(1,IF(($B135=М[Наим.])*($C135=М[Артикул, марка, произв.])*($D135=М[Хар-ка])*($L135=М[Прим.]),{1},($B135=М[Наим.])*($C135=М[Артикул, марка, произв.])*($D135=М[Хар-ка])*($L135=М[Прим.])),0))</f>
        <v>0</v>
      </c>
    </row>
    <row r="136" spans="1:13" outlineLevel="4" x14ac:dyDescent="0.2">
      <c r="A136" s="20"/>
      <c r="B136" s="14" t="s">
        <v>23</v>
      </c>
      <c r="C136" s="21"/>
      <c r="D136" s="21"/>
      <c r="E136" s="21"/>
      <c r="F136" s="21"/>
      <c r="G136" s="21"/>
      <c r="H136" s="21"/>
      <c r="I136" s="21"/>
      <c r="J136" s="56"/>
      <c r="K136" s="57">
        <f>SUM($K$137)</f>
        <v>0</v>
      </c>
      <c r="L136" s="18"/>
      <c r="M136" s="22"/>
    </row>
    <row r="137" spans="1:13" outlineLevel="4" x14ac:dyDescent="0.2">
      <c r="A137" s="23"/>
      <c r="B137" s="24" t="s">
        <v>113</v>
      </c>
      <c r="C137" s="25"/>
      <c r="D137" s="25"/>
      <c r="E137" s="26" t="s">
        <v>25</v>
      </c>
      <c r="F137" s="27"/>
      <c r="G137" s="28">
        <v>6</v>
      </c>
      <c r="H137" s="28">
        <v>5</v>
      </c>
      <c r="I137" s="28">
        <f>SUM($G$137:$H$137)</f>
        <v>11</v>
      </c>
      <c r="J137" s="58">
        <f t="array" ref="J137">INDEX(Р[Цена за ед., руб],MATCH(1,IF(($B137=Р[Наименование])*($L137=Р[Примечание]),{1},($B137=Р[Наименование])*($L137=Р[Примечание])),0))</f>
        <v>0</v>
      </c>
      <c r="K137" s="58">
        <f>ROUND($I$137*$J$137,2)</f>
        <v>0</v>
      </c>
      <c r="L137" s="25"/>
      <c r="M137" s="25"/>
    </row>
    <row r="138" spans="1:13" outlineLevel="4" x14ac:dyDescent="0.2">
      <c r="A138" s="20"/>
      <c r="B138" s="14" t="s">
        <v>29</v>
      </c>
      <c r="C138" s="21"/>
      <c r="D138" s="21"/>
      <c r="E138" s="21"/>
      <c r="F138" s="21"/>
      <c r="G138" s="21"/>
      <c r="H138" s="21"/>
      <c r="I138" s="21"/>
      <c r="J138" s="56"/>
      <c r="K138" s="57">
        <f>SUM($K$139)</f>
        <v>0</v>
      </c>
      <c r="L138" s="18"/>
      <c r="M138" s="22"/>
    </row>
    <row r="139" spans="1:13" ht="22.5" outlineLevel="4" x14ac:dyDescent="0.2">
      <c r="A139" s="23" t="s">
        <v>30</v>
      </c>
      <c r="B139" s="24" t="s">
        <v>45</v>
      </c>
      <c r="C139" s="25" t="s">
        <v>46</v>
      </c>
      <c r="D139" s="25" t="s">
        <v>47</v>
      </c>
      <c r="E139" s="26" t="s">
        <v>25</v>
      </c>
      <c r="F139" s="27"/>
      <c r="G139" s="28">
        <v>6</v>
      </c>
      <c r="H139" s="28">
        <v>5</v>
      </c>
      <c r="I139" s="28">
        <f>SUM($G$139:$H$139)</f>
        <v>11</v>
      </c>
      <c r="J139" s="58">
        <f t="array" ref="J139">INDEX(М[Цена за ед., руб],MATCH(1,IF(($B139=М[Наим.])*($C139=М[Артикул, марка, произв.])*($D139=М[Хар-ка])*($L139=М[Прим.]),{1},($B139=М[Наим.])*($C139=М[Артикул, марка, произв.])*($D139=М[Хар-ка])*($L139=М[Прим.])),0))</f>
        <v>0</v>
      </c>
      <c r="K139" s="58">
        <f>ROUND($I$139*$J$139,2)</f>
        <v>0</v>
      </c>
      <c r="L139" s="25"/>
      <c r="M139" s="25">
        <f t="array" ref="M139">INDEX(М[Форма закупа],MATCH(1,IF(($B139=М[Наим.])*($C139=М[Артикул, марка, произв.])*($D139=М[Хар-ка])*($L139=М[Прим.]),{1},($B139=М[Наим.])*($C139=М[Артикул, марка, произв.])*($D139=М[Хар-ка])*($L139=М[Прим.])),0))</f>
        <v>0</v>
      </c>
    </row>
    <row r="140" spans="1:13" outlineLevel="4" x14ac:dyDescent="0.2">
      <c r="A140" s="20"/>
      <c r="B140" s="14" t="s">
        <v>23</v>
      </c>
      <c r="C140" s="21"/>
      <c r="D140" s="21"/>
      <c r="E140" s="21"/>
      <c r="F140" s="21"/>
      <c r="G140" s="21"/>
      <c r="H140" s="21"/>
      <c r="I140" s="21"/>
      <c r="J140" s="56"/>
      <c r="K140" s="57">
        <f>SUM($K$141)</f>
        <v>0</v>
      </c>
      <c r="L140" s="18"/>
      <c r="M140" s="22"/>
    </row>
    <row r="141" spans="1:13" outlineLevel="4" x14ac:dyDescent="0.2">
      <c r="A141" s="23"/>
      <c r="B141" s="24" t="s">
        <v>114</v>
      </c>
      <c r="C141" s="25"/>
      <c r="D141" s="25"/>
      <c r="E141" s="26" t="s">
        <v>25</v>
      </c>
      <c r="F141" s="27"/>
      <c r="G141" s="28">
        <v>6</v>
      </c>
      <c r="H141" s="28">
        <v>5</v>
      </c>
      <c r="I141" s="28">
        <f>SUM($G$141:$H$141)</f>
        <v>11</v>
      </c>
      <c r="J141" s="58">
        <f t="array" ref="J141">INDEX(Р[Цена за ед., руб],MATCH(1,IF(($B141=Р[Наименование])*($L141=Р[Примечание]),{1},($B141=Р[Наименование])*($L141=Р[Примечание])),0))</f>
        <v>0</v>
      </c>
      <c r="K141" s="58">
        <f>ROUND($I$141*$J$141,2)</f>
        <v>0</v>
      </c>
      <c r="L141" s="25"/>
      <c r="M141" s="25"/>
    </row>
    <row r="142" spans="1:13" outlineLevel="4" x14ac:dyDescent="0.2">
      <c r="A142" s="20"/>
      <c r="B142" s="14" t="s">
        <v>29</v>
      </c>
      <c r="C142" s="21"/>
      <c r="D142" s="21"/>
      <c r="E142" s="21"/>
      <c r="F142" s="21"/>
      <c r="G142" s="21"/>
      <c r="H142" s="21"/>
      <c r="I142" s="21"/>
      <c r="J142" s="56"/>
      <c r="K142" s="57">
        <f>SUM($K$143)</f>
        <v>0</v>
      </c>
      <c r="L142" s="18"/>
      <c r="M142" s="22"/>
    </row>
    <row r="143" spans="1:13" ht="33.75" outlineLevel="4" x14ac:dyDescent="0.2">
      <c r="A143" s="23" t="s">
        <v>30</v>
      </c>
      <c r="B143" s="24" t="s">
        <v>52</v>
      </c>
      <c r="C143" s="25" t="s">
        <v>46</v>
      </c>
      <c r="D143" s="25" t="s">
        <v>115</v>
      </c>
      <c r="E143" s="26" t="s">
        <v>25</v>
      </c>
      <c r="F143" s="27"/>
      <c r="G143" s="28">
        <v>6</v>
      </c>
      <c r="H143" s="28">
        <v>5</v>
      </c>
      <c r="I143" s="28">
        <f>SUM($G$143:$H$143)</f>
        <v>11</v>
      </c>
      <c r="J143" s="58">
        <f t="array" ref="J143">INDEX(М[Цена за ед., руб],MATCH(1,IF(($B143=М[Наим.])*($C143=М[Артикул, марка, произв.])*($D143=М[Хар-ка])*($L143=М[Прим.]),{1},($B143=М[Наим.])*($C143=М[Артикул, марка, произв.])*($D143=М[Хар-ка])*($L143=М[Прим.])),0))</f>
        <v>0</v>
      </c>
      <c r="K143" s="58">
        <f>ROUND($I$143*$J$143,2)</f>
        <v>0</v>
      </c>
      <c r="L143" s="25"/>
      <c r="M143" s="25">
        <f t="array" ref="M143">INDEX(М[Форма закупа],MATCH(1,IF(($B143=М[Наим.])*($C143=М[Артикул, марка, произв.])*($D143=М[Хар-ка])*($L143=М[Прим.]),{1},($B143=М[Наим.])*($C143=М[Артикул, марка, произв.])*($D143=М[Хар-ка])*($L143=М[Прим.])),0))</f>
        <v>0</v>
      </c>
    </row>
    <row r="144" spans="1:13" outlineLevel="4" x14ac:dyDescent="0.2">
      <c r="A144" s="20"/>
      <c r="B144" s="14" t="s">
        <v>23</v>
      </c>
      <c r="C144" s="21"/>
      <c r="D144" s="21"/>
      <c r="E144" s="21"/>
      <c r="F144" s="21"/>
      <c r="G144" s="21"/>
      <c r="H144" s="21"/>
      <c r="I144" s="21"/>
      <c r="J144" s="56"/>
      <c r="K144" s="57">
        <f>SUM($K$145)</f>
        <v>0</v>
      </c>
      <c r="L144" s="18"/>
      <c r="M144" s="22"/>
    </row>
    <row r="145" spans="1:13" outlineLevel="4" x14ac:dyDescent="0.2">
      <c r="A145" s="23"/>
      <c r="B145" s="24" t="s">
        <v>70</v>
      </c>
      <c r="C145" s="25"/>
      <c r="D145" s="25"/>
      <c r="E145" s="26" t="s">
        <v>28</v>
      </c>
      <c r="F145" s="27"/>
      <c r="G145" s="28">
        <v>55</v>
      </c>
      <c r="H145" s="28">
        <v>40</v>
      </c>
      <c r="I145" s="28">
        <f>SUM($G$145:$H$145)</f>
        <v>95</v>
      </c>
      <c r="J145" s="58">
        <f t="array" ref="J145">INDEX(Р[Цена за ед., руб],MATCH(1,IF(($B145=Р[Наименование])*($L145=Р[Примечание]),{1},($B145=Р[Наименование])*($L145=Р[Примечание])),0))</f>
        <v>0</v>
      </c>
      <c r="K145" s="58">
        <f>ROUND($I$145*$J$145,2)</f>
        <v>0</v>
      </c>
      <c r="L145" s="25"/>
      <c r="M145" s="25"/>
    </row>
    <row r="146" spans="1:13" outlineLevel="4" x14ac:dyDescent="0.2">
      <c r="A146" s="20"/>
      <c r="B146" s="14" t="s">
        <v>29</v>
      </c>
      <c r="C146" s="21"/>
      <c r="D146" s="21"/>
      <c r="E146" s="21"/>
      <c r="F146" s="21"/>
      <c r="G146" s="21"/>
      <c r="H146" s="21"/>
      <c r="I146" s="21"/>
      <c r="J146" s="56"/>
      <c r="K146" s="57">
        <f>SUM($K$147)</f>
        <v>0</v>
      </c>
      <c r="L146" s="18"/>
      <c r="M146" s="22"/>
    </row>
    <row r="147" spans="1:13" ht="45" outlineLevel="4" x14ac:dyDescent="0.2">
      <c r="A147" s="64" t="s">
        <v>30</v>
      </c>
      <c r="B147" s="24" t="s">
        <v>71</v>
      </c>
      <c r="C147" s="25"/>
      <c r="D147" s="25" t="s">
        <v>102</v>
      </c>
      <c r="E147" s="26" t="s">
        <v>33</v>
      </c>
      <c r="F147" s="27"/>
      <c r="G147" s="28">
        <v>55</v>
      </c>
      <c r="H147" s="28">
        <v>40</v>
      </c>
      <c r="I147" s="28">
        <f>SUM($G$147:$H$147)</f>
        <v>95</v>
      </c>
      <c r="J147" s="58">
        <f t="array" ref="J147">INDEX(М[Цена за ед., руб],MATCH(1,IF(($B147=М[Наим.])*($C147=М[Артикул, марка, произв.])*($D147=М[Хар-ка])*($L147=М[Прим.]),{1},($B147=М[Наим.])*($C147=М[Артикул, марка, произв.])*($D147=М[Хар-ка])*($L147=М[Прим.])),0))</f>
        <v>0</v>
      </c>
      <c r="K147" s="58">
        <f>ROUND($I$147*$J$147,2)</f>
        <v>0</v>
      </c>
      <c r="L147" s="25"/>
      <c r="M147" s="25">
        <f t="array" ref="M147">INDEX(М[Форма закупа],MATCH(1,IF(($B147=М[Наим.])*($C147=М[Артикул, марка, произв.])*($D147=М[Хар-ка])*($L147=М[Прим.]),{1},($B147=М[Наим.])*($C147=М[Артикул, марка, произв.])*($D147=М[Хар-ка])*($L147=М[Прим.])),0))</f>
        <v>0</v>
      </c>
    </row>
    <row r="148" spans="1:13" outlineLevel="2" x14ac:dyDescent="0.2">
      <c r="A148" s="13" t="s">
        <v>116</v>
      </c>
      <c r="B148" s="14" t="s">
        <v>117</v>
      </c>
      <c r="C148" s="15"/>
      <c r="D148" s="15"/>
      <c r="E148" s="16"/>
      <c r="F148" s="17"/>
      <c r="G148" s="18"/>
      <c r="H148" s="18"/>
      <c r="I148" s="18"/>
      <c r="J148" s="55"/>
      <c r="K148" s="55">
        <f>SUM($K$149)</f>
        <v>0</v>
      </c>
      <c r="L148" s="19"/>
      <c r="M148" s="19"/>
    </row>
    <row r="149" spans="1:13" outlineLevel="3" x14ac:dyDescent="0.2">
      <c r="A149" s="13" t="s">
        <v>118</v>
      </c>
      <c r="B149" s="14" t="s">
        <v>117</v>
      </c>
      <c r="C149" s="15"/>
      <c r="D149" s="15"/>
      <c r="E149" s="16"/>
      <c r="F149" s="17"/>
      <c r="G149" s="18"/>
      <c r="H149" s="18"/>
      <c r="I149" s="18"/>
      <c r="J149" s="55"/>
      <c r="K149" s="55">
        <f>SUM($K$172,$K$170,$K$167,$K$165,$K$163,$K$161,$K$158,$K$156,$K$154,$K$152,$K$150)</f>
        <v>0</v>
      </c>
      <c r="L149" s="19"/>
      <c r="M149" s="19"/>
    </row>
    <row r="150" spans="1:13" outlineLevel="4" x14ac:dyDescent="0.2">
      <c r="A150" s="20"/>
      <c r="B150" s="14" t="s">
        <v>23</v>
      </c>
      <c r="C150" s="21"/>
      <c r="D150" s="21"/>
      <c r="E150" s="21"/>
      <c r="F150" s="21"/>
      <c r="G150" s="21"/>
      <c r="H150" s="21"/>
      <c r="I150" s="21"/>
      <c r="J150" s="56"/>
      <c r="K150" s="57">
        <f>SUM($K$151)</f>
        <v>0</v>
      </c>
      <c r="L150" s="18"/>
      <c r="M150" s="22"/>
    </row>
    <row r="151" spans="1:13" outlineLevel="4" x14ac:dyDescent="0.2">
      <c r="A151" s="23"/>
      <c r="B151" s="24" t="s">
        <v>24</v>
      </c>
      <c r="C151" s="25"/>
      <c r="D151" s="25"/>
      <c r="E151" s="26" t="s">
        <v>25</v>
      </c>
      <c r="F151" s="27"/>
      <c r="G151" s="28">
        <v>1</v>
      </c>
      <c r="H151" s="28">
        <v>1</v>
      </c>
      <c r="I151" s="28">
        <f>SUM($G$151:$H$151)</f>
        <v>2</v>
      </c>
      <c r="J151" s="58">
        <f t="array" ref="J151">INDEX(Р[Цена за ед., руб],MATCH(1,IF(($B151=Р[Наименование])*($L151=Р[Примечание]),{1},($B151=Р[Наименование])*($L151=Р[Примечание])),0))</f>
        <v>0</v>
      </c>
      <c r="K151" s="58">
        <f>ROUND($I$151*$J$151,2)</f>
        <v>0</v>
      </c>
      <c r="L151" s="25"/>
      <c r="M151" s="25"/>
    </row>
    <row r="152" spans="1:13" outlineLevel="4" x14ac:dyDescent="0.2">
      <c r="A152" s="20"/>
      <c r="B152" s="14" t="s">
        <v>23</v>
      </c>
      <c r="C152" s="21"/>
      <c r="D152" s="21"/>
      <c r="E152" s="21"/>
      <c r="F152" s="21"/>
      <c r="G152" s="21"/>
      <c r="H152" s="21"/>
      <c r="I152" s="21"/>
      <c r="J152" s="56"/>
      <c r="K152" s="57">
        <f>SUM($K$153)</f>
        <v>0</v>
      </c>
      <c r="L152" s="18"/>
      <c r="M152" s="22"/>
    </row>
    <row r="153" spans="1:13" outlineLevel="4" x14ac:dyDescent="0.2">
      <c r="A153" s="23"/>
      <c r="B153" s="24" t="s">
        <v>54</v>
      </c>
      <c r="C153" s="25"/>
      <c r="D153" s="25"/>
      <c r="E153" s="26" t="s">
        <v>25</v>
      </c>
      <c r="F153" s="27"/>
      <c r="G153" s="28">
        <v>1</v>
      </c>
      <c r="H153" s="28">
        <v>1</v>
      </c>
      <c r="I153" s="28">
        <f>SUM($G$153:$H$153)</f>
        <v>2</v>
      </c>
      <c r="J153" s="58">
        <f t="array" ref="J153">INDEX(Р[Цена за ед., руб],MATCH(1,IF(($B153=Р[Наименование])*($L153=Р[Примечание]),{1},($B153=Р[Наименование])*($L153=Р[Примечание])),0))</f>
        <v>0</v>
      </c>
      <c r="K153" s="58">
        <f>ROUND($I$153*$J$153,2)</f>
        <v>0</v>
      </c>
      <c r="L153" s="25"/>
      <c r="M153" s="25"/>
    </row>
    <row r="154" spans="1:13" outlineLevel="4" x14ac:dyDescent="0.2">
      <c r="A154" s="20"/>
      <c r="B154" s="14" t="s">
        <v>29</v>
      </c>
      <c r="C154" s="21"/>
      <c r="D154" s="21"/>
      <c r="E154" s="21"/>
      <c r="F154" s="21"/>
      <c r="G154" s="21"/>
      <c r="H154" s="21"/>
      <c r="I154" s="21"/>
      <c r="J154" s="56"/>
      <c r="K154" s="57">
        <f>SUM($K$155)</f>
        <v>0</v>
      </c>
      <c r="L154" s="18"/>
      <c r="M154" s="22"/>
    </row>
    <row r="155" spans="1:13" outlineLevel="4" x14ac:dyDescent="0.2">
      <c r="A155" s="23" t="s">
        <v>30</v>
      </c>
      <c r="B155" s="24" t="s">
        <v>55</v>
      </c>
      <c r="C155" s="25"/>
      <c r="D155" s="25" t="s">
        <v>57</v>
      </c>
      <c r="E155" s="26" t="s">
        <v>25</v>
      </c>
      <c r="F155" s="29">
        <v>1</v>
      </c>
      <c r="G155" s="28">
        <v>1</v>
      </c>
      <c r="H155" s="28">
        <v>1</v>
      </c>
      <c r="I155" s="28">
        <f>SUM($G$155:$H$155)</f>
        <v>2</v>
      </c>
      <c r="J155" s="58">
        <f t="array" ref="J155">INDEX(М[Цена за ед., руб],MATCH(1,IF(($B155=М[Наим.])*($C155=М[Артикул, марка, произв.])*($D155=М[Хар-ка])*($L155=М[Прим.]),{1},($B155=М[Наим.])*($C155=М[Артикул, марка, произв.])*($D155=М[Хар-ка])*($L155=М[Прим.])),0))</f>
        <v>0</v>
      </c>
      <c r="K155" s="58">
        <f>ROUND($I$155*$J$155,2)</f>
        <v>0</v>
      </c>
      <c r="L155" s="25"/>
      <c r="M155" s="25">
        <f t="array" ref="M155">INDEX(М[Форма закупа],MATCH(1,IF(($B155=М[Наим.])*($C155=М[Артикул, марка, произв.])*($D155=М[Хар-ка])*($L155=М[Прим.]),{1},($B155=М[Наим.])*($C155=М[Артикул, марка, произв.])*($D155=М[Хар-ка])*($L155=М[Прим.])),0))</f>
        <v>0</v>
      </c>
    </row>
    <row r="156" spans="1:13" outlineLevel="4" x14ac:dyDescent="0.2">
      <c r="A156" s="20"/>
      <c r="B156" s="14" t="s">
        <v>23</v>
      </c>
      <c r="C156" s="21"/>
      <c r="D156" s="21"/>
      <c r="E156" s="21"/>
      <c r="F156" s="21"/>
      <c r="G156" s="21"/>
      <c r="H156" s="21"/>
      <c r="I156" s="21"/>
      <c r="J156" s="56"/>
      <c r="K156" s="57">
        <f>SUM($K$157)</f>
        <v>0</v>
      </c>
      <c r="L156" s="18"/>
      <c r="M156" s="22"/>
    </row>
    <row r="157" spans="1:13" ht="22.5" outlineLevel="4" x14ac:dyDescent="0.2">
      <c r="A157" s="23"/>
      <c r="B157" s="24" t="s">
        <v>65</v>
      </c>
      <c r="C157" s="25"/>
      <c r="D157" s="25"/>
      <c r="E157" s="26" t="s">
        <v>28</v>
      </c>
      <c r="F157" s="27"/>
      <c r="G157" s="28">
        <v>7</v>
      </c>
      <c r="H157" s="28">
        <v>7</v>
      </c>
      <c r="I157" s="28">
        <f>SUM($G$157:$H$157)</f>
        <v>14</v>
      </c>
      <c r="J157" s="58">
        <f t="array" ref="J157">INDEX(Р[Цена за ед., руб],MATCH(1,IF(($B157=Р[Наименование])*($L157=Р[Примечание]),{1},($B157=Р[Наименование])*($L157=Р[Примечание])),0))</f>
        <v>0</v>
      </c>
      <c r="K157" s="58">
        <f>ROUND($I$157*$J$157,2)</f>
        <v>0</v>
      </c>
      <c r="L157" s="25"/>
      <c r="M157" s="25"/>
    </row>
    <row r="158" spans="1:13" outlineLevel="4" x14ac:dyDescent="0.2">
      <c r="A158" s="20"/>
      <c r="B158" s="14" t="s">
        <v>29</v>
      </c>
      <c r="C158" s="21"/>
      <c r="D158" s="21"/>
      <c r="E158" s="21"/>
      <c r="F158" s="21"/>
      <c r="G158" s="21"/>
      <c r="H158" s="21"/>
      <c r="I158" s="21"/>
      <c r="J158" s="56"/>
      <c r="K158" s="57">
        <f>SUM($K$159:$K$160)</f>
        <v>0</v>
      </c>
      <c r="L158" s="18"/>
      <c r="M158" s="22"/>
    </row>
    <row r="159" spans="1:13" ht="22.5" outlineLevel="4" x14ac:dyDescent="0.2">
      <c r="A159" s="64" t="s">
        <v>30</v>
      </c>
      <c r="B159" s="24" t="s">
        <v>66</v>
      </c>
      <c r="C159" s="25"/>
      <c r="D159" s="25" t="s">
        <v>67</v>
      </c>
      <c r="E159" s="26" t="s">
        <v>33</v>
      </c>
      <c r="F159" s="29">
        <v>1</v>
      </c>
      <c r="G159" s="28">
        <v>2</v>
      </c>
      <c r="H159" s="28">
        <v>2</v>
      </c>
      <c r="I159" s="28">
        <f>SUM($G$159:$H$159)</f>
        <v>4</v>
      </c>
      <c r="J159" s="58">
        <f t="array" ref="J159">INDEX(М[Цена за ед., руб],MATCH(1,IF(($B159=М[Наим.])*($C159=М[Артикул, марка, произв.])*($D159=М[Хар-ка])*($L159=М[Прим.]),{1},($B159=М[Наим.])*($C159=М[Артикул, марка, произв.])*($D159=М[Хар-ка])*($L159=М[Прим.])),0))</f>
        <v>0</v>
      </c>
      <c r="K159" s="58">
        <f>ROUND($I$159*$J$159,2)</f>
        <v>0</v>
      </c>
      <c r="L159" s="25"/>
      <c r="M159" s="25">
        <f t="array" ref="M159">INDEX(М[Форма закупа],MATCH(1,IF(($B159=М[Наим.])*($C159=М[Артикул, марка, произв.])*($D159=М[Хар-ка])*($L159=М[Прим.]),{1},($B159=М[Наим.])*($C159=М[Артикул, марка, произв.])*($D159=М[Хар-ка])*($L159=М[Прим.])),0))</f>
        <v>0</v>
      </c>
    </row>
    <row r="160" spans="1:13" ht="22.5" outlineLevel="4" x14ac:dyDescent="0.2">
      <c r="A160" s="64" t="s">
        <v>34</v>
      </c>
      <c r="B160" s="24" t="s">
        <v>66</v>
      </c>
      <c r="C160" s="25"/>
      <c r="D160" s="25" t="s">
        <v>68</v>
      </c>
      <c r="E160" s="26" t="s">
        <v>33</v>
      </c>
      <c r="F160" s="29">
        <v>1</v>
      </c>
      <c r="G160" s="28">
        <v>5</v>
      </c>
      <c r="H160" s="28">
        <v>5</v>
      </c>
      <c r="I160" s="28">
        <f>SUM($G$160:$H$160)</f>
        <v>10</v>
      </c>
      <c r="J160" s="58">
        <f t="array" ref="J160">INDEX(М[Цена за ед., руб],MATCH(1,IF(($B160=М[Наим.])*($C160=М[Артикул, марка, произв.])*($D160=М[Хар-ка])*($L160=М[Прим.]),{1},($B160=М[Наим.])*($C160=М[Артикул, марка, произв.])*($D160=М[Хар-ка])*($L160=М[Прим.])),0))</f>
        <v>0</v>
      </c>
      <c r="K160" s="58">
        <f>ROUND($I$160*$J$160,2)</f>
        <v>0</v>
      </c>
      <c r="L160" s="25"/>
      <c r="M160" s="25">
        <f t="array" ref="M160">INDEX(М[Форма закупа],MATCH(1,IF(($B160=М[Наим.])*($C160=М[Артикул, марка, произв.])*($D160=М[Хар-ка])*($L160=М[Прим.]),{1},($B160=М[Наим.])*($C160=М[Артикул, марка, произв.])*($D160=М[Хар-ка])*($L160=М[Прим.])),0))</f>
        <v>0</v>
      </c>
    </row>
    <row r="161" spans="1:13" outlineLevel="4" x14ac:dyDescent="0.2">
      <c r="A161" s="20"/>
      <c r="B161" s="14" t="s">
        <v>23</v>
      </c>
      <c r="C161" s="21"/>
      <c r="D161" s="21"/>
      <c r="E161" s="21"/>
      <c r="F161" s="21"/>
      <c r="G161" s="21"/>
      <c r="H161" s="21"/>
      <c r="I161" s="21"/>
      <c r="J161" s="56"/>
      <c r="K161" s="57">
        <f>SUM($K$162)</f>
        <v>0</v>
      </c>
      <c r="L161" s="18"/>
      <c r="M161" s="22"/>
    </row>
    <row r="162" spans="1:13" outlineLevel="4" x14ac:dyDescent="0.2">
      <c r="A162" s="23"/>
      <c r="B162" s="24" t="s">
        <v>119</v>
      </c>
      <c r="C162" s="25"/>
      <c r="D162" s="25"/>
      <c r="E162" s="26" t="s">
        <v>25</v>
      </c>
      <c r="F162" s="27"/>
      <c r="G162" s="28">
        <v>1</v>
      </c>
      <c r="H162" s="28">
        <v>1</v>
      </c>
      <c r="I162" s="28">
        <f>SUM($G$162:$H$162)</f>
        <v>2</v>
      </c>
      <c r="J162" s="58">
        <f t="array" ref="J162">INDEX(Р[Цена за ед., руб],MATCH(1,IF(($B162=Р[Наименование])*($L162=Р[Примечание]),{1},($B162=Р[Наименование])*($L162=Р[Примечание])),0))</f>
        <v>0</v>
      </c>
      <c r="K162" s="58">
        <f>ROUND($I$162*$J$162,2)</f>
        <v>0</v>
      </c>
      <c r="L162" s="25"/>
      <c r="M162" s="25"/>
    </row>
    <row r="163" spans="1:13" outlineLevel="4" x14ac:dyDescent="0.2">
      <c r="A163" s="20"/>
      <c r="B163" s="14" t="s">
        <v>29</v>
      </c>
      <c r="C163" s="21"/>
      <c r="D163" s="21"/>
      <c r="E163" s="21"/>
      <c r="F163" s="21"/>
      <c r="G163" s="21"/>
      <c r="H163" s="21"/>
      <c r="I163" s="21"/>
      <c r="J163" s="56"/>
      <c r="K163" s="57">
        <f>SUM($K$164)</f>
        <v>0</v>
      </c>
      <c r="L163" s="18"/>
      <c r="M163" s="22"/>
    </row>
    <row r="164" spans="1:13" ht="22.5" outlineLevel="4" x14ac:dyDescent="0.2">
      <c r="A164" s="23" t="s">
        <v>30</v>
      </c>
      <c r="B164" s="24" t="s">
        <v>120</v>
      </c>
      <c r="C164" s="25"/>
      <c r="D164" s="25" t="s">
        <v>121</v>
      </c>
      <c r="E164" s="26" t="s">
        <v>25</v>
      </c>
      <c r="F164" s="29">
        <v>1</v>
      </c>
      <c r="G164" s="28">
        <v>1</v>
      </c>
      <c r="H164" s="28">
        <v>1</v>
      </c>
      <c r="I164" s="28">
        <f>SUM($G$164:$H$164)</f>
        <v>2</v>
      </c>
      <c r="J164" s="58">
        <f t="array" ref="J164">INDEX(М[Цена за ед., руб],MATCH(1,IF(($B164=М[Наим.])*($C164=М[Артикул, марка, произв.])*($D164=М[Хар-ка])*($L164=М[Прим.]),{1},($B164=М[Наим.])*($C164=М[Артикул, марка, произв.])*($D164=М[Хар-ка])*($L164=М[Прим.])),0))</f>
        <v>0</v>
      </c>
      <c r="K164" s="58">
        <f>ROUND($I$164*$J$164,2)</f>
        <v>0</v>
      </c>
      <c r="L164" s="25"/>
      <c r="M164" s="25">
        <f t="array" ref="M164">INDEX(М[Форма закупа],MATCH(1,IF(($B164=М[Наим.])*($C164=М[Артикул, марка, произв.])*($D164=М[Хар-ка])*($L164=М[Прим.]),{1},($B164=М[Наим.])*($C164=М[Артикул, марка, произв.])*($D164=М[Хар-ка])*($L164=М[Прим.])),0))</f>
        <v>0</v>
      </c>
    </row>
    <row r="165" spans="1:13" outlineLevel="4" x14ac:dyDescent="0.2">
      <c r="A165" s="20"/>
      <c r="B165" s="14" t="s">
        <v>23</v>
      </c>
      <c r="C165" s="21"/>
      <c r="D165" s="21"/>
      <c r="E165" s="21"/>
      <c r="F165" s="21"/>
      <c r="G165" s="21"/>
      <c r="H165" s="21"/>
      <c r="I165" s="21"/>
      <c r="J165" s="56"/>
      <c r="K165" s="57">
        <f>SUM($K$166)</f>
        <v>0</v>
      </c>
      <c r="L165" s="18"/>
      <c r="M165" s="22"/>
    </row>
    <row r="166" spans="1:13" outlineLevel="4" x14ac:dyDescent="0.2">
      <c r="A166" s="23"/>
      <c r="B166" s="24" t="s">
        <v>122</v>
      </c>
      <c r="C166" s="25"/>
      <c r="D166" s="25"/>
      <c r="E166" s="26" t="s">
        <v>25</v>
      </c>
      <c r="F166" s="27"/>
      <c r="G166" s="28">
        <v>2</v>
      </c>
      <c r="H166" s="28">
        <v>2</v>
      </c>
      <c r="I166" s="28">
        <f>SUM($G$166:$H$166)</f>
        <v>4</v>
      </c>
      <c r="J166" s="58">
        <f t="array" ref="J166">INDEX(Р[Цена за ед., руб],MATCH(1,IF(($B166=Р[Наименование])*($L166=Р[Примечание]),{1},($B166=Р[Наименование])*($L166=Р[Примечание])),0))</f>
        <v>0</v>
      </c>
      <c r="K166" s="58">
        <f>ROUND($I$166*$J$166,2)</f>
        <v>0</v>
      </c>
      <c r="L166" s="25"/>
      <c r="M166" s="25"/>
    </row>
    <row r="167" spans="1:13" outlineLevel="4" x14ac:dyDescent="0.2">
      <c r="A167" s="20"/>
      <c r="B167" s="14" t="s">
        <v>29</v>
      </c>
      <c r="C167" s="21"/>
      <c r="D167" s="21"/>
      <c r="E167" s="21"/>
      <c r="F167" s="21"/>
      <c r="G167" s="21"/>
      <c r="H167" s="21"/>
      <c r="I167" s="21"/>
      <c r="J167" s="56"/>
      <c r="K167" s="57">
        <f>SUM($K$168:$K$169)</f>
        <v>0</v>
      </c>
      <c r="L167" s="18"/>
      <c r="M167" s="22"/>
    </row>
    <row r="168" spans="1:13" ht="33.75" outlineLevel="4" x14ac:dyDescent="0.2">
      <c r="A168" s="23" t="s">
        <v>30</v>
      </c>
      <c r="B168" s="24" t="s">
        <v>123</v>
      </c>
      <c r="C168" s="25"/>
      <c r="D168" s="25" t="s">
        <v>124</v>
      </c>
      <c r="E168" s="26" t="s">
        <v>25</v>
      </c>
      <c r="F168" s="29">
        <v>1</v>
      </c>
      <c r="G168" s="28">
        <v>1</v>
      </c>
      <c r="H168" s="28">
        <v>1</v>
      </c>
      <c r="I168" s="28">
        <f>SUM($G$168:$H$168)</f>
        <v>2</v>
      </c>
      <c r="J168" s="58">
        <f t="array" ref="J168">INDEX(М[Цена за ед., руб],MATCH(1,IF(($B168=М[Наим.])*($C168=М[Артикул, марка, произв.])*($D168=М[Хар-ка])*($L168=М[Прим.]),{1},($B168=М[Наим.])*($C168=М[Артикул, марка, произв.])*($D168=М[Хар-ка])*($L168=М[Прим.])),0))</f>
        <v>0</v>
      </c>
      <c r="K168" s="58">
        <f>ROUND($I$168*$J$168,2)</f>
        <v>0</v>
      </c>
      <c r="L168" s="25"/>
      <c r="M168" s="25">
        <f t="array" ref="M168">INDEX(М[Форма закупа],MATCH(1,IF(($B168=М[Наим.])*($C168=М[Артикул, марка, произв.])*($D168=М[Хар-ка])*($L168=М[Прим.]),{1},($B168=М[Наим.])*($C168=М[Артикул, марка, произв.])*($D168=М[Хар-ка])*($L168=М[Прим.])),0))</f>
        <v>0</v>
      </c>
    </row>
    <row r="169" spans="1:13" ht="33.75" outlineLevel="4" x14ac:dyDescent="0.2">
      <c r="A169" s="23" t="s">
        <v>34</v>
      </c>
      <c r="B169" s="24" t="s">
        <v>123</v>
      </c>
      <c r="C169" s="25"/>
      <c r="D169" s="25" t="s">
        <v>125</v>
      </c>
      <c r="E169" s="26" t="s">
        <v>25</v>
      </c>
      <c r="F169" s="29">
        <v>1</v>
      </c>
      <c r="G169" s="28">
        <v>1</v>
      </c>
      <c r="H169" s="28">
        <v>1</v>
      </c>
      <c r="I169" s="28">
        <f>SUM($G$169:$H$169)</f>
        <v>2</v>
      </c>
      <c r="J169" s="58">
        <f t="array" ref="J169">INDEX(М[Цена за ед., руб],MATCH(1,IF(($B169=М[Наим.])*($C169=М[Артикул, марка, произв.])*($D169=М[Хар-ка])*($L169=М[Прим.]),{1},($B169=М[Наим.])*($C169=М[Артикул, марка, произв.])*($D169=М[Хар-ка])*($L169=М[Прим.])),0))</f>
        <v>0</v>
      </c>
      <c r="K169" s="58">
        <f>ROUND($I$169*$J$169,2)</f>
        <v>0</v>
      </c>
      <c r="L169" s="25"/>
      <c r="M169" s="25">
        <f t="array" ref="M169">INDEX(М[Форма закупа],MATCH(1,IF(($B169=М[Наим.])*($C169=М[Артикул, марка, произв.])*($D169=М[Хар-ка])*($L169=М[Прим.]),{1},($B169=М[Наим.])*($C169=М[Артикул, марка, произв.])*($D169=М[Хар-ка])*($L169=М[Прим.])),0))</f>
        <v>0</v>
      </c>
    </row>
    <row r="170" spans="1:13" outlineLevel="4" x14ac:dyDescent="0.2">
      <c r="A170" s="20"/>
      <c r="B170" s="14" t="s">
        <v>23</v>
      </c>
      <c r="C170" s="21"/>
      <c r="D170" s="21"/>
      <c r="E170" s="21"/>
      <c r="F170" s="21"/>
      <c r="G170" s="21"/>
      <c r="H170" s="21"/>
      <c r="I170" s="21"/>
      <c r="J170" s="56"/>
      <c r="K170" s="57">
        <f>SUM($K$171)</f>
        <v>0</v>
      </c>
      <c r="L170" s="18"/>
      <c r="M170" s="22"/>
    </row>
    <row r="171" spans="1:13" outlineLevel="4" x14ac:dyDescent="0.2">
      <c r="A171" s="23"/>
      <c r="B171" s="24" t="s">
        <v>126</v>
      </c>
      <c r="C171" s="25"/>
      <c r="D171" s="25"/>
      <c r="E171" s="26" t="s">
        <v>25</v>
      </c>
      <c r="F171" s="27"/>
      <c r="G171" s="28">
        <v>1</v>
      </c>
      <c r="H171" s="28">
        <v>1</v>
      </c>
      <c r="I171" s="28">
        <f>SUM($G$171:$H$171)</f>
        <v>2</v>
      </c>
      <c r="J171" s="58">
        <f t="array" ref="J171">INDEX(Р[Цена за ед., руб],MATCH(1,IF(($B171=Р[Наименование])*($L171=Р[Примечание]),{1},($B171=Р[Наименование])*($L171=Р[Примечание])),0))</f>
        <v>0</v>
      </c>
      <c r="K171" s="58">
        <f>ROUND($I$171*$J$171,2)</f>
        <v>0</v>
      </c>
      <c r="L171" s="25"/>
      <c r="M171" s="25"/>
    </row>
    <row r="172" spans="1:13" outlineLevel="4" x14ac:dyDescent="0.2">
      <c r="A172" s="20"/>
      <c r="B172" s="14" t="s">
        <v>29</v>
      </c>
      <c r="C172" s="21"/>
      <c r="D172" s="21"/>
      <c r="E172" s="21"/>
      <c r="F172" s="21"/>
      <c r="G172" s="21"/>
      <c r="H172" s="21"/>
      <c r="I172" s="21"/>
      <c r="J172" s="56"/>
      <c r="K172" s="57">
        <f>SUM($K$173)</f>
        <v>0</v>
      </c>
      <c r="L172" s="18"/>
      <c r="M172" s="22"/>
    </row>
    <row r="173" spans="1:13" ht="22.5" outlineLevel="4" x14ac:dyDescent="0.2">
      <c r="A173" s="23" t="s">
        <v>30</v>
      </c>
      <c r="B173" s="24" t="s">
        <v>127</v>
      </c>
      <c r="C173" s="25"/>
      <c r="D173" s="25" t="s">
        <v>128</v>
      </c>
      <c r="E173" s="26" t="s">
        <v>25</v>
      </c>
      <c r="F173" s="29">
        <v>1</v>
      </c>
      <c r="G173" s="28">
        <v>1</v>
      </c>
      <c r="H173" s="28">
        <v>1</v>
      </c>
      <c r="I173" s="28">
        <f>SUM($G$173:$H$173)</f>
        <v>2</v>
      </c>
      <c r="J173" s="58">
        <f t="array" ref="J173">INDEX(М[Цена за ед., руб],MATCH(1,IF(($B173=М[Наим.])*($C173=М[Артикул, марка, произв.])*($D173=М[Хар-ка])*($L173=М[Прим.]),{1},($B173=М[Наим.])*($C173=М[Артикул, марка, произв.])*($D173=М[Хар-ка])*($L173=М[Прим.])),0))</f>
        <v>0</v>
      </c>
      <c r="K173" s="58">
        <f>ROUND($I$173*$J$173,2)</f>
        <v>0</v>
      </c>
      <c r="L173" s="25"/>
      <c r="M173" s="25">
        <f t="array" ref="M173">INDEX(М[Форма закупа],MATCH(1,IF(($B173=М[Наим.])*($C173=М[Артикул, марка, произв.])*($D173=М[Хар-ка])*($L173=М[Прим.]),{1},($B173=М[Наим.])*($C173=М[Артикул, марка, произв.])*($D173=М[Хар-ка])*($L173=М[Прим.])),0))</f>
        <v>0</v>
      </c>
    </row>
    <row r="174" spans="1:13" outlineLevel="2" x14ac:dyDescent="0.2">
      <c r="A174" s="13" t="s">
        <v>134</v>
      </c>
      <c r="B174" s="14" t="s">
        <v>135</v>
      </c>
      <c r="C174" s="15"/>
      <c r="D174" s="15"/>
      <c r="E174" s="16"/>
      <c r="F174" s="17"/>
      <c r="G174" s="18"/>
      <c r="H174" s="18"/>
      <c r="I174" s="18"/>
      <c r="J174" s="55"/>
      <c r="K174" s="55">
        <f ca="1">SUM($K$175)</f>
        <v>0</v>
      </c>
      <c r="L174" s="19"/>
      <c r="M174" s="19"/>
    </row>
    <row r="175" spans="1:13" outlineLevel="3" x14ac:dyDescent="0.2">
      <c r="A175" s="13" t="s">
        <v>136</v>
      </c>
      <c r="B175" s="14" t="s">
        <v>135</v>
      </c>
      <c r="C175" s="15"/>
      <c r="D175" s="15"/>
      <c r="E175" s="16"/>
      <c r="F175" s="17"/>
      <c r="G175" s="18"/>
      <c r="H175" s="18"/>
      <c r="I175" s="18"/>
      <c r="J175" s="55"/>
      <c r="K175" s="55">
        <f ca="1">SUM($K$178,$K$176,K180)</f>
        <v>0</v>
      </c>
      <c r="L175" s="19"/>
      <c r="M175" s="19"/>
    </row>
    <row r="176" spans="1:13" outlineLevel="4" x14ac:dyDescent="0.2">
      <c r="A176" s="20"/>
      <c r="B176" s="14" t="s">
        <v>23</v>
      </c>
      <c r="C176" s="21"/>
      <c r="D176" s="21"/>
      <c r="E176" s="21"/>
      <c r="F176" s="21"/>
      <c r="G176" s="21"/>
      <c r="H176" s="21"/>
      <c r="I176" s="21"/>
      <c r="J176" s="56"/>
      <c r="K176" s="57">
        <f>SUM($K$177)</f>
        <v>0</v>
      </c>
      <c r="L176" s="18"/>
      <c r="M176" s="22"/>
    </row>
    <row r="177" spans="1:13" outlineLevel="4" x14ac:dyDescent="0.2">
      <c r="A177" s="23"/>
      <c r="B177" s="77" t="s">
        <v>166</v>
      </c>
      <c r="C177" s="25"/>
      <c r="D177" s="25"/>
      <c r="E177" s="26" t="s">
        <v>133</v>
      </c>
      <c r="F177" s="27"/>
      <c r="G177" s="28">
        <v>1</v>
      </c>
      <c r="H177" s="28">
        <v>1</v>
      </c>
      <c r="I177" s="28">
        <f>SUM($G$177:$H$177)</f>
        <v>2</v>
      </c>
      <c r="J177" s="58">
        <f t="array" ref="J177">INDEX(Р[Цена за ед., руб],MATCH(1,IF(($B177=Р[Наименование])*($L177=Р[Примечание]),{1},($B177=Р[Наименование])*($L177=Р[Примечание])),0))</f>
        <v>0</v>
      </c>
      <c r="K177" s="58">
        <f>ROUND($I$177*$J$177,2)</f>
        <v>0</v>
      </c>
      <c r="L177" s="25"/>
      <c r="M177" s="25"/>
    </row>
    <row r="178" spans="1:13" outlineLevel="4" x14ac:dyDescent="0.2">
      <c r="A178" s="20"/>
      <c r="B178" s="14" t="s">
        <v>29</v>
      </c>
      <c r="C178" s="21"/>
      <c r="D178" s="21"/>
      <c r="E178" s="21"/>
      <c r="F178" s="21"/>
      <c r="G178" s="21"/>
      <c r="H178" s="21"/>
      <c r="I178" s="21"/>
      <c r="J178" s="56"/>
      <c r="K178" s="57">
        <f>SUM($K$179)</f>
        <v>0</v>
      </c>
      <c r="L178" s="18"/>
      <c r="M178" s="22"/>
    </row>
    <row r="179" spans="1:13" outlineLevel="4" x14ac:dyDescent="0.2">
      <c r="A179" s="23" t="s">
        <v>30</v>
      </c>
      <c r="B179" s="24" t="s">
        <v>137</v>
      </c>
      <c r="C179" s="25"/>
      <c r="D179" s="25" t="s">
        <v>138</v>
      </c>
      <c r="E179" s="26" t="s">
        <v>139</v>
      </c>
      <c r="F179" s="27"/>
      <c r="G179" s="28">
        <v>17</v>
      </c>
      <c r="H179" s="28">
        <v>36</v>
      </c>
      <c r="I179" s="28">
        <f>SUM($G$179:$H$179)</f>
        <v>53</v>
      </c>
      <c r="J179" s="58">
        <f t="array" ref="J179">INDEX(М[Цена за ед., руб],MATCH(1,IF(($B179=М[Наим.])*($C179=М[Артикул, марка, произв.])*($D179=М[Хар-ка])*($L179=М[Прим.]),{1},($B179=М[Наим.])*($C179=М[Артикул, марка, произв.])*($D179=М[Хар-ка])*($L179=М[Прим.])),0))</f>
        <v>0</v>
      </c>
      <c r="K179" s="58">
        <f>ROUND($I$179*$J$179,2)</f>
        <v>0</v>
      </c>
      <c r="L179" s="25" t="s">
        <v>140</v>
      </c>
      <c r="M179" s="25">
        <f t="array" ref="M179">INDEX(М[Форма закупа],MATCH(1,IF(($B179=М[Наим.])*($C179=М[Артикул, марка, произв.])*($D179=М[Хар-ка])*($L179=М[Прим.]),{1},($B179=М[Наим.])*($C179=М[Артикул, марка, произв.])*($D179=М[Хар-ка])*($L179=М[Прим.])),0))</f>
        <v>0</v>
      </c>
    </row>
    <row r="180" spans="1:13" outlineLevel="4" x14ac:dyDescent="0.2">
      <c r="A180" s="68"/>
      <c r="B180" s="69" t="s">
        <v>29</v>
      </c>
      <c r="C180" s="70"/>
      <c r="D180" s="70"/>
      <c r="E180" s="70"/>
      <c r="F180" s="70"/>
      <c r="G180" s="70"/>
      <c r="H180" s="70"/>
      <c r="I180" s="70"/>
      <c r="J180" s="71"/>
      <c r="K180" s="72">
        <f ca="1">SUM(K181:K186)</f>
        <v>0</v>
      </c>
      <c r="L180" s="18"/>
      <c r="M180" s="22"/>
    </row>
    <row r="181" spans="1:13" ht="22.5" outlineLevel="4" x14ac:dyDescent="0.2">
      <c r="A181" s="73">
        <v>1</v>
      </c>
      <c r="B181" s="74" t="s">
        <v>158</v>
      </c>
      <c r="C181" s="66"/>
      <c r="D181" s="66"/>
      <c r="E181" s="60" t="s">
        <v>76</v>
      </c>
      <c r="F181" s="75"/>
      <c r="G181" s="76"/>
      <c r="H181" s="76"/>
      <c r="I181" s="61">
        <f ca="1">SUMIF(М[[Наим.]:[Сумма, руб]],B181,М[Количество])</f>
        <v>0</v>
      </c>
      <c r="J181" s="62"/>
      <c r="K181" s="62">
        <f ca="1">ROUND(SUM(K61,K120:K121,K147)*I181%,3)</f>
        <v>0</v>
      </c>
      <c r="L181" s="67" t="s">
        <v>178</v>
      </c>
      <c r="M181" s="66">
        <f t="array" ref="M181">INDEX(М[Форма закупа],MATCH(1,IF(($B181=М[Наим.])*($C181=М[Артикул, марка, произв.])*($D181=М[Хар-ка])*($L181=М[Прим.]),{1},($B181=М[Наим.])*($C181=М[Артикул, марка, произв.])*($D181=М[Хар-ка])*($L181=М[Прим.])),0))</f>
        <v>0</v>
      </c>
    </row>
    <row r="182" spans="1:13" ht="22.5" outlineLevel="4" x14ac:dyDescent="0.2">
      <c r="A182" s="73">
        <v>2</v>
      </c>
      <c r="B182" s="74" t="s">
        <v>159</v>
      </c>
      <c r="C182" s="66"/>
      <c r="D182" s="66"/>
      <c r="E182" s="60" t="s">
        <v>76</v>
      </c>
      <c r="F182" s="75"/>
      <c r="G182" s="76"/>
      <c r="H182" s="76"/>
      <c r="I182" s="61">
        <f ca="1">SUMIF(М[[Наим.]:[Сумма, руб]],B182,М[Количество])</f>
        <v>0</v>
      </c>
      <c r="J182" s="62"/>
      <c r="K182" s="62">
        <f ca="1">ROUND(SUM(K91)*I182%,3)</f>
        <v>0</v>
      </c>
      <c r="L182" s="67" t="s">
        <v>178</v>
      </c>
      <c r="M182" s="66">
        <f t="array" ref="M182">INDEX(М[Форма закупа],MATCH(1,IF(($B182=М[Наим.])*($C182=М[Артикул, марка, произв.])*($D182=М[Хар-ка])*($L182=М[Прим.]),{1},($B182=М[Наим.])*($C182=М[Артикул, марка, произв.])*($D182=М[Хар-ка])*($L182=М[Прим.])),0))</f>
        <v>0</v>
      </c>
    </row>
    <row r="183" spans="1:13" ht="22.5" outlineLevel="4" x14ac:dyDescent="0.2">
      <c r="A183" s="73">
        <v>3</v>
      </c>
      <c r="B183" s="74" t="s">
        <v>160</v>
      </c>
      <c r="C183" s="66"/>
      <c r="D183" s="66"/>
      <c r="E183" s="60" t="s">
        <v>76</v>
      </c>
      <c r="F183" s="75"/>
      <c r="G183" s="76"/>
      <c r="H183" s="76"/>
      <c r="I183" s="61">
        <f ca="1">SUMIF(М[[Наим.]:[Сумма, руб]],B183,М[Количество])</f>
        <v>0</v>
      </c>
      <c r="J183" s="62"/>
      <c r="K183" s="62">
        <f ca="1">ROUND(SUM(K65)*I183%,3)</f>
        <v>0</v>
      </c>
      <c r="L183" s="67" t="s">
        <v>178</v>
      </c>
      <c r="M183" s="66">
        <f t="array" ref="M183">INDEX(М[Форма закупа],MATCH(1,IF(($B183=М[Наим.])*($C183=М[Артикул, марка, произв.])*($D183=М[Хар-ка])*($L183=М[Прим.]),{1},($B183=М[Наим.])*($C183=М[Артикул, марка, произв.])*($D183=М[Хар-ка])*($L183=М[Прим.])),0))</f>
        <v>0</v>
      </c>
    </row>
    <row r="184" spans="1:13" ht="22.5" outlineLevel="4" x14ac:dyDescent="0.2">
      <c r="A184" s="73">
        <v>4</v>
      </c>
      <c r="B184" s="74" t="s">
        <v>161</v>
      </c>
      <c r="C184" s="66"/>
      <c r="D184" s="66"/>
      <c r="E184" s="60" t="s">
        <v>76</v>
      </c>
      <c r="F184" s="75"/>
      <c r="G184" s="76"/>
      <c r="H184" s="76"/>
      <c r="I184" s="61">
        <f ca="1">SUMIF(М[[Наим.]:[Сумма, руб]],B184,М[Количество])</f>
        <v>0</v>
      </c>
      <c r="J184" s="62"/>
      <c r="K184" s="62">
        <f ca="1">ROUND(SUM(K125)*I184%,3)</f>
        <v>0</v>
      </c>
      <c r="L184" s="67" t="s">
        <v>178</v>
      </c>
      <c r="M184" s="66">
        <f t="array" ref="M184">INDEX(М[Форма закупа],MATCH(1,IF(($B184=М[Наим.])*($C184=М[Артикул, марка, произв.])*($D184=М[Хар-ка])*($L184=М[Прим.]),{1},($B184=М[Наим.])*($C184=М[Артикул, марка, произв.])*($D184=М[Хар-ка])*($L184=М[Прим.])),0))</f>
        <v>0</v>
      </c>
    </row>
    <row r="185" spans="1:13" ht="22.5" outlineLevel="4" x14ac:dyDescent="0.2">
      <c r="A185" s="73">
        <v>5</v>
      </c>
      <c r="B185" s="74" t="s">
        <v>162</v>
      </c>
      <c r="C185" s="66"/>
      <c r="D185" s="66"/>
      <c r="E185" s="60" t="s">
        <v>76</v>
      </c>
      <c r="F185" s="75"/>
      <c r="G185" s="76"/>
      <c r="H185" s="76"/>
      <c r="I185" s="61">
        <f ca="1">SUMIF(М[[Наим.]:[Сумма, руб]],B185,М[Количество])</f>
        <v>0</v>
      </c>
      <c r="J185" s="62"/>
      <c r="K185" s="62">
        <f ca="1">ROUND(SUM(K55:K57,K159:K160)*I185%,3)</f>
        <v>0</v>
      </c>
      <c r="L185" s="67" t="s">
        <v>178</v>
      </c>
      <c r="M185" s="66">
        <f t="array" ref="M185">INDEX(М[Форма закупа],MATCH(1,IF(($B185=М[Наим.])*($C185=М[Артикул, марка, произв.])*($D185=М[Хар-ка])*($L185=М[Прим.]),{1},($B185=М[Наим.])*($C185=М[Артикул, марка, произв.])*($D185=М[Хар-ка])*($L185=М[Прим.])),0))</f>
        <v>0</v>
      </c>
    </row>
    <row r="186" spans="1:13" ht="22.5" outlineLevel="4" x14ac:dyDescent="0.2">
      <c r="A186" s="73">
        <v>6</v>
      </c>
      <c r="B186" s="74" t="s">
        <v>163</v>
      </c>
      <c r="C186" s="66"/>
      <c r="D186" s="66"/>
      <c r="E186" s="60" t="s">
        <v>76</v>
      </c>
      <c r="F186" s="75"/>
      <c r="G186" s="76"/>
      <c r="H186" s="76"/>
      <c r="I186" s="61">
        <f ca="1">SUMIF(М[[Наим.]:[Сумма, руб]],B186,М[Количество])</f>
        <v>0</v>
      </c>
      <c r="J186" s="62"/>
      <c r="K186" s="62">
        <f ca="1">ROUND(SUM(K19:K21,K25,K29,K33,K37,K41:K42,K46:K47,K51,K55:K57,K61,K65,K73:K74,K78,K82,K86:K87,K91,K99:K102,K106,K110,K114,K120:K121,K125,K135,K139,K143,K147,K155,K159:K160,K164,K168:K169,K173,K179,K131)*I186%,3)</f>
        <v>0</v>
      </c>
      <c r="L186" s="67" t="s">
        <v>178</v>
      </c>
      <c r="M186" s="66">
        <f t="array" ref="M186">INDEX(М[Форма закупа],MATCH(1,IF(($B186=М[Наим.])*($C186=М[Артикул, марка, произв.])*($D186=М[Хар-ка])*($L186=М[Прим.]),{1},($B186=М[Наим.])*($C186=М[Артикул, марка, произв.])*($D186=М[Хар-ка])*($L186=М[Прим.])),0))</f>
        <v>0</v>
      </c>
    </row>
    <row r="187" spans="1:13" outlineLevel="2" x14ac:dyDescent="0.2">
      <c r="A187" s="13" t="s">
        <v>129</v>
      </c>
      <c r="B187" s="14" t="s">
        <v>130</v>
      </c>
      <c r="C187" s="15"/>
      <c r="D187" s="15"/>
      <c r="E187" s="16"/>
      <c r="F187" s="17"/>
      <c r="G187" s="18"/>
      <c r="H187" s="18"/>
      <c r="I187" s="18"/>
      <c r="J187" s="55"/>
      <c r="K187" s="55">
        <f>SUM($K$188)</f>
        <v>0</v>
      </c>
      <c r="L187" s="19"/>
      <c r="M187" s="19"/>
    </row>
    <row r="188" spans="1:13" outlineLevel="3" x14ac:dyDescent="0.2">
      <c r="A188" s="13" t="s">
        <v>131</v>
      </c>
      <c r="B188" s="14" t="s">
        <v>130</v>
      </c>
      <c r="C188" s="15"/>
      <c r="D188" s="15"/>
      <c r="E188" s="16"/>
      <c r="F188" s="17"/>
      <c r="G188" s="18"/>
      <c r="H188" s="18"/>
      <c r="I188" s="18"/>
      <c r="J188" s="55"/>
      <c r="K188" s="55">
        <f>SUM($K$189)</f>
        <v>0</v>
      </c>
      <c r="L188" s="19"/>
      <c r="M188" s="19"/>
    </row>
    <row r="189" spans="1:13" outlineLevel="4" x14ac:dyDescent="0.2">
      <c r="A189" s="20"/>
      <c r="B189" s="14" t="s">
        <v>23</v>
      </c>
      <c r="C189" s="21"/>
      <c r="D189" s="21"/>
      <c r="E189" s="21"/>
      <c r="F189" s="21"/>
      <c r="G189" s="21"/>
      <c r="H189" s="21"/>
      <c r="I189" s="21"/>
      <c r="J189" s="56"/>
      <c r="K189" s="57">
        <f>SUM($K$190)</f>
        <v>0</v>
      </c>
      <c r="L189" s="18"/>
      <c r="M189" s="22"/>
    </row>
    <row r="190" spans="1:13" ht="22.5" outlineLevel="4" x14ac:dyDescent="0.2">
      <c r="A190" s="23"/>
      <c r="B190" s="24" t="s">
        <v>132</v>
      </c>
      <c r="C190" s="25"/>
      <c r="D190" s="25"/>
      <c r="E190" s="26" t="s">
        <v>133</v>
      </c>
      <c r="F190" s="27"/>
      <c r="G190" s="28">
        <v>1</v>
      </c>
      <c r="H190" s="28">
        <v>1</v>
      </c>
      <c r="I190" s="28">
        <f>SUM($G$190:$H$190)</f>
        <v>2</v>
      </c>
      <c r="J190" s="58">
        <f t="array" ref="J190">INDEX(Р[Цена за ед., руб],MATCH(1,IF(($B190=Р[Наименование])*($L190=Р[Примечание]),{1},($B190=Р[Наименование])*($L190=Р[Примечание])),0))</f>
        <v>0</v>
      </c>
      <c r="K190" s="58">
        <f>ROUND($I$190*$J$190,2)</f>
        <v>0</v>
      </c>
      <c r="L190" s="25"/>
      <c r="M190" s="25"/>
    </row>
    <row r="191" spans="1:13" x14ac:dyDescent="0.2">
      <c r="A191" s="119" t="s">
        <v>164</v>
      </c>
      <c r="B191" s="120"/>
      <c r="C191" s="120"/>
      <c r="D191" s="120"/>
      <c r="E191" s="120"/>
      <c r="F191" s="120"/>
      <c r="G191" s="120"/>
      <c r="H191" s="120"/>
      <c r="I191" s="120"/>
      <c r="J191" s="121"/>
      <c r="K191" s="59">
        <f ca="1">$K$9</f>
        <v>0</v>
      </c>
      <c r="L191" s="32"/>
      <c r="M191" s="32"/>
    </row>
    <row r="192" spans="1:13" x14ac:dyDescent="0.2">
      <c r="A192" s="122" t="s">
        <v>141</v>
      </c>
      <c r="B192" s="123"/>
      <c r="C192" s="123"/>
      <c r="D192" s="123"/>
      <c r="E192" s="123"/>
      <c r="F192" s="123"/>
      <c r="G192" s="123"/>
      <c r="H192" s="123"/>
      <c r="I192" s="123"/>
      <c r="J192" s="124"/>
      <c r="K192" s="59">
        <f>SUM($K$176,$K$189,$K$170,$K$165,$K$161,$K$156,$K$152,$K$150,$K$144,$K$140,$K$136,$K$132,$K$122,$K$117,$K$115,$K$111,$K$107,$K$103,$K$96,$K$94,$K$88,$K$83,$K$79,$K$75,$K$70,$K$68,$K$62,$K$58,$K$52,$K$48,$K$43,$K$38,$K$34,$K$30,$K$26,$K$22,$K$16,$K$14,$K$12)</f>
        <v>0</v>
      </c>
      <c r="L192" s="32"/>
      <c r="M192" s="32"/>
    </row>
    <row r="193" spans="1:128" x14ac:dyDescent="0.2">
      <c r="A193" s="122" t="s">
        <v>142</v>
      </c>
      <c r="B193" s="123"/>
      <c r="C193" s="123"/>
      <c r="D193" s="123"/>
      <c r="E193" s="123"/>
      <c r="F193" s="123"/>
      <c r="G193" s="123"/>
      <c r="H193" s="123"/>
      <c r="I193" s="123"/>
      <c r="J193" s="124"/>
      <c r="K193" s="59">
        <f ca="1">SUM($K$178,$K$172,$K$167,$K$163,$K$158,$K$154,$K$146,$K$142,$K$138,$K$134,$K$124,$K$119,$K$113,$K$109,$K$105,$K$98,$K$90,$K$85,$K$81,$K$77,$K$72,$K$64,$K$60,$K$54,$K$50,$K$45,$K$40,$K$36,$K$32,$K$28,$K$24,$K$18,K180,K131)</f>
        <v>0</v>
      </c>
      <c r="L193" s="32"/>
      <c r="M193" s="32"/>
    </row>
    <row r="194" spans="1:128" x14ac:dyDescent="0.2">
      <c r="A194" s="125" t="s">
        <v>165</v>
      </c>
      <c r="B194" s="126"/>
      <c r="C194" s="126"/>
      <c r="D194" s="126"/>
      <c r="E194" s="126"/>
      <c r="F194" s="126"/>
      <c r="G194" s="126"/>
      <c r="H194" s="126"/>
      <c r="I194" s="126"/>
      <c r="J194" s="127"/>
      <c r="K194" s="65"/>
      <c r="L194" s="81" t="s">
        <v>168</v>
      </c>
      <c r="M194" s="32"/>
    </row>
    <row r="195" spans="1:128" x14ac:dyDescent="0.2">
      <c r="A195" s="33"/>
      <c r="B195" s="115" t="s">
        <v>143</v>
      </c>
      <c r="C195" s="115"/>
      <c r="D195" s="115"/>
      <c r="E195" s="115"/>
      <c r="F195" s="115"/>
      <c r="G195" s="115"/>
      <c r="H195" s="115"/>
      <c r="I195" s="115"/>
      <c r="J195" s="116"/>
      <c r="K195" s="116"/>
      <c r="L195" s="115"/>
      <c r="M195" s="33"/>
    </row>
    <row r="196" spans="1:128" x14ac:dyDescent="0.2">
      <c r="B196" s="117"/>
      <c r="C196" s="117"/>
      <c r="D196" s="117"/>
      <c r="E196" s="117"/>
      <c r="F196" s="117"/>
      <c r="G196" s="117"/>
      <c r="H196" s="117"/>
      <c r="I196" s="117"/>
      <c r="J196" s="118"/>
      <c r="K196" s="118"/>
      <c r="L196" s="117"/>
    </row>
    <row r="197" spans="1:128" s="89" customFormat="1" ht="12.75" x14ac:dyDescent="0.2">
      <c r="A197" s="82"/>
      <c r="B197" s="83" t="s">
        <v>169</v>
      </c>
      <c r="C197" s="84"/>
      <c r="D197" s="84"/>
      <c r="E197" s="85"/>
      <c r="F197" s="85"/>
      <c r="G197" s="85"/>
      <c r="H197" s="85"/>
      <c r="I197" s="85"/>
      <c r="J197" s="85"/>
      <c r="K197" s="86"/>
      <c r="L197" s="85"/>
      <c r="M197" s="85"/>
      <c r="N197" s="84"/>
      <c r="O197" s="84"/>
      <c r="P197" s="87"/>
      <c r="Q197" s="88"/>
      <c r="W197" s="90"/>
      <c r="AE197" s="90"/>
      <c r="AM197" s="90"/>
      <c r="AU197" s="90"/>
      <c r="AV197" s="90"/>
      <c r="AW197" s="90"/>
      <c r="AX197" s="90"/>
      <c r="AY197" s="90"/>
      <c r="AZ197" s="90"/>
      <c r="BA197" s="90"/>
      <c r="BB197" s="90"/>
      <c r="BC197" s="90"/>
      <c r="BD197" s="90"/>
      <c r="BE197" s="90"/>
      <c r="BF197" s="90"/>
      <c r="BG197" s="90"/>
      <c r="BH197" s="90"/>
      <c r="BI197" s="90"/>
      <c r="BJ197" s="90"/>
      <c r="BK197" s="90"/>
      <c r="BL197" s="90"/>
      <c r="BM197" s="90"/>
      <c r="BN197" s="90"/>
      <c r="BO197" s="90"/>
      <c r="BP197" s="90"/>
      <c r="BQ197" s="90"/>
      <c r="BR197" s="90"/>
      <c r="BS197" s="90"/>
      <c r="BT197" s="90"/>
      <c r="BU197" s="90"/>
      <c r="BV197" s="90"/>
      <c r="BW197" s="90"/>
      <c r="BX197" s="90"/>
      <c r="BY197" s="90"/>
      <c r="BZ197" s="90"/>
      <c r="CA197" s="90"/>
      <c r="CB197" s="90"/>
      <c r="CC197" s="90"/>
      <c r="CD197" s="90"/>
      <c r="CE197" s="90"/>
      <c r="CF197" s="90"/>
      <c r="CG197" s="90"/>
      <c r="CH197" s="90"/>
      <c r="CI197" s="90"/>
      <c r="CJ197" s="90"/>
      <c r="CK197" s="90"/>
      <c r="CL197" s="90"/>
      <c r="CM197" s="90"/>
      <c r="CN197" s="90"/>
      <c r="CO197" s="90"/>
      <c r="CP197" s="90"/>
      <c r="CQ197" s="90"/>
      <c r="CR197" s="90"/>
      <c r="CS197" s="90"/>
      <c r="CT197" s="90"/>
      <c r="CU197" s="90"/>
      <c r="CV197" s="90"/>
      <c r="CW197" s="90"/>
      <c r="CX197" s="90"/>
      <c r="CY197" s="90"/>
      <c r="CZ197" s="90"/>
      <c r="DA197" s="90"/>
      <c r="DB197" s="90"/>
      <c r="DC197" s="90"/>
      <c r="DD197" s="90"/>
      <c r="DE197" s="90"/>
      <c r="DF197" s="90"/>
      <c r="DG197" s="90"/>
      <c r="DO197" s="90"/>
      <c r="DP197" s="90"/>
      <c r="DX197" s="90"/>
    </row>
    <row r="198" spans="1:128" s="89" customFormat="1" ht="12.75" x14ac:dyDescent="0.2">
      <c r="A198" s="82"/>
      <c r="B198" s="99" t="s">
        <v>176</v>
      </c>
      <c r="C198" s="99"/>
      <c r="D198" s="99"/>
      <c r="E198" s="99"/>
      <c r="F198" s="99"/>
      <c r="G198" s="99"/>
      <c r="H198" s="99"/>
      <c r="I198" s="99"/>
      <c r="J198" s="99"/>
      <c r="K198" s="99"/>
      <c r="L198" s="85"/>
      <c r="M198" s="85"/>
      <c r="N198" s="84"/>
      <c r="O198" s="84"/>
      <c r="P198" s="87"/>
      <c r="Q198" s="88"/>
      <c r="W198" s="90"/>
      <c r="AE198" s="90"/>
      <c r="AM198" s="90"/>
      <c r="AU198" s="90"/>
      <c r="AV198" s="90"/>
      <c r="AW198" s="90"/>
      <c r="AX198" s="90"/>
      <c r="AY198" s="90"/>
      <c r="AZ198" s="90"/>
      <c r="BA198" s="90"/>
      <c r="BB198" s="90"/>
      <c r="BC198" s="90"/>
      <c r="BD198" s="90"/>
      <c r="BE198" s="90"/>
      <c r="BF198" s="90"/>
      <c r="BG198" s="90"/>
      <c r="BH198" s="90"/>
      <c r="BI198" s="90"/>
      <c r="BJ198" s="90"/>
      <c r="BK198" s="90"/>
      <c r="BL198" s="90"/>
      <c r="BM198" s="90"/>
      <c r="BN198" s="90"/>
      <c r="BO198" s="90"/>
      <c r="BP198" s="90"/>
      <c r="BQ198" s="90"/>
      <c r="BR198" s="90"/>
      <c r="BS198" s="90"/>
      <c r="BT198" s="90"/>
      <c r="BU198" s="90"/>
      <c r="BV198" s="90"/>
      <c r="BW198" s="90"/>
      <c r="BX198" s="90"/>
      <c r="BY198" s="90"/>
      <c r="BZ198" s="90"/>
      <c r="CA198" s="90"/>
      <c r="CB198" s="90"/>
      <c r="CC198" s="90"/>
      <c r="CD198" s="90"/>
      <c r="CE198" s="90"/>
      <c r="CF198" s="90"/>
      <c r="CG198" s="90"/>
      <c r="CH198" s="90"/>
      <c r="CI198" s="90"/>
      <c r="CJ198" s="90"/>
      <c r="CK198" s="90"/>
      <c r="CL198" s="90"/>
      <c r="CM198" s="90"/>
      <c r="CN198" s="90"/>
      <c r="CO198" s="90"/>
      <c r="CP198" s="90"/>
      <c r="CQ198" s="90"/>
      <c r="CR198" s="90"/>
      <c r="CS198" s="90"/>
      <c r="CT198" s="90"/>
      <c r="CU198" s="90"/>
      <c r="CV198" s="90"/>
      <c r="CW198" s="90"/>
      <c r="CX198" s="90"/>
      <c r="CY198" s="90"/>
      <c r="CZ198" s="90"/>
      <c r="DA198" s="90"/>
      <c r="DB198" s="90"/>
      <c r="DC198" s="90"/>
      <c r="DD198" s="90"/>
      <c r="DE198" s="90"/>
      <c r="DF198" s="90"/>
      <c r="DG198" s="90"/>
      <c r="DO198" s="90"/>
      <c r="DP198" s="90"/>
      <c r="DX198" s="90"/>
    </row>
    <row r="199" spans="1:128" s="89" customFormat="1" ht="12.75" x14ac:dyDescent="0.2">
      <c r="A199" s="82" t="s">
        <v>170</v>
      </c>
      <c r="B199" s="100" t="s">
        <v>171</v>
      </c>
      <c r="C199" s="100"/>
      <c r="D199" s="100"/>
      <c r="E199" s="100"/>
      <c r="F199" s="100"/>
      <c r="G199" s="100"/>
      <c r="H199" s="100"/>
      <c r="I199" s="100"/>
      <c r="J199" s="100"/>
      <c r="K199" s="100"/>
      <c r="L199" s="100"/>
      <c r="M199" s="100"/>
      <c r="N199" s="100"/>
      <c r="O199" s="100"/>
      <c r="P199" s="91"/>
      <c r="Q199" s="91"/>
      <c r="W199" s="90"/>
      <c r="AE199" s="90"/>
      <c r="AM199" s="90"/>
      <c r="AU199" s="90"/>
      <c r="AV199" s="90"/>
      <c r="AW199" s="90"/>
      <c r="AX199" s="90"/>
      <c r="AY199" s="90"/>
      <c r="AZ199" s="90"/>
      <c r="BA199" s="90"/>
      <c r="BB199" s="90"/>
      <c r="BC199" s="90"/>
      <c r="BD199" s="90"/>
      <c r="BE199" s="90"/>
      <c r="BF199" s="90"/>
      <c r="BG199" s="90"/>
      <c r="BH199" s="90"/>
      <c r="BI199" s="90"/>
      <c r="BJ199" s="90"/>
      <c r="BK199" s="90"/>
      <c r="BL199" s="90"/>
      <c r="BM199" s="90"/>
      <c r="BN199" s="90"/>
      <c r="BO199" s="90"/>
      <c r="BP199" s="90"/>
      <c r="BQ199" s="90"/>
      <c r="BR199" s="90"/>
      <c r="BS199" s="90"/>
      <c r="BT199" s="90"/>
      <c r="BU199" s="90"/>
      <c r="BV199" s="90"/>
      <c r="BW199" s="90"/>
      <c r="BX199" s="90"/>
      <c r="BY199" s="90"/>
      <c r="BZ199" s="90"/>
      <c r="CA199" s="90"/>
      <c r="CB199" s="90"/>
      <c r="CC199" s="90"/>
      <c r="CD199" s="90"/>
      <c r="CE199" s="90"/>
      <c r="CF199" s="90"/>
      <c r="CG199" s="90"/>
      <c r="CH199" s="90"/>
      <c r="CI199" s="90"/>
      <c r="CJ199" s="90"/>
      <c r="CK199" s="90"/>
      <c r="CL199" s="90"/>
      <c r="CM199" s="90"/>
      <c r="CN199" s="90"/>
      <c r="CO199" s="90"/>
      <c r="CP199" s="90"/>
      <c r="CQ199" s="90"/>
      <c r="CR199" s="90"/>
      <c r="CS199" s="90"/>
      <c r="CT199" s="90"/>
      <c r="CU199" s="90"/>
      <c r="CV199" s="90"/>
      <c r="CW199" s="90"/>
      <c r="CX199" s="90"/>
      <c r="CY199" s="90"/>
      <c r="CZ199" s="90"/>
      <c r="DA199" s="90"/>
      <c r="DB199" s="90"/>
      <c r="DC199" s="90"/>
      <c r="DD199" s="90"/>
      <c r="DE199" s="90"/>
      <c r="DF199" s="90"/>
      <c r="DG199" s="90"/>
      <c r="DO199" s="90"/>
      <c r="DP199" s="90"/>
      <c r="DX199" s="90"/>
    </row>
    <row r="200" spans="1:128" s="89" customFormat="1" ht="12.75" x14ac:dyDescent="0.2">
      <c r="A200" s="89" t="s">
        <v>170</v>
      </c>
      <c r="B200" s="100" t="s">
        <v>172</v>
      </c>
      <c r="C200" s="100"/>
      <c r="D200" s="100"/>
      <c r="E200" s="100"/>
      <c r="F200" s="100"/>
      <c r="G200" s="100"/>
      <c r="H200" s="100"/>
      <c r="I200" s="100"/>
      <c r="J200" s="100"/>
      <c r="K200" s="100"/>
      <c r="L200" s="100"/>
      <c r="M200" s="100"/>
      <c r="N200" s="100"/>
      <c r="O200" s="100"/>
      <c r="P200" s="92"/>
      <c r="Q200" s="88"/>
      <c r="W200" s="90"/>
      <c r="AE200" s="90"/>
      <c r="AM200" s="90"/>
      <c r="AU200" s="90"/>
      <c r="AV200" s="90"/>
      <c r="AW200" s="90"/>
      <c r="AX200" s="90"/>
      <c r="AY200" s="90"/>
      <c r="AZ200" s="90"/>
      <c r="BA200" s="90"/>
      <c r="BB200" s="90"/>
      <c r="BC200" s="90"/>
      <c r="BD200" s="90"/>
      <c r="BE200" s="90"/>
      <c r="BF200" s="90"/>
      <c r="BG200" s="90"/>
      <c r="BH200" s="90"/>
      <c r="BI200" s="90"/>
      <c r="BJ200" s="90"/>
      <c r="BK200" s="90"/>
      <c r="BL200" s="90"/>
      <c r="BM200" s="90"/>
      <c r="BN200" s="90"/>
      <c r="BO200" s="90"/>
      <c r="BP200" s="90"/>
      <c r="BQ200" s="90"/>
      <c r="BR200" s="90"/>
      <c r="BS200" s="90"/>
      <c r="BT200" s="90"/>
      <c r="BU200" s="90"/>
      <c r="BV200" s="90"/>
      <c r="BW200" s="90"/>
      <c r="BX200" s="90"/>
      <c r="BY200" s="90"/>
      <c r="BZ200" s="90"/>
      <c r="CA200" s="90"/>
      <c r="CB200" s="90"/>
      <c r="CC200" s="90"/>
      <c r="CD200" s="90"/>
      <c r="CE200" s="90"/>
      <c r="CF200" s="90"/>
      <c r="CG200" s="90"/>
      <c r="CH200" s="90"/>
      <c r="CI200" s="90"/>
      <c r="CJ200" s="90"/>
      <c r="CK200" s="90"/>
      <c r="CL200" s="90"/>
      <c r="CM200" s="90"/>
      <c r="CN200" s="90"/>
      <c r="CO200" s="90"/>
      <c r="CP200" s="90"/>
      <c r="CQ200" s="90"/>
      <c r="CR200" s="90"/>
      <c r="CS200" s="90"/>
      <c r="CT200" s="90"/>
      <c r="CU200" s="90"/>
      <c r="CV200" s="90"/>
      <c r="CW200" s="90"/>
      <c r="CX200" s="90"/>
      <c r="CY200" s="90"/>
      <c r="CZ200" s="90"/>
      <c r="DA200" s="90"/>
      <c r="DB200" s="90"/>
      <c r="DC200" s="90"/>
      <c r="DD200" s="90"/>
      <c r="DE200" s="90"/>
      <c r="DF200" s="90"/>
      <c r="DG200" s="90"/>
      <c r="DO200" s="90"/>
      <c r="DP200" s="90"/>
      <c r="DX200" s="90"/>
    </row>
    <row r="201" spans="1:128" s="89" customFormat="1" ht="12.75" x14ac:dyDescent="0.2">
      <c r="A201" s="82" t="s">
        <v>170</v>
      </c>
      <c r="B201" s="101" t="s">
        <v>173</v>
      </c>
      <c r="C201" s="101"/>
      <c r="D201" s="101"/>
      <c r="E201" s="101"/>
      <c r="F201" s="101"/>
      <c r="G201" s="101"/>
      <c r="H201" s="101"/>
      <c r="I201" s="101"/>
      <c r="J201" s="101"/>
      <c r="K201" s="101"/>
      <c r="L201" s="101"/>
      <c r="M201" s="101"/>
      <c r="N201" s="101"/>
      <c r="O201" s="101"/>
      <c r="P201" s="93"/>
      <c r="Q201" s="93"/>
      <c r="W201" s="90"/>
      <c r="AE201" s="90"/>
      <c r="AM201" s="90"/>
      <c r="AU201" s="90"/>
      <c r="AV201" s="90"/>
      <c r="AW201" s="90"/>
      <c r="AX201" s="90"/>
      <c r="AY201" s="90"/>
      <c r="AZ201" s="90"/>
      <c r="BA201" s="90"/>
      <c r="BB201" s="90"/>
      <c r="BC201" s="90"/>
      <c r="BD201" s="90"/>
      <c r="BE201" s="90"/>
      <c r="BF201" s="90"/>
      <c r="BG201" s="90"/>
      <c r="BH201" s="90"/>
      <c r="BI201" s="90"/>
      <c r="BJ201" s="90"/>
      <c r="BK201" s="90"/>
      <c r="BL201" s="90"/>
      <c r="BM201" s="90"/>
      <c r="BN201" s="90"/>
      <c r="BO201" s="90"/>
      <c r="BP201" s="90"/>
      <c r="BQ201" s="90"/>
      <c r="BR201" s="90"/>
      <c r="BS201" s="90"/>
      <c r="BT201" s="90"/>
      <c r="BU201" s="90"/>
      <c r="BV201" s="90"/>
      <c r="BW201" s="90"/>
      <c r="BX201" s="90"/>
      <c r="BY201" s="90"/>
      <c r="BZ201" s="90"/>
      <c r="CA201" s="90"/>
      <c r="CB201" s="90"/>
      <c r="CC201" s="90"/>
      <c r="CD201" s="90"/>
      <c r="CE201" s="90"/>
      <c r="CF201" s="90"/>
      <c r="CG201" s="90"/>
      <c r="CH201" s="90"/>
      <c r="CI201" s="90"/>
      <c r="CJ201" s="90"/>
      <c r="CK201" s="90"/>
      <c r="CL201" s="90"/>
      <c r="CM201" s="90"/>
      <c r="CN201" s="90"/>
      <c r="CO201" s="90"/>
      <c r="CP201" s="90"/>
      <c r="CQ201" s="90"/>
      <c r="CR201" s="90"/>
      <c r="CS201" s="90"/>
      <c r="CT201" s="90"/>
      <c r="CU201" s="90"/>
      <c r="CV201" s="90"/>
      <c r="CW201" s="90"/>
      <c r="CX201" s="90"/>
      <c r="CY201" s="90"/>
      <c r="CZ201" s="90"/>
      <c r="DA201" s="90"/>
      <c r="DB201" s="90"/>
      <c r="DC201" s="90"/>
      <c r="DD201" s="90"/>
      <c r="DE201" s="90"/>
      <c r="DF201" s="90"/>
      <c r="DG201" s="90"/>
      <c r="DO201" s="90"/>
      <c r="DP201" s="90"/>
      <c r="DX201" s="90"/>
    </row>
    <row r="202" spans="1:128" ht="15.75" x14ac:dyDescent="0.2">
      <c r="A202" s="94" t="s">
        <v>170</v>
      </c>
      <c r="B202" s="102" t="s">
        <v>174</v>
      </c>
      <c r="C202" s="102"/>
      <c r="D202" s="102"/>
      <c r="E202" s="102"/>
      <c r="F202" s="102"/>
      <c r="G202" s="102"/>
      <c r="H202" s="102"/>
      <c r="I202" s="102"/>
      <c r="J202" s="102"/>
      <c r="K202" s="102"/>
      <c r="L202" s="102"/>
      <c r="M202" s="102"/>
      <c r="N202" s="102"/>
      <c r="O202" s="102"/>
    </row>
    <row r="203" spans="1:128" ht="15.75" x14ac:dyDescent="0.2">
      <c r="B203" s="98" t="s">
        <v>175</v>
      </c>
      <c r="C203" s="98"/>
      <c r="D203" s="98"/>
      <c r="E203" s="98"/>
      <c r="F203" s="98"/>
      <c r="G203" s="98"/>
      <c r="H203" s="98"/>
      <c r="I203" s="98"/>
      <c r="J203" s="98"/>
      <c r="K203" s="98"/>
      <c r="L203" s="98"/>
      <c r="M203" s="98"/>
      <c r="N203" s="98"/>
      <c r="O203" s="98"/>
      <c r="P203" s="98"/>
      <c r="Q203" s="98"/>
      <c r="R203" s="98"/>
      <c r="S203" s="98"/>
    </row>
  </sheetData>
  <autoFilter ref="A7:M195" xr:uid="{00000000-0001-0000-0000-000000000000}"/>
  <mergeCells count="28">
    <mergeCell ref="B195:L195"/>
    <mergeCell ref="B196:L196"/>
    <mergeCell ref="K6:K7"/>
    <mergeCell ref="L6:L7"/>
    <mergeCell ref="A191:J191"/>
    <mergeCell ref="A192:J192"/>
    <mergeCell ref="A193:J193"/>
    <mergeCell ref="A194:J194"/>
    <mergeCell ref="A6:A7"/>
    <mergeCell ref="M6:M7"/>
    <mergeCell ref="B2:J2"/>
    <mergeCell ref="B3:J3"/>
    <mergeCell ref="B4:J4"/>
    <mergeCell ref="F6:F7"/>
    <mergeCell ref="G6:G7"/>
    <mergeCell ref="H6:H7"/>
    <mergeCell ref="I6:I7"/>
    <mergeCell ref="J6:J7"/>
    <mergeCell ref="B6:B7"/>
    <mergeCell ref="C6:C7"/>
    <mergeCell ref="D6:D7"/>
    <mergeCell ref="E6:E7"/>
    <mergeCell ref="B203:S203"/>
    <mergeCell ref="B198:K198"/>
    <mergeCell ref="B199:O199"/>
    <mergeCell ref="B200:O200"/>
    <mergeCell ref="B201:O201"/>
    <mergeCell ref="B202:O202"/>
  </mergeCells>
  <conditionalFormatting sqref="DQ197:DX201">
    <cfRule type="cellIs" dxfId="10" priority="1" operator="equal">
      <formula>0</formula>
    </cfRule>
    <cfRule type="cellIs" dxfId="9" priority="2" operator="lessThan">
      <formula>0</formula>
    </cfRule>
  </conditionalFormatting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32"/>
  <sheetViews>
    <sheetView workbookViewId="0">
      <pane ySplit="3" topLeftCell="A4" activePane="bottomLeft" state="frozen"/>
      <selection pane="bottomLeft" activeCell="D4" sqref="D4:D29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28" t="s">
        <v>144</v>
      </c>
      <c r="B1" s="128"/>
      <c r="C1" s="128"/>
      <c r="D1" s="128"/>
      <c r="E1" s="128"/>
      <c r="F1" s="128"/>
    </row>
    <row r="3" spans="1:6" ht="11.1" customHeight="1" x14ac:dyDescent="0.2">
      <c r="A3" s="41" t="s">
        <v>4</v>
      </c>
      <c r="B3" s="2" t="s">
        <v>7</v>
      </c>
      <c r="C3" s="2" t="s">
        <v>11</v>
      </c>
      <c r="D3" s="48" t="s">
        <v>12</v>
      </c>
      <c r="E3" s="48" t="s">
        <v>13</v>
      </c>
      <c r="F3" s="42" t="s">
        <v>14</v>
      </c>
    </row>
    <row r="4" spans="1:6" ht="11.1" customHeight="1" x14ac:dyDescent="0.2">
      <c r="A4" s="39" t="s">
        <v>24</v>
      </c>
      <c r="B4" s="34" t="s">
        <v>25</v>
      </c>
      <c r="C4" s="35">
        <v>454</v>
      </c>
      <c r="D4" s="49"/>
      <c r="E4" s="49">
        <f>ROUND(Р[[#This Row],[Количество]]*Р[[#This Row],[Цена за ед., руб]],2)</f>
        <v>0</v>
      </c>
      <c r="F4" s="40"/>
    </row>
    <row r="5" spans="1:6" ht="11.1" customHeight="1" x14ac:dyDescent="0.2">
      <c r="A5" s="39" t="s">
        <v>26</v>
      </c>
      <c r="B5" s="34" t="s">
        <v>25</v>
      </c>
      <c r="C5" s="35">
        <v>128</v>
      </c>
      <c r="D5" s="49"/>
      <c r="E5" s="49">
        <f>ROUND(Р[[#This Row],[Количество]]*Р[[#This Row],[Цена за ед., руб]],2)</f>
        <v>0</v>
      </c>
      <c r="F5" s="40"/>
    </row>
    <row r="6" spans="1:6" ht="11.1" customHeight="1" x14ac:dyDescent="0.2">
      <c r="A6" s="39" t="s">
        <v>27</v>
      </c>
      <c r="B6" s="34" t="s">
        <v>28</v>
      </c>
      <c r="C6" s="37">
        <v>3918</v>
      </c>
      <c r="D6" s="49"/>
      <c r="E6" s="49">
        <f>ROUND(Р[[#This Row],[Количество]]*Р[[#This Row],[Цена за ед., руб]],2)</f>
        <v>0</v>
      </c>
      <c r="F6" s="40"/>
    </row>
    <row r="7" spans="1:6" ht="11.1" customHeight="1" x14ac:dyDescent="0.2">
      <c r="A7" s="39" t="s">
        <v>39</v>
      </c>
      <c r="B7" s="34" t="s">
        <v>40</v>
      </c>
      <c r="C7" s="35">
        <v>132</v>
      </c>
      <c r="D7" s="49"/>
      <c r="E7" s="49">
        <f>ROUND(Р[[#This Row],[Количество]]*Р[[#This Row],[Цена за ед., руб]],2)</f>
        <v>0</v>
      </c>
      <c r="F7" s="40"/>
    </row>
    <row r="8" spans="1:6" ht="11.1" customHeight="1" x14ac:dyDescent="0.2">
      <c r="A8" s="39" t="s">
        <v>44</v>
      </c>
      <c r="B8" s="34" t="s">
        <v>25</v>
      </c>
      <c r="C8" s="35">
        <v>2</v>
      </c>
      <c r="D8" s="49"/>
      <c r="E8" s="49">
        <f>ROUND(Р[[#This Row],[Количество]]*Р[[#This Row],[Цена за ед., руб]],2)</f>
        <v>0</v>
      </c>
      <c r="F8" s="40"/>
    </row>
    <row r="9" spans="1:6" ht="11.1" customHeight="1" x14ac:dyDescent="0.2">
      <c r="A9" s="39" t="s">
        <v>48</v>
      </c>
      <c r="B9" s="34" t="s">
        <v>25</v>
      </c>
      <c r="C9" s="35">
        <v>23</v>
      </c>
      <c r="D9" s="49"/>
      <c r="E9" s="49">
        <f>ROUND(Р[[#This Row],[Количество]]*Р[[#This Row],[Цена за ед., руб]],2)</f>
        <v>0</v>
      </c>
      <c r="F9" s="40"/>
    </row>
    <row r="10" spans="1:6" ht="11.1" customHeight="1" x14ac:dyDescent="0.2">
      <c r="A10" s="39" t="s">
        <v>51</v>
      </c>
      <c r="B10" s="34" t="s">
        <v>25</v>
      </c>
      <c r="C10" s="35">
        <v>2</v>
      </c>
      <c r="D10" s="49"/>
      <c r="E10" s="49">
        <f>ROUND(Р[[#This Row],[Количество]]*Р[[#This Row],[Цена за ед., руб]],2)</f>
        <v>0</v>
      </c>
      <c r="F10" s="40"/>
    </row>
    <row r="11" spans="1:6" ht="11.1" customHeight="1" x14ac:dyDescent="0.2">
      <c r="A11" s="39" t="s">
        <v>54</v>
      </c>
      <c r="B11" s="34" t="s">
        <v>25</v>
      </c>
      <c r="C11" s="37">
        <v>1027</v>
      </c>
      <c r="D11" s="49"/>
      <c r="E11" s="49">
        <f>ROUND(Р[[#This Row],[Количество]]*Р[[#This Row],[Цена за ед., руб]],2)</f>
        <v>0</v>
      </c>
      <c r="F11" s="40"/>
    </row>
    <row r="12" spans="1:6" ht="11.1" customHeight="1" x14ac:dyDescent="0.2">
      <c r="A12" s="39" t="s">
        <v>58</v>
      </c>
      <c r="B12" s="34" t="s">
        <v>25</v>
      </c>
      <c r="C12" s="35">
        <v>242</v>
      </c>
      <c r="D12" s="49"/>
      <c r="E12" s="49">
        <f>ROUND(Р[[#This Row],[Количество]]*Р[[#This Row],[Цена за ед., руб]],2)</f>
        <v>0</v>
      </c>
      <c r="F12" s="40"/>
    </row>
    <row r="13" spans="1:6" ht="11.1" customHeight="1" x14ac:dyDescent="0.2">
      <c r="A13" s="39" t="s">
        <v>62</v>
      </c>
      <c r="B13" s="34" t="s">
        <v>25</v>
      </c>
      <c r="C13" s="35">
        <v>120</v>
      </c>
      <c r="D13" s="49"/>
      <c r="E13" s="49">
        <f>ROUND(Р[[#This Row],[Количество]]*Р[[#This Row],[Цена за ед., руб]],2)</f>
        <v>0</v>
      </c>
      <c r="F13" s="40"/>
    </row>
    <row r="14" spans="1:6" ht="11.1" customHeight="1" x14ac:dyDescent="0.2">
      <c r="A14" s="39" t="s">
        <v>65</v>
      </c>
      <c r="B14" s="34" t="s">
        <v>28</v>
      </c>
      <c r="C14" s="37">
        <v>1911</v>
      </c>
      <c r="D14" s="49"/>
      <c r="E14" s="49">
        <f>ROUND(Р[[#This Row],[Количество]]*Р[[#This Row],[Цена за ед., руб]],2)</f>
        <v>0</v>
      </c>
      <c r="F14" s="40"/>
    </row>
    <row r="15" spans="1:6" ht="11.1" customHeight="1" x14ac:dyDescent="0.2">
      <c r="A15" s="39" t="s">
        <v>70</v>
      </c>
      <c r="B15" s="34" t="s">
        <v>28</v>
      </c>
      <c r="C15" s="35">
        <v>921</v>
      </c>
      <c r="D15" s="49"/>
      <c r="E15" s="49">
        <f>ROUND(Р[[#This Row],[Количество]]*Р[[#This Row],[Цена за ед., руб]],2)</f>
        <v>0</v>
      </c>
      <c r="F15" s="40"/>
    </row>
    <row r="16" spans="1:6" ht="11.1" customHeight="1" x14ac:dyDescent="0.2">
      <c r="A16" s="39" t="s">
        <v>73</v>
      </c>
      <c r="B16" s="34" t="s">
        <v>28</v>
      </c>
      <c r="C16" s="38">
        <v>72.5</v>
      </c>
      <c r="D16" s="49"/>
      <c r="E16" s="49">
        <f>ROUND(Р[[#This Row],[Количество]]*Р[[#This Row],[Цена за ед., руб]],2)</f>
        <v>0</v>
      </c>
      <c r="F16" s="40"/>
    </row>
    <row r="17" spans="1:6" ht="11.1" customHeight="1" x14ac:dyDescent="0.2">
      <c r="A17" s="39" t="s">
        <v>80</v>
      </c>
      <c r="B17" s="34" t="s">
        <v>25</v>
      </c>
      <c r="C17" s="35">
        <v>95</v>
      </c>
      <c r="D17" s="49"/>
      <c r="E17" s="49">
        <f>ROUND(Р[[#This Row],[Количество]]*Р[[#This Row],[Цена за ед., руб]],2)</f>
        <v>0</v>
      </c>
      <c r="F17" s="40"/>
    </row>
    <row r="18" spans="1:6" ht="11.1" customHeight="1" x14ac:dyDescent="0.2">
      <c r="A18" s="39" t="s">
        <v>86</v>
      </c>
      <c r="B18" s="34" t="s">
        <v>28</v>
      </c>
      <c r="C18" s="35">
        <v>388</v>
      </c>
      <c r="D18" s="49"/>
      <c r="E18" s="49">
        <f>ROUND(Р[[#This Row],[Количество]]*Р[[#This Row],[Цена за ед., руб]],2)</f>
        <v>0</v>
      </c>
      <c r="F18" s="40"/>
    </row>
    <row r="19" spans="1:6" ht="11.1" customHeight="1" x14ac:dyDescent="0.2">
      <c r="A19" s="39" t="s">
        <v>93</v>
      </c>
      <c r="B19" s="34" t="s">
        <v>25</v>
      </c>
      <c r="C19" s="35">
        <v>230</v>
      </c>
      <c r="D19" s="49"/>
      <c r="E19" s="49">
        <f>ROUND(Р[[#This Row],[Количество]]*Р[[#This Row],[Цена за ед., руб]],2)</f>
        <v>0</v>
      </c>
      <c r="F19" s="40"/>
    </row>
    <row r="20" spans="1:6" ht="11.1" customHeight="1" x14ac:dyDescent="0.2">
      <c r="A20" s="39" t="s">
        <v>100</v>
      </c>
      <c r="B20" s="34" t="s">
        <v>25</v>
      </c>
      <c r="C20" s="35">
        <v>360</v>
      </c>
      <c r="D20" s="49"/>
      <c r="E20" s="49">
        <f>ROUND(Р[[#This Row],[Количество]]*Р[[#This Row],[Цена за ед., руб]],2)</f>
        <v>0</v>
      </c>
      <c r="F20" s="40"/>
    </row>
    <row r="21" spans="1:6" ht="11.1" customHeight="1" x14ac:dyDescent="0.2">
      <c r="A21" s="39" t="s">
        <v>103</v>
      </c>
      <c r="B21" s="34" t="s">
        <v>28</v>
      </c>
      <c r="C21" s="37">
        <v>2884</v>
      </c>
      <c r="D21" s="49"/>
      <c r="E21" s="49">
        <f>ROUND(Р[[#This Row],[Количество]]*Р[[#This Row],[Цена за ед., руб]],2)</f>
        <v>0</v>
      </c>
      <c r="F21" s="40"/>
    </row>
    <row r="22" spans="1:6" ht="11.1" customHeight="1" x14ac:dyDescent="0.2">
      <c r="A22" s="39" t="s">
        <v>110</v>
      </c>
      <c r="B22" s="34" t="s">
        <v>25</v>
      </c>
      <c r="C22" s="35">
        <v>11</v>
      </c>
      <c r="D22" s="49"/>
      <c r="E22" s="49">
        <f>ROUND(Р[[#This Row],[Количество]]*Р[[#This Row],[Цена за ед., руб]],2)</f>
        <v>0</v>
      </c>
      <c r="F22" s="40"/>
    </row>
    <row r="23" spans="1:6" ht="11.1" customHeight="1" x14ac:dyDescent="0.2">
      <c r="A23" s="39" t="s">
        <v>113</v>
      </c>
      <c r="B23" s="34" t="s">
        <v>25</v>
      </c>
      <c r="C23" s="35">
        <v>11</v>
      </c>
      <c r="D23" s="49"/>
      <c r="E23" s="49">
        <f>ROUND(Р[[#This Row],[Количество]]*Р[[#This Row],[Цена за ед., руб]],2)</f>
        <v>0</v>
      </c>
      <c r="F23" s="40"/>
    </row>
    <row r="24" spans="1:6" ht="11.1" customHeight="1" x14ac:dyDescent="0.2">
      <c r="A24" s="39" t="s">
        <v>114</v>
      </c>
      <c r="B24" s="34" t="s">
        <v>25</v>
      </c>
      <c r="C24" s="35">
        <v>11</v>
      </c>
      <c r="D24" s="49"/>
      <c r="E24" s="49">
        <f>ROUND(Р[[#This Row],[Количество]]*Р[[#This Row],[Цена за ед., руб]],2)</f>
        <v>0</v>
      </c>
      <c r="F24" s="40"/>
    </row>
    <row r="25" spans="1:6" ht="11.1" customHeight="1" x14ac:dyDescent="0.2">
      <c r="A25" s="39" t="s">
        <v>119</v>
      </c>
      <c r="B25" s="34" t="s">
        <v>25</v>
      </c>
      <c r="C25" s="35">
        <v>2</v>
      </c>
      <c r="D25" s="49"/>
      <c r="E25" s="49">
        <f>ROUND(Р[[#This Row],[Количество]]*Р[[#This Row],[Цена за ед., руб]],2)</f>
        <v>0</v>
      </c>
      <c r="F25" s="40"/>
    </row>
    <row r="26" spans="1:6" ht="11.1" customHeight="1" x14ac:dyDescent="0.2">
      <c r="A26" s="39" t="s">
        <v>122</v>
      </c>
      <c r="B26" s="34" t="s">
        <v>25</v>
      </c>
      <c r="C26" s="35">
        <v>4</v>
      </c>
      <c r="D26" s="49"/>
      <c r="E26" s="49">
        <f>ROUND(Р[[#This Row],[Количество]]*Р[[#This Row],[Цена за ед., руб]],2)</f>
        <v>0</v>
      </c>
      <c r="F26" s="40"/>
    </row>
    <row r="27" spans="1:6" ht="11.1" customHeight="1" x14ac:dyDescent="0.2">
      <c r="A27" s="39" t="s">
        <v>126</v>
      </c>
      <c r="B27" s="34" t="s">
        <v>25</v>
      </c>
      <c r="C27" s="35">
        <v>2</v>
      </c>
      <c r="D27" s="49"/>
      <c r="E27" s="49">
        <f>ROUND(Р[[#This Row],[Количество]]*Р[[#This Row],[Цена за ед., руб]],2)</f>
        <v>0</v>
      </c>
      <c r="F27" s="40"/>
    </row>
    <row r="28" spans="1:6" ht="11.1" customHeight="1" x14ac:dyDescent="0.2">
      <c r="A28" s="39" t="s">
        <v>132</v>
      </c>
      <c r="B28" s="34" t="s">
        <v>133</v>
      </c>
      <c r="C28" s="35">
        <v>2</v>
      </c>
      <c r="D28" s="49"/>
      <c r="E28" s="49">
        <f>ROUND(Р[[#This Row],[Количество]]*Р[[#This Row],[Цена за ед., руб]],2)</f>
        <v>0</v>
      </c>
      <c r="F28" s="40"/>
    </row>
    <row r="29" spans="1:6" ht="11.1" customHeight="1" x14ac:dyDescent="0.2">
      <c r="A29" s="78" t="s">
        <v>166</v>
      </c>
      <c r="B29" s="44" t="s">
        <v>133</v>
      </c>
      <c r="C29" s="45">
        <v>2</v>
      </c>
      <c r="D29" s="49"/>
      <c r="E29" s="50">
        <f>ROUND(Р[[#This Row],[Количество]]*Р[[#This Row],[Цена за ед., руб]],2)</f>
        <v>0</v>
      </c>
      <c r="F29" s="47"/>
    </row>
    <row r="30" spans="1:6" ht="11.45" customHeight="1" x14ac:dyDescent="0.2">
      <c r="A30" s="43" t="s">
        <v>157</v>
      </c>
      <c r="B30" s="44"/>
      <c r="C30" s="46"/>
      <c r="D30" s="50"/>
      <c r="E30" s="50">
        <f>SUBTOTAL(109,Р[Сумма, руб])</f>
        <v>0</v>
      </c>
      <c r="F30" s="47"/>
    </row>
    <row r="32" spans="1:6" ht="11.45" customHeight="1" x14ac:dyDescent="0.2">
      <c r="D32" s="79" t="s">
        <v>167</v>
      </c>
      <c r="E32" s="80">
        <f>ЛСР!K192-Р[[#Totals],[Сумма,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49"/>
  <sheetViews>
    <sheetView workbookViewId="0">
      <pane ySplit="3" topLeftCell="A8" activePane="bottomLeft" state="frozen"/>
      <selection pane="bottomLeft" activeCell="H41" sqref="H41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28" t="s">
        <v>145</v>
      </c>
      <c r="B1" s="128"/>
      <c r="C1" s="128"/>
      <c r="D1" s="128"/>
      <c r="E1" s="128"/>
      <c r="F1" s="128"/>
      <c r="G1" s="128"/>
      <c r="H1" s="128"/>
    </row>
    <row r="2" spans="1:9" ht="11.1" customHeight="1" x14ac:dyDescent="0.2"/>
    <row r="3" spans="1:9" ht="23.1" customHeight="1" x14ac:dyDescent="0.2">
      <c r="A3" s="41" t="s">
        <v>146</v>
      </c>
      <c r="B3" s="51" t="s">
        <v>147</v>
      </c>
      <c r="C3" s="42" t="s">
        <v>148</v>
      </c>
      <c r="D3" s="2" t="s">
        <v>7</v>
      </c>
      <c r="E3" s="2" t="s">
        <v>11</v>
      </c>
      <c r="F3" s="48" t="s">
        <v>12</v>
      </c>
      <c r="G3" s="48" t="s">
        <v>13</v>
      </c>
      <c r="H3" s="2" t="s">
        <v>149</v>
      </c>
      <c r="I3" s="42" t="s">
        <v>150</v>
      </c>
    </row>
    <row r="4" spans="1:9" ht="11.1" customHeight="1" x14ac:dyDescent="0.2">
      <c r="A4" s="39" t="s">
        <v>41</v>
      </c>
      <c r="B4" s="36"/>
      <c r="C4" s="36" t="s">
        <v>42</v>
      </c>
      <c r="D4" s="34" t="s">
        <v>40</v>
      </c>
      <c r="E4" s="35">
        <v>88</v>
      </c>
      <c r="F4" s="49"/>
      <c r="G4" s="49">
        <f>ROUND(М[[#This Row],[Количество]]*М[[#This Row],[Цена за ед., руб]],2)</f>
        <v>0</v>
      </c>
      <c r="H4" s="36" t="s">
        <v>43</v>
      </c>
      <c r="I4" s="40"/>
    </row>
    <row r="5" spans="1:9" ht="11.1" customHeight="1" x14ac:dyDescent="0.2">
      <c r="A5" s="39" t="s">
        <v>41</v>
      </c>
      <c r="B5" s="36"/>
      <c r="C5" s="36" t="s">
        <v>42</v>
      </c>
      <c r="D5" s="34" t="s">
        <v>40</v>
      </c>
      <c r="E5" s="35">
        <v>44</v>
      </c>
      <c r="F5" s="49"/>
      <c r="G5" s="49">
        <f>ROUND(М[[#This Row],[Количество]]*М[[#This Row],[Цена за ед., руб]],2)</f>
        <v>0</v>
      </c>
      <c r="H5" s="36"/>
      <c r="I5" s="40"/>
    </row>
    <row r="6" spans="1:9" ht="23.1" customHeight="1" x14ac:dyDescent="0.2">
      <c r="A6" s="39" t="s">
        <v>63</v>
      </c>
      <c r="B6" s="36"/>
      <c r="C6" s="36" t="s">
        <v>64</v>
      </c>
      <c r="D6" s="34" t="s">
        <v>25</v>
      </c>
      <c r="E6" s="35">
        <v>120</v>
      </c>
      <c r="F6" s="49"/>
      <c r="G6" s="49">
        <f>ROUND(М[[#This Row],[Количество]]*М[[#This Row],[Цена за ед., руб]],2)</f>
        <v>0</v>
      </c>
      <c r="H6" s="36"/>
      <c r="I6" s="40"/>
    </row>
    <row r="7" spans="1:9" ht="11.1" customHeight="1" x14ac:dyDescent="0.2">
      <c r="A7" s="39" t="s">
        <v>31</v>
      </c>
      <c r="B7" s="97" t="s">
        <v>177</v>
      </c>
      <c r="C7" s="36" t="s">
        <v>32</v>
      </c>
      <c r="D7" s="34" t="s">
        <v>33</v>
      </c>
      <c r="E7" s="35">
        <v>61</v>
      </c>
      <c r="F7" s="49"/>
      <c r="G7" s="49">
        <f>ROUND(М[[#This Row],[Количество]]*М[[#This Row],[Цена за ед., руб]],2)</f>
        <v>0</v>
      </c>
      <c r="H7" s="36"/>
      <c r="I7" s="40"/>
    </row>
    <row r="8" spans="1:9" ht="11.1" customHeight="1" x14ac:dyDescent="0.2">
      <c r="A8" s="39" t="s">
        <v>31</v>
      </c>
      <c r="B8" s="97" t="s">
        <v>177</v>
      </c>
      <c r="C8" s="36" t="s">
        <v>32</v>
      </c>
      <c r="D8" s="34" t="s">
        <v>33</v>
      </c>
      <c r="E8" s="35">
        <v>127</v>
      </c>
      <c r="F8" s="49"/>
      <c r="G8" s="49">
        <f>ROUND(М[[#This Row],[Количество]]*М[[#This Row],[Цена за ед., руб]],2)</f>
        <v>0</v>
      </c>
      <c r="H8" s="36" t="s">
        <v>35</v>
      </c>
      <c r="I8" s="40"/>
    </row>
    <row r="9" spans="1:9" ht="23.1" customHeight="1" x14ac:dyDescent="0.2">
      <c r="A9" s="39" t="s">
        <v>37</v>
      </c>
      <c r="B9" s="36" t="s">
        <v>95</v>
      </c>
      <c r="C9" s="36" t="s">
        <v>38</v>
      </c>
      <c r="D9" s="34" t="s">
        <v>33</v>
      </c>
      <c r="E9" s="35">
        <v>16</v>
      </c>
      <c r="F9" s="49"/>
      <c r="G9" s="49">
        <f>ROUND(М[[#This Row],[Количество]]*М[[#This Row],[Цена за ед., руб]],2)</f>
        <v>0</v>
      </c>
      <c r="H9" s="36"/>
      <c r="I9" s="40"/>
    </row>
    <row r="10" spans="1:9" ht="11.1" customHeight="1" x14ac:dyDescent="0.2">
      <c r="A10" s="39" t="s">
        <v>49</v>
      </c>
      <c r="B10" s="36"/>
      <c r="C10" s="36" t="s">
        <v>98</v>
      </c>
      <c r="D10" s="34" t="s">
        <v>25</v>
      </c>
      <c r="E10" s="35">
        <v>15</v>
      </c>
      <c r="F10" s="49"/>
      <c r="G10" s="49">
        <f>ROUND(М[[#This Row],[Количество]]*М[[#This Row],[Цена за ед., руб]],2)</f>
        <v>0</v>
      </c>
      <c r="H10" s="36"/>
      <c r="I10" s="40"/>
    </row>
    <row r="11" spans="1:9" ht="11.1" customHeight="1" x14ac:dyDescent="0.2">
      <c r="A11" s="39" t="s">
        <v>49</v>
      </c>
      <c r="B11" s="36"/>
      <c r="C11" s="36" t="s">
        <v>50</v>
      </c>
      <c r="D11" s="34" t="s">
        <v>25</v>
      </c>
      <c r="E11" s="35">
        <v>8</v>
      </c>
      <c r="F11" s="49"/>
      <c r="G11" s="49">
        <f>ROUND(М[[#This Row],[Количество]]*М[[#This Row],[Цена за ед., руб]],2)</f>
        <v>0</v>
      </c>
      <c r="H11" s="36"/>
      <c r="I11" s="40"/>
    </row>
    <row r="12" spans="1:9" ht="23.1" customHeight="1" x14ac:dyDescent="0.2">
      <c r="A12" s="39" t="s">
        <v>87</v>
      </c>
      <c r="B12" s="36" t="s">
        <v>88</v>
      </c>
      <c r="C12" s="36" t="s">
        <v>89</v>
      </c>
      <c r="D12" s="34" t="s">
        <v>33</v>
      </c>
      <c r="E12" s="35">
        <v>388</v>
      </c>
      <c r="F12" s="49"/>
      <c r="G12" s="49">
        <f>ROUND(М[[#This Row],[Количество]]*М[[#This Row],[Цена за ед., руб]],2)</f>
        <v>0</v>
      </c>
      <c r="H12" s="36"/>
      <c r="I12" s="40"/>
    </row>
    <row r="13" spans="1:9" ht="23.1" customHeight="1" x14ac:dyDescent="0.2">
      <c r="A13" s="39" t="s">
        <v>71</v>
      </c>
      <c r="B13" s="36"/>
      <c r="C13" s="36" t="s">
        <v>101</v>
      </c>
      <c r="D13" s="34" t="s">
        <v>33</v>
      </c>
      <c r="E13" s="35">
        <v>30</v>
      </c>
      <c r="F13" s="49"/>
      <c r="G13" s="49">
        <f>ROUND(М[[#This Row],[Количество]]*М[[#This Row],[Цена за ед., руб]],2)</f>
        <v>0</v>
      </c>
      <c r="H13" s="36"/>
      <c r="I13" s="40"/>
    </row>
    <row r="14" spans="1:9" ht="11.1" customHeight="1" x14ac:dyDescent="0.2">
      <c r="A14" s="39" t="s">
        <v>71</v>
      </c>
      <c r="B14" s="36"/>
      <c r="C14" s="36" t="s">
        <v>72</v>
      </c>
      <c r="D14" s="34" t="s">
        <v>33</v>
      </c>
      <c r="E14" s="35">
        <v>16</v>
      </c>
      <c r="F14" s="49"/>
      <c r="G14" s="49">
        <f>ROUND(М[[#This Row],[Количество]]*М[[#This Row],[Цена за ед., руб]],2)</f>
        <v>0</v>
      </c>
      <c r="H14" s="36"/>
      <c r="I14" s="40"/>
    </row>
    <row r="15" spans="1:9" ht="23.1" customHeight="1" x14ac:dyDescent="0.2">
      <c r="A15" s="39" t="s">
        <v>71</v>
      </c>
      <c r="B15" s="36"/>
      <c r="C15" s="36" t="s">
        <v>102</v>
      </c>
      <c r="D15" s="34" t="s">
        <v>33</v>
      </c>
      <c r="E15" s="35">
        <v>875</v>
      </c>
      <c r="F15" s="49"/>
      <c r="G15" s="49">
        <f>ROUND(М[[#This Row],[Количество]]*М[[#This Row],[Цена за ед., руб]],2)</f>
        <v>0</v>
      </c>
      <c r="H15" s="36"/>
      <c r="I15" s="40"/>
    </row>
    <row r="16" spans="1:9" ht="11.1" customHeight="1" x14ac:dyDescent="0.2">
      <c r="A16" s="39" t="s">
        <v>52</v>
      </c>
      <c r="B16" s="36" t="s">
        <v>46</v>
      </c>
      <c r="C16" s="36" t="s">
        <v>115</v>
      </c>
      <c r="D16" s="34" t="s">
        <v>25</v>
      </c>
      <c r="E16" s="35">
        <v>11</v>
      </c>
      <c r="F16" s="49"/>
      <c r="G16" s="49">
        <f>ROUND(М[[#This Row],[Количество]]*М[[#This Row],[Цена за ед., руб]],2)</f>
        <v>0</v>
      </c>
      <c r="H16" s="36"/>
      <c r="I16" s="40"/>
    </row>
    <row r="17" spans="1:9" ht="11.1" customHeight="1" x14ac:dyDescent="0.2">
      <c r="A17" s="39" t="s">
        <v>52</v>
      </c>
      <c r="B17" s="36" t="s">
        <v>46</v>
      </c>
      <c r="C17" s="36" t="s">
        <v>53</v>
      </c>
      <c r="D17" s="34" t="s">
        <v>25</v>
      </c>
      <c r="E17" s="35">
        <v>2</v>
      </c>
      <c r="F17" s="49"/>
      <c r="G17" s="49">
        <f>ROUND(М[[#This Row],[Количество]]*М[[#This Row],[Цена за ед., руб]],2)</f>
        <v>0</v>
      </c>
      <c r="H17" s="36"/>
      <c r="I17" s="40"/>
    </row>
    <row r="18" spans="1:9" ht="11.1" customHeight="1" x14ac:dyDescent="0.2">
      <c r="A18" s="39" t="s">
        <v>66</v>
      </c>
      <c r="B18" s="36"/>
      <c r="C18" s="36" t="s">
        <v>67</v>
      </c>
      <c r="D18" s="34" t="s">
        <v>33</v>
      </c>
      <c r="E18" s="37">
        <v>1601</v>
      </c>
      <c r="F18" s="49"/>
      <c r="G18" s="49">
        <f>ROUND(М[[#This Row],[Количество]]*М[[#This Row],[Цена за ед., руб]],2)</f>
        <v>0</v>
      </c>
      <c r="H18" s="36"/>
      <c r="I18" s="40"/>
    </row>
    <row r="19" spans="1:9" ht="11.1" customHeight="1" x14ac:dyDescent="0.2">
      <c r="A19" s="39" t="s">
        <v>66</v>
      </c>
      <c r="B19" s="36"/>
      <c r="C19" s="36" t="s">
        <v>68</v>
      </c>
      <c r="D19" s="34" t="s">
        <v>33</v>
      </c>
      <c r="E19" s="35">
        <v>50</v>
      </c>
      <c r="F19" s="49"/>
      <c r="G19" s="49">
        <f>ROUND(М[[#This Row],[Количество]]*М[[#This Row],[Цена за ед., руб]],2)</f>
        <v>0</v>
      </c>
      <c r="H19" s="36"/>
      <c r="I19" s="40"/>
    </row>
    <row r="20" spans="1:9" ht="11.1" customHeight="1" x14ac:dyDescent="0.2">
      <c r="A20" s="39" t="s">
        <v>66</v>
      </c>
      <c r="B20" s="36"/>
      <c r="C20" s="36" t="s">
        <v>69</v>
      </c>
      <c r="D20" s="34" t="s">
        <v>33</v>
      </c>
      <c r="E20" s="35">
        <v>260</v>
      </c>
      <c r="F20" s="49"/>
      <c r="G20" s="49">
        <f>ROUND(М[[#This Row],[Количество]]*М[[#This Row],[Цена за ед., руб]],2)</f>
        <v>0</v>
      </c>
      <c r="H20" s="36"/>
      <c r="I20" s="40"/>
    </row>
    <row r="21" spans="1:9" ht="11.1" customHeight="1" x14ac:dyDescent="0.2">
      <c r="A21" s="39" t="s">
        <v>111</v>
      </c>
      <c r="B21" s="36"/>
      <c r="C21" s="36" t="s">
        <v>112</v>
      </c>
      <c r="D21" s="34" t="s">
        <v>25</v>
      </c>
      <c r="E21" s="35">
        <v>11</v>
      </c>
      <c r="F21" s="49"/>
      <c r="G21" s="49">
        <f>ROUND(М[[#This Row],[Количество]]*М[[#This Row],[Цена за ед., руб]],2)</f>
        <v>0</v>
      </c>
      <c r="H21" s="36"/>
      <c r="I21" s="40"/>
    </row>
    <row r="22" spans="1:9" ht="23.1" customHeight="1" x14ac:dyDescent="0.2">
      <c r="A22" s="39" t="s">
        <v>59</v>
      </c>
      <c r="B22" s="36"/>
      <c r="C22" s="36" t="s">
        <v>60</v>
      </c>
      <c r="D22" s="34" t="s">
        <v>25</v>
      </c>
      <c r="E22" s="35">
        <v>4</v>
      </c>
      <c r="F22" s="49"/>
      <c r="G22" s="49">
        <f>ROUND(М[[#This Row],[Количество]]*М[[#This Row],[Цена за ед., руб]],2)</f>
        <v>0</v>
      </c>
      <c r="H22" s="36"/>
      <c r="I22" s="40"/>
    </row>
    <row r="23" spans="1:9" ht="11.1" customHeight="1" x14ac:dyDescent="0.2">
      <c r="A23" s="39" t="s">
        <v>59</v>
      </c>
      <c r="B23" s="36"/>
      <c r="C23" s="36" t="s">
        <v>84</v>
      </c>
      <c r="D23" s="34" t="s">
        <v>25</v>
      </c>
      <c r="E23" s="35">
        <v>12</v>
      </c>
      <c r="F23" s="49"/>
      <c r="G23" s="49">
        <f>ROUND(М[[#This Row],[Количество]]*М[[#This Row],[Цена за ед., руб]],2)</f>
        <v>0</v>
      </c>
      <c r="H23" s="36"/>
      <c r="I23" s="40"/>
    </row>
    <row r="24" spans="1:9" ht="23.1" customHeight="1" x14ac:dyDescent="0.2">
      <c r="A24" s="39" t="s">
        <v>59</v>
      </c>
      <c r="B24" s="36"/>
      <c r="C24" s="36" t="s">
        <v>61</v>
      </c>
      <c r="D24" s="34" t="s">
        <v>25</v>
      </c>
      <c r="E24" s="35">
        <v>214</v>
      </c>
      <c r="F24" s="49"/>
      <c r="G24" s="49">
        <f>ROUND(М[[#This Row],[Количество]]*М[[#This Row],[Цена за ед., руб]],2)</f>
        <v>0</v>
      </c>
      <c r="H24" s="36"/>
      <c r="I24" s="40"/>
    </row>
    <row r="25" spans="1:9" ht="23.1" customHeight="1" x14ac:dyDescent="0.2">
      <c r="A25" s="39" t="s">
        <v>59</v>
      </c>
      <c r="B25" s="36" t="s">
        <v>85</v>
      </c>
      <c r="C25" s="36" t="s">
        <v>61</v>
      </c>
      <c r="D25" s="34" t="s">
        <v>25</v>
      </c>
      <c r="E25" s="35">
        <v>12</v>
      </c>
      <c r="F25" s="49"/>
      <c r="G25" s="49">
        <f>ROUND(М[[#This Row],[Количество]]*М[[#This Row],[Цена за ед., руб]],2)</f>
        <v>0</v>
      </c>
      <c r="H25" s="36"/>
      <c r="I25" s="40"/>
    </row>
    <row r="26" spans="1:9" ht="11.1" customHeight="1" x14ac:dyDescent="0.2">
      <c r="A26" s="39" t="s">
        <v>104</v>
      </c>
      <c r="B26" s="36" t="s">
        <v>105</v>
      </c>
      <c r="C26" s="36" t="s">
        <v>106</v>
      </c>
      <c r="D26" s="34" t="s">
        <v>33</v>
      </c>
      <c r="E26" s="37">
        <v>2884</v>
      </c>
      <c r="F26" s="49"/>
      <c r="G26" s="49">
        <f>ROUND(М[[#This Row],[Количество]]*М[[#This Row],[Цена за ед., руб]],2)</f>
        <v>0</v>
      </c>
      <c r="H26" s="36"/>
      <c r="I26" s="40"/>
    </row>
    <row r="27" spans="1:9" ht="11.1" customHeight="1" x14ac:dyDescent="0.2">
      <c r="A27" s="39" t="s">
        <v>127</v>
      </c>
      <c r="B27" s="36"/>
      <c r="C27" s="36" t="s">
        <v>128</v>
      </c>
      <c r="D27" s="34" t="s">
        <v>25</v>
      </c>
      <c r="E27" s="35">
        <v>2</v>
      </c>
      <c r="F27" s="49"/>
      <c r="G27" s="49">
        <f>ROUND(М[[#This Row],[Количество]]*М[[#This Row],[Цена за ед., руб]],2)</f>
        <v>0</v>
      </c>
      <c r="H27" s="36"/>
      <c r="I27" s="40"/>
    </row>
    <row r="28" spans="1:9" ht="11.1" customHeight="1" x14ac:dyDescent="0.2">
      <c r="A28" s="39" t="s">
        <v>120</v>
      </c>
      <c r="B28" s="36"/>
      <c r="C28" s="36" t="s">
        <v>121</v>
      </c>
      <c r="D28" s="34" t="s">
        <v>25</v>
      </c>
      <c r="E28" s="35">
        <v>2</v>
      </c>
      <c r="F28" s="49"/>
      <c r="G28" s="49">
        <f>ROUND(М[[#This Row],[Количество]]*М[[#This Row],[Цена за ед., руб]],2)</f>
        <v>0</v>
      </c>
      <c r="H28" s="36"/>
      <c r="I28" s="40"/>
    </row>
    <row r="29" spans="1:9" ht="11.1" customHeight="1" x14ac:dyDescent="0.2">
      <c r="A29" s="39" t="s">
        <v>137</v>
      </c>
      <c r="B29" s="36"/>
      <c r="C29" s="36" t="s">
        <v>138</v>
      </c>
      <c r="D29" s="34" t="s">
        <v>139</v>
      </c>
      <c r="E29" s="35">
        <v>53</v>
      </c>
      <c r="F29" s="49"/>
      <c r="G29" s="49">
        <f>ROUND(М[[#This Row],[Количество]]*М[[#This Row],[Цена за ед., руб]],2)</f>
        <v>0</v>
      </c>
      <c r="H29" s="36" t="s">
        <v>140</v>
      </c>
      <c r="I29" s="40"/>
    </row>
    <row r="30" spans="1:9" ht="11.1" customHeight="1" x14ac:dyDescent="0.2">
      <c r="A30" s="39" t="s">
        <v>45</v>
      </c>
      <c r="B30" s="36" t="s">
        <v>46</v>
      </c>
      <c r="C30" s="36" t="s">
        <v>47</v>
      </c>
      <c r="D30" s="34" t="s">
        <v>25</v>
      </c>
      <c r="E30" s="35">
        <v>13</v>
      </c>
      <c r="F30" s="49"/>
      <c r="G30" s="49">
        <f>ROUND(М[[#This Row],[Количество]]*М[[#This Row],[Цена за ед., руб]],2)</f>
        <v>0</v>
      </c>
      <c r="H30" s="36"/>
      <c r="I30" s="40"/>
    </row>
    <row r="31" spans="1:9" ht="23.1" customHeight="1" x14ac:dyDescent="0.2">
      <c r="A31" s="39" t="s">
        <v>74</v>
      </c>
      <c r="B31" s="36"/>
      <c r="C31" s="36" t="s">
        <v>75</v>
      </c>
      <c r="D31" s="34" t="s">
        <v>33</v>
      </c>
      <c r="E31" s="38">
        <v>72.5</v>
      </c>
      <c r="F31" s="49"/>
      <c r="G31" s="49">
        <f>ROUND(М[[#This Row],[Количество]]*М[[#This Row],[Цена за ед., руб]],2)</f>
        <v>0</v>
      </c>
      <c r="H31" s="36"/>
      <c r="I31" s="40"/>
    </row>
    <row r="32" spans="1:9" ht="11.1" customHeight="1" x14ac:dyDescent="0.2">
      <c r="A32" s="39" t="s">
        <v>55</v>
      </c>
      <c r="B32" s="36"/>
      <c r="C32" s="36" t="s">
        <v>56</v>
      </c>
      <c r="D32" s="34" t="s">
        <v>25</v>
      </c>
      <c r="E32" s="35">
        <v>244</v>
      </c>
      <c r="F32" s="49"/>
      <c r="G32" s="49">
        <f>ROUND(М[[#This Row],[Количество]]*М[[#This Row],[Цена за ед., руб]],2)</f>
        <v>0</v>
      </c>
      <c r="H32" s="36"/>
      <c r="I32" s="40"/>
    </row>
    <row r="33" spans="1:9" ht="11.1" customHeight="1" x14ac:dyDescent="0.2">
      <c r="A33" s="39" t="s">
        <v>55</v>
      </c>
      <c r="B33" s="36"/>
      <c r="C33" s="36" t="s">
        <v>99</v>
      </c>
      <c r="D33" s="34" t="s">
        <v>25</v>
      </c>
      <c r="E33" s="35">
        <v>230</v>
      </c>
      <c r="F33" s="49"/>
      <c r="G33" s="49">
        <f>ROUND(М[[#This Row],[Количество]]*М[[#This Row],[Цена за ед., руб]],2)</f>
        <v>0</v>
      </c>
      <c r="H33" s="36"/>
      <c r="I33" s="40"/>
    </row>
    <row r="34" spans="1:9" ht="11.1" customHeight="1" x14ac:dyDescent="0.2">
      <c r="A34" s="39" t="s">
        <v>55</v>
      </c>
      <c r="B34" s="36"/>
      <c r="C34" s="36" t="s">
        <v>57</v>
      </c>
      <c r="D34" s="34" t="s">
        <v>25</v>
      </c>
      <c r="E34" s="35">
        <v>553</v>
      </c>
      <c r="F34" s="49"/>
      <c r="G34" s="49">
        <f>ROUND(М[[#This Row],[Количество]]*М[[#This Row],[Цена за ед., руб]],2)</f>
        <v>0</v>
      </c>
      <c r="H34" s="36"/>
      <c r="I34" s="40"/>
    </row>
    <row r="35" spans="1:9" ht="11.1" customHeight="1" x14ac:dyDescent="0.2">
      <c r="A35" s="39" t="s">
        <v>81</v>
      </c>
      <c r="B35" s="36"/>
      <c r="C35" s="36" t="s">
        <v>82</v>
      </c>
      <c r="D35" s="34" t="s">
        <v>33</v>
      </c>
      <c r="E35" s="35">
        <v>20</v>
      </c>
      <c r="F35" s="49"/>
      <c r="G35" s="49">
        <f>ROUND(М[[#This Row],[Количество]]*М[[#This Row],[Цена за ед., руб]],2)</f>
        <v>0</v>
      </c>
      <c r="H35" s="36"/>
      <c r="I35" s="40"/>
    </row>
    <row r="36" spans="1:9" ht="35.1" customHeight="1" x14ac:dyDescent="0.2">
      <c r="A36" s="39" t="s">
        <v>81</v>
      </c>
      <c r="B36" s="97" t="s">
        <v>177</v>
      </c>
      <c r="C36" s="36" t="s">
        <v>83</v>
      </c>
      <c r="D36" s="34" t="s">
        <v>33</v>
      </c>
      <c r="E36" s="35">
        <v>30</v>
      </c>
      <c r="F36" s="49"/>
      <c r="G36" s="49">
        <f>ROUND(М[[#This Row],[Количество]]*М[[#This Row],[Цена за ед., руб]],2)</f>
        <v>0</v>
      </c>
      <c r="H36" s="36" t="s">
        <v>43</v>
      </c>
      <c r="I36" s="40"/>
    </row>
    <row r="37" spans="1:9" ht="23.1" customHeight="1" x14ac:dyDescent="0.2">
      <c r="A37" s="39" t="s">
        <v>81</v>
      </c>
      <c r="B37" s="36" t="s">
        <v>95</v>
      </c>
      <c r="C37" s="36" t="s">
        <v>94</v>
      </c>
      <c r="D37" s="34" t="s">
        <v>33</v>
      </c>
      <c r="E37" s="35">
        <v>2884</v>
      </c>
      <c r="F37" s="49"/>
      <c r="G37" s="49">
        <f>ROUND(М[[#This Row],[Количество]]*М[[#This Row],[Цена за ед., руб]],2)</f>
        <v>0</v>
      </c>
      <c r="H37" s="36"/>
      <c r="I37" s="40"/>
    </row>
    <row r="38" spans="1:9" ht="23.1" customHeight="1" x14ac:dyDescent="0.2">
      <c r="A38" s="39" t="s">
        <v>81</v>
      </c>
      <c r="B38" s="36" t="s">
        <v>95</v>
      </c>
      <c r="C38" s="97" t="s">
        <v>96</v>
      </c>
      <c r="D38" s="34" t="s">
        <v>33</v>
      </c>
      <c r="E38" s="35">
        <v>875</v>
      </c>
      <c r="F38" s="49"/>
      <c r="G38" s="49">
        <f>ROUND(М[[#This Row],[Количество]]*М[[#This Row],[Цена за ед., руб]],2)</f>
        <v>0</v>
      </c>
      <c r="H38" s="36"/>
      <c r="I38" s="40"/>
    </row>
    <row r="39" spans="1:9" ht="23.1" customHeight="1" x14ac:dyDescent="0.2">
      <c r="A39" s="39" t="s">
        <v>123</v>
      </c>
      <c r="B39" s="36"/>
      <c r="C39" s="36" t="s">
        <v>124</v>
      </c>
      <c r="D39" s="34" t="s">
        <v>25</v>
      </c>
      <c r="E39" s="35">
        <v>2</v>
      </c>
      <c r="F39" s="49"/>
      <c r="G39" s="49">
        <f>ROUND(М[[#This Row],[Количество]]*М[[#This Row],[Цена за ед., руб]],2)</f>
        <v>0</v>
      </c>
      <c r="H39" s="36"/>
      <c r="I39" s="40"/>
    </row>
    <row r="40" spans="1:9" ht="23.1" customHeight="1" x14ac:dyDescent="0.2">
      <c r="A40" s="43" t="s">
        <v>123</v>
      </c>
      <c r="B40" s="52"/>
      <c r="C40" s="52" t="s">
        <v>125</v>
      </c>
      <c r="D40" s="44" t="s">
        <v>25</v>
      </c>
      <c r="E40" s="45">
        <v>2</v>
      </c>
      <c r="F40" s="49"/>
      <c r="G40" s="50">
        <f>ROUND(М[[#This Row],[Количество]]*М[[#This Row],[Цена за ед., руб]],2)</f>
        <v>0</v>
      </c>
      <c r="H40" s="52"/>
      <c r="I40" s="47"/>
    </row>
    <row r="41" spans="1:9" ht="23.1" customHeight="1" x14ac:dyDescent="0.2">
      <c r="A41" s="43" t="s">
        <v>158</v>
      </c>
      <c r="B41" s="52"/>
      <c r="C41" s="52"/>
      <c r="D41" s="44" t="s">
        <v>76</v>
      </c>
      <c r="E41" s="63"/>
      <c r="F41" s="50"/>
      <c r="G41" s="50">
        <f ca="1">SUMIF(ЛСР!$B$6:$L$190,М[[#This Row],[Наим.]],ЛСР!$K$6:$K$190)</f>
        <v>0</v>
      </c>
      <c r="H41" s="95" t="s">
        <v>178</v>
      </c>
      <c r="I41" s="47"/>
    </row>
    <row r="42" spans="1:9" ht="23.1" customHeight="1" x14ac:dyDescent="0.2">
      <c r="A42" s="43" t="s">
        <v>159</v>
      </c>
      <c r="B42" s="52"/>
      <c r="C42" s="52"/>
      <c r="D42" s="44" t="s">
        <v>76</v>
      </c>
      <c r="E42" s="63"/>
      <c r="F42" s="50"/>
      <c r="G42" s="50">
        <f ca="1">SUMIF(ЛСР!$B$6:$L$190,М[[#This Row],[Наим.]],ЛСР!$K$6:$K$190)</f>
        <v>0</v>
      </c>
      <c r="H42" s="95" t="s">
        <v>178</v>
      </c>
      <c r="I42" s="47"/>
    </row>
    <row r="43" spans="1:9" ht="23.1" customHeight="1" x14ac:dyDescent="0.2">
      <c r="A43" s="43" t="s">
        <v>160</v>
      </c>
      <c r="B43" s="52"/>
      <c r="C43" s="52"/>
      <c r="D43" s="44" t="s">
        <v>76</v>
      </c>
      <c r="E43" s="63"/>
      <c r="F43" s="50"/>
      <c r="G43" s="50">
        <f ca="1">SUMIF(ЛСР!$B$6:$L$190,М[[#This Row],[Наим.]],ЛСР!$K$6:$K$190)</f>
        <v>0</v>
      </c>
      <c r="H43" s="95" t="s">
        <v>178</v>
      </c>
      <c r="I43" s="47"/>
    </row>
    <row r="44" spans="1:9" ht="23.1" customHeight="1" x14ac:dyDescent="0.2">
      <c r="A44" s="43" t="s">
        <v>161</v>
      </c>
      <c r="B44" s="52"/>
      <c r="C44" s="52"/>
      <c r="D44" s="44" t="s">
        <v>76</v>
      </c>
      <c r="E44" s="63"/>
      <c r="F44" s="50"/>
      <c r="G44" s="50">
        <f ca="1">SUMIF(ЛСР!$B$6:$L$190,М[[#This Row],[Наим.]],ЛСР!$K$6:$K$190)</f>
        <v>0</v>
      </c>
      <c r="H44" s="95" t="s">
        <v>178</v>
      </c>
      <c r="I44" s="47"/>
    </row>
    <row r="45" spans="1:9" ht="23.1" customHeight="1" x14ac:dyDescent="0.2">
      <c r="A45" s="43" t="s">
        <v>162</v>
      </c>
      <c r="B45" s="52"/>
      <c r="C45" s="52"/>
      <c r="D45" s="44" t="s">
        <v>76</v>
      </c>
      <c r="E45" s="63"/>
      <c r="F45" s="50"/>
      <c r="G45" s="50">
        <f ca="1">SUMIF(ЛСР!$B$6:$L$190,М[[#This Row],[Наим.]],ЛСР!$K$6:$K$190)</f>
        <v>0</v>
      </c>
      <c r="H45" s="95" t="s">
        <v>178</v>
      </c>
      <c r="I45" s="47"/>
    </row>
    <row r="46" spans="1:9" ht="23.1" customHeight="1" x14ac:dyDescent="0.2">
      <c r="A46" s="43" t="s">
        <v>163</v>
      </c>
      <c r="B46" s="52"/>
      <c r="C46" s="52"/>
      <c r="D46" s="44" t="s">
        <v>76</v>
      </c>
      <c r="E46" s="63"/>
      <c r="F46" s="50"/>
      <c r="G46" s="50">
        <f ca="1">SUMIF(ЛСР!$B$6:$L$190,М[[#This Row],[Наим.]],ЛСР!$K$6:$K$190)</f>
        <v>0</v>
      </c>
      <c r="H46" s="95" t="s">
        <v>178</v>
      </c>
      <c r="I46" s="47"/>
    </row>
    <row r="47" spans="1:9" ht="11.45" customHeight="1" x14ac:dyDescent="0.2">
      <c r="A47" s="43" t="s">
        <v>157</v>
      </c>
      <c r="B47" s="52"/>
      <c r="C47" s="52"/>
      <c r="D47" s="44"/>
      <c r="E47" s="46"/>
      <c r="F47" s="50"/>
      <c r="G47" s="50">
        <f ca="1">SUBTOTAL(109,М[Сумма, руб])</f>
        <v>0</v>
      </c>
      <c r="H47" s="52"/>
      <c r="I47" s="47"/>
    </row>
    <row r="49" spans="6:7" ht="11.45" customHeight="1" x14ac:dyDescent="0.2">
      <c r="F49" s="79" t="s">
        <v>167</v>
      </c>
      <c r="G49" s="80">
        <f ca="1">ЛСР!K193-М[[#Totals],[Сумма,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46" xr:uid="{EFB8E8AF-A250-4369-AEBE-BA83BE255F3D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3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151</v>
      </c>
      <c r="B1" s="1" t="s">
        <v>152</v>
      </c>
    </row>
    <row r="2" spans="1:2" ht="11.1" customHeight="1" x14ac:dyDescent="0.2">
      <c r="A2" s="1" t="s">
        <v>153</v>
      </c>
      <c r="B2" s="1" t="s">
        <v>154</v>
      </c>
    </row>
    <row r="3" spans="1:2" ht="11.1" customHeight="1" x14ac:dyDescent="0.2">
      <c r="A3" s="1" t="s">
        <v>155</v>
      </c>
      <c r="B3" s="1" t="s">
        <v>156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2026-07-22T08:40:20Z</dcterms:modified>
</cp:coreProperties>
</file>