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A8D52F56-90E3-4012-A3DA-B7E746B3D68A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ЛСР!$A$7:$N$78</definedName>
  </definedNames>
  <calcPr calcId="191029"/>
</workbook>
</file>

<file path=xl/calcChain.xml><?xml version="1.0" encoding="utf-8"?>
<calcChain xmlns="http://schemas.openxmlformats.org/spreadsheetml/2006/main">
  <c r="N55" i="1" l="1" a="1"/>
  <c r="N55" i="1" s="1"/>
  <c r="N69" i="1" a="1"/>
  <c r="N69" i="1" s="1"/>
  <c r="N68" i="1" a="1"/>
  <c r="N68" i="1" s="1"/>
  <c r="H55" i="1"/>
  <c r="I55" i="1"/>
  <c r="G55" i="1"/>
  <c r="G23" i="3"/>
  <c r="K55" i="1" a="1"/>
  <c r="K55" i="1" s="1"/>
  <c r="J69" i="1"/>
  <c r="J68" i="1"/>
  <c r="J13" i="1"/>
  <c r="K13" i="1" a="1"/>
  <c r="K13" i="1" s="1"/>
  <c r="L13" i="1" s="1"/>
  <c r="L12" i="1" s="1"/>
  <c r="J15" i="1"/>
  <c r="K15" i="1" a="1"/>
  <c r="K15" i="1" s="1"/>
  <c r="L15" i="1" s="1"/>
  <c r="L14" i="1" s="1"/>
  <c r="J17" i="1"/>
  <c r="K17" i="1" a="1"/>
  <c r="K17" i="1" s="1"/>
  <c r="L17" i="1" s="1"/>
  <c r="L16" i="1" s="1"/>
  <c r="J19" i="1"/>
  <c r="N19" i="1" a="1"/>
  <c r="N19" i="1" s="1"/>
  <c r="K19" i="1" a="1"/>
  <c r="K19" i="1" s="1"/>
  <c r="J21" i="1"/>
  <c r="K21" i="1" a="1"/>
  <c r="K21" i="1" s="1"/>
  <c r="J23" i="1"/>
  <c r="N23" i="1" a="1"/>
  <c r="N23" i="1" s="1"/>
  <c r="K23" i="1" a="1"/>
  <c r="K23" i="1" s="1"/>
  <c r="L23" i="1" s="1"/>
  <c r="J24" i="1"/>
  <c r="N24" i="1" a="1"/>
  <c r="N24" i="1" s="1"/>
  <c r="K24" i="1" a="1"/>
  <c r="K24" i="1" s="1"/>
  <c r="L24" i="1" s="1"/>
  <c r="J26" i="1"/>
  <c r="K26" i="1" a="1"/>
  <c r="K26" i="1" s="1"/>
  <c r="L26" i="1" s="1"/>
  <c r="L25" i="1" s="1"/>
  <c r="J28" i="1"/>
  <c r="N28" i="1" a="1"/>
  <c r="N28" i="1" s="1"/>
  <c r="K28" i="1" a="1"/>
  <c r="K28" i="1" s="1"/>
  <c r="L28" i="1" s="1"/>
  <c r="J29" i="1"/>
  <c r="N29" i="1" a="1"/>
  <c r="N29" i="1" s="1"/>
  <c r="K29" i="1" a="1"/>
  <c r="K29" i="1" s="1"/>
  <c r="L29" i="1" s="1"/>
  <c r="J30" i="1"/>
  <c r="N30" i="1" a="1"/>
  <c r="N30" i="1" s="1"/>
  <c r="K30" i="1" a="1"/>
  <c r="K30" i="1" s="1"/>
  <c r="J31" i="1"/>
  <c r="N31" i="1" a="1"/>
  <c r="N31" i="1" s="1"/>
  <c r="K31" i="1" a="1"/>
  <c r="K31" i="1" s="1"/>
  <c r="J33" i="1"/>
  <c r="K33" i="1" a="1"/>
  <c r="K33" i="1" s="1"/>
  <c r="L33" i="1" s="1"/>
  <c r="L32" i="1" s="1"/>
  <c r="J35" i="1"/>
  <c r="N35" i="1" a="1"/>
  <c r="N35" i="1" s="1"/>
  <c r="K35" i="1" a="1"/>
  <c r="K35" i="1" s="1"/>
  <c r="L35" i="1" s="1"/>
  <c r="L34" i="1" s="1"/>
  <c r="J37" i="1"/>
  <c r="K37" i="1" a="1"/>
  <c r="K37" i="1" s="1"/>
  <c r="J39" i="1"/>
  <c r="N39" i="1" a="1"/>
  <c r="N39" i="1" s="1"/>
  <c r="K39" i="1" a="1"/>
  <c r="K39" i="1" s="1"/>
  <c r="J41" i="1"/>
  <c r="K41" i="1" a="1"/>
  <c r="K41" i="1" s="1"/>
  <c r="L41" i="1" s="1"/>
  <c r="L40" i="1" s="1"/>
  <c r="J43" i="1"/>
  <c r="N43" i="1" a="1"/>
  <c r="N43" i="1" s="1"/>
  <c r="K43" i="1" a="1"/>
  <c r="K43" i="1" s="1"/>
  <c r="J44" i="1"/>
  <c r="N44" i="1" a="1"/>
  <c r="N44" i="1" s="1"/>
  <c r="K44" i="1" a="1"/>
  <c r="K44" i="1" s="1"/>
  <c r="J46" i="1"/>
  <c r="K46" i="1" a="1"/>
  <c r="K46" i="1" s="1"/>
  <c r="J48" i="1"/>
  <c r="N48" i="1" a="1"/>
  <c r="N48" i="1" s="1"/>
  <c r="K48" i="1" a="1"/>
  <c r="K48" i="1" s="1"/>
  <c r="L48" i="1" s="1"/>
  <c r="L47" i="1" s="1"/>
  <c r="J50" i="1"/>
  <c r="K50" i="1" a="1"/>
  <c r="K50" i="1" s="1"/>
  <c r="J52" i="1"/>
  <c r="N52" i="1" a="1"/>
  <c r="N52" i="1" s="1"/>
  <c r="K52" i="1" a="1"/>
  <c r="K52" i="1" s="1"/>
  <c r="L52" i="1" s="1"/>
  <c r="J53" i="1"/>
  <c r="N53" i="1" a="1"/>
  <c r="N53" i="1" s="1"/>
  <c r="K53" i="1" a="1"/>
  <c r="K53" i="1" s="1"/>
  <c r="J54" i="1"/>
  <c r="N54" i="1" a="1"/>
  <c r="N54" i="1" s="1"/>
  <c r="K54" i="1" a="1"/>
  <c r="K54" i="1" s="1"/>
  <c r="L54" i="1" s="1"/>
  <c r="J57" i="1"/>
  <c r="K57" i="1" a="1"/>
  <c r="K57" i="1" s="1"/>
  <c r="J59" i="1"/>
  <c r="N59" i="1" a="1"/>
  <c r="N59" i="1" s="1"/>
  <c r="K59" i="1" a="1"/>
  <c r="K59" i="1" s="1"/>
  <c r="J61" i="1"/>
  <c r="K61" i="1" a="1"/>
  <c r="K61" i="1" s="1"/>
  <c r="J63" i="1"/>
  <c r="N63" i="1" a="1"/>
  <c r="N63" i="1" s="1"/>
  <c r="K63" i="1" a="1"/>
  <c r="K63" i="1" s="1"/>
  <c r="L63" i="1" s="1"/>
  <c r="J64" i="1"/>
  <c r="N64" i="1" a="1"/>
  <c r="N64" i="1" s="1"/>
  <c r="K64" i="1" a="1"/>
  <c r="K64" i="1" s="1"/>
  <c r="J65" i="1"/>
  <c r="N65" i="1" a="1"/>
  <c r="N65" i="1" s="1"/>
  <c r="K65" i="1" a="1"/>
  <c r="K65" i="1" s="1"/>
  <c r="L65" i="1" s="1"/>
  <c r="J66" i="1"/>
  <c r="N66" i="1" a="1"/>
  <c r="N66" i="1" s="1"/>
  <c r="K66" i="1" a="1"/>
  <c r="K66" i="1" s="1"/>
  <c r="J73" i="1"/>
  <c r="K73" i="1" a="1"/>
  <c r="K73" i="1" s="1"/>
  <c r="G24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6" i="2"/>
  <c r="E15" i="2"/>
  <c r="E14" i="2"/>
  <c r="E13" i="2"/>
  <c r="E12" i="2"/>
  <c r="E11" i="2"/>
  <c r="E10" i="2"/>
  <c r="E9" i="2"/>
  <c r="E8" i="2"/>
  <c r="E7" i="2"/>
  <c r="E6" i="2"/>
  <c r="E5" i="2"/>
  <c r="E4" i="2"/>
  <c r="L57" i="1" l="1"/>
  <c r="L56" i="1" s="1"/>
  <c r="J55" i="1"/>
  <c r="L66" i="1"/>
  <c r="L55" i="1"/>
  <c r="L73" i="1"/>
  <c r="L72" i="1" s="1"/>
  <c r="L61" i="1"/>
  <c r="L60" i="1" s="1"/>
  <c r="E17" i="2"/>
  <c r="L39" i="1"/>
  <c r="L38" i="1" s="1"/>
  <c r="L19" i="1"/>
  <c r="L37" i="1"/>
  <c r="L36" i="1" s="1"/>
  <c r="L44" i="1"/>
  <c r="L50" i="1"/>
  <c r="L49" i="1" s="1"/>
  <c r="L53" i="1"/>
  <c r="L31" i="1"/>
  <c r="L59" i="1"/>
  <c r="L22" i="1"/>
  <c r="L30" i="1"/>
  <c r="L46" i="1"/>
  <c r="L45" i="1" s="1"/>
  <c r="L21" i="1"/>
  <c r="L20" i="1" s="1"/>
  <c r="L64" i="1"/>
  <c r="L43" i="1"/>
  <c r="L71" i="1"/>
  <c r="L70" i="1" s="1"/>
  <c r="L62" i="1" l="1"/>
  <c r="L69" i="1"/>
  <c r="G26" i="3" s="1"/>
  <c r="L51" i="1"/>
  <c r="L27" i="1"/>
  <c r="L75" i="1"/>
  <c r="E19" i="2" s="1"/>
  <c r="L42" i="1"/>
  <c r="L18" i="1"/>
  <c r="L58" i="1"/>
  <c r="L68" i="1"/>
  <c r="G25" i="3" s="1"/>
  <c r="G27" i="3" l="1"/>
  <c r="L67" i="1"/>
  <c r="L11" i="1" l="1"/>
  <c r="L10" i="1" s="1"/>
  <c r="L9" i="1" s="1"/>
  <c r="L74" i="1" s="1"/>
  <c r="L76" i="1"/>
  <c r="G29" i="3" s="1"/>
</calcChain>
</file>

<file path=xl/sharedStrings.xml><?xml version="1.0" encoding="utf-8"?>
<sst xmlns="http://schemas.openxmlformats.org/spreadsheetml/2006/main" count="334" uniqueCount="125">
  <si>
    <t>Локальный сметный расчет (ЛСР) №7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</si>
  <si>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ГП-72.107» Секция 0, 1, 2</t>
  </si>
  <si>
    <t>Ведомость объемов работ и расхода материалов по работе: Устройство системы пожаротушения и сопутствующим работам (согласно проекту шифр ПТ,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</si>
  <si>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</si>
  <si>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</si>
  <si>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</si>
  <si>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</si>
  <si>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</si>
  <si>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</si>
  <si>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</si>
  <si>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</si>
  <si>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</si>
  <si>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</si>
  <si>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</si>
  <si>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</si>
  <si>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</si>
  <si>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</si>
  <si>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</si>
  <si>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</si>
  <si>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</si>
  <si>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</si>
  <si>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</si>
  <si>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</si>
  <si>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</si>
  <si>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</si>
  <si>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</si>
  <si>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</si>
  <si>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Бурение отверстий до 130мм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</si>
  <si>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</si>
  <si>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</si>
  <si>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</si>
  <si>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</si>
  <si>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</si>
  <si>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</si>
  <si>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</si>
  <si>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</si>
  <si>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</si>
  <si>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</si>
  <si>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2</t>
  </si>
  <si>
    <t>межфланцевый Ду-50 Py-16bar ручной с контролем положения</t>
  </si>
  <si>
    <t>Монтаж клапана (с учетом пожарного рукава и ствола)</t>
  </si>
  <si>
    <t>Рукав пожарный</t>
  </si>
  <si>
    <t>Ду-50мм L-20м с головкой ГР-50</t>
  </si>
  <si>
    <t>Ствол пожарный</t>
  </si>
  <si>
    <t>РС-50А</t>
  </si>
  <si>
    <t>3</t>
  </si>
  <si>
    <t>Вентиль пожарный</t>
  </si>
  <si>
    <t>латунный прямой Ду-50 муфта-цапка</t>
  </si>
  <si>
    <t>в комплекте с диафрагмой количество согласно проекта</t>
  </si>
  <si>
    <t>4</t>
  </si>
  <si>
    <t>с диафрагмой</t>
  </si>
  <si>
    <t>Монтаж клапана (фланцевые, резьбовые) от 40 мм</t>
  </si>
  <si>
    <t>Клапан обратный</t>
  </si>
  <si>
    <t>Межфланцевый Ду-80 Ру-16бар</t>
  </si>
  <si>
    <t>Монтаж кранов (вварные) от 40 мм</t>
  </si>
  <si>
    <t>Кран шаровой</t>
  </si>
  <si>
    <t>LD</t>
  </si>
  <si>
    <t>под приварку Ду-50</t>
  </si>
  <si>
    <t>Монтаж кранов (фланцевые, резьбовые) до 32 мм</t>
  </si>
  <si>
    <t>ВР-ВР Ду-15 полнопроходной</t>
  </si>
  <si>
    <t>Кран трехходовой для манометра</t>
  </si>
  <si>
    <t>Ду-15 Ру-16 G1/2-М20х1,5 латунь</t>
  </si>
  <si>
    <t>Монтаж насосной установки повышения давления</t>
  </si>
  <si>
    <t>Насосная станция пожаротушения</t>
  </si>
  <si>
    <t>WILO либо аналог</t>
  </si>
  <si>
    <t>Q=18.72 м3/час Н=60 м</t>
  </si>
  <si>
    <t>CO 2 MVL 2005/SK-FFS-RCS или аналог, управление 1 задвижкой с электроприводом</t>
  </si>
  <si>
    <t>Монтаж пожарного шкафа</t>
  </si>
  <si>
    <t>Шкаф пожарный</t>
  </si>
  <si>
    <t>ШПК-320-12-НЗБ</t>
  </si>
  <si>
    <t xml:space="preserve"> с ребром жесткости и рамочкой, с евроручкой</t>
  </si>
  <si>
    <t>с евроручкой и ребром жесткости на дверце</t>
  </si>
  <si>
    <t>ШПК-320-21 ВЗБ</t>
  </si>
  <si>
    <t>Прокладка трубы стальной до 40 мм</t>
  </si>
  <si>
    <t>пог. м</t>
  </si>
  <si>
    <t>Труба водогазопроводная</t>
  </si>
  <si>
    <t>стальная D-15х2,8 СТ3</t>
  </si>
  <si>
    <t>Прокладка трубы стальной от 57 мм</t>
  </si>
  <si>
    <t>Труба электросварная (пог.м.)</t>
  </si>
  <si>
    <t>стальная D-89х4,0</t>
  </si>
  <si>
    <t>стальная D-108х4,0</t>
  </si>
  <si>
    <t>стальная D-76х3,5</t>
  </si>
  <si>
    <t>стальная D-57х3,5</t>
  </si>
  <si>
    <t>Прочие материалы</t>
  </si>
  <si>
    <t>%</t>
  </si>
  <si>
    <t>Фитинги для стальной трубы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</si>
  <si>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</si>
  <si>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</si>
  <si>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</si>
  <si>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</si>
  <si>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</si>
  <si>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</si>
  <si>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</si>
  <si>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</si>
  <si>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</si>
  <si>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</si>
  <si>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</si>
  <si>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</si>
  <si>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</si>
  <si>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</si>
  <si>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</si>
  <si>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</si>
  <si>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</si>
  <si>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ГП-72.107.02.11.07 Секция 2_Устройство системы пожаротушения №1</t>
  </si>
  <si>
    <t>404152fe-c146-11f0-8b59-a036bcbd010b</t>
  </si>
  <si>
    <t>ГП-72.107.01.11.07 Секция 1_Устройство системы пожаротушения №2</t>
  </si>
  <si>
    <t>213751c4-c14c-11f0-8b59-a036bcbd010b</t>
  </si>
  <si>
    <t>ГП-72.107.01.11.07 Секция 1_Устройство системы пожаротушения №3</t>
  </si>
  <si>
    <t>57422ba5-c35b-11f0-8b59-a036bcbd010b</t>
  </si>
  <si>
    <t>Итог</t>
  </si>
  <si>
    <t>в тч НДС ____%</t>
  </si>
  <si>
    <t>ИТОГО по сметному расчету, в тч НДС:</t>
  </si>
  <si>
    <t>Проверка: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</si>
  <si>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</si>
  <si>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</si>
  <si>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</si>
  <si>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</si>
  <si>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</si>
  <si>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</si>
  <si>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</si>
  <si>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</si>
  <si>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указать %</t>
  </si>
  <si>
    <t>Огнетушитель</t>
  </si>
  <si>
    <t>порошковый ОП-8(з) АВСЕ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</si>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</sst>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8" fillId="0" borderId="0"/>
    <xf numFmtId="0" fontId="11" fillId="0" borderId="0"/>
    <xf numFmtId="0" fontId="1" fillId="0" borderId="0"/>
  </cellStyleXfs>
  <cellXfs count="10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5" xfId="0" applyFill="1" applyBorder="1" applyAlignment="1">
      <alignment horizontal="left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 vertical="center"/>
    </xf>
    <xf numFmtId="1" fontId="0" fillId="4" borderId="5" xfId="0" applyNumberFormat="1" applyFill="1" applyBorder="1" applyAlignment="1">
      <alignment horizontal="right" vertical="center"/>
    </xf>
    <xf numFmtId="0" fontId="0" fillId="5" borderId="5" xfId="0" applyFill="1" applyBorder="1" applyAlignment="1">
      <alignment horizontal="right"/>
    </xf>
    <xf numFmtId="0" fontId="0" fillId="6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center" vertical="center"/>
    </xf>
    <xf numFmtId="4" fontId="3" fillId="3" borderId="0" xfId="0" applyNumberFormat="1" applyFont="1" applyFill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1" fontId="0" fillId="8" borderId="2" xfId="0" applyNumberFormat="1" applyFill="1" applyBorder="1" applyAlignment="1">
      <alignment horizontal="right" vertical="center"/>
    </xf>
    <xf numFmtId="4" fontId="3" fillId="5" borderId="7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center" vertical="center"/>
    </xf>
    <xf numFmtId="4" fontId="7" fillId="3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4" fontId="6" fillId="4" borderId="5" xfId="0" applyNumberFormat="1" applyFont="1" applyFill="1" applyBorder="1" applyAlignment="1">
      <alignment horizontal="right" vertical="center"/>
    </xf>
    <xf numFmtId="0" fontId="6" fillId="8" borderId="5" xfId="0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0" fontId="6" fillId="5" borderId="7" xfId="0" applyFont="1" applyFill="1" applyBorder="1" applyAlignment="1">
      <alignment horizontal="center"/>
    </xf>
    <xf numFmtId="4" fontId="0" fillId="3" borderId="9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4" fontId="3" fillId="3" borderId="13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0" fontId="12" fillId="0" borderId="0" xfId="1" applyFont="1" applyAlignment="1">
      <alignment horizontal="left" vertical="center" wrapText="1"/>
    </xf>
    <xf numFmtId="0" fontId="13" fillId="7" borderId="0" xfId="1" applyFont="1" applyFill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5" borderId="9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CDF1F0C1-6C6C-44F8-8924-EC62A03A5B03}"/>
    <cellStyle name="Обычный 3" xfId="1" xr:uid="{23B7D61D-6D4A-4DCE-9F19-972B4E59BEFD}"/>
    <cellStyle name="Обычный 3 2 2 4 2" xfId="4" xr:uid="{4484EB70-AEB1-4DD3-80E0-4FECA20A9005}"/>
    <cellStyle name="Обычный 5" xfId="2" xr:uid="{C7CCF2A4-F843-412F-B77B-32EB7EE30893}"/>
  </cellStyles>
  <dxfs count="39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2297CD-E404-4844-B995-56105CEB2B81}" name="Р" displayName="Р" ref="A3:F17" totalsRowCount="1" headerRowDxfId="38" headerRowBorderDxfId="37" tableBorderDxfId="36" totalsRowBorderDxfId="35">
  <autoFilter ref="A3:F16" xr:uid="{342297CD-E404-4844-B995-56105CEB2B81}"/>
  <tableColumns count="6">
    <tableColumn id="1" xr3:uid="{E1B93713-5298-400A-90A9-FBA22858DA30}" name="Наименование" totalsRowLabel="Итог" dataDxfId="34" totalsRowDxfId="33"/>
    <tableColumn id="2" xr3:uid="{07476AA2-B341-4729-91B3-133DD90EAE3A}" name="Ед. изм." dataDxfId="32" totalsRowDxfId="31"/>
    <tableColumn id="3" xr3:uid="{9F219AFC-5068-43D5-A5C3-ED1E918862A9}" name="Количество" dataDxfId="30" totalsRowDxfId="29"/>
    <tableColumn id="4" xr3:uid="{661445AF-DA86-4B7A-A231-DF5BC4232E61}" name="Цена за ед., руб" dataDxfId="28" totalsRowDxfId="27"/>
    <tableColumn id="5" xr3:uid="{1F8171D7-617F-453B-B70C-AA0729A2D28C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10415898-0507-4C1F-8B8E-544184BDDA88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72F070-3B08-427C-A256-D3AFC4F879A7}" name="М" displayName="М" ref="A3:I27" totalsRowCount="1" headerRowDxfId="22" dataDxfId="20" headerRowBorderDxfId="21" tableBorderDxfId="19" totalsRowBorderDxfId="18">
  <autoFilter ref="A3:I26" xr:uid="{D172F070-3B08-427C-A256-D3AFC4F879A7}"/>
  <tableColumns count="9">
    <tableColumn id="1" xr3:uid="{444C0BBA-E87C-4938-BB74-DB65C4F94BFA}" name="Наим." totalsRowLabel="Итог" dataDxfId="17" totalsRowDxfId="8"/>
    <tableColumn id="2" xr3:uid="{464DF098-D32D-462D-BE76-C6FD1A0C38A4}" name="Артикул, марка, произв." dataDxfId="16" totalsRowDxfId="7"/>
    <tableColumn id="3" xr3:uid="{55C5DC98-4877-46D0-A7F8-1B1601972B73}" name="Хар-ка" dataDxfId="15" totalsRowDxfId="6"/>
    <tableColumn id="4" xr3:uid="{32C73223-B4C1-4121-85C9-DBC914EFAB34}" name="Ед. изм." dataDxfId="14" totalsRowDxfId="5"/>
    <tableColumn id="5" xr3:uid="{740DFD18-D401-4263-AC34-FD610A43BC8C}" name="Количество" dataDxfId="13" totalsRowDxfId="4"/>
    <tableColumn id="6" xr3:uid="{AE2755FD-24F6-4621-85FB-0C10EEEC4E75}" name="Цена за ед., руб" dataDxfId="12" totalsRowDxfId="3"/>
    <tableColumn id="7" xr3:uid="{C0B14A9F-B6D5-41A3-9435-17C2BDD61F8B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DC4434EB-D1A9-4DD2-94D2-2896BBE4B5F0}" name="Прим." dataDxfId="10" totalsRowDxfId="1"/>
    <tableColumn id="9" xr3:uid="{0F72564C-620B-4B52-B997-998C2E34E52D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87"/>
  <sheetViews>
    <sheetView tabSelected="1" workbookViewId="0">
      <pane ySplit="7" topLeftCell="A52" activePane="bottomLeft" state="frozen"/>
      <selection pane="bottomLeft" activeCell="N55" sqref="N55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9" width="10.5" style="1" customWidth="1"/>
    <col min="10" max="10" width="14.6640625" style="1" customWidth="1"/>
    <col min="11" max="11" width="16" style="1" customWidth="1"/>
    <col min="12" max="12" width="17" style="1" customWidth="1"/>
    <col min="13" max="13" width="35" style="1" customWidth="1"/>
    <col min="14" max="14" width="23.33203125" style="1" customWidth="1"/>
  </cols>
  <sheetData>
    <row r="1" spans="1:14" ht="11.1" customHeight="1" x14ac:dyDescent="0.2"/>
    <row r="2" spans="1:14" ht="11.1" customHeight="1" x14ac:dyDescent="0.2">
      <c r="B2" s="88" t="s">
        <v>0</v>
      </c>
      <c r="C2" s="88"/>
      <c r="D2" s="88"/>
      <c r="E2" s="88"/>
      <c r="F2" s="88"/>
      <c r="G2" s="88"/>
      <c r="H2" s="88"/>
      <c r="I2" s="88"/>
      <c r="J2" s="88"/>
    </row>
    <row r="3" spans="1:14" ht="23.1" customHeight="1" x14ac:dyDescent="0.2">
      <c r="B3" s="89" t="s">
        <v>1</v>
      </c>
      <c r="C3" s="89"/>
      <c r="D3" s="89"/>
      <c r="E3" s="89"/>
      <c r="F3" s="89"/>
      <c r="G3" s="89"/>
      <c r="H3" s="89"/>
      <c r="I3" s="89"/>
      <c r="J3" s="89"/>
    </row>
    <row r="4" spans="1:14" ht="23.1" customHeight="1" x14ac:dyDescent="0.2">
      <c r="B4" s="89" t="s">
        <v>2</v>
      </c>
      <c r="C4" s="89"/>
      <c r="D4" s="89"/>
      <c r="E4" s="89"/>
      <c r="F4" s="89"/>
      <c r="G4" s="89"/>
      <c r="H4" s="89"/>
      <c r="I4" s="89"/>
      <c r="J4" s="89"/>
    </row>
    <row r="5" spans="1:14" ht="11.1" customHeight="1" x14ac:dyDescent="0.2"/>
    <row r="6" spans="1:14" ht="11.1" customHeight="1" x14ac:dyDescent="0.2">
      <c r="A6" s="92" t="s">
        <v>3</v>
      </c>
      <c r="B6" s="92" t="s">
        <v>4</v>
      </c>
      <c r="C6" s="94" t="s">
        <v>5</v>
      </c>
      <c r="D6" s="96" t="s">
        <v>6</v>
      </c>
      <c r="E6" s="92" t="s">
        <v>7</v>
      </c>
      <c r="F6" s="86" t="s">
        <v>8</v>
      </c>
      <c r="G6" s="90" t="s">
        <v>9</v>
      </c>
      <c r="H6" s="90" t="s">
        <v>10</v>
      </c>
      <c r="I6" s="90" t="s">
        <v>11</v>
      </c>
      <c r="J6" s="92" t="s">
        <v>12</v>
      </c>
      <c r="K6" s="86" t="s">
        <v>13</v>
      </c>
      <c r="L6" s="86" t="s">
        <v>14</v>
      </c>
      <c r="M6" s="92" t="s">
        <v>15</v>
      </c>
      <c r="N6" s="86" t="s">
        <v>16</v>
      </c>
    </row>
    <row r="7" spans="1:14" ht="11.1" customHeight="1" x14ac:dyDescent="0.2">
      <c r="A7" s="93"/>
      <c r="B7" s="93"/>
      <c r="C7" s="95"/>
      <c r="D7" s="97"/>
      <c r="E7" s="93"/>
      <c r="F7" s="87"/>
      <c r="G7" s="91"/>
      <c r="H7" s="91"/>
      <c r="I7" s="91"/>
      <c r="J7" s="93"/>
      <c r="K7" s="87"/>
      <c r="L7" s="87"/>
      <c r="M7" s="93"/>
      <c r="N7" s="87"/>
    </row>
    <row r="8" spans="1:14" ht="11.1" customHeight="1" x14ac:dyDescent="0.2">
      <c r="A8" s="3" t="s">
        <v>17</v>
      </c>
      <c r="B8" s="4" t="s">
        <v>18</v>
      </c>
      <c r="C8" s="5"/>
      <c r="D8" s="5"/>
      <c r="E8" s="6"/>
      <c r="F8" s="7"/>
      <c r="G8" s="7"/>
      <c r="H8" s="7"/>
      <c r="I8" s="7"/>
      <c r="J8" s="7"/>
      <c r="K8" s="43"/>
      <c r="L8" s="43"/>
      <c r="M8" s="5"/>
      <c r="N8" s="5"/>
    </row>
    <row r="9" spans="1:14" ht="11.1" customHeight="1" outlineLevel="1" x14ac:dyDescent="0.2">
      <c r="A9" s="8" t="s">
        <v>19</v>
      </c>
      <c r="B9" s="9" t="s">
        <v>20</v>
      </c>
      <c r="C9" s="10"/>
      <c r="D9" s="10"/>
      <c r="E9" s="11"/>
      <c r="F9" s="12"/>
      <c r="G9" s="13"/>
      <c r="H9" s="13"/>
      <c r="I9" s="13"/>
      <c r="J9" s="13"/>
      <c r="K9" s="44"/>
      <c r="L9" s="44">
        <f ca="1">SUM($L$70,$L$10)</f>
        <v>0</v>
      </c>
      <c r="M9" s="14"/>
      <c r="N9" s="14"/>
    </row>
    <row r="10" spans="1:14" ht="11.1" customHeight="1" outlineLevel="2" x14ac:dyDescent="0.2">
      <c r="A10" s="8" t="s">
        <v>21</v>
      </c>
      <c r="B10" s="9" t="s">
        <v>22</v>
      </c>
      <c r="C10" s="10"/>
      <c r="D10" s="10"/>
      <c r="E10" s="11"/>
      <c r="F10" s="12"/>
      <c r="G10" s="13"/>
      <c r="H10" s="13"/>
      <c r="I10" s="13"/>
      <c r="J10" s="13"/>
      <c r="K10" s="44"/>
      <c r="L10" s="44">
        <f ca="1">SUM($L$11)</f>
        <v>0</v>
      </c>
      <c r="M10" s="14"/>
      <c r="N10" s="14"/>
    </row>
    <row r="11" spans="1:14" ht="11.1" customHeight="1" outlineLevel="3" x14ac:dyDescent="0.2">
      <c r="A11" s="8" t="s">
        <v>23</v>
      </c>
      <c r="B11" s="9" t="s">
        <v>22</v>
      </c>
      <c r="C11" s="10"/>
      <c r="D11" s="10"/>
      <c r="E11" s="11"/>
      <c r="F11" s="12"/>
      <c r="G11" s="13"/>
      <c r="H11" s="13"/>
      <c r="I11" s="13"/>
      <c r="J11" s="13"/>
      <c r="K11" s="44"/>
      <c r="L11" s="44">
        <f ca="1">SUM($L$67,$L$62,$L$60,$L$58,$L$56,$L$51,$L$49,$L$47,$L$45,$L$42,$L$40,$L$38,$L$36,$L$34,$L$32,$L$27,$L$25,$L$22,$L$20,$L$18,$L$16,$L$14,$L$12)</f>
        <v>0</v>
      </c>
      <c r="M11" s="14"/>
      <c r="N11" s="14"/>
    </row>
    <row r="12" spans="1:14" ht="11.1" customHeight="1" outlineLevel="4" x14ac:dyDescent="0.2">
      <c r="A12" s="15"/>
      <c r="B12" s="9" t="s">
        <v>24</v>
      </c>
      <c r="C12" s="16"/>
      <c r="D12" s="16"/>
      <c r="E12" s="16"/>
      <c r="F12" s="16"/>
      <c r="G12" s="16"/>
      <c r="H12" s="16"/>
      <c r="I12" s="16"/>
      <c r="J12" s="16"/>
      <c r="K12" s="45"/>
      <c r="L12" s="46">
        <f>SUM($L$13)</f>
        <v>0</v>
      </c>
      <c r="M12" s="13"/>
      <c r="N12" s="17"/>
    </row>
    <row r="13" spans="1:14" ht="11.1" customHeight="1" outlineLevel="4" x14ac:dyDescent="0.2">
      <c r="A13" s="18"/>
      <c r="B13" s="19" t="s">
        <v>25</v>
      </c>
      <c r="C13" s="20"/>
      <c r="D13" s="20"/>
      <c r="E13" s="21" t="s">
        <v>26</v>
      </c>
      <c r="F13" s="22"/>
      <c r="G13" s="23">
        <v>20</v>
      </c>
      <c r="H13" s="22"/>
      <c r="I13" s="22"/>
      <c r="J13" s="23">
        <f>SUM($G$13:$I$13)</f>
        <v>20</v>
      </c>
      <c r="K13" s="47">
        <f t="array" ref="K13">INDEX(Р[Цена за ед., руб],MATCH(1,IF(($B13=Р[Наименование])*($M13=Р[Примечание]),{1},($B13=Р[Наименование])*($M13=Р[Примечание])),0))</f>
        <v>0</v>
      </c>
      <c r="L13" s="47">
        <f>ROUND($J$13*$K$13,2)</f>
        <v>0</v>
      </c>
      <c r="M13" s="20"/>
      <c r="N13" s="20"/>
    </row>
    <row r="14" spans="1:14" ht="11.1" customHeight="1" outlineLevel="4" x14ac:dyDescent="0.2">
      <c r="A14" s="15"/>
      <c r="B14" s="9" t="s">
        <v>24</v>
      </c>
      <c r="C14" s="16"/>
      <c r="D14" s="16"/>
      <c r="E14" s="16"/>
      <c r="F14" s="16"/>
      <c r="G14" s="16"/>
      <c r="H14" s="16"/>
      <c r="I14" s="16"/>
      <c r="J14" s="16"/>
      <c r="K14" s="45"/>
      <c r="L14" s="46">
        <f>SUM($L$15)</f>
        <v>0</v>
      </c>
      <c r="M14" s="13"/>
      <c r="N14" s="17"/>
    </row>
    <row r="15" spans="1:14" ht="11.1" customHeight="1" outlineLevel="4" x14ac:dyDescent="0.2">
      <c r="A15" s="18"/>
      <c r="B15" s="19" t="s">
        <v>27</v>
      </c>
      <c r="C15" s="20"/>
      <c r="D15" s="20"/>
      <c r="E15" s="21" t="s">
        <v>26</v>
      </c>
      <c r="F15" s="22"/>
      <c r="G15" s="22"/>
      <c r="H15" s="23">
        <v>64</v>
      </c>
      <c r="I15" s="23">
        <v>100</v>
      </c>
      <c r="J15" s="23">
        <f>SUM($G$15:$I$15)</f>
        <v>164</v>
      </c>
      <c r="K15" s="47">
        <f t="array" ref="K15">INDEX(Р[Цена за ед., руб],MATCH(1,IF(($B15=Р[Наименование])*($M15=Р[Примечание]),{1},($B15=Р[Наименование])*($M15=Р[Примечание])),0))</f>
        <v>0</v>
      </c>
      <c r="L15" s="47">
        <f>ROUND($J$15*$K$15,2)</f>
        <v>0</v>
      </c>
      <c r="M15" s="20"/>
      <c r="N15" s="20"/>
    </row>
    <row r="16" spans="1:14" ht="11.1" customHeight="1" outlineLevel="4" x14ac:dyDescent="0.2">
      <c r="A16" s="15"/>
      <c r="B16" s="9" t="s">
        <v>24</v>
      </c>
      <c r="C16" s="16"/>
      <c r="D16" s="16"/>
      <c r="E16" s="16"/>
      <c r="F16" s="16"/>
      <c r="G16" s="16"/>
      <c r="H16" s="16"/>
      <c r="I16" s="16"/>
      <c r="J16" s="16"/>
      <c r="K16" s="45"/>
      <c r="L16" s="46">
        <f>SUM($L$17)</f>
        <v>0</v>
      </c>
      <c r="M16" s="13"/>
      <c r="N16" s="17"/>
    </row>
    <row r="17" spans="1:14" ht="23.1" customHeight="1" outlineLevel="4" x14ac:dyDescent="0.2">
      <c r="A17" s="18"/>
      <c r="B17" s="19" t="s">
        <v>28</v>
      </c>
      <c r="C17" s="20"/>
      <c r="D17" s="20"/>
      <c r="E17" s="21" t="s">
        <v>26</v>
      </c>
      <c r="F17" s="22"/>
      <c r="G17" s="23">
        <v>6</v>
      </c>
      <c r="H17" s="23">
        <v>2</v>
      </c>
      <c r="I17" s="23">
        <v>2</v>
      </c>
      <c r="J17" s="23">
        <f>SUM($G$17:$I$17)</f>
        <v>10</v>
      </c>
      <c r="K17" s="47">
        <f t="array" ref="K17">INDEX(Р[Цена за ед., руб],MATCH(1,IF(($B17=Р[Наименование])*($M17=Р[Примечание]),{1},($B17=Р[Наименование])*($M17=Р[Примечание])),0))</f>
        <v>0</v>
      </c>
      <c r="L17" s="47">
        <f>ROUND($J$17*$K$17,2)</f>
        <v>0</v>
      </c>
      <c r="M17" s="20"/>
      <c r="N17" s="20"/>
    </row>
    <row r="18" spans="1:14" ht="11.1" customHeight="1" outlineLevel="4" x14ac:dyDescent="0.2">
      <c r="A18" s="15"/>
      <c r="B18" s="9" t="s">
        <v>29</v>
      </c>
      <c r="C18" s="16"/>
      <c r="D18" s="16"/>
      <c r="E18" s="16"/>
      <c r="F18" s="16"/>
      <c r="G18" s="16"/>
      <c r="H18" s="16"/>
      <c r="I18" s="16"/>
      <c r="J18" s="16"/>
      <c r="K18" s="45"/>
      <c r="L18" s="46">
        <f>SUM($L$19)</f>
        <v>0</v>
      </c>
      <c r="M18" s="13"/>
      <c r="N18" s="17"/>
    </row>
    <row r="19" spans="1:14" ht="23.1" customHeight="1" outlineLevel="4" x14ac:dyDescent="0.2">
      <c r="A19" s="18" t="s">
        <v>30</v>
      </c>
      <c r="B19" s="19" t="s">
        <v>31</v>
      </c>
      <c r="C19" s="20" t="s">
        <v>32</v>
      </c>
      <c r="D19" s="20" t="s">
        <v>33</v>
      </c>
      <c r="E19" s="21" t="s">
        <v>26</v>
      </c>
      <c r="F19" s="22"/>
      <c r="G19" s="23">
        <v>6</v>
      </c>
      <c r="H19" s="23">
        <v>2</v>
      </c>
      <c r="I19" s="23">
        <v>2</v>
      </c>
      <c r="J19" s="23">
        <f>SUM($G$19:$I$19)</f>
        <v>10</v>
      </c>
      <c r="K19" s="47">
        <f t="array" ref="K19">INDEX(М[Цена за ед., руб],MATCH(1,IF(($B19=М[Наим.])*($C19=М[Артикул, марка, произв.])*($D19=М[Хар-ка])*($M19=М[Прим.]),{1},($B19=М[Наим.])*($C19=М[Артикул, марка, произв.])*($D19=М[Хар-ка])*($M19=М[Прим.])),0))</f>
        <v>0</v>
      </c>
      <c r="L19" s="47">
        <f>ROUND($J$19*$K$19,2)</f>
        <v>0</v>
      </c>
      <c r="M19" s="20"/>
      <c r="N19" s="20">
        <f t="array" ref="N19">INDEX(М[Форма закупа],MATCH(1,IF(($B19=М[Наим.])*($C19=М[Артикул, марка, произв.])*($D19=М[Хар-ка])*($M19=М[Прим.]),{1},($B19=М[Наим.])*($C19=М[Артикул, марка, произв.])*($D19=М[Хар-ка])*($M19=М[Прим.])),0))</f>
        <v>0</v>
      </c>
    </row>
    <row r="20" spans="1:14" ht="11.1" customHeight="1" outlineLevel="4" x14ac:dyDescent="0.2">
      <c r="A20" s="15"/>
      <c r="B20" s="9" t="s">
        <v>24</v>
      </c>
      <c r="C20" s="16"/>
      <c r="D20" s="16"/>
      <c r="E20" s="16"/>
      <c r="F20" s="16"/>
      <c r="G20" s="16"/>
      <c r="H20" s="16"/>
      <c r="I20" s="16"/>
      <c r="J20" s="16"/>
      <c r="K20" s="45"/>
      <c r="L20" s="46">
        <f>SUM($L$21)</f>
        <v>0</v>
      </c>
      <c r="M20" s="13"/>
      <c r="N20" s="17"/>
    </row>
    <row r="21" spans="1:14" ht="11.1" customHeight="1" outlineLevel="4" x14ac:dyDescent="0.2">
      <c r="A21" s="18"/>
      <c r="B21" s="19" t="s">
        <v>34</v>
      </c>
      <c r="C21" s="20"/>
      <c r="D21" s="20"/>
      <c r="E21" s="21" t="s">
        <v>26</v>
      </c>
      <c r="F21" s="22"/>
      <c r="G21" s="23">
        <v>48</v>
      </c>
      <c r="H21" s="22"/>
      <c r="I21" s="22"/>
      <c r="J21" s="23">
        <f>SUM($G$21:$I$21)</f>
        <v>48</v>
      </c>
      <c r="K21" s="47">
        <f t="array" ref="K21">INDEX(Р[Цена за ед., руб],MATCH(1,IF(($B21=Р[Наименование])*($M21=Р[Примечание]),{1},($B21=Р[Наименование])*($M21=Р[Примечание])),0))</f>
        <v>0</v>
      </c>
      <c r="L21" s="47">
        <f>ROUND($J$21*$K$21,2)</f>
        <v>0</v>
      </c>
      <c r="M21" s="20"/>
      <c r="N21" s="20"/>
    </row>
    <row r="22" spans="1:14" ht="11.1" customHeight="1" outlineLevel="4" x14ac:dyDescent="0.2">
      <c r="A22" s="15"/>
      <c r="B22" s="9" t="s">
        <v>29</v>
      </c>
      <c r="C22" s="16"/>
      <c r="D22" s="16"/>
      <c r="E22" s="16"/>
      <c r="F22" s="16"/>
      <c r="G22" s="16"/>
      <c r="H22" s="16"/>
      <c r="I22" s="16"/>
      <c r="J22" s="16"/>
      <c r="K22" s="45"/>
      <c r="L22" s="46">
        <f>SUM($L$23:$L$24)</f>
        <v>0</v>
      </c>
      <c r="M22" s="13"/>
      <c r="N22" s="17"/>
    </row>
    <row r="23" spans="1:14" ht="59.1" customHeight="1" outlineLevel="4" x14ac:dyDescent="0.2">
      <c r="A23" s="18" t="s">
        <v>30</v>
      </c>
      <c r="B23" s="19" t="s">
        <v>35</v>
      </c>
      <c r="C23" s="20" t="s">
        <v>36</v>
      </c>
      <c r="D23" s="20" t="s">
        <v>37</v>
      </c>
      <c r="E23" s="21" t="s">
        <v>26</v>
      </c>
      <c r="F23" s="22"/>
      <c r="G23" s="23">
        <v>22</v>
      </c>
      <c r="H23" s="22"/>
      <c r="I23" s="22"/>
      <c r="J23" s="23">
        <f>SUM($G$23:$I$23)</f>
        <v>22</v>
      </c>
      <c r="K23" s="47">
        <f t="array" ref="K23">INDEX(М[Цена за ед., руб],MATCH(1,IF(($B23=М[Наим.])*($C23=М[Артикул, марка, произв.])*($D23=М[Хар-ка])*($M23=М[Прим.]),{1},($B23=М[Наим.])*($C23=М[Артикул, марка, произв.])*($D23=М[Хар-ка])*($M23=М[Прим.])),0))</f>
        <v>0</v>
      </c>
      <c r="L23" s="47">
        <f>ROUND($J$23*$K$23,2)</f>
        <v>0</v>
      </c>
      <c r="M23" s="20"/>
      <c r="N23" s="20">
        <f t="array" ref="N23">INDEX(М[Форма закупа],MATCH(1,IF(($B23=М[Наим.])*($C23=М[Артикул, марка, произв.])*($D23=М[Хар-ка])*($M23=М[Прим.]),{1},($B23=М[Наим.])*($C23=М[Артикул, марка, произв.])*($D23=М[Хар-ка])*($M23=М[Прим.])),0))</f>
        <v>0</v>
      </c>
    </row>
    <row r="24" spans="1:14" ht="59.1" customHeight="1" outlineLevel="4" x14ac:dyDescent="0.2">
      <c r="A24" s="18" t="s">
        <v>38</v>
      </c>
      <c r="B24" s="19" t="s">
        <v>35</v>
      </c>
      <c r="C24" s="20" t="s">
        <v>36</v>
      </c>
      <c r="D24" s="20" t="s">
        <v>39</v>
      </c>
      <c r="E24" s="21" t="s">
        <v>26</v>
      </c>
      <c r="F24" s="22"/>
      <c r="G24" s="23">
        <v>26</v>
      </c>
      <c r="H24" s="22"/>
      <c r="I24" s="22"/>
      <c r="J24" s="23">
        <f>SUM($G$24:$I$24)</f>
        <v>26</v>
      </c>
      <c r="K24" s="47">
        <f t="array" ref="K24">INDEX(М[Цена за ед., руб],MATCH(1,IF(($B24=М[Наим.])*($C24=М[Артикул, марка, произв.])*($D24=М[Хар-ка])*($M24=М[Прим.]),{1},($B24=М[Наим.])*($C24=М[Артикул, марка, произв.])*($D24=М[Хар-ка])*($M24=М[Прим.])),0))</f>
        <v>0</v>
      </c>
      <c r="L24" s="47">
        <f>ROUND($J$24*$K$24,2)</f>
        <v>0</v>
      </c>
      <c r="M24" s="20"/>
      <c r="N24" s="20">
        <f t="array" ref="N24">INDEX(М[Форма закупа],MATCH(1,IF(($B24=М[Наим.])*($C24=М[Артикул, марка, произв.])*($D24=М[Хар-ка])*($M24=М[Прим.]),{1},($B24=М[Наим.])*($C24=М[Артикул, марка, произв.])*($D24=М[Хар-ка])*($M24=М[Прим.])),0))</f>
        <v>0</v>
      </c>
    </row>
    <row r="25" spans="1:14" ht="11.1" customHeight="1" outlineLevel="4" x14ac:dyDescent="0.2">
      <c r="A25" s="15"/>
      <c r="B25" s="9" t="s">
        <v>24</v>
      </c>
      <c r="C25" s="16"/>
      <c r="D25" s="16"/>
      <c r="E25" s="16"/>
      <c r="F25" s="16"/>
      <c r="G25" s="16"/>
      <c r="H25" s="16"/>
      <c r="I25" s="16"/>
      <c r="J25" s="16"/>
      <c r="K25" s="45"/>
      <c r="L25" s="46">
        <f>SUM($L$26)</f>
        <v>0</v>
      </c>
      <c r="M25" s="13"/>
      <c r="N25" s="17"/>
    </row>
    <row r="26" spans="1:14" ht="23.1" customHeight="1" outlineLevel="4" x14ac:dyDescent="0.2">
      <c r="A26" s="18"/>
      <c r="B26" s="19" t="s">
        <v>40</v>
      </c>
      <c r="C26" s="20"/>
      <c r="D26" s="20"/>
      <c r="E26" s="21" t="s">
        <v>26</v>
      </c>
      <c r="F26" s="22"/>
      <c r="G26" s="23">
        <v>8</v>
      </c>
      <c r="H26" s="23">
        <v>36</v>
      </c>
      <c r="I26" s="23">
        <v>72</v>
      </c>
      <c r="J26" s="23">
        <f>SUM($G$26:$I$26)</f>
        <v>116</v>
      </c>
      <c r="K26" s="47">
        <f t="array" ref="K26">INDEX(Р[Цена за ед., руб],MATCH(1,IF(($B26=Р[Наименование])*($M26=Р[Примечание]),{1},($B26=Р[Наименование])*($M26=Р[Примечание])),0))</f>
        <v>0</v>
      </c>
      <c r="L26" s="47">
        <f>ROUND($J$26*$K$26,2)</f>
        <v>0</v>
      </c>
      <c r="M26" s="20"/>
      <c r="N26" s="20"/>
    </row>
    <row r="27" spans="1:14" ht="11.1" customHeight="1" outlineLevel="4" x14ac:dyDescent="0.2">
      <c r="A27" s="15"/>
      <c r="B27" s="9" t="s">
        <v>29</v>
      </c>
      <c r="C27" s="16"/>
      <c r="D27" s="16"/>
      <c r="E27" s="16"/>
      <c r="F27" s="16"/>
      <c r="G27" s="16"/>
      <c r="H27" s="16"/>
      <c r="I27" s="16"/>
      <c r="J27" s="16"/>
      <c r="K27" s="45"/>
      <c r="L27" s="46">
        <f>SUM($L$28:$L$31)</f>
        <v>0</v>
      </c>
      <c r="M27" s="13"/>
      <c r="N27" s="17"/>
    </row>
    <row r="28" spans="1:14" ht="23.1" customHeight="1" outlineLevel="4" x14ac:dyDescent="0.2">
      <c r="A28" s="18" t="s">
        <v>30</v>
      </c>
      <c r="B28" s="19" t="s">
        <v>41</v>
      </c>
      <c r="C28" s="20"/>
      <c r="D28" s="20" t="s">
        <v>42</v>
      </c>
      <c r="E28" s="21" t="s">
        <v>26</v>
      </c>
      <c r="F28" s="22"/>
      <c r="G28" s="23">
        <v>8</v>
      </c>
      <c r="H28" s="23">
        <v>36</v>
      </c>
      <c r="I28" s="23">
        <v>72</v>
      </c>
      <c r="J28" s="23">
        <f>SUM($G$28:$I$28)</f>
        <v>116</v>
      </c>
      <c r="K28" s="47">
        <f t="array" ref="K28">INDEX(М[Цена за ед., руб],MATCH(1,IF(($B28=М[Наим.])*($C28=М[Артикул, марка, произв.])*($D28=М[Хар-ка])*($M28=М[Прим.]),{1},($B28=М[Наим.])*($C28=М[Артикул, марка, произв.])*($D28=М[Хар-ка])*($M28=М[Прим.])),0))</f>
        <v>0</v>
      </c>
      <c r="L28" s="47">
        <f>ROUND($J$28*$K$28,2)</f>
        <v>0</v>
      </c>
      <c r="M28" s="20"/>
      <c r="N28" s="20">
        <f t="array" ref="N28">INDEX(М[Форма закупа],MATCH(1,IF(($B28=М[Наим.])*($C28=М[Артикул, марка, произв.])*($D28=М[Хар-ка])*($M28=М[Прим.]),{1},($B28=М[Наим.])*($C28=М[Артикул, марка, произв.])*($D28=М[Хар-ка])*($M28=М[Прим.])),0))</f>
        <v>0</v>
      </c>
    </row>
    <row r="29" spans="1:14" ht="11.1" customHeight="1" outlineLevel="4" x14ac:dyDescent="0.2">
      <c r="A29" s="18" t="s">
        <v>38</v>
      </c>
      <c r="B29" s="19" t="s">
        <v>43</v>
      </c>
      <c r="C29" s="20"/>
      <c r="D29" s="20" t="s">
        <v>44</v>
      </c>
      <c r="E29" s="21" t="s">
        <v>26</v>
      </c>
      <c r="F29" s="22"/>
      <c r="G29" s="23">
        <v>8</v>
      </c>
      <c r="H29" s="23">
        <v>36</v>
      </c>
      <c r="I29" s="23">
        <v>72</v>
      </c>
      <c r="J29" s="23">
        <f>SUM($G$29:$I$29)</f>
        <v>116</v>
      </c>
      <c r="K29" s="47">
        <f t="array" ref="K29">INDEX(М[Цена за ед., руб],MATCH(1,IF(($B29=М[Наим.])*($C29=М[Артикул, марка, произв.])*($D29=М[Хар-ка])*($M29=М[Прим.]),{1},($B29=М[Наим.])*($C29=М[Артикул, марка, произв.])*($D29=М[Хар-ка])*($M29=М[Прим.])),0))</f>
        <v>0</v>
      </c>
      <c r="L29" s="47">
        <f>ROUND($J$29*$K$29,2)</f>
        <v>0</v>
      </c>
      <c r="M29" s="20"/>
      <c r="N29" s="20">
        <f t="array" ref="N29">INDEX(М[Форма закупа],MATCH(1,IF(($B29=М[Наим.])*($C29=М[Артикул, марка, произв.])*($D29=М[Хар-ка])*($M29=М[Прим.]),{1},($B29=М[Наим.])*($C29=М[Артикул, марка, произв.])*($D29=М[Хар-ка])*($M29=М[Прим.])),0))</f>
        <v>0</v>
      </c>
    </row>
    <row r="30" spans="1:14" ht="35.1" customHeight="1" outlineLevel="4" x14ac:dyDescent="0.2">
      <c r="A30" s="18" t="s">
        <v>45</v>
      </c>
      <c r="B30" s="19" t="s">
        <v>46</v>
      </c>
      <c r="C30" s="20"/>
      <c r="D30" s="20" t="s">
        <v>47</v>
      </c>
      <c r="E30" s="21" t="s">
        <v>26</v>
      </c>
      <c r="F30" s="22"/>
      <c r="G30" s="22"/>
      <c r="H30" s="23">
        <v>36</v>
      </c>
      <c r="I30" s="23">
        <v>72</v>
      </c>
      <c r="J30" s="23">
        <f>SUM($G$30:$I$30)</f>
        <v>108</v>
      </c>
      <c r="K30" s="47">
        <f t="array" ref="K30">INDEX(М[Цена за ед., руб],MATCH(1,IF(($B30=М[Наим.])*($C30=М[Артикул, марка, произв.])*($D30=М[Хар-ка])*($M30=М[Прим.]),{1},($B30=М[Наим.])*($C30=М[Артикул, марка, произв.])*($D30=М[Хар-ка])*($M30=М[Прим.])),0))</f>
        <v>0</v>
      </c>
      <c r="L30" s="47">
        <f>ROUND($J$30*$K$30,2)</f>
        <v>0</v>
      </c>
      <c r="M30" s="20" t="s">
        <v>48</v>
      </c>
      <c r="N30" s="20">
        <f t="array" ref="N30">INDEX(М[Форма закупа],MATCH(1,IF(($B30=М[Наим.])*($C30=М[Артикул, марка, произв.])*($D30=М[Хар-ка])*($M30=М[Прим.]),{1},($B30=М[Наим.])*($C30=М[Артикул, марка, произв.])*($D30=М[Хар-ка])*($M30=М[Прим.])),0))</f>
        <v>0</v>
      </c>
    </row>
    <row r="31" spans="1:14" ht="35.1" customHeight="1" outlineLevel="4" x14ac:dyDescent="0.2">
      <c r="A31" s="18" t="s">
        <v>49</v>
      </c>
      <c r="B31" s="19" t="s">
        <v>46</v>
      </c>
      <c r="C31" s="20"/>
      <c r="D31" s="20" t="s">
        <v>47</v>
      </c>
      <c r="E31" s="21" t="s">
        <v>26</v>
      </c>
      <c r="F31" s="22"/>
      <c r="G31" s="23">
        <v>8</v>
      </c>
      <c r="H31" s="22"/>
      <c r="I31" s="22"/>
      <c r="J31" s="23">
        <f>SUM($G$31:$I$31)</f>
        <v>8</v>
      </c>
      <c r="K31" s="47">
        <f t="array" ref="K31">INDEX(М[Цена за ед., руб],MATCH(1,IF(($B31=М[Наим.])*($C31=М[Артикул,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  <c r="L31" s="47">
        <f>ROUND($J$31*$K$31,2)</f>
        <v>0</v>
      </c>
      <c r="M31" s="20" t="s">
        <v>50</v>
      </c>
      <c r="N31" s="20">
        <f t="array" ref="N31">INDEX(М[Форма закупа],MATCH(1,IF(($B31=М[Наим.])*($C31=М[Артикул,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</row>
    <row r="32" spans="1:14" ht="11.1" customHeight="1" outlineLevel="4" x14ac:dyDescent="0.2">
      <c r="A32" s="15"/>
      <c r="B32" s="9" t="s">
        <v>24</v>
      </c>
      <c r="C32" s="16"/>
      <c r="D32" s="16"/>
      <c r="E32" s="16"/>
      <c r="F32" s="16"/>
      <c r="G32" s="16"/>
      <c r="H32" s="16"/>
      <c r="I32" s="16"/>
      <c r="J32" s="16"/>
      <c r="K32" s="45"/>
      <c r="L32" s="46">
        <f>SUM($L$33)</f>
        <v>0</v>
      </c>
      <c r="M32" s="13"/>
      <c r="N32" s="17"/>
    </row>
    <row r="33" spans="1:14" ht="23.1" customHeight="1" outlineLevel="4" x14ac:dyDescent="0.2">
      <c r="A33" s="18"/>
      <c r="B33" s="19" t="s">
        <v>51</v>
      </c>
      <c r="C33" s="20"/>
      <c r="D33" s="20"/>
      <c r="E33" s="21" t="s">
        <v>26</v>
      </c>
      <c r="F33" s="22"/>
      <c r="G33" s="23">
        <v>5</v>
      </c>
      <c r="H33" s="22"/>
      <c r="I33" s="22"/>
      <c r="J33" s="23">
        <f>SUM($G$33:$I$33)</f>
        <v>5</v>
      </c>
      <c r="K33" s="47">
        <f t="array" ref="K33">INDEX(Р[Цена за ед., руб],MATCH(1,IF(($B33=Р[Наименование])*($M33=Р[Примечание]),{1},($B33=Р[Наименование])*($M33=Р[Примечание])),0))</f>
        <v>0</v>
      </c>
      <c r="L33" s="47">
        <f>ROUND($J$33*$K$33,2)</f>
        <v>0</v>
      </c>
      <c r="M33" s="20"/>
      <c r="N33" s="20"/>
    </row>
    <row r="34" spans="1:14" ht="11.1" customHeight="1" outlineLevel="4" x14ac:dyDescent="0.2">
      <c r="A34" s="15"/>
      <c r="B34" s="9" t="s">
        <v>29</v>
      </c>
      <c r="C34" s="16"/>
      <c r="D34" s="16"/>
      <c r="E34" s="16"/>
      <c r="F34" s="16"/>
      <c r="G34" s="16"/>
      <c r="H34" s="16"/>
      <c r="I34" s="16"/>
      <c r="J34" s="16"/>
      <c r="K34" s="45"/>
      <c r="L34" s="46">
        <f>SUM($L$35)</f>
        <v>0</v>
      </c>
      <c r="M34" s="13"/>
      <c r="N34" s="17"/>
    </row>
    <row r="35" spans="1:14" ht="23.1" customHeight="1" outlineLevel="4" x14ac:dyDescent="0.2">
      <c r="A35" s="18" t="s">
        <v>30</v>
      </c>
      <c r="B35" s="19" t="s">
        <v>52</v>
      </c>
      <c r="C35" s="20" t="s">
        <v>36</v>
      </c>
      <c r="D35" s="20" t="s">
        <v>53</v>
      </c>
      <c r="E35" s="21" t="s">
        <v>26</v>
      </c>
      <c r="F35" s="22"/>
      <c r="G35" s="23">
        <v>5</v>
      </c>
      <c r="H35" s="22"/>
      <c r="I35" s="22"/>
      <c r="J35" s="23">
        <f>SUM($G$35:$I$35)</f>
        <v>5</v>
      </c>
      <c r="K35" s="47">
        <f t="array" ref="K35">INDEX(М[Цена за ед., руб],MATCH(1,IF(($B35=М[Наим.])*($C35=М[Артикул, марка, произв.])*($D35=М[Хар-ка])*($M35=М[Прим.]),{1},($B35=М[Наим.])*($C35=М[Артикул, марка, произв.])*($D35=М[Хар-ка])*($M35=М[Прим.])),0))</f>
        <v>0</v>
      </c>
      <c r="L35" s="47">
        <f>ROUND($J$35*$K$35,2)</f>
        <v>0</v>
      </c>
      <c r="M35" s="20"/>
      <c r="N35" s="20">
        <f t="array" ref="N35">INDEX(М[Форма закупа],MATCH(1,IF(($B35=М[Наим.])*($C35=М[Артикул, марка, произв.])*($D35=М[Хар-ка])*($M35=М[Прим.]),{1},($B35=М[Наим.])*($C35=М[Артикул, марка, произв.])*($D35=М[Хар-ка])*($M35=М[Прим.])),0))</f>
        <v>0</v>
      </c>
    </row>
    <row r="36" spans="1:14" ht="11.1" customHeight="1" outlineLevel="4" x14ac:dyDescent="0.2">
      <c r="A36" s="15"/>
      <c r="B36" s="9" t="s">
        <v>24</v>
      </c>
      <c r="C36" s="16"/>
      <c r="D36" s="16"/>
      <c r="E36" s="16"/>
      <c r="F36" s="16"/>
      <c r="G36" s="16"/>
      <c r="H36" s="16"/>
      <c r="I36" s="16"/>
      <c r="J36" s="16"/>
      <c r="K36" s="45"/>
      <c r="L36" s="46">
        <f>SUM($L$37)</f>
        <v>0</v>
      </c>
      <c r="M36" s="13"/>
      <c r="N36" s="17"/>
    </row>
    <row r="37" spans="1:14" ht="11.1" customHeight="1" outlineLevel="4" x14ac:dyDescent="0.2">
      <c r="A37" s="18"/>
      <c r="B37" s="19" t="s">
        <v>54</v>
      </c>
      <c r="C37" s="20"/>
      <c r="D37" s="20"/>
      <c r="E37" s="21" t="s">
        <v>26</v>
      </c>
      <c r="F37" s="22"/>
      <c r="G37" s="22"/>
      <c r="H37" s="23">
        <v>2</v>
      </c>
      <c r="I37" s="23">
        <v>2</v>
      </c>
      <c r="J37" s="23">
        <f>SUM($G$37:$I$37)</f>
        <v>4</v>
      </c>
      <c r="K37" s="47">
        <f t="array" ref="K37">INDEX(Р[Цена за ед., руб],MATCH(1,IF(($B37=Р[Наименование])*($M37=Р[Примечание]),{1},($B37=Р[Наименование])*($M37=Р[Примечание])),0))</f>
        <v>0</v>
      </c>
      <c r="L37" s="47">
        <f>ROUND($J$37*$K$37,2)</f>
        <v>0</v>
      </c>
      <c r="M37" s="20"/>
      <c r="N37" s="20"/>
    </row>
    <row r="38" spans="1:14" ht="11.1" customHeight="1" outlineLevel="4" x14ac:dyDescent="0.2">
      <c r="A38" s="15"/>
      <c r="B38" s="9" t="s">
        <v>29</v>
      </c>
      <c r="C38" s="16"/>
      <c r="D38" s="16"/>
      <c r="E38" s="16"/>
      <c r="F38" s="16"/>
      <c r="G38" s="16"/>
      <c r="H38" s="16"/>
      <c r="I38" s="16"/>
      <c r="J38" s="16"/>
      <c r="K38" s="45"/>
      <c r="L38" s="46">
        <f>SUM($L$39)</f>
        <v>0</v>
      </c>
      <c r="M38" s="13"/>
      <c r="N38" s="17"/>
    </row>
    <row r="39" spans="1:14" ht="23.1" customHeight="1" outlineLevel="4" x14ac:dyDescent="0.2">
      <c r="A39" s="18" t="s">
        <v>30</v>
      </c>
      <c r="B39" s="19" t="s">
        <v>55</v>
      </c>
      <c r="C39" s="20" t="s">
        <v>56</v>
      </c>
      <c r="D39" s="20" t="s">
        <v>57</v>
      </c>
      <c r="E39" s="21" t="s">
        <v>26</v>
      </c>
      <c r="F39" s="22"/>
      <c r="G39" s="22"/>
      <c r="H39" s="23">
        <v>2</v>
      </c>
      <c r="I39" s="23">
        <v>2</v>
      </c>
      <c r="J39" s="23">
        <f>SUM($G$39:$I$39)</f>
        <v>4</v>
      </c>
      <c r="K39" s="47">
        <f t="array" ref="K39">INDEX(М[Цена за ед., руб],MATCH(1,IF(($B39=М[Наим.])*($C39=М[Артикул,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  <c r="L39" s="47">
        <f>ROUND($J$39*$K$39,2)</f>
        <v>0</v>
      </c>
      <c r="M39" s="20"/>
      <c r="N39" s="20">
        <f t="array" ref="N39">INDEX(М[Форма закупа],MATCH(1,IF(($B39=М[Наим.])*($C39=М[Артикул,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</row>
    <row r="40" spans="1:14" ht="11.1" customHeight="1" outlineLevel="4" x14ac:dyDescent="0.2">
      <c r="A40" s="15"/>
      <c r="B40" s="9" t="s">
        <v>24</v>
      </c>
      <c r="C40" s="16"/>
      <c r="D40" s="16"/>
      <c r="E40" s="16"/>
      <c r="F40" s="16"/>
      <c r="G40" s="16"/>
      <c r="H40" s="16"/>
      <c r="I40" s="16"/>
      <c r="J40" s="16"/>
      <c r="K40" s="45"/>
      <c r="L40" s="46">
        <f>SUM($L$41)</f>
        <v>0</v>
      </c>
      <c r="M40" s="13"/>
      <c r="N40" s="17"/>
    </row>
    <row r="41" spans="1:14" ht="23.1" customHeight="1" outlineLevel="4" x14ac:dyDescent="0.2">
      <c r="A41" s="18"/>
      <c r="B41" s="19" t="s">
        <v>58</v>
      </c>
      <c r="C41" s="20"/>
      <c r="D41" s="20"/>
      <c r="E41" s="21" t="s">
        <v>26</v>
      </c>
      <c r="F41" s="22"/>
      <c r="G41" s="23">
        <v>72</v>
      </c>
      <c r="H41" s="23">
        <v>4</v>
      </c>
      <c r="I41" s="23">
        <v>4</v>
      </c>
      <c r="J41" s="23">
        <f>SUM($G$41:$I$41)</f>
        <v>80</v>
      </c>
      <c r="K41" s="47">
        <f t="array" ref="K41">INDEX(Р[Цена за ед., руб],MATCH(1,IF(($B41=Р[Наименование])*($M41=Р[Примечание]),{1},($B41=Р[Наименование])*($M41=Р[Примечание])),0))</f>
        <v>0</v>
      </c>
      <c r="L41" s="47">
        <f>ROUND($J$41*$K$41,2)</f>
        <v>0</v>
      </c>
      <c r="M41" s="20"/>
      <c r="N41" s="20"/>
    </row>
    <row r="42" spans="1:14" ht="11.1" customHeight="1" outlineLevel="4" x14ac:dyDescent="0.2">
      <c r="A42" s="15"/>
      <c r="B42" s="9" t="s">
        <v>29</v>
      </c>
      <c r="C42" s="16"/>
      <c r="D42" s="16"/>
      <c r="E42" s="16"/>
      <c r="F42" s="16"/>
      <c r="G42" s="16"/>
      <c r="H42" s="16"/>
      <c r="I42" s="16"/>
      <c r="J42" s="16"/>
      <c r="K42" s="45"/>
      <c r="L42" s="46">
        <f>SUM($L$43:$L$44)</f>
        <v>0</v>
      </c>
      <c r="M42" s="13"/>
      <c r="N42" s="17"/>
    </row>
    <row r="43" spans="1:14" ht="23.1" customHeight="1" outlineLevel="4" x14ac:dyDescent="0.2">
      <c r="A43" s="18" t="s">
        <v>30</v>
      </c>
      <c r="B43" s="19" t="s">
        <v>55</v>
      </c>
      <c r="C43" s="20" t="s">
        <v>32</v>
      </c>
      <c r="D43" s="20" t="s">
        <v>59</v>
      </c>
      <c r="E43" s="21" t="s">
        <v>26</v>
      </c>
      <c r="F43" s="22"/>
      <c r="G43" s="23">
        <v>70</v>
      </c>
      <c r="H43" s="23">
        <v>2</v>
      </c>
      <c r="I43" s="23">
        <v>2</v>
      </c>
      <c r="J43" s="23">
        <f>SUM($G$43:$I$43)</f>
        <v>74</v>
      </c>
      <c r="K43" s="47">
        <f t="array" ref="K43">INDEX(М[Цена за ед., руб],MATCH(1,IF(($B43=М[Наим.])*($C43=М[Артикул, марка, произв.])*($D43=М[Хар-ка])*($M43=М[Прим.]),{1},($B43=М[Наим.])*($C43=М[Артикул, марка, произв.])*($D43=М[Хар-ка])*($M43=М[Прим.])),0))</f>
        <v>0</v>
      </c>
      <c r="L43" s="47">
        <f>ROUND($J$43*$K$43,2)</f>
        <v>0</v>
      </c>
      <c r="M43" s="20"/>
      <c r="N43" s="20">
        <f t="array" ref="N43">INDEX(М[Форма закупа],MATCH(1,IF(($B43=М[Наим.])*($C43=М[Артикул, марка, произв.])*($D43=М[Хар-ка])*($M43=М[Прим.]),{1},($B43=М[Наим.])*($C43=М[Артикул, марка, произв.])*($D43=М[Хар-ка])*($M43=М[Прим.])),0))</f>
        <v>0</v>
      </c>
    </row>
    <row r="44" spans="1:14" ht="35.1" customHeight="1" outlineLevel="4" x14ac:dyDescent="0.2">
      <c r="A44" s="18" t="s">
        <v>38</v>
      </c>
      <c r="B44" s="19" t="s">
        <v>60</v>
      </c>
      <c r="C44" s="20"/>
      <c r="D44" s="20" t="s">
        <v>61</v>
      </c>
      <c r="E44" s="21" t="s">
        <v>26</v>
      </c>
      <c r="F44" s="22"/>
      <c r="G44" s="23">
        <v>2</v>
      </c>
      <c r="H44" s="23">
        <v>2</v>
      </c>
      <c r="I44" s="23">
        <v>2</v>
      </c>
      <c r="J44" s="23">
        <f>SUM($G$44:$I$44)</f>
        <v>6</v>
      </c>
      <c r="K44" s="47">
        <f t="array" ref="K44">INDEX(М[Цена за ед., руб],MATCH(1,IF(($B44=М[Наим.])*($C44=М[Артикул, марка, произв.])*($D44=М[Хар-ка])*($M44=М[Прим.]),{1},($B44=М[Наим.])*($C44=М[Артикул, марка, произв.])*($D44=М[Хар-ка])*($M44=М[Прим.])),0))</f>
        <v>0</v>
      </c>
      <c r="L44" s="47">
        <f>ROUND($J$44*$K$44,2)</f>
        <v>0</v>
      </c>
      <c r="M44" s="20"/>
      <c r="N44" s="20">
        <f t="array" ref="N44">INDEX(М[Форма закупа],MATCH(1,IF(($B44=М[Наим.])*($C44=М[Артикул, марка, произв.])*($D44=М[Хар-ка])*($M44=М[Прим.]),{1},($B44=М[Наим.])*($C44=М[Артикул, марка, произв.])*($D44=М[Хар-ка])*($M44=М[Прим.])),0))</f>
        <v>0</v>
      </c>
    </row>
    <row r="45" spans="1:14" ht="11.1" customHeight="1" outlineLevel="4" x14ac:dyDescent="0.2">
      <c r="A45" s="15"/>
      <c r="B45" s="9" t="s">
        <v>24</v>
      </c>
      <c r="C45" s="16"/>
      <c r="D45" s="16"/>
      <c r="E45" s="16"/>
      <c r="F45" s="16"/>
      <c r="G45" s="16"/>
      <c r="H45" s="16"/>
      <c r="I45" s="16"/>
      <c r="J45" s="16"/>
      <c r="K45" s="45"/>
      <c r="L45" s="46">
        <f>SUM($L$46)</f>
        <v>0</v>
      </c>
      <c r="M45" s="13"/>
      <c r="N45" s="17"/>
    </row>
    <row r="46" spans="1:14" ht="23.1" customHeight="1" outlineLevel="4" x14ac:dyDescent="0.2">
      <c r="A46" s="18"/>
      <c r="B46" s="19" t="s">
        <v>62</v>
      </c>
      <c r="C46" s="20"/>
      <c r="D46" s="20"/>
      <c r="E46" s="21" t="s">
        <v>26</v>
      </c>
      <c r="F46" s="22"/>
      <c r="G46" s="23">
        <v>1</v>
      </c>
      <c r="H46" s="22"/>
      <c r="I46" s="22"/>
      <c r="J46" s="23">
        <f>SUM($G$46:$I$46)</f>
        <v>1</v>
      </c>
      <c r="K46" s="47">
        <f t="array" ref="K46">INDEX(Р[Цена за ед., руб],MATCH(1,IF(($B46=Р[Наименование])*($M46=Р[Примечание]),{1},($B46=Р[Наименование])*($M46=Р[Примечание])),0))</f>
        <v>0</v>
      </c>
      <c r="L46" s="47">
        <f>ROUND($J$46*$K$46,2)</f>
        <v>0</v>
      </c>
      <c r="M46" s="20"/>
      <c r="N46" s="20"/>
    </row>
    <row r="47" spans="1:14" ht="11.1" customHeight="1" outlineLevel="4" x14ac:dyDescent="0.2">
      <c r="A47" s="15"/>
      <c r="B47" s="9" t="s">
        <v>29</v>
      </c>
      <c r="C47" s="16"/>
      <c r="D47" s="16"/>
      <c r="E47" s="16"/>
      <c r="F47" s="16"/>
      <c r="G47" s="16"/>
      <c r="H47" s="16"/>
      <c r="I47" s="16"/>
      <c r="J47" s="16"/>
      <c r="K47" s="45"/>
      <c r="L47" s="46">
        <f>SUM($L$48)</f>
        <v>0</v>
      </c>
      <c r="M47" s="13"/>
      <c r="N47" s="17"/>
    </row>
    <row r="48" spans="1:14" ht="35.1" customHeight="1" outlineLevel="4" x14ac:dyDescent="0.2">
      <c r="A48" s="18" t="s">
        <v>30</v>
      </c>
      <c r="B48" s="19" t="s">
        <v>63</v>
      </c>
      <c r="C48" s="20" t="s">
        <v>64</v>
      </c>
      <c r="D48" s="20" t="s">
        <v>65</v>
      </c>
      <c r="E48" s="21" t="s">
        <v>26</v>
      </c>
      <c r="F48" s="22"/>
      <c r="G48" s="23">
        <v>1</v>
      </c>
      <c r="H48" s="22"/>
      <c r="I48" s="22"/>
      <c r="J48" s="23">
        <f>SUM($G$48:$I$48)</f>
        <v>1</v>
      </c>
      <c r="K48" s="47">
        <f t="array" ref="K48">INDEX(М[Цена за ед., руб],MATCH(1,IF(($B48=М[Наим.])*($C48=М[Артикул,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  <c r="L48" s="47">
        <f>ROUND($J$48*$K$48,2)</f>
        <v>0</v>
      </c>
      <c r="M48" s="20" t="s">
        <v>66</v>
      </c>
      <c r="N48" s="20">
        <f t="array" ref="N48">INDEX(М[Форма закупа],MATCH(1,IF(($B48=М[Наим.])*($C48=М[Артикул,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</row>
    <row r="49" spans="1:14" ht="11.1" customHeight="1" outlineLevel="4" x14ac:dyDescent="0.2">
      <c r="A49" s="15"/>
      <c r="B49" s="9" t="s">
        <v>24</v>
      </c>
      <c r="C49" s="16"/>
      <c r="D49" s="16"/>
      <c r="E49" s="16"/>
      <c r="F49" s="16"/>
      <c r="G49" s="16"/>
      <c r="H49" s="16"/>
      <c r="I49" s="16"/>
      <c r="J49" s="16"/>
      <c r="K49" s="45"/>
      <c r="L49" s="46">
        <f>SUM($L$50)</f>
        <v>0</v>
      </c>
      <c r="M49" s="13"/>
      <c r="N49" s="17"/>
    </row>
    <row r="50" spans="1:14" ht="11.1" customHeight="1" outlineLevel="4" x14ac:dyDescent="0.2">
      <c r="A50" s="18"/>
      <c r="B50" s="19" t="s">
        <v>67</v>
      </c>
      <c r="C50" s="20"/>
      <c r="D50" s="20"/>
      <c r="E50" s="21" t="s">
        <v>26</v>
      </c>
      <c r="F50" s="22"/>
      <c r="G50" s="23">
        <v>4</v>
      </c>
      <c r="H50" s="23">
        <v>18</v>
      </c>
      <c r="I50" s="23">
        <v>36</v>
      </c>
      <c r="J50" s="23">
        <f>SUM($G$50:$I$50)</f>
        <v>58</v>
      </c>
      <c r="K50" s="47">
        <f t="array" ref="K50">INDEX(Р[Цена за ед., руб],MATCH(1,IF(($B50=Р[Наименование])*($M50=Р[Примечание]),{1},($B50=Р[Наименование])*($M50=Р[Примечание])),0))</f>
        <v>0</v>
      </c>
      <c r="L50" s="47">
        <f>ROUND($J$50*$K$50,2)</f>
        <v>0</v>
      </c>
      <c r="M50" s="20"/>
      <c r="N50" s="20"/>
    </row>
    <row r="51" spans="1:14" ht="11.1" customHeight="1" outlineLevel="4" x14ac:dyDescent="0.2">
      <c r="A51" s="15"/>
      <c r="B51" s="9" t="s">
        <v>29</v>
      </c>
      <c r="C51" s="16"/>
      <c r="D51" s="16"/>
      <c r="E51" s="16"/>
      <c r="F51" s="16"/>
      <c r="G51" s="16"/>
      <c r="H51" s="16"/>
      <c r="I51" s="16"/>
      <c r="J51" s="16"/>
      <c r="K51" s="45"/>
      <c r="L51" s="46">
        <f>SUM($L$52:$L$55)</f>
        <v>0</v>
      </c>
      <c r="M51" s="13"/>
      <c r="N51" s="17"/>
    </row>
    <row r="52" spans="1:14" ht="23.1" customHeight="1" outlineLevel="4" x14ac:dyDescent="0.2">
      <c r="A52" s="18" t="s">
        <v>30</v>
      </c>
      <c r="B52" s="19" t="s">
        <v>68</v>
      </c>
      <c r="C52" s="20"/>
      <c r="D52" s="20" t="s">
        <v>69</v>
      </c>
      <c r="E52" s="21" t="s">
        <v>26</v>
      </c>
      <c r="F52" s="22"/>
      <c r="G52" s="22"/>
      <c r="H52" s="23">
        <v>4</v>
      </c>
      <c r="I52" s="23">
        <v>4</v>
      </c>
      <c r="J52" s="23">
        <f>SUM($G$52:$I$52)</f>
        <v>8</v>
      </c>
      <c r="K52" s="47">
        <f t="array" ref="K52">INDEX(М[Цена за ед., руб],MATCH(1,IF(($B52=М[Наим.])*($C52=М[Артикул, марка, произв.])*($D52=М[Хар-ка])*($M52=М[Прим.]),{1},($B52=М[Наим.])*($C52=М[Артикул, марка, произв.])*($D52=М[Хар-ка])*($M52=М[Прим.])),0))</f>
        <v>0</v>
      </c>
      <c r="L52" s="47">
        <f>ROUND($J$52*$K$52,2)</f>
        <v>0</v>
      </c>
      <c r="M52" s="20" t="s">
        <v>70</v>
      </c>
      <c r="N52" s="20">
        <f t="array" ref="N52">INDEX(М[Форма закупа],MATCH(1,IF(($B52=М[Наим.])*($C52=М[Артикул, марка, произв.])*($D52=М[Хар-ка])*($M52=М[Прим.]),{1},($B52=М[Наим.])*($C52=М[Артикул, марка, произв.])*($D52=М[Хар-ка])*($M52=М[Прим.])),0))</f>
        <v>0</v>
      </c>
    </row>
    <row r="53" spans="1:14" ht="23.1" customHeight="1" outlineLevel="4" x14ac:dyDescent="0.2">
      <c r="A53" s="18" t="s">
        <v>38</v>
      </c>
      <c r="B53" s="19" t="s">
        <v>68</v>
      </c>
      <c r="C53" s="20"/>
      <c r="D53" s="20" t="s">
        <v>69</v>
      </c>
      <c r="E53" s="21" t="s">
        <v>26</v>
      </c>
      <c r="F53" s="22"/>
      <c r="G53" s="23">
        <v>4</v>
      </c>
      <c r="H53" s="22"/>
      <c r="I53" s="22"/>
      <c r="J53" s="23">
        <f>SUM($G$53:$I$53)</f>
        <v>4</v>
      </c>
      <c r="K53" s="47">
        <f t="array" ref="K53">INDEX(М[Цена за ед., руб],MATCH(1,IF(($B53=М[Наим.])*($C53=М[Артикул, марка, произв.])*($D53=М[Хар-ка])*($M53=М[Прим.]),{1},($B53=М[Наим.])*($C53=М[Артикул, марка, произв.])*($D53=М[Хар-ка])*($M53=М[Прим.])),0))</f>
        <v>0</v>
      </c>
      <c r="L53" s="47">
        <f>ROUND($J$53*$K$53,2)</f>
        <v>0</v>
      </c>
      <c r="M53" s="20" t="s">
        <v>71</v>
      </c>
      <c r="N53" s="20">
        <f t="array" ref="N53">INDEX(М[Форма закупа],MATCH(1,IF(($B53=М[Наим.])*($C53=М[Артикул, марка, произв.])*($D53=М[Хар-ка])*($M53=М[Прим.]),{1},($B53=М[Наим.])*($C53=М[Артикул, марка, произв.])*($D53=М[Хар-ка])*($M53=М[Прим.])),0))</f>
        <v>0</v>
      </c>
    </row>
    <row r="54" spans="1:14" ht="23.1" customHeight="1" outlineLevel="4" x14ac:dyDescent="0.2">
      <c r="A54" s="18" t="s">
        <v>45</v>
      </c>
      <c r="B54" s="19" t="s">
        <v>68</v>
      </c>
      <c r="C54" s="20"/>
      <c r="D54" s="20" t="s">
        <v>72</v>
      </c>
      <c r="E54" s="21" t="s">
        <v>26</v>
      </c>
      <c r="F54" s="22"/>
      <c r="G54" s="22"/>
      <c r="H54" s="23">
        <v>14</v>
      </c>
      <c r="I54" s="23">
        <v>32</v>
      </c>
      <c r="J54" s="23">
        <f>SUM($G$54:$I$54)</f>
        <v>46</v>
      </c>
      <c r="K54" s="47">
        <f t="array" ref="K54">INDEX(М[Цена за ед., руб],MATCH(1,IF(($B54=М[Наим.])*($C54=М[Артикул,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  <c r="L54" s="47">
        <f>ROUND($J$54*$K$54,2)</f>
        <v>0</v>
      </c>
      <c r="M54" s="20" t="s">
        <v>70</v>
      </c>
      <c r="N54" s="20">
        <f t="array" ref="N54">INDEX(М[Форма закупа],MATCH(1,IF(($B54=М[Наим.])*($C54=М[Артикул,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</row>
    <row r="55" spans="1:14" ht="23.1" customHeight="1" outlineLevel="4" x14ac:dyDescent="0.2">
      <c r="A55" s="18">
        <v>4</v>
      </c>
      <c r="B55" s="76" t="s">
        <v>122</v>
      </c>
      <c r="C55" s="20"/>
      <c r="D55" s="49" t="s">
        <v>123</v>
      </c>
      <c r="E55" s="21" t="s">
        <v>26</v>
      </c>
      <c r="F55" s="22"/>
      <c r="G55" s="79">
        <f>(G52+G53)*2</f>
        <v>8</v>
      </c>
      <c r="H55" s="79">
        <f t="shared" ref="H55:I55" si="0">(H52+H53)*2</f>
        <v>8</v>
      </c>
      <c r="I55" s="79">
        <f t="shared" si="0"/>
        <v>8</v>
      </c>
      <c r="J55" s="23">
        <f>SUM(G55:I55)</f>
        <v>24</v>
      </c>
      <c r="K55" s="47">
        <f t="array" ref="K55">INDEX(М[Цена за ед., руб],MATCH(1,IF(($B55=М[Наим.])*($C55=М[Артикул, марка, произв.])*($D55=М[Хар-ка])*($M55=М[Прим.]),{1},($B55=М[Наим.])*($C55=М[Артикул, марка, произв.])*($D55=М[Хар-ка])*($M55=М[Прим.])),0))</f>
        <v>0</v>
      </c>
      <c r="L55" s="47">
        <f>K55*J55</f>
        <v>0</v>
      </c>
      <c r="M55" s="20"/>
      <c r="N55" s="20">
        <f t="array" ref="N55">INDEX(М[Форма закупа],MATCH(1,IF(($B55=М[Наим.])*($C55=М[Артикул, марка, произв.])*($D55=М[Хар-ка])*($M55=М[Прим.]),{1},($B55=М[Наим.])*($C55=М[Артикул, марка, произв.])*($D55=М[Хар-ка])*($M55=М[Прим.])),0))</f>
        <v>0</v>
      </c>
    </row>
    <row r="56" spans="1:14" ht="11.1" customHeight="1" outlineLevel="4" x14ac:dyDescent="0.2">
      <c r="A56" s="15"/>
      <c r="B56" s="9" t="s">
        <v>24</v>
      </c>
      <c r="C56" s="16"/>
      <c r="D56" s="16"/>
      <c r="E56" s="16"/>
      <c r="F56" s="16"/>
      <c r="G56" s="16"/>
      <c r="H56" s="16"/>
      <c r="I56" s="16"/>
      <c r="J56" s="16"/>
      <c r="K56" s="72"/>
      <c r="L56" s="75">
        <f>SUM($L$57)</f>
        <v>0</v>
      </c>
      <c r="M56" s="73"/>
      <c r="N56" s="17"/>
    </row>
    <row r="57" spans="1:14" ht="11.1" customHeight="1" outlineLevel="4" x14ac:dyDescent="0.2">
      <c r="A57" s="18"/>
      <c r="B57" s="19" t="s">
        <v>73</v>
      </c>
      <c r="C57" s="20"/>
      <c r="D57" s="20"/>
      <c r="E57" s="21" t="s">
        <v>74</v>
      </c>
      <c r="F57" s="22"/>
      <c r="G57" s="23">
        <v>20</v>
      </c>
      <c r="H57" s="22"/>
      <c r="I57" s="22"/>
      <c r="J57" s="23">
        <f>SUM($G$57:$I$57)</f>
        <v>20</v>
      </c>
      <c r="K57" s="47">
        <f t="array" ref="K57">INDEX(Р[Цена за ед., руб],MATCH(1,IF(($B57=Р[Наименование])*($M57=Р[Примечание]),{1},($B57=Р[Наименование])*($M57=Р[Примечание])),0))</f>
        <v>0</v>
      </c>
      <c r="L57" s="74">
        <f>ROUND($J$57*$K$57,2)</f>
        <v>0</v>
      </c>
      <c r="M57" s="20"/>
      <c r="N57" s="20"/>
    </row>
    <row r="58" spans="1:14" ht="11.1" customHeight="1" outlineLevel="4" x14ac:dyDescent="0.2">
      <c r="A58" s="15"/>
      <c r="B58" s="9" t="s">
        <v>29</v>
      </c>
      <c r="C58" s="16"/>
      <c r="D58" s="16"/>
      <c r="E58" s="16"/>
      <c r="F58" s="16"/>
      <c r="G58" s="16"/>
      <c r="H58" s="16"/>
      <c r="I58" s="16"/>
      <c r="J58" s="16"/>
      <c r="K58" s="45"/>
      <c r="L58" s="46">
        <f>SUM($L$59)</f>
        <v>0</v>
      </c>
      <c r="M58" s="13"/>
      <c r="N58" s="17"/>
    </row>
    <row r="59" spans="1:14" ht="23.1" customHeight="1" outlineLevel="4" x14ac:dyDescent="0.2">
      <c r="A59" s="18" t="s">
        <v>30</v>
      </c>
      <c r="B59" s="19" t="s">
        <v>75</v>
      </c>
      <c r="C59" s="20"/>
      <c r="D59" s="20" t="s">
        <v>76</v>
      </c>
      <c r="E59" s="21" t="s">
        <v>74</v>
      </c>
      <c r="F59" s="22"/>
      <c r="G59" s="23">
        <v>20</v>
      </c>
      <c r="H59" s="22"/>
      <c r="I59" s="22"/>
      <c r="J59" s="23">
        <f>SUM($G$59:$I$59)</f>
        <v>20</v>
      </c>
      <c r="K59" s="47">
        <f t="array" ref="K59">INDEX(М[Цена за ед., руб],MATCH(1,IF(($B59=М[Наим.])*($C59=М[Артикул,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  <c r="L59" s="47">
        <f>ROUND($J$59*$K$59,2)</f>
        <v>0</v>
      </c>
      <c r="M59" s="20"/>
      <c r="N59" s="20">
        <f t="array" ref="N59">INDEX(М[Форма закупа],MATCH(1,IF(($B59=М[Наим.])*($C59=М[Артикул,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</row>
    <row r="60" spans="1:14" ht="11.1" customHeight="1" outlineLevel="4" x14ac:dyDescent="0.2">
      <c r="A60" s="15"/>
      <c r="B60" s="9" t="s">
        <v>24</v>
      </c>
      <c r="C60" s="16"/>
      <c r="D60" s="16"/>
      <c r="E60" s="16"/>
      <c r="F60" s="16"/>
      <c r="G60" s="16"/>
      <c r="H60" s="16"/>
      <c r="I60" s="16"/>
      <c r="J60" s="16"/>
      <c r="K60" s="45"/>
      <c r="L60" s="46">
        <f>SUM($L$61)</f>
        <v>0</v>
      </c>
      <c r="M60" s="13"/>
      <c r="N60" s="17"/>
    </row>
    <row r="61" spans="1:14" ht="11.1" customHeight="1" outlineLevel="4" x14ac:dyDescent="0.2">
      <c r="A61" s="18"/>
      <c r="B61" s="19" t="s">
        <v>77</v>
      </c>
      <c r="C61" s="20"/>
      <c r="D61" s="20"/>
      <c r="E61" s="21" t="s">
        <v>74</v>
      </c>
      <c r="F61" s="22"/>
      <c r="G61" s="23">
        <v>359</v>
      </c>
      <c r="H61" s="23">
        <v>140</v>
      </c>
      <c r="I61" s="23">
        <v>278</v>
      </c>
      <c r="J61" s="23">
        <f>SUM($G$61:$I$61)</f>
        <v>777</v>
      </c>
      <c r="K61" s="47">
        <f t="array" ref="K61">INDEX(Р[Цена за ед., руб],MATCH(1,IF(($B61=Р[Наименование])*($M61=Р[Примечание]),{1},($B61=Р[Наименование])*($M61=Р[Примечание])),0))</f>
        <v>0</v>
      </c>
      <c r="L61" s="47">
        <f>ROUND($J$61*$K$61,2)</f>
        <v>0</v>
      </c>
      <c r="M61" s="20"/>
      <c r="N61" s="20"/>
    </row>
    <row r="62" spans="1:14" ht="11.1" customHeight="1" outlineLevel="4" x14ac:dyDescent="0.2">
      <c r="A62" s="15"/>
      <c r="B62" s="9" t="s">
        <v>29</v>
      </c>
      <c r="C62" s="16"/>
      <c r="D62" s="16"/>
      <c r="E62" s="16"/>
      <c r="F62" s="16"/>
      <c r="G62" s="16"/>
      <c r="H62" s="16"/>
      <c r="I62" s="16"/>
      <c r="J62" s="16"/>
      <c r="K62" s="45"/>
      <c r="L62" s="46">
        <f>SUM($L$63:$L$66)</f>
        <v>0</v>
      </c>
      <c r="M62" s="13"/>
      <c r="N62" s="17"/>
    </row>
    <row r="63" spans="1:14" ht="11.1" customHeight="1" outlineLevel="4" x14ac:dyDescent="0.2">
      <c r="A63" s="18" t="s">
        <v>30</v>
      </c>
      <c r="B63" s="19" t="s">
        <v>78</v>
      </c>
      <c r="C63" s="20"/>
      <c r="D63" s="20" t="s">
        <v>79</v>
      </c>
      <c r="E63" s="21" t="s">
        <v>74</v>
      </c>
      <c r="F63" s="22"/>
      <c r="G63" s="23">
        <v>262</v>
      </c>
      <c r="H63" s="22"/>
      <c r="I63" s="22"/>
      <c r="J63" s="23">
        <f>SUM($G$63:$I$63)</f>
        <v>262</v>
      </c>
      <c r="K63" s="47">
        <f t="array" ref="K63">INDEX(М[Цена за ед., руб],MATCH(1,IF(($B63=М[Наим.])*($C63=М[Артикул, марка, произв.])*($D63=М[Хар-ка])*($M63=М[Прим.]),{1},($B63=М[Наим.])*($C63=М[Артикул, марка, произв.])*($D63=М[Хар-ка])*($M63=М[Прим.])),0))</f>
        <v>0</v>
      </c>
      <c r="L63" s="47">
        <f>ROUND($J$63*$K$63,2)</f>
        <v>0</v>
      </c>
      <c r="M63" s="20"/>
      <c r="N63" s="20">
        <f t="array" ref="N63">INDEX(М[Форма закупа],MATCH(1,IF(($B63=М[Наим.])*($C63=М[Артикул, марка, произв.])*($D63=М[Хар-ка])*($M63=М[Прим.]),{1},($B63=М[Наим.])*($C63=М[Артикул, марка, произв.])*($D63=М[Хар-ка])*($M63=М[Прим.])),0))</f>
        <v>0</v>
      </c>
    </row>
    <row r="64" spans="1:14" ht="23.1" customHeight="1" outlineLevel="4" x14ac:dyDescent="0.2">
      <c r="A64" s="18" t="s">
        <v>38</v>
      </c>
      <c r="B64" s="19" t="s">
        <v>78</v>
      </c>
      <c r="C64" s="20"/>
      <c r="D64" s="20" t="s">
        <v>80</v>
      </c>
      <c r="E64" s="21" t="s">
        <v>74</v>
      </c>
      <c r="F64" s="22"/>
      <c r="G64" s="23">
        <v>12</v>
      </c>
      <c r="H64" s="22"/>
      <c r="I64" s="22"/>
      <c r="J64" s="23">
        <f>SUM($G$64:$I$64)</f>
        <v>12</v>
      </c>
      <c r="K64" s="47">
        <f t="array" ref="K64">INDEX(М[Цена за ед., руб],MATCH(1,IF(($B64=М[Наим.])*($C64=М[Артикул,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  <c r="L64" s="47">
        <f>ROUND($J$64*$K$64,2)</f>
        <v>0</v>
      </c>
      <c r="M64" s="20"/>
      <c r="N64" s="20">
        <f t="array" ref="N64">INDEX(М[Форма закупа],MATCH(1,IF(($B64=М[Наим.])*($C64=М[Артикул,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</row>
    <row r="65" spans="1:15" ht="11.1" customHeight="1" outlineLevel="4" x14ac:dyDescent="0.2">
      <c r="A65" s="18" t="s">
        <v>45</v>
      </c>
      <c r="B65" s="19" t="s">
        <v>78</v>
      </c>
      <c r="C65" s="20"/>
      <c r="D65" s="20" t="s">
        <v>81</v>
      </c>
      <c r="E65" s="21" t="s">
        <v>74</v>
      </c>
      <c r="F65" s="22"/>
      <c r="G65" s="22"/>
      <c r="H65" s="23">
        <v>22</v>
      </c>
      <c r="I65" s="23">
        <v>34</v>
      </c>
      <c r="J65" s="23">
        <f>SUM($G$65:$I$65)</f>
        <v>56</v>
      </c>
      <c r="K65" s="47">
        <f t="array" ref="K65">INDEX(М[Цена за ед., руб],MATCH(1,IF(($B65=М[Наим.])*($C65=М[Артикул, марка, произв.])*($D65=М[Хар-ка])*($M65=М[Прим.]),{1},($B65=М[Наим.])*($C65=М[Артикул, марка, произв.])*($D65=М[Хар-ка])*($M65=М[Прим.])),0))</f>
        <v>0</v>
      </c>
      <c r="L65" s="47">
        <f>ROUND($J$65*$K$65,2)</f>
        <v>0</v>
      </c>
      <c r="M65" s="20"/>
      <c r="N65" s="20">
        <f t="array" ref="N65">INDEX(М[Форма закупа],MATCH(1,IF(($B65=М[Наим.])*($C65=М[Артикул, марка, произв.])*($D65=М[Хар-ка])*($M65=М[Прим.]),{1},($B65=М[Наим.])*($C65=М[Артикул, марка, произв.])*($D65=М[Хар-ка])*($M65=М[Прим.])),0))</f>
        <v>0</v>
      </c>
    </row>
    <row r="66" spans="1:15" ht="11.1" customHeight="1" outlineLevel="4" x14ac:dyDescent="0.2">
      <c r="A66" s="18" t="s">
        <v>49</v>
      </c>
      <c r="B66" s="19" t="s">
        <v>78</v>
      </c>
      <c r="C66" s="20"/>
      <c r="D66" s="20" t="s">
        <v>82</v>
      </c>
      <c r="E66" s="21" t="s">
        <v>74</v>
      </c>
      <c r="F66" s="22"/>
      <c r="G66" s="23">
        <v>85</v>
      </c>
      <c r="H66" s="23">
        <v>118</v>
      </c>
      <c r="I66" s="23">
        <v>244</v>
      </c>
      <c r="J66" s="23">
        <f>SUM($G$66:$I$66)</f>
        <v>447</v>
      </c>
      <c r="K66" s="47">
        <f t="array" ref="K66">INDEX(М[Цена за ед., руб],MATCH(1,IF(($B66=М[Наим.])*($C66=М[Артикул, марка, произв.])*($D66=М[Хар-ка])*($M66=М[Прим.]),{1},($B66=М[Наим.])*($C66=М[Артикул, марка, произв.])*($D66=М[Хар-ка])*($M66=М[Прим.])),0))</f>
        <v>0</v>
      </c>
      <c r="L66" s="47">
        <f>ROUND($J$66*$K$66,2)</f>
        <v>0</v>
      </c>
      <c r="M66" s="20"/>
      <c r="N66" s="20">
        <f t="array" ref="N66">INDEX(М[Форма закупа],MATCH(1,IF(($B66=М[Наим.])*($C66=М[Артикул, марка, произв.])*($D66=М[Хар-ка])*($M66=М[Прим.]),{1},($B66=М[Наим.])*($C66=М[Артикул, марка, произв.])*($D66=М[Хар-ка])*($M66=М[Прим.])),0))</f>
        <v>0</v>
      </c>
    </row>
    <row r="67" spans="1:15" ht="11.1" customHeight="1" outlineLevel="4" x14ac:dyDescent="0.2">
      <c r="A67" s="53"/>
      <c r="B67" s="54" t="s">
        <v>29</v>
      </c>
      <c r="C67" s="55"/>
      <c r="D67" s="55"/>
      <c r="E67" s="55"/>
      <c r="F67" s="55"/>
      <c r="G67" s="55"/>
      <c r="H67" s="55"/>
      <c r="I67" s="55"/>
      <c r="J67" s="55"/>
      <c r="K67" s="56"/>
      <c r="L67" s="57">
        <f ca="1">SUM($L$68:$L$69)</f>
        <v>0</v>
      </c>
      <c r="M67" s="13"/>
      <c r="N67" s="17"/>
    </row>
    <row r="68" spans="1:15" ht="22.5" outlineLevel="4" x14ac:dyDescent="0.2">
      <c r="A68" s="58" t="s">
        <v>30</v>
      </c>
      <c r="B68" s="59" t="s">
        <v>85</v>
      </c>
      <c r="C68" s="52"/>
      <c r="D68" s="52"/>
      <c r="E68" s="60" t="s">
        <v>26</v>
      </c>
      <c r="F68" s="61"/>
      <c r="G68" s="61"/>
      <c r="H68" s="61"/>
      <c r="I68" s="61"/>
      <c r="J68" s="63">
        <f ca="1">SUMIF(М[[Наим.]:[Сумма, руб]],B68,М[Количество])</f>
        <v>0</v>
      </c>
      <c r="K68" s="62"/>
      <c r="L68" s="62">
        <f ca="1">ROUND(SUM(L59,L63:L66)*J68%,3)</f>
        <v>0</v>
      </c>
      <c r="M68" s="49" t="s">
        <v>124</v>
      </c>
      <c r="N68" s="52">
        <f t="array" ref="N68">INDEX(М[Форма закупа],MATCH(1,IF(($B68=М[Наим.])*($C68=М[Артикул, марка, произв.])*($D68=М[Хар-ка])*($M68=М[Прим.]),{1},($B68=М[Наим.])*($C68=М[Артикул, марка, произв.])*($D68=М[Хар-ка])*($M68=М[Прим.])),0))</f>
        <v>0</v>
      </c>
    </row>
    <row r="69" spans="1:15" ht="22.5" outlineLevel="4" x14ac:dyDescent="0.2">
      <c r="A69" s="58" t="s">
        <v>38</v>
      </c>
      <c r="B69" s="59" t="s">
        <v>83</v>
      </c>
      <c r="C69" s="52"/>
      <c r="D69" s="52"/>
      <c r="E69" s="60" t="s">
        <v>26</v>
      </c>
      <c r="F69" s="61"/>
      <c r="G69" s="61"/>
      <c r="H69" s="61"/>
      <c r="I69" s="61"/>
      <c r="J69" s="63">
        <f ca="1">SUMIF(М[[Наим.]:[Сумма, руб]],B69,М[Количество])</f>
        <v>0</v>
      </c>
      <c r="K69" s="62"/>
      <c r="L69" s="62">
        <f ca="1">ROUND(SUM(L19,L23:L24,L28:L31,L35,L39,L43:L44,L48,L52:L55,L59,L63:L66)*J69%,3)</f>
        <v>0</v>
      </c>
      <c r="M69" s="49" t="s">
        <v>124</v>
      </c>
      <c r="N69" s="52">
        <f t="array" ref="N69">INDEX(М[Форма закупа],MATCH(1,IF(($B69=М[Наим.])*($C69=М[Артикул, марка, произв.])*($D69=М[Хар-ка])*($M69=М[Прим.]),{1},($B69=М[Наим.])*($C69=М[Артикул, марка, произв.])*($D69=М[Хар-ка])*($M69=М[Прим.])),0))</f>
        <v>0</v>
      </c>
    </row>
    <row r="70" spans="1:15" ht="11.1" customHeight="1" outlineLevel="2" x14ac:dyDescent="0.2">
      <c r="A70" s="8" t="s">
        <v>86</v>
      </c>
      <c r="B70" s="9" t="s">
        <v>87</v>
      </c>
      <c r="C70" s="10"/>
      <c r="D70" s="10"/>
      <c r="E70" s="11"/>
      <c r="F70" s="12"/>
      <c r="G70" s="13"/>
      <c r="H70" s="13"/>
      <c r="I70" s="13"/>
      <c r="J70" s="13"/>
      <c r="K70" s="44"/>
      <c r="L70" s="44">
        <f>SUM($L$71)</f>
        <v>0</v>
      </c>
      <c r="M70" s="14"/>
      <c r="N70" s="14"/>
    </row>
    <row r="71" spans="1:15" ht="11.1" customHeight="1" outlineLevel="3" x14ac:dyDescent="0.2">
      <c r="A71" s="8" t="s">
        <v>88</v>
      </c>
      <c r="B71" s="9" t="s">
        <v>87</v>
      </c>
      <c r="C71" s="10"/>
      <c r="D71" s="10"/>
      <c r="E71" s="11"/>
      <c r="F71" s="12"/>
      <c r="G71" s="13"/>
      <c r="H71" s="13"/>
      <c r="I71" s="13"/>
      <c r="J71" s="13"/>
      <c r="K71" s="44"/>
      <c r="L71" s="44">
        <f>SUM($L$72)</f>
        <v>0</v>
      </c>
      <c r="M71" s="14"/>
      <c r="N71" s="14"/>
    </row>
    <row r="72" spans="1:15" ht="11.1" customHeight="1" outlineLevel="4" x14ac:dyDescent="0.2">
      <c r="A72" s="15"/>
      <c r="B72" s="9" t="s">
        <v>24</v>
      </c>
      <c r="C72" s="16"/>
      <c r="D72" s="16"/>
      <c r="E72" s="16"/>
      <c r="F72" s="16"/>
      <c r="G72" s="16"/>
      <c r="H72" s="16"/>
      <c r="I72" s="16"/>
      <c r="J72" s="16"/>
      <c r="K72" s="45"/>
      <c r="L72" s="46">
        <f>SUM($L$73)</f>
        <v>0</v>
      </c>
      <c r="M72" s="13"/>
      <c r="N72" s="17"/>
    </row>
    <row r="73" spans="1:15" ht="35.1" customHeight="1" outlineLevel="4" x14ac:dyDescent="0.2">
      <c r="A73" s="18"/>
      <c r="B73" s="19" t="s">
        <v>89</v>
      </c>
      <c r="C73" s="20"/>
      <c r="D73" s="20"/>
      <c r="E73" s="21" t="s">
        <v>90</v>
      </c>
      <c r="F73" s="22"/>
      <c r="G73" s="23">
        <v>1</v>
      </c>
      <c r="H73" s="23">
        <v>1</v>
      </c>
      <c r="I73" s="23">
        <v>1</v>
      </c>
      <c r="J73" s="23">
        <f>SUM($G$73:$I$73)</f>
        <v>3</v>
      </c>
      <c r="K73" s="47">
        <f t="array" ref="K73">INDEX(Р[Цена за ед., руб],MATCH(1,IF(($B73=Р[Наименование])*($M73=Р[Примечание]),{1},($B73=Р[Наименование])*($M73=Р[Примечание])),0))</f>
        <v>0</v>
      </c>
      <c r="L73" s="47">
        <f>ROUND($J$73*$K$73,2)</f>
        <v>0</v>
      </c>
      <c r="M73" s="20"/>
      <c r="N73" s="20"/>
    </row>
    <row r="74" spans="1:15" ht="11.1" customHeight="1" x14ac:dyDescent="0.2">
      <c r="A74" s="102" t="s">
        <v>111</v>
      </c>
      <c r="B74" s="103"/>
      <c r="C74" s="103"/>
      <c r="D74" s="103"/>
      <c r="E74" s="103"/>
      <c r="F74" s="103"/>
      <c r="G74" s="103"/>
      <c r="H74" s="103"/>
      <c r="I74" s="103"/>
      <c r="J74" s="103"/>
      <c r="K74" s="104"/>
      <c r="L74" s="48">
        <f ca="1">$L$9</f>
        <v>0</v>
      </c>
      <c r="M74" s="24"/>
      <c r="N74" s="24"/>
    </row>
    <row r="75" spans="1:15" ht="11.1" customHeight="1" x14ac:dyDescent="0.2">
      <c r="A75" s="105" t="s">
        <v>91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7"/>
      <c r="L75" s="48">
        <f>SUM($L$72,$L$60,$L$56,$L$49,$L$45,$L$40,$L$36,$L$32,$L$25,$L$20,$L$16,$L$14,$L$12)</f>
        <v>0</v>
      </c>
      <c r="M75" s="24"/>
      <c r="N75" s="24"/>
    </row>
    <row r="76" spans="1:15" ht="11.1" customHeight="1" x14ac:dyDescent="0.2">
      <c r="A76" s="105" t="s">
        <v>92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7"/>
      <c r="L76" s="48">
        <f ca="1">SUM($L$67,$L$62,$L$58,$L$51,$L$47,$L$42,$L$38,$L$34,$L$27,$L$22,$L$18)</f>
        <v>0</v>
      </c>
      <c r="M76" s="24"/>
      <c r="N76" s="24"/>
    </row>
    <row r="77" spans="1:15" ht="11.1" customHeight="1" x14ac:dyDescent="0.2">
      <c r="A77" s="105" t="s">
        <v>110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7"/>
      <c r="L77" s="51"/>
      <c r="M77" s="71" t="s">
        <v>121</v>
      </c>
      <c r="N77" s="24"/>
    </row>
    <row r="78" spans="1:15" ht="11.1" customHeight="1" x14ac:dyDescent="0.2">
      <c r="A78" s="25"/>
      <c r="B78" s="98" t="s">
        <v>93</v>
      </c>
      <c r="C78" s="98"/>
      <c r="D78" s="98"/>
      <c r="E78" s="98"/>
      <c r="F78" s="98"/>
      <c r="G78" s="98"/>
      <c r="H78" s="98"/>
      <c r="I78" s="98"/>
      <c r="J78" s="98"/>
      <c r="K78" s="99"/>
      <c r="L78" s="99"/>
      <c r="M78" s="98"/>
      <c r="N78" s="25"/>
    </row>
    <row r="79" spans="1:15" ht="11.1" customHeight="1" x14ac:dyDescent="0.2">
      <c r="B79" s="100"/>
      <c r="C79" s="100"/>
      <c r="D79" s="100"/>
      <c r="E79" s="100"/>
      <c r="F79" s="100"/>
      <c r="G79" s="100"/>
      <c r="H79" s="100"/>
      <c r="I79" s="100"/>
      <c r="J79" s="100"/>
      <c r="K79" s="101"/>
      <c r="L79" s="101"/>
      <c r="M79" s="100"/>
    </row>
    <row r="80" spans="1:15" ht="23.25" customHeight="1" x14ac:dyDescent="0.25">
      <c r="A80" s="66"/>
      <c r="B80" s="67" t="s">
        <v>113</v>
      </c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9"/>
      <c r="O80" s="70"/>
    </row>
    <row r="81" spans="1:19" ht="15.75" x14ac:dyDescent="0.2">
      <c r="A81" s="66"/>
      <c r="B81" s="82" t="s">
        <v>114</v>
      </c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</row>
    <row r="82" spans="1:19" ht="15.75" x14ac:dyDescent="0.2">
      <c r="A82" s="66"/>
      <c r="B82" s="82" t="s">
        <v>115</v>
      </c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</row>
    <row r="83" spans="1:19" ht="46.5" customHeight="1" x14ac:dyDescent="0.2">
      <c r="A83" s="66"/>
      <c r="B83" s="83" t="s">
        <v>116</v>
      </c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</row>
    <row r="84" spans="1:19" ht="46.5" customHeight="1" x14ac:dyDescent="0.2">
      <c r="A84" s="66"/>
      <c r="B84" s="84" t="s">
        <v>117</v>
      </c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</row>
    <row r="85" spans="1:19" ht="15.75" x14ac:dyDescent="0.2">
      <c r="A85" s="66"/>
      <c r="B85" s="85" t="s">
        <v>118</v>
      </c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</row>
    <row r="86" spans="1:19" ht="18.75" customHeight="1" x14ac:dyDescent="0.2">
      <c r="B86" s="80" t="s">
        <v>119</v>
      </c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66"/>
      <c r="Q86" s="66"/>
      <c r="R86" s="66"/>
      <c r="S86" s="66"/>
    </row>
    <row r="87" spans="1:19" ht="46.5" customHeight="1" x14ac:dyDescent="0.2">
      <c r="B87" s="81" t="s">
        <v>120</v>
      </c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</row>
  </sheetData>
  <autoFilter ref="A7:N78" xr:uid="{00000000-0001-0000-0000-000000000000}"/>
  <mergeCells count="30">
    <mergeCell ref="B78:M78"/>
    <mergeCell ref="B79:M79"/>
    <mergeCell ref="K6:K7"/>
    <mergeCell ref="L6:L7"/>
    <mergeCell ref="M6:M7"/>
    <mergeCell ref="A74:K74"/>
    <mergeCell ref="A75:K75"/>
    <mergeCell ref="A76:K76"/>
    <mergeCell ref="A77:K77"/>
    <mergeCell ref="A6:A7"/>
    <mergeCell ref="N6:N7"/>
    <mergeCell ref="B2:J2"/>
    <mergeCell ref="B3:J3"/>
    <mergeCell ref="B4:J4"/>
    <mergeCell ref="F6:F7"/>
    <mergeCell ref="G6:G7"/>
    <mergeCell ref="H6:H7"/>
    <mergeCell ref="I6:I7"/>
    <mergeCell ref="J6:J7"/>
    <mergeCell ref="B6:B7"/>
    <mergeCell ref="C6:C7"/>
    <mergeCell ref="D6:D7"/>
    <mergeCell ref="E6:E7"/>
    <mergeCell ref="B86:O86"/>
    <mergeCell ref="B87:S87"/>
    <mergeCell ref="B81:O81"/>
    <mergeCell ref="B82:O82"/>
    <mergeCell ref="B83:O83"/>
    <mergeCell ref="B84:O84"/>
    <mergeCell ref="B85:O8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9"/>
  <sheetViews>
    <sheetView workbookViewId="0">
      <pane ySplit="3" topLeftCell="A4" activePane="bottomLeft" state="frozen"/>
      <selection pane="bottomLeft" activeCell="D4" sqref="D4:D16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8" t="s">
        <v>94</v>
      </c>
      <c r="B1" s="108"/>
      <c r="C1" s="108"/>
      <c r="D1" s="108"/>
      <c r="E1" s="108"/>
      <c r="F1" s="108"/>
    </row>
    <row r="3" spans="1:6" ht="11.1" customHeight="1" x14ac:dyDescent="0.2">
      <c r="A3" s="31" t="s">
        <v>4</v>
      </c>
      <c r="B3" s="2" t="s">
        <v>7</v>
      </c>
      <c r="C3" s="2" t="s">
        <v>12</v>
      </c>
      <c r="D3" s="38" t="s">
        <v>13</v>
      </c>
      <c r="E3" s="38" t="s">
        <v>14</v>
      </c>
      <c r="F3" s="32" t="s">
        <v>15</v>
      </c>
    </row>
    <row r="4" spans="1:6" ht="11.1" customHeight="1" x14ac:dyDescent="0.2">
      <c r="A4" s="29" t="s">
        <v>25</v>
      </c>
      <c r="B4" s="26" t="s">
        <v>26</v>
      </c>
      <c r="C4" s="27">
        <v>20</v>
      </c>
      <c r="D4" s="39"/>
      <c r="E4" s="39">
        <f>ROUND(Р[[#This Row],[Количество]]*Р[[#This Row],[Цена за ед., руб]],2)</f>
        <v>0</v>
      </c>
      <c r="F4" s="30"/>
    </row>
    <row r="5" spans="1:6" ht="11.1" customHeight="1" x14ac:dyDescent="0.2">
      <c r="A5" s="29" t="s">
        <v>27</v>
      </c>
      <c r="B5" s="26" t="s">
        <v>26</v>
      </c>
      <c r="C5" s="27">
        <v>164</v>
      </c>
      <c r="D5" s="39"/>
      <c r="E5" s="39">
        <f>ROUND(Р[[#This Row],[Количество]]*Р[[#This Row],[Цена за ед., руб]],2)</f>
        <v>0</v>
      </c>
      <c r="F5" s="30"/>
    </row>
    <row r="6" spans="1:6" ht="11.1" customHeight="1" x14ac:dyDescent="0.2">
      <c r="A6" s="29" t="s">
        <v>28</v>
      </c>
      <c r="B6" s="26" t="s">
        <v>26</v>
      </c>
      <c r="C6" s="27">
        <v>10</v>
      </c>
      <c r="D6" s="39"/>
      <c r="E6" s="39">
        <f>ROUND(Р[[#This Row],[Количество]]*Р[[#This Row],[Цена за ед., руб]],2)</f>
        <v>0</v>
      </c>
      <c r="F6" s="30"/>
    </row>
    <row r="7" spans="1:6" ht="11.1" customHeight="1" x14ac:dyDescent="0.2">
      <c r="A7" s="29" t="s">
        <v>34</v>
      </c>
      <c r="B7" s="26" t="s">
        <v>26</v>
      </c>
      <c r="C7" s="27">
        <v>48</v>
      </c>
      <c r="D7" s="39"/>
      <c r="E7" s="39">
        <f>ROUND(Р[[#This Row],[Количество]]*Р[[#This Row],[Цена за ед., руб]],2)</f>
        <v>0</v>
      </c>
      <c r="F7" s="30"/>
    </row>
    <row r="8" spans="1:6" ht="11.1" customHeight="1" x14ac:dyDescent="0.2">
      <c r="A8" s="29" t="s">
        <v>40</v>
      </c>
      <c r="B8" s="26" t="s">
        <v>26</v>
      </c>
      <c r="C8" s="27">
        <v>116</v>
      </c>
      <c r="D8" s="39"/>
      <c r="E8" s="39">
        <f>ROUND(Р[[#This Row],[Количество]]*Р[[#This Row],[Цена за ед., руб]],2)</f>
        <v>0</v>
      </c>
      <c r="F8" s="30"/>
    </row>
    <row r="9" spans="1:6" ht="11.1" customHeight="1" x14ac:dyDescent="0.2">
      <c r="A9" s="29" t="s">
        <v>51</v>
      </c>
      <c r="B9" s="26" t="s">
        <v>26</v>
      </c>
      <c r="C9" s="27">
        <v>5</v>
      </c>
      <c r="D9" s="39"/>
      <c r="E9" s="39">
        <f>ROUND(Р[[#This Row],[Количество]]*Р[[#This Row],[Цена за ед., руб]],2)</f>
        <v>0</v>
      </c>
      <c r="F9" s="30"/>
    </row>
    <row r="10" spans="1:6" ht="11.1" customHeight="1" x14ac:dyDescent="0.2">
      <c r="A10" s="29" t="s">
        <v>54</v>
      </c>
      <c r="B10" s="26" t="s">
        <v>26</v>
      </c>
      <c r="C10" s="27">
        <v>4</v>
      </c>
      <c r="D10" s="39"/>
      <c r="E10" s="39">
        <f>ROUND(Р[[#This Row],[Количество]]*Р[[#This Row],[Цена за ед., руб]],2)</f>
        <v>0</v>
      </c>
      <c r="F10" s="30"/>
    </row>
    <row r="11" spans="1:6" ht="11.1" customHeight="1" x14ac:dyDescent="0.2">
      <c r="A11" s="29" t="s">
        <v>58</v>
      </c>
      <c r="B11" s="26" t="s">
        <v>26</v>
      </c>
      <c r="C11" s="27">
        <v>80</v>
      </c>
      <c r="D11" s="39"/>
      <c r="E11" s="39">
        <f>ROUND(Р[[#This Row],[Количество]]*Р[[#This Row],[Цена за ед., руб]],2)</f>
        <v>0</v>
      </c>
      <c r="F11" s="30"/>
    </row>
    <row r="12" spans="1:6" ht="11.1" customHeight="1" x14ac:dyDescent="0.2">
      <c r="A12" s="29" t="s">
        <v>62</v>
      </c>
      <c r="B12" s="26" t="s">
        <v>26</v>
      </c>
      <c r="C12" s="27">
        <v>1</v>
      </c>
      <c r="D12" s="39"/>
      <c r="E12" s="39">
        <f>ROUND(Р[[#This Row],[Количество]]*Р[[#This Row],[Цена за ед., руб]],2)</f>
        <v>0</v>
      </c>
      <c r="F12" s="30"/>
    </row>
    <row r="13" spans="1:6" ht="11.1" customHeight="1" x14ac:dyDescent="0.2">
      <c r="A13" s="29" t="s">
        <v>67</v>
      </c>
      <c r="B13" s="26" t="s">
        <v>26</v>
      </c>
      <c r="C13" s="27">
        <v>58</v>
      </c>
      <c r="D13" s="39"/>
      <c r="E13" s="39">
        <f>ROUND(Р[[#This Row],[Количество]]*Р[[#This Row],[Цена за ед., руб]],2)</f>
        <v>0</v>
      </c>
      <c r="F13" s="30"/>
    </row>
    <row r="14" spans="1:6" ht="11.1" customHeight="1" x14ac:dyDescent="0.2">
      <c r="A14" s="29" t="s">
        <v>73</v>
      </c>
      <c r="B14" s="26" t="s">
        <v>74</v>
      </c>
      <c r="C14" s="27">
        <v>20</v>
      </c>
      <c r="D14" s="39"/>
      <c r="E14" s="39">
        <f>ROUND(Р[[#This Row],[Количество]]*Р[[#This Row],[Цена за ед., руб]],2)</f>
        <v>0</v>
      </c>
      <c r="F14" s="30"/>
    </row>
    <row r="15" spans="1:6" ht="11.1" customHeight="1" x14ac:dyDescent="0.2">
      <c r="A15" s="29" t="s">
        <v>77</v>
      </c>
      <c r="B15" s="26" t="s">
        <v>74</v>
      </c>
      <c r="C15" s="27">
        <v>777</v>
      </c>
      <c r="D15" s="39"/>
      <c r="E15" s="39">
        <f>ROUND(Р[[#This Row],[Количество]]*Р[[#This Row],[Цена за ед., руб]],2)</f>
        <v>0</v>
      </c>
      <c r="F15" s="30"/>
    </row>
    <row r="16" spans="1:6" ht="23.1" customHeight="1" x14ac:dyDescent="0.2">
      <c r="A16" s="33" t="s">
        <v>89</v>
      </c>
      <c r="B16" s="34" t="s">
        <v>90</v>
      </c>
      <c r="C16" s="35">
        <v>3</v>
      </c>
      <c r="D16" s="39"/>
      <c r="E16" s="40">
        <f>ROUND(Р[[#This Row],[Количество]]*Р[[#This Row],[Цена за ед., руб]],2)</f>
        <v>0</v>
      </c>
      <c r="F16" s="37"/>
    </row>
    <row r="17" spans="1:6" ht="11.45" customHeight="1" x14ac:dyDescent="0.2">
      <c r="A17" s="33" t="s">
        <v>109</v>
      </c>
      <c r="B17" s="34"/>
      <c r="C17" s="36"/>
      <c r="D17" s="40"/>
      <c r="E17" s="40">
        <f>SUBTOTAL(109,Р[Сумма, руб])</f>
        <v>0</v>
      </c>
      <c r="F17" s="37"/>
    </row>
    <row r="19" spans="1:6" ht="11.45" customHeight="1" x14ac:dyDescent="0.2">
      <c r="D19" s="64" t="s">
        <v>112</v>
      </c>
      <c r="E19" s="65">
        <f>ЛСР!L75-Р[[#Totals],[Сумма,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9"/>
  <sheetViews>
    <sheetView workbookViewId="0">
      <pane ySplit="3" topLeftCell="A4" activePane="bottomLeft" state="frozen"/>
      <selection pane="bottomLeft" activeCell="H25" sqref="H2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8" t="s">
        <v>95</v>
      </c>
      <c r="B1" s="108"/>
      <c r="C1" s="108"/>
      <c r="D1" s="108"/>
      <c r="E1" s="108"/>
      <c r="F1" s="108"/>
      <c r="G1" s="108"/>
      <c r="H1" s="108"/>
    </row>
    <row r="2" spans="1:9" ht="11.1" customHeight="1" x14ac:dyDescent="0.2"/>
    <row r="3" spans="1:9" ht="23.1" customHeight="1" x14ac:dyDescent="0.2">
      <c r="A3" s="31" t="s">
        <v>96</v>
      </c>
      <c r="B3" s="41" t="s">
        <v>97</v>
      </c>
      <c r="C3" s="32" t="s">
        <v>98</v>
      </c>
      <c r="D3" s="2" t="s">
        <v>7</v>
      </c>
      <c r="E3" s="2" t="s">
        <v>12</v>
      </c>
      <c r="F3" s="38" t="s">
        <v>13</v>
      </c>
      <c r="G3" s="38" t="s">
        <v>14</v>
      </c>
      <c r="H3" s="2" t="s">
        <v>99</v>
      </c>
      <c r="I3" s="32" t="s">
        <v>100</v>
      </c>
    </row>
    <row r="4" spans="1:9" ht="35.1" customHeight="1" x14ac:dyDescent="0.2">
      <c r="A4" s="29" t="s">
        <v>63</v>
      </c>
      <c r="B4" s="28" t="s">
        <v>64</v>
      </c>
      <c r="C4" s="28" t="s">
        <v>65</v>
      </c>
      <c r="D4" s="26" t="s">
        <v>26</v>
      </c>
      <c r="E4" s="27">
        <v>1</v>
      </c>
      <c r="F4" s="39"/>
      <c r="G4" s="39">
        <f>ROUND(М[[#This Row],[Количество]]*М[[#This Row],[Цена за ед., руб]],2)</f>
        <v>0</v>
      </c>
      <c r="H4" s="28" t="s">
        <v>66</v>
      </c>
      <c r="I4" s="30"/>
    </row>
    <row r="5" spans="1:9" ht="23.1" customHeight="1" x14ac:dyDescent="0.2">
      <c r="A5" s="29" t="s">
        <v>35</v>
      </c>
      <c r="B5" s="28" t="s">
        <v>36</v>
      </c>
      <c r="C5" s="28" t="s">
        <v>37</v>
      </c>
      <c r="D5" s="26" t="s">
        <v>26</v>
      </c>
      <c r="E5" s="27">
        <v>22</v>
      </c>
      <c r="F5" s="39"/>
      <c r="G5" s="39">
        <f>ROUND(М[[#This Row],[Количество]]*М[[#This Row],[Цена за ед., руб]],2)</f>
        <v>0</v>
      </c>
      <c r="H5" s="28"/>
      <c r="I5" s="30"/>
    </row>
    <row r="6" spans="1:9" ht="23.1" customHeight="1" x14ac:dyDescent="0.2">
      <c r="A6" s="29" t="s">
        <v>35</v>
      </c>
      <c r="B6" s="28" t="s">
        <v>36</v>
      </c>
      <c r="C6" s="28" t="s">
        <v>39</v>
      </c>
      <c r="D6" s="26" t="s">
        <v>26</v>
      </c>
      <c r="E6" s="27">
        <v>26</v>
      </c>
      <c r="F6" s="39"/>
      <c r="G6" s="39">
        <f>ROUND(М[[#This Row],[Количество]]*М[[#This Row],[Цена за ед., руб]],2)</f>
        <v>0</v>
      </c>
      <c r="H6" s="28"/>
      <c r="I6" s="30"/>
    </row>
    <row r="7" spans="1:9" ht="11.1" customHeight="1" x14ac:dyDescent="0.2">
      <c r="A7" s="29" t="s">
        <v>75</v>
      </c>
      <c r="B7" s="28"/>
      <c r="C7" s="28" t="s">
        <v>76</v>
      </c>
      <c r="D7" s="26" t="s">
        <v>74</v>
      </c>
      <c r="E7" s="27">
        <v>20</v>
      </c>
      <c r="F7" s="39"/>
      <c r="G7" s="39">
        <f>ROUND(М[[#This Row],[Количество]]*М[[#This Row],[Цена за ед., руб]],2)</f>
        <v>0</v>
      </c>
      <c r="H7" s="28"/>
      <c r="I7" s="30"/>
    </row>
    <row r="8" spans="1:9" ht="11.1" customHeight="1" x14ac:dyDescent="0.2">
      <c r="A8" s="29" t="s">
        <v>78</v>
      </c>
      <c r="B8" s="28"/>
      <c r="C8" s="28" t="s">
        <v>79</v>
      </c>
      <c r="D8" s="26" t="s">
        <v>74</v>
      </c>
      <c r="E8" s="27">
        <v>262</v>
      </c>
      <c r="F8" s="39"/>
      <c r="G8" s="39">
        <f>ROUND(М[[#This Row],[Количество]]*М[[#This Row],[Цена за ед., руб]],2)</f>
        <v>0</v>
      </c>
      <c r="H8" s="28"/>
      <c r="I8" s="30"/>
    </row>
    <row r="9" spans="1:9" ht="11.1" customHeight="1" x14ac:dyDescent="0.2">
      <c r="A9" s="29" t="s">
        <v>78</v>
      </c>
      <c r="B9" s="28"/>
      <c r="C9" s="28" t="s">
        <v>80</v>
      </c>
      <c r="D9" s="26" t="s">
        <v>74</v>
      </c>
      <c r="E9" s="27">
        <v>12</v>
      </c>
      <c r="F9" s="39"/>
      <c r="G9" s="39">
        <f>ROUND(М[[#This Row],[Количество]]*М[[#This Row],[Цена за ед., руб]],2)</f>
        <v>0</v>
      </c>
      <c r="H9" s="28"/>
      <c r="I9" s="30"/>
    </row>
    <row r="10" spans="1:9" ht="11.1" customHeight="1" x14ac:dyDescent="0.2">
      <c r="A10" s="29" t="s">
        <v>78</v>
      </c>
      <c r="B10" s="28"/>
      <c r="C10" s="28" t="s">
        <v>81</v>
      </c>
      <c r="D10" s="26" t="s">
        <v>74</v>
      </c>
      <c r="E10" s="27">
        <v>56</v>
      </c>
      <c r="F10" s="39"/>
      <c r="G10" s="39">
        <f>ROUND(М[[#This Row],[Количество]]*М[[#This Row],[Цена за ед., руб]],2)</f>
        <v>0</v>
      </c>
      <c r="H10" s="28"/>
      <c r="I10" s="30"/>
    </row>
    <row r="11" spans="1:9" ht="11.1" customHeight="1" x14ac:dyDescent="0.2">
      <c r="A11" s="29" t="s">
        <v>78</v>
      </c>
      <c r="B11" s="28"/>
      <c r="C11" s="28" t="s">
        <v>82</v>
      </c>
      <c r="D11" s="26" t="s">
        <v>74</v>
      </c>
      <c r="E11" s="27">
        <v>447</v>
      </c>
      <c r="F11" s="39"/>
      <c r="G11" s="39">
        <f>ROUND(М[[#This Row],[Количество]]*М[[#This Row],[Цена за ед., руб]],2)</f>
        <v>0</v>
      </c>
      <c r="H11" s="28"/>
      <c r="I11" s="30"/>
    </row>
    <row r="12" spans="1:9" ht="11.1" customHeight="1" x14ac:dyDescent="0.2">
      <c r="A12" s="29" t="s">
        <v>55</v>
      </c>
      <c r="B12" s="28" t="s">
        <v>32</v>
      </c>
      <c r="C12" s="28" t="s">
        <v>59</v>
      </c>
      <c r="D12" s="26" t="s">
        <v>26</v>
      </c>
      <c r="E12" s="27">
        <v>74</v>
      </c>
      <c r="F12" s="39"/>
      <c r="G12" s="39">
        <f>ROUND(М[[#This Row],[Количество]]*М[[#This Row],[Цена за ед., руб]],2)</f>
        <v>0</v>
      </c>
      <c r="H12" s="28"/>
      <c r="I12" s="30"/>
    </row>
    <row r="13" spans="1:9" ht="11.1" customHeight="1" x14ac:dyDescent="0.2">
      <c r="A13" s="29" t="s">
        <v>55</v>
      </c>
      <c r="B13" s="28" t="s">
        <v>56</v>
      </c>
      <c r="C13" s="28" t="s">
        <v>57</v>
      </c>
      <c r="D13" s="26" t="s">
        <v>26</v>
      </c>
      <c r="E13" s="27">
        <v>4</v>
      </c>
      <c r="F13" s="39"/>
      <c r="G13" s="39">
        <f>ROUND(М[[#This Row],[Количество]]*М[[#This Row],[Цена за ед., руб]],2)</f>
        <v>0</v>
      </c>
      <c r="H13" s="28"/>
      <c r="I13" s="30"/>
    </row>
    <row r="14" spans="1:9" ht="11.1" customHeight="1" x14ac:dyDescent="0.2">
      <c r="A14" s="29" t="s">
        <v>31</v>
      </c>
      <c r="B14" s="28" t="s">
        <v>32</v>
      </c>
      <c r="C14" s="28" t="s">
        <v>33</v>
      </c>
      <c r="D14" s="26" t="s">
        <v>26</v>
      </c>
      <c r="E14" s="27">
        <v>10</v>
      </c>
      <c r="F14" s="39"/>
      <c r="G14" s="39">
        <f>ROUND(М[[#This Row],[Количество]]*М[[#This Row],[Цена за ед., руб]],2)</f>
        <v>0</v>
      </c>
      <c r="H14" s="28"/>
      <c r="I14" s="30"/>
    </row>
    <row r="15" spans="1:9" ht="23.1" customHeight="1" x14ac:dyDescent="0.2">
      <c r="A15" s="29" t="s">
        <v>41</v>
      </c>
      <c r="B15" s="28"/>
      <c r="C15" s="28" t="s">
        <v>42</v>
      </c>
      <c r="D15" s="26" t="s">
        <v>26</v>
      </c>
      <c r="E15" s="27">
        <v>116</v>
      </c>
      <c r="F15" s="39"/>
      <c r="G15" s="39">
        <f>ROUND(М[[#This Row],[Количество]]*М[[#This Row],[Цена за ед., руб]],2)</f>
        <v>0</v>
      </c>
      <c r="H15" s="28"/>
      <c r="I15" s="30"/>
    </row>
    <row r="16" spans="1:9" ht="11.1" customHeight="1" x14ac:dyDescent="0.2">
      <c r="A16" s="29" t="s">
        <v>43</v>
      </c>
      <c r="B16" s="28"/>
      <c r="C16" s="28" t="s">
        <v>44</v>
      </c>
      <c r="D16" s="26" t="s">
        <v>26</v>
      </c>
      <c r="E16" s="27">
        <v>116</v>
      </c>
      <c r="F16" s="39"/>
      <c r="G16" s="39">
        <f>ROUND(М[[#This Row],[Количество]]*М[[#This Row],[Цена за ед., руб]],2)</f>
        <v>0</v>
      </c>
      <c r="H16" s="28"/>
      <c r="I16" s="30"/>
    </row>
    <row r="17" spans="1:9" ht="23.1" customHeight="1" x14ac:dyDescent="0.2">
      <c r="A17" s="29" t="s">
        <v>60</v>
      </c>
      <c r="B17" s="28"/>
      <c r="C17" s="28" t="s">
        <v>61</v>
      </c>
      <c r="D17" s="26" t="s">
        <v>26</v>
      </c>
      <c r="E17" s="27">
        <v>6</v>
      </c>
      <c r="F17" s="39"/>
      <c r="G17" s="39">
        <f>ROUND(М[[#This Row],[Количество]]*М[[#This Row],[Цена за ед., руб]],2)</f>
        <v>0</v>
      </c>
      <c r="H17" s="28"/>
      <c r="I17" s="30"/>
    </row>
    <row r="18" spans="1:9" ht="23.1" customHeight="1" x14ac:dyDescent="0.2">
      <c r="A18" s="29" t="s">
        <v>46</v>
      </c>
      <c r="B18" s="28"/>
      <c r="C18" s="28" t="s">
        <v>47</v>
      </c>
      <c r="D18" s="26" t="s">
        <v>26</v>
      </c>
      <c r="E18" s="27">
        <v>108</v>
      </c>
      <c r="F18" s="39"/>
      <c r="G18" s="39">
        <f>ROUND(М[[#This Row],[Количество]]*М[[#This Row],[Цена за ед., руб]],2)</f>
        <v>0</v>
      </c>
      <c r="H18" s="28" t="s">
        <v>48</v>
      </c>
      <c r="I18" s="30"/>
    </row>
    <row r="19" spans="1:9" ht="23.1" customHeight="1" x14ac:dyDescent="0.2">
      <c r="A19" s="29" t="s">
        <v>46</v>
      </c>
      <c r="B19" s="28"/>
      <c r="C19" s="28" t="s">
        <v>47</v>
      </c>
      <c r="D19" s="26" t="s">
        <v>26</v>
      </c>
      <c r="E19" s="27">
        <v>8</v>
      </c>
      <c r="F19" s="39"/>
      <c r="G19" s="39">
        <f>ROUND(М[[#This Row],[Количество]]*М[[#This Row],[Цена за ед., руб]],2)</f>
        <v>0</v>
      </c>
      <c r="H19" s="28" t="s">
        <v>50</v>
      </c>
      <c r="I19" s="30"/>
    </row>
    <row r="20" spans="1:9" ht="23.1" customHeight="1" x14ac:dyDescent="0.2">
      <c r="A20" s="29" t="s">
        <v>68</v>
      </c>
      <c r="B20" s="28"/>
      <c r="C20" s="28" t="s">
        <v>69</v>
      </c>
      <c r="D20" s="26" t="s">
        <v>26</v>
      </c>
      <c r="E20" s="27">
        <v>8</v>
      </c>
      <c r="F20" s="39"/>
      <c r="G20" s="39">
        <f>ROUND(М[[#This Row],[Количество]]*М[[#This Row],[Цена за ед., руб]],2)</f>
        <v>0</v>
      </c>
      <c r="H20" s="28" t="s">
        <v>70</v>
      </c>
      <c r="I20" s="30"/>
    </row>
    <row r="21" spans="1:9" ht="23.1" customHeight="1" x14ac:dyDescent="0.2">
      <c r="A21" s="29" t="s">
        <v>68</v>
      </c>
      <c r="B21" s="28"/>
      <c r="C21" s="28" t="s">
        <v>69</v>
      </c>
      <c r="D21" s="26" t="s">
        <v>26</v>
      </c>
      <c r="E21" s="27">
        <v>4</v>
      </c>
      <c r="F21" s="39"/>
      <c r="G21" s="39">
        <f>ROUND(М[[#This Row],[Количество]]*М[[#This Row],[Цена за ед., руб]],2)</f>
        <v>0</v>
      </c>
      <c r="H21" s="28" t="s">
        <v>71</v>
      </c>
      <c r="I21" s="30"/>
    </row>
    <row r="22" spans="1:9" ht="23.1" customHeight="1" x14ac:dyDescent="0.2">
      <c r="A22" s="29" t="s">
        <v>68</v>
      </c>
      <c r="B22" s="28"/>
      <c r="C22" s="28" t="s">
        <v>72</v>
      </c>
      <c r="D22" s="26" t="s">
        <v>26</v>
      </c>
      <c r="E22" s="27">
        <v>46</v>
      </c>
      <c r="F22" s="39"/>
      <c r="G22" s="39">
        <f>ROUND(М[[#This Row],[Количество]]*М[[#This Row],[Цена за ед., руб]],2)</f>
        <v>0</v>
      </c>
      <c r="H22" s="28" t="s">
        <v>70</v>
      </c>
      <c r="I22" s="30"/>
    </row>
    <row r="23" spans="1:9" ht="23.1" customHeight="1" x14ac:dyDescent="0.2">
      <c r="A23" s="77" t="s">
        <v>122</v>
      </c>
      <c r="B23" s="28"/>
      <c r="C23" s="78" t="s">
        <v>123</v>
      </c>
      <c r="D23" s="26" t="s">
        <v>26</v>
      </c>
      <c r="E23" s="27">
        <v>24</v>
      </c>
      <c r="F23" s="39"/>
      <c r="G23" s="39">
        <f>ROUND(М[[#This Row],[Количество]]*М[[#This Row],[Цена за ед., руб]],2)</f>
        <v>0</v>
      </c>
      <c r="H23" s="28"/>
      <c r="I23" s="30"/>
    </row>
    <row r="24" spans="1:9" ht="11.1" customHeight="1" x14ac:dyDescent="0.2">
      <c r="A24" s="29" t="s">
        <v>52</v>
      </c>
      <c r="B24" s="28" t="s">
        <v>36</v>
      </c>
      <c r="C24" s="28" t="s">
        <v>53</v>
      </c>
      <c r="D24" s="26" t="s">
        <v>26</v>
      </c>
      <c r="E24" s="27">
        <v>5</v>
      </c>
      <c r="F24" s="39"/>
      <c r="G24" s="39">
        <f>ROUND(М[[#This Row],[Количество]]*М[[#This Row],[Цена за ед., руб]],2)</f>
        <v>0</v>
      </c>
      <c r="H24" s="28"/>
      <c r="I24" s="30"/>
    </row>
    <row r="25" spans="1:9" ht="22.5" x14ac:dyDescent="0.2">
      <c r="A25" s="33" t="s">
        <v>85</v>
      </c>
      <c r="B25" s="42"/>
      <c r="C25" s="42"/>
      <c r="D25" s="34" t="s">
        <v>84</v>
      </c>
      <c r="E25" s="50"/>
      <c r="F25" s="40"/>
      <c r="G25" s="40">
        <f ca="1">SUMIF(ЛСР!$B$6:$M$73,М[[#This Row],[Наим.]],ЛСР!$L$6:$L$73)</f>
        <v>0</v>
      </c>
      <c r="H25" s="42" t="s">
        <v>124</v>
      </c>
      <c r="I25" s="30"/>
    </row>
    <row r="26" spans="1:9" ht="22.5" x14ac:dyDescent="0.2">
      <c r="A26" s="33" t="s">
        <v>83</v>
      </c>
      <c r="B26" s="42"/>
      <c r="C26" s="42"/>
      <c r="D26" s="34" t="s">
        <v>84</v>
      </c>
      <c r="E26" s="50"/>
      <c r="F26" s="40"/>
      <c r="G26" s="40">
        <f ca="1">SUMIF(ЛСР!$B$6:$M$73,М[[#This Row],[Наим.]],ЛСР!$L$6:$L$73)</f>
        <v>0</v>
      </c>
      <c r="H26" s="42" t="s">
        <v>124</v>
      </c>
      <c r="I26" s="30"/>
    </row>
    <row r="27" spans="1:9" ht="11.45" customHeight="1" x14ac:dyDescent="0.2">
      <c r="A27" s="33" t="s">
        <v>109</v>
      </c>
      <c r="B27" s="42"/>
      <c r="C27" s="42"/>
      <c r="D27" s="34"/>
      <c r="E27" s="36"/>
      <c r="F27" s="40"/>
      <c r="G27" s="40">
        <f ca="1">SUBTOTAL(109,М[Сумма, руб])</f>
        <v>0</v>
      </c>
      <c r="H27" s="42"/>
      <c r="I27" s="37"/>
    </row>
    <row r="29" spans="1:9" ht="11.45" customHeight="1" x14ac:dyDescent="0.2">
      <c r="F29" s="64" t="s">
        <v>112</v>
      </c>
      <c r="G29" s="65">
        <f ca="1">ЛСР!L76-М[[#Totals],[Сумма,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6" xr:uid="{CC8E7F60-5C0C-413C-9A2D-E8120808206B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4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101</v>
      </c>
      <c r="B1" s="1" t="s">
        <v>102</v>
      </c>
    </row>
    <row r="2" spans="1:2" ht="11.1" customHeight="1" x14ac:dyDescent="0.2">
      <c r="A2" s="1" t="s">
        <v>103</v>
      </c>
      <c r="B2" s="1" t="s">
        <v>104</v>
      </c>
    </row>
    <row r="3" spans="1:2" ht="11.1" customHeight="1" x14ac:dyDescent="0.2">
      <c r="A3" s="1" t="s">
        <v>105</v>
      </c>
      <c r="B3" s="1" t="s">
        <v>106</v>
      </c>
    </row>
    <row r="4" spans="1:2" ht="11.1" customHeight="1" x14ac:dyDescent="0.2">
      <c r="A4" s="1" t="s">
        <v>107</v>
      </c>
      <c r="B4" s="1" t="s">
        <v>108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2026-07-22T08:41:23Z</dcterms:modified>
</cp:coreProperties>
</file>