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МЫС - ЖК Мириады\2 Очередь (ГП-105, 106, 107)\11 Внутренние сети\11.02-11.04, 11.07 ОВиК\На отправку в тендер\"/>
    </mc:Choice>
  </mc:AlternateContent>
  <xr:revisionPtr revIDLastSave="0" documentId="13_ncr:1_{353BB42F-5862-4C5C-A986-AB28A90D1F85}" xr6:coauthVersionLast="47" xr6:coauthVersionMax="47" xr10:uidLastSave="{00000000-0000-0000-0000-000000000000}"/>
  <bookViews>
    <workbookView xWindow="285" yWindow="855" windowWidth="29430" windowHeight="1843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ЛСР!$A$7:$L$106</definedName>
  </definedNames>
  <calcPr calcId="191029"/>
</workbook>
</file>

<file path=xl/calcChain.xml><?xml version="1.0" encoding="utf-8"?>
<calcChain xmlns="http://schemas.openxmlformats.org/spreadsheetml/2006/main">
  <c r="L97" i="1" l="1" a="1"/>
  <c r="L97" i="1" s="1"/>
  <c r="L96" i="1" a="1"/>
  <c r="L96" i="1" s="1"/>
  <c r="L95" i="1" a="1"/>
  <c r="L95" i="1" s="1"/>
  <c r="L94" i="1" a="1"/>
  <c r="L94" i="1" s="1"/>
  <c r="L93" i="1" a="1"/>
  <c r="L93" i="1" s="1"/>
  <c r="L77" i="1" a="1"/>
  <c r="L77" i="1" s="1"/>
  <c r="L69" i="1" a="1"/>
  <c r="L69" i="1" s="1"/>
  <c r="L64" i="1" a="1"/>
  <c r="L64" i="1" s="1"/>
  <c r="L59" i="1" a="1"/>
  <c r="L59" i="1" s="1"/>
  <c r="E15" i="2"/>
  <c r="G27" i="3"/>
  <c r="I75" i="1" a="1"/>
  <c r="I75" i="1" s="1"/>
  <c r="I77" i="1" a="1"/>
  <c r="I77" i="1" s="1"/>
  <c r="H77" i="1"/>
  <c r="H75" i="1"/>
  <c r="I69" i="1" a="1"/>
  <c r="I69" i="1" s="1"/>
  <c r="H69" i="1"/>
  <c r="I64" i="1" a="1"/>
  <c r="I64" i="1" s="1"/>
  <c r="H64" i="1"/>
  <c r="G24" i="3"/>
  <c r="G25" i="3"/>
  <c r="G26" i="3"/>
  <c r="I59" i="1" a="1"/>
  <c r="I59" i="1" s="1"/>
  <c r="H59" i="1"/>
  <c r="H94" i="1"/>
  <c r="H95" i="1"/>
  <c r="H96" i="1"/>
  <c r="H97" i="1"/>
  <c r="H93" i="1"/>
  <c r="H13" i="1"/>
  <c r="I13" i="1" a="1"/>
  <c r="I13" i="1" s="1"/>
  <c r="J13" i="1" s="1"/>
  <c r="J12" i="1" s="1"/>
  <c r="H15" i="1"/>
  <c r="I15" i="1" a="1"/>
  <c r="I15" i="1" s="1"/>
  <c r="J15" i="1" s="1"/>
  <c r="J14" i="1" s="1"/>
  <c r="H17" i="1"/>
  <c r="I17" i="1" a="1"/>
  <c r="I17" i="1" s="1"/>
  <c r="J17" i="1" s="1"/>
  <c r="J16" i="1" s="1"/>
  <c r="H19" i="1"/>
  <c r="L19" i="1" a="1"/>
  <c r="L19" i="1" s="1"/>
  <c r="I19" i="1" a="1"/>
  <c r="I19" i="1" s="1"/>
  <c r="J19" i="1" s="1"/>
  <c r="H20" i="1"/>
  <c r="L20" i="1" a="1"/>
  <c r="L20" i="1" s="1"/>
  <c r="I20" i="1" a="1"/>
  <c r="I20" i="1" s="1"/>
  <c r="J20" i="1" s="1"/>
  <c r="H22" i="1"/>
  <c r="I22" i="1" a="1"/>
  <c r="I22" i="1" s="1"/>
  <c r="J22" i="1" s="1"/>
  <c r="J21" i="1" s="1"/>
  <c r="H24" i="1"/>
  <c r="L24" i="1" a="1"/>
  <c r="L24" i="1" s="1"/>
  <c r="I24" i="1" a="1"/>
  <c r="I24" i="1" s="1"/>
  <c r="J24" i="1" s="1"/>
  <c r="H25" i="1"/>
  <c r="L25" i="1" a="1"/>
  <c r="L25" i="1" s="1"/>
  <c r="I25" i="1" a="1"/>
  <c r="I25" i="1" s="1"/>
  <c r="H27" i="1"/>
  <c r="I27" i="1" a="1"/>
  <c r="I27" i="1" s="1"/>
  <c r="H29" i="1"/>
  <c r="L29" i="1" a="1"/>
  <c r="L29" i="1" s="1"/>
  <c r="I29" i="1" a="1"/>
  <c r="I29" i="1" s="1"/>
  <c r="J29" i="1" s="1"/>
  <c r="H30" i="1"/>
  <c r="L30" i="1" a="1"/>
  <c r="L30" i="1" s="1"/>
  <c r="I30" i="1" a="1"/>
  <c r="I30" i="1" s="1"/>
  <c r="H32" i="1"/>
  <c r="I32" i="1" a="1"/>
  <c r="I32" i="1" s="1"/>
  <c r="H34" i="1"/>
  <c r="L34" i="1" a="1"/>
  <c r="L34" i="1" s="1"/>
  <c r="I34" i="1" a="1"/>
  <c r="I34" i="1" s="1"/>
  <c r="J34" i="1" s="1"/>
  <c r="H35" i="1"/>
  <c r="L35" i="1" a="1"/>
  <c r="L35" i="1" s="1"/>
  <c r="I35" i="1" a="1"/>
  <c r="I35" i="1" s="1"/>
  <c r="J35" i="1" s="1"/>
  <c r="H37" i="1"/>
  <c r="I37" i="1" a="1"/>
  <c r="I37" i="1" s="1"/>
  <c r="H39" i="1"/>
  <c r="L39" i="1" a="1"/>
  <c r="L39" i="1" s="1"/>
  <c r="I39" i="1" a="1"/>
  <c r="I39" i="1" s="1"/>
  <c r="J39" i="1" s="1"/>
  <c r="H40" i="1"/>
  <c r="L40" i="1" a="1"/>
  <c r="L40" i="1" s="1"/>
  <c r="I40" i="1" a="1"/>
  <c r="I40" i="1" s="1"/>
  <c r="H41" i="1"/>
  <c r="L41" i="1" a="1"/>
  <c r="L41" i="1" s="1"/>
  <c r="I41" i="1" a="1"/>
  <c r="I41" i="1" s="1"/>
  <c r="H43" i="1"/>
  <c r="I43" i="1" a="1"/>
  <c r="I43" i="1" s="1"/>
  <c r="J43" i="1" s="1"/>
  <c r="J42" i="1" s="1"/>
  <c r="H45" i="1"/>
  <c r="L45" i="1" a="1"/>
  <c r="L45" i="1" s="1"/>
  <c r="I45" i="1" a="1"/>
  <c r="I45" i="1" s="1"/>
  <c r="H47" i="1"/>
  <c r="I47" i="1" a="1"/>
  <c r="I47" i="1" s="1"/>
  <c r="J47" i="1" s="1"/>
  <c r="J46" i="1" s="1"/>
  <c r="H49" i="1"/>
  <c r="L49" i="1" a="1"/>
  <c r="L49" i="1" s="1"/>
  <c r="I49" i="1" a="1"/>
  <c r="I49" i="1" s="1"/>
  <c r="H53" i="1"/>
  <c r="I53" i="1" a="1"/>
  <c r="I53" i="1" s="1"/>
  <c r="H55" i="1"/>
  <c r="I55" i="1" a="1"/>
  <c r="I55" i="1" s="1"/>
  <c r="H57" i="1"/>
  <c r="L57" i="1" a="1"/>
  <c r="L57" i="1" s="1"/>
  <c r="I57" i="1" a="1"/>
  <c r="I57" i="1" s="1"/>
  <c r="J57" i="1" s="1"/>
  <c r="H58" i="1"/>
  <c r="L58" i="1" a="1"/>
  <c r="L58" i="1" s="1"/>
  <c r="I58" i="1" a="1"/>
  <c r="I58" i="1" s="1"/>
  <c r="J58" i="1" s="1"/>
  <c r="H61" i="1"/>
  <c r="I61" i="1" a="1"/>
  <c r="I61" i="1" s="1"/>
  <c r="H63" i="1"/>
  <c r="L63" i="1" a="1"/>
  <c r="L63" i="1" s="1"/>
  <c r="I63" i="1" a="1"/>
  <c r="I63" i="1" s="1"/>
  <c r="J63" i="1" s="1"/>
  <c r="H66" i="1"/>
  <c r="I66" i="1" a="1"/>
  <c r="I66" i="1" s="1"/>
  <c r="H68" i="1"/>
  <c r="L68" i="1" a="1"/>
  <c r="L68" i="1" s="1"/>
  <c r="I68" i="1" a="1"/>
  <c r="I68" i="1" s="1"/>
  <c r="J68" i="1" s="1"/>
  <c r="H71" i="1"/>
  <c r="I71" i="1" a="1"/>
  <c r="I71" i="1" s="1"/>
  <c r="H73" i="1"/>
  <c r="L73" i="1" a="1"/>
  <c r="L73" i="1" s="1"/>
  <c r="I73" i="1" a="1"/>
  <c r="I73" i="1" s="1"/>
  <c r="H81" i="1"/>
  <c r="I81" i="1" a="1"/>
  <c r="I81" i="1" s="1"/>
  <c r="J81" i="1" s="1"/>
  <c r="J80" i="1" s="1"/>
  <c r="H83" i="1"/>
  <c r="L83" i="1" a="1"/>
  <c r="L83" i="1" s="1"/>
  <c r="I83" i="1" a="1"/>
  <c r="I83" i="1" s="1"/>
  <c r="H85" i="1"/>
  <c r="I85" i="1" a="1"/>
  <c r="I85" i="1" s="1"/>
  <c r="H87" i="1"/>
  <c r="L87" i="1" a="1"/>
  <c r="L87" i="1" s="1"/>
  <c r="I87" i="1" a="1"/>
  <c r="I87" i="1" s="1"/>
  <c r="J87" i="1" s="1"/>
  <c r="J86" i="1" s="1"/>
  <c r="H89" i="1"/>
  <c r="I89" i="1" a="1"/>
  <c r="I89" i="1" s="1"/>
  <c r="J89" i="1" s="1"/>
  <c r="J88" i="1" s="1"/>
  <c r="H91" i="1"/>
  <c r="L91" i="1" a="1"/>
  <c r="L91" i="1" s="1"/>
  <c r="I91" i="1" a="1"/>
  <c r="I91" i="1" s="1"/>
  <c r="H101" i="1"/>
  <c r="I101" i="1" a="1"/>
  <c r="I101" i="1" s="1"/>
  <c r="J101" i="1" s="1"/>
  <c r="J100" i="1" s="1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19" i="2"/>
  <c r="E18" i="2"/>
  <c r="E17" i="2"/>
  <c r="E16" i="2"/>
  <c r="E14" i="2"/>
  <c r="E13" i="2"/>
  <c r="E12" i="2"/>
  <c r="E11" i="2"/>
  <c r="E10" i="2"/>
  <c r="E9" i="2"/>
  <c r="E8" i="2"/>
  <c r="E7" i="2"/>
  <c r="E6" i="2"/>
  <c r="E5" i="2"/>
  <c r="E4" i="2"/>
  <c r="E20" i="2"/>
  <c r="J27" i="1" l="1"/>
  <c r="J26" i="1" s="1"/>
  <c r="J37" i="1"/>
  <c r="J36" i="1" s="1"/>
  <c r="J69" i="1"/>
  <c r="J67" i="1" s="1"/>
  <c r="J75" i="1"/>
  <c r="J74" i="1" s="1"/>
  <c r="J77" i="1"/>
  <c r="J76" i="1" s="1"/>
  <c r="J64" i="1"/>
  <c r="J62" i="1" s="1"/>
  <c r="J66" i="1"/>
  <c r="J65" i="1" s="1"/>
  <c r="J55" i="1"/>
  <c r="J54" i="1" s="1"/>
  <c r="J61" i="1"/>
  <c r="J60" i="1" s="1"/>
  <c r="J59" i="1"/>
  <c r="J56" i="1" s="1"/>
  <c r="J49" i="1"/>
  <c r="J25" i="1"/>
  <c r="J41" i="1"/>
  <c r="J73" i="1"/>
  <c r="J45" i="1"/>
  <c r="J40" i="1"/>
  <c r="J53" i="1"/>
  <c r="J52" i="1" s="1"/>
  <c r="J85" i="1"/>
  <c r="J84" i="1" s="1"/>
  <c r="J18" i="1"/>
  <c r="J71" i="1"/>
  <c r="J70" i="1" s="1"/>
  <c r="J32" i="1"/>
  <c r="J31" i="1" s="1"/>
  <c r="J99" i="1"/>
  <c r="J98" i="1" s="1"/>
  <c r="J33" i="1"/>
  <c r="J83" i="1"/>
  <c r="J82" i="1" s="1"/>
  <c r="J91" i="1"/>
  <c r="J90" i="1" s="1"/>
  <c r="J30" i="1"/>
  <c r="J28" i="1" s="1"/>
  <c r="J103" i="1" l="1"/>
  <c r="E22" i="2" s="1"/>
  <c r="J23" i="1"/>
  <c r="J97" i="1"/>
  <c r="J48" i="1"/>
  <c r="J95" i="1"/>
  <c r="J72" i="1"/>
  <c r="J51" i="1" s="1"/>
  <c r="J50" i="1" s="1"/>
  <c r="J94" i="1"/>
  <c r="J44" i="1"/>
  <c r="J93" i="1"/>
  <c r="J38" i="1"/>
  <c r="J96" i="1"/>
  <c r="J11" i="1" l="1"/>
  <c r="J10" i="1" s="1"/>
  <c r="J92" i="1"/>
  <c r="J104" i="1" s="1"/>
  <c r="J79" i="1" l="1"/>
  <c r="J78" i="1" s="1"/>
  <c r="J9" i="1" s="1"/>
  <c r="J102" i="1" l="1"/>
  <c r="G30" i="3"/>
  <c r="G29" i="3"/>
  <c r="G31" i="3"/>
  <c r="G28" i="3"/>
  <c r="G32" i="3"/>
  <c r="G33" i="3" l="1"/>
  <c r="G35" i="3" s="1"/>
</calcChain>
</file>

<file path=xl/sharedStrings.xml><?xml version="1.0" encoding="utf-8"?>
<sst xmlns="http://schemas.openxmlformats.org/spreadsheetml/2006/main" count="392" uniqueCount="132">
  <si>
    <t>Локальный сметный расчет (ЛСР) №10</t>
  </si>
  <si>
    <t>Объект: «Комплексная застройка территории, расположенной в границах улиц: Тобольский тракт - Обход города Тюмени (мкр. Губернаторский). Второй этап». Многоэтажный жилой дом со встроенными и пристроенными помещениями общественного назначения и дошкольным образовательным учреждением на 110 мест ГП-72.110 Секция 2</t>
  </si>
  <si>
    <t>Ведомость объемов работ и расхода материалов по работе: Устройство системы канализации и сопутствующим работам (согласно проекту шифр ВК,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</si>
  <si>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</si>
  <si>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</si>
  <si>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</si>
  <si>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</si>
  <si>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</si>
  <si>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</si>
  <si>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2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</si>
  <si>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</si>
  <si>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</si>
  <si>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</si>
  <si>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</si>
  <si>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</si>
  <si>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</si>
  <si>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</si>
  <si>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11.03</t>
  </si>
  <si>
    <t>Устройство системы канализации</t>
  </si>
  <si>
    <t>11.03.01</t>
  </si>
  <si>
    <t>Устройство канализации К-1</t>
  </si>
  <si>
    <t>11.03.01.00</t>
  </si>
  <si>
    <t>Работы:</t>
  </si>
  <si>
    <t>Бурение отверстий до 130 мм</t>
  </si>
  <si>
    <t>шт</t>
  </si>
  <si>
    <t>Бурение отверстий до 80 мм</t>
  </si>
  <si>
    <t>Изоляция трубопровода</t>
  </si>
  <si>
    <t>м</t>
  </si>
  <si>
    <t>Материалы:</t>
  </si>
  <si>
    <t>1</t>
  </si>
  <si>
    <t>Цилиндры фольгированные</t>
  </si>
  <si>
    <t>110х50 мм</t>
  </si>
  <si>
    <t>пог. м</t>
  </si>
  <si>
    <t>2</t>
  </si>
  <si>
    <t>Теплоизоляция трубная</t>
  </si>
  <si>
    <t>110х13мм вспененный каучук</t>
  </si>
  <si>
    <t>Монтаж муфты противопожарной</t>
  </si>
  <si>
    <t>Муфта противопожарная</t>
  </si>
  <si>
    <t>ПМ-50/60</t>
  </si>
  <si>
    <t>ПМ-110/60</t>
  </si>
  <si>
    <t>Монтаж ревизии</t>
  </si>
  <si>
    <t>Ревизия канализационная</t>
  </si>
  <si>
    <t>полипропиленовая Ду-50 бесшумная</t>
  </si>
  <si>
    <t>полипропиленовая Ду-110 бесшумная</t>
  </si>
  <si>
    <t>Монтаж трапа</t>
  </si>
  <si>
    <t>Трап</t>
  </si>
  <si>
    <t>с сухим затвором верикальный Ф50</t>
  </si>
  <si>
    <t>Чугунный вертикальный DN100 TB100</t>
  </si>
  <si>
    <t>Прокладка трубы канализационной (для внутренних работ)</t>
  </si>
  <si>
    <t>Труба канализационная (пог.м.)</t>
  </si>
  <si>
    <t>бесшумная белая D-110х3,4</t>
  </si>
  <si>
    <t>бесшумная белая D-50х3,4</t>
  </si>
  <si>
    <t>3</t>
  </si>
  <si>
    <t>серая ПП D-50х3,4</t>
  </si>
  <si>
    <t>Прокладка трубы ППН</t>
  </si>
  <si>
    <t>Труба полипропиленовая</t>
  </si>
  <si>
    <t>PPH PN20 DN40х5,4</t>
  </si>
  <si>
    <t>Прокладка трубы ПЭ</t>
  </si>
  <si>
    <t>Труба полиэтиленовая (пог.м.)</t>
  </si>
  <si>
    <t>ПЭ-100 SDR13,6 DN110х8,1</t>
  </si>
  <si>
    <t>%</t>
  </si>
  <si>
    <t>11.03.02</t>
  </si>
  <si>
    <t>Устройство канализации К-2</t>
  </si>
  <si>
    <t>11.03.02.00</t>
  </si>
  <si>
    <t>Бурение отверстий 130 мм</t>
  </si>
  <si>
    <t>Трубная изоляция</t>
  </si>
  <si>
    <t>Ф110*9мм</t>
  </si>
  <si>
    <t>9мм D-114. L-330 (В плитах перекрытия)</t>
  </si>
  <si>
    <t>НПВХ Ду-110</t>
  </si>
  <si>
    <t>Прокладка трубы НПВХ клеевая</t>
  </si>
  <si>
    <t>Труба НПВХ</t>
  </si>
  <si>
    <t>клеевая Ф110х4,2 PN10 L=3m</t>
  </si>
  <si>
    <t>11.03.04</t>
  </si>
  <si>
    <t>Устройство канализации К-3</t>
  </si>
  <si>
    <t>11.03.04.00</t>
  </si>
  <si>
    <t>Монтаж дренажного насоса</t>
  </si>
  <si>
    <t>Насос дренажный</t>
  </si>
  <si>
    <t>Rexa MINI3</t>
  </si>
  <si>
    <t>Высокотемпературный</t>
  </si>
  <si>
    <t>Монтаж клапана (фланцевые, резьбовые) до 32 мм</t>
  </si>
  <si>
    <t>Клапан обратный</t>
  </si>
  <si>
    <t>муфтовый Ду-32 Ру-16бар</t>
  </si>
  <si>
    <t>Монтаж кранов (фланцевые, резьбовые) до 32 мм</t>
  </si>
  <si>
    <t>Кран шаровой</t>
  </si>
  <si>
    <t>Ду-32 полнопроходный с НГ</t>
  </si>
  <si>
    <t>11.03.06</t>
  </si>
  <si>
    <t>ПНР</t>
  </si>
  <si>
    <t>11.03.06.00</t>
  </si>
  <si>
    <t>Пусконаладочные работы системы канализации: пролив</t>
  </si>
  <si>
    <t>компл.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</si>
  <si>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</si>
  <si>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</si>
  <si>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</si>
  <si>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</si>
  <si>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</si>
  <si>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</si>
  <si>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</si>
  <si>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</si>
  <si>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</si>
  <si>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</si>
  <si>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</si>
  <si>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</si>
  <si>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ГП-72.110.02.11.03 Секция 2_Устройство системы канализации №1</t>
  </si>
  <si>
    <t>bb002ff1-08c5-11f1-9613-b7da9bb227ce</t>
  </si>
  <si>
    <t>Итог</t>
  </si>
  <si>
    <t>Фасонные изделия и фитинги для ППН трубы</t>
  </si>
  <si>
    <t>Фасонные изделия и фитинги для НПВХ трубы</t>
  </si>
  <si>
    <t>Фасонные изделия и фитинги для ПЭ трубы</t>
  </si>
  <si>
    <t>Фасонные изделия и фитинги для канализационной трубы</t>
  </si>
  <si>
    <t>Прочие материалы</t>
  </si>
  <si>
    <t>Проверка:</t>
  </si>
  <si>
    <t>в тч НДС ____%</t>
  </si>
  <si>
    <t>ИТОГО по сметному расчету, в тч НДС:</t>
  </si>
  <si>
    <t>указать %</t>
  </si>
  <si>
    <t>Примечание:</t>
  </si>
  <si>
    <t>В стоимость пусконоладочных работ входит: ПНР Насосной станции ХП, ПНР Насосной станции пожаротушения, Автоматизация (узлов учета воды, повысительной НУ) с учетом материалов, Автоматизация насосов системы пожаротушения (кабельно проводниковая продукция, лотки итд) с учетом материалов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</si>
  <si>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</si>
  <si>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</si>
  <si>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</si>
  <si>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</si>
  <si>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</si>
  <si>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</si>
  <si>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108х30мм Навивные цилидры из каменной ваты фольгированные</t>
  </si>
  <si>
    <t>Муфта</t>
  </si>
  <si>
    <t>ПНД соединительная раструб Ду-100</t>
  </si>
  <si>
    <t>НПВХ Ду-108</t>
  </si>
  <si>
    <t>Прокладка трубы стальной от 57 мм</t>
  </si>
  <si>
    <t>Труба электросварная (пог.м.)</t>
  </si>
  <si>
    <t>стальная D-108х4,0</t>
  </si>
  <si>
    <t>Для устройства временной ливневой канализации (ПЕРВАЯ ОЧЕРЕДЬ!)</t>
  </si>
  <si>
    <t>Для устройства временной ливневой канализации (ПЕРВАЯ ОЧЕРЕДЬ!)Вместе с греющим кабелем</t>
  </si>
  <si>
    <t>для всех разделов, расчитывается от стоимости материалов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</si>
</sst>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_₽"/>
  </numFmts>
  <fonts count="14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sz val="8"/>
      <color rgb="FFFF0000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theme="1"/>
      <name val="Arial Narrow"/>
      <family val="2"/>
      <charset val="204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1" fillId="0" borderId="0"/>
    <xf numFmtId="0" fontId="1" fillId="0" borderId="0"/>
  </cellStyleXfs>
  <cellXfs count="121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2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5" fillId="5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/>
    </xf>
    <xf numFmtId="1" fontId="6" fillId="9" borderId="5" xfId="0" applyNumberFormat="1" applyFont="1" applyFill="1" applyBorder="1" applyAlignment="1">
      <alignment horizontal="right" vertical="center"/>
    </xf>
    <xf numFmtId="4" fontId="6" fillId="5" borderId="5" xfId="0" applyNumberFormat="1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left" wrapText="1"/>
    </xf>
    <xf numFmtId="0" fontId="6" fillId="4" borderId="5" xfId="0" applyFont="1" applyFill="1" applyBorder="1" applyAlignment="1">
      <alignment horizontal="center" vertical="center"/>
    </xf>
    <xf numFmtId="4" fontId="6" fillId="4" borderId="5" xfId="0" applyNumberFormat="1" applyFont="1" applyFill="1" applyBorder="1" applyAlignment="1">
      <alignment horizontal="center" vertical="center"/>
    </xf>
    <xf numFmtId="4" fontId="7" fillId="4" borderId="0" xfId="0" applyNumberFormat="1" applyFont="1" applyFill="1" applyAlignment="1">
      <alignment horizontal="right" vertical="center"/>
    </xf>
    <xf numFmtId="0" fontId="6" fillId="0" borderId="5" xfId="0" applyFont="1" applyBorder="1" applyAlignment="1">
      <alignment horizontal="center"/>
    </xf>
    <xf numFmtId="0" fontId="6" fillId="5" borderId="5" xfId="0" applyFont="1" applyFill="1" applyBorder="1" applyAlignment="1">
      <alignment horizontal="left" wrapText="1"/>
    </xf>
    <xf numFmtId="0" fontId="6" fillId="5" borderId="5" xfId="0" applyFont="1" applyFill="1" applyBorder="1" applyAlignment="1">
      <alignment horizontal="right" vertical="center"/>
    </xf>
    <xf numFmtId="0" fontId="0" fillId="0" borderId="5" xfId="0" applyBorder="1" applyAlignment="1">
      <alignment horizontal="center"/>
    </xf>
    <xf numFmtId="1" fontId="0" fillId="9" borderId="2" xfId="0" applyNumberFormat="1" applyFill="1" applyBorder="1" applyAlignment="1">
      <alignment horizontal="right" vertical="center"/>
    </xf>
    <xf numFmtId="0" fontId="5" fillId="0" borderId="0" xfId="0" applyFont="1" applyAlignment="1">
      <alignment horizontal="left"/>
    </xf>
    <xf numFmtId="4" fontId="0" fillId="0" borderId="0" xfId="0" applyNumberFormat="1" applyAlignment="1">
      <alignment horizontal="left"/>
    </xf>
    <xf numFmtId="0" fontId="5" fillId="5" borderId="5" xfId="0" applyFont="1" applyFill="1" applyBorder="1" applyAlignment="1">
      <alignment horizontal="center" vertical="center"/>
    </xf>
    <xf numFmtId="4" fontId="3" fillId="6" borderId="7" xfId="0" applyNumberFormat="1" applyFont="1" applyFill="1" applyBorder="1" applyAlignment="1">
      <alignment horizontal="right" vertical="center"/>
    </xf>
    <xf numFmtId="0" fontId="6" fillId="6" borderId="7" xfId="0" applyFont="1" applyFill="1" applyBorder="1" applyAlignment="1">
      <alignment horizontal="center"/>
    </xf>
    <xf numFmtId="49" fontId="8" fillId="10" borderId="0" xfId="0" applyNumberFormat="1" applyFont="1" applyFill="1" applyAlignment="1">
      <alignment horizontal="center" vertical="center"/>
    </xf>
    <xf numFmtId="0" fontId="9" fillId="10" borderId="0" xfId="0" applyFont="1" applyFill="1" applyAlignment="1">
      <alignment vertical="center" wrapText="1"/>
    </xf>
    <xf numFmtId="0" fontId="8" fillId="10" borderId="0" xfId="0" applyFont="1" applyFill="1" applyAlignment="1">
      <alignment horizontal="center" vertical="center" wrapText="1"/>
    </xf>
    <xf numFmtId="164" fontId="8" fillId="10" borderId="0" xfId="0" applyNumberFormat="1" applyFont="1" applyFill="1" applyAlignment="1">
      <alignment horizontal="center" vertical="center" wrapText="1"/>
    </xf>
    <xf numFmtId="164" fontId="10" fillId="10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3" fontId="8" fillId="0" borderId="0" xfId="1" applyFont="1" applyFill="1" applyBorder="1" applyAlignment="1">
      <alignment horizontal="center" vertical="center"/>
    </xf>
    <xf numFmtId="0" fontId="8" fillId="0" borderId="0" xfId="3" applyFont="1" applyAlignment="1">
      <alignment vertical="center" wrapText="1"/>
    </xf>
    <xf numFmtId="0" fontId="8" fillId="0" borderId="0" xfId="3" applyFont="1" applyAlignment="1">
      <alignment vertical="top" wrapText="1"/>
    </xf>
    <xf numFmtId="0" fontId="8" fillId="0" borderId="0" xfId="0" applyFont="1" applyAlignment="1">
      <alignment vertical="top" wrapText="1"/>
    </xf>
    <xf numFmtId="0" fontId="12" fillId="0" borderId="0" xfId="0" applyFont="1" applyAlignment="1">
      <alignment horizontal="right" vertical="center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4" fontId="4" fillId="6" borderId="9" xfId="0" applyNumberFormat="1" applyFont="1" applyFill="1" applyBorder="1" applyAlignment="1">
      <alignment horizontal="right"/>
    </xf>
    <xf numFmtId="4" fontId="4" fillId="6" borderId="6" xfId="0" applyNumberFormat="1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3" fillId="8" borderId="0" xfId="0" applyFont="1" applyFill="1" applyAlignment="1">
      <alignment horizontal="left" vertical="center" wrapText="1"/>
    </xf>
    <xf numFmtId="0" fontId="11" fillId="10" borderId="0" xfId="2" applyFont="1" applyFill="1" applyAlignment="1">
      <alignment horizontal="left" vertical="center" wrapText="1"/>
    </xf>
    <xf numFmtId="0" fontId="8" fillId="0" borderId="0" xfId="3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</cellXfs>
  <cellStyles count="4">
    <cellStyle name="Обычный" xfId="0" builtinId="0"/>
    <cellStyle name="Обычный 3 2 2 3 2" xfId="3" xr:uid="{53B6687B-7306-4B8D-A279-91FEB3231105}"/>
    <cellStyle name="Обычный 3 2 2 4 7" xfId="2" xr:uid="{A667DBF4-B38C-44A1-B39E-C76954C4E1EB}"/>
    <cellStyle name="Финансовый" xfId="1" builtinId="3"/>
  </cellStyles>
  <dxfs count="40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711918-E87E-4354-BECC-9DE9CBE40606}" name="Р" displayName="Р" ref="A3:F20" totalsRowCount="1" headerRowDxfId="39" headerRowBorderDxfId="38" tableBorderDxfId="37" totalsRowBorderDxfId="36">
  <autoFilter ref="A3:F19" xr:uid="{5D711918-E87E-4354-BECC-9DE9CBE40606}"/>
  <tableColumns count="6">
    <tableColumn id="1" xr3:uid="{1DBB5E20-1652-481C-82DD-A36D90523582}" name="Наименование" totalsRowLabel="Итог" dataDxfId="35" totalsRowDxfId="34"/>
    <tableColumn id="2" xr3:uid="{E57ABA30-414B-4C95-975E-E380F8FCE725}" name="Ед. изм." dataDxfId="33" totalsRowDxfId="32"/>
    <tableColumn id="3" xr3:uid="{EAFEF1CD-A4FE-475E-930D-59E9EFD272BD}" name="Количество" dataDxfId="31" totalsRowDxfId="30"/>
    <tableColumn id="4" xr3:uid="{883C5444-0BF1-43B8-A7BD-46D58D931D36}" name="Цена за ед., руб" dataDxfId="29" totalsRowDxfId="28"/>
    <tableColumn id="5" xr3:uid="{728078FB-4C7F-47F6-86EA-869FC2A4E49F}" name="Сумма, руб" totalsRowFunction="sum" dataDxfId="27" totalsRowDxfId="26">
      <calculatedColumnFormula>ROUND(Р[[#This Row],[Количество]]*Р[[#This Row],[Цена за ед., руб]],2)</calculatedColumnFormula>
    </tableColumn>
    <tableColumn id="6" xr3:uid="{6F50D6E9-2C01-4DE7-9AB3-0D828774FE2B}" name="Примечание" dataDxfId="25" totalsRowDxfId="2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013A67A-B136-406F-9169-BD24F210CD4F}" name="М" displayName="М" ref="A3:I33" totalsRowCount="1" headerRowDxfId="23" headerRowBorderDxfId="22" tableBorderDxfId="21" totalsRowBorderDxfId="20">
  <autoFilter ref="A3:I32" xr:uid="{C013A67A-B136-406F-9169-BD24F210CD4F}"/>
  <tableColumns count="9">
    <tableColumn id="1" xr3:uid="{E177F0B2-1577-4374-850B-BA5A5246E5D9}" name="Наим." totalsRowLabel="Итог" dataDxfId="19" totalsRowDxfId="8"/>
    <tableColumn id="2" xr3:uid="{4B5E89C9-A4B7-46F9-B983-974B20B9ADCF}" name="Артикул, марка, произв." dataDxfId="18" totalsRowDxfId="7"/>
    <tableColumn id="3" xr3:uid="{FB58A8F1-FA04-4300-A112-8FC031203AB3}" name="Хар-ка" dataDxfId="17" totalsRowDxfId="6"/>
    <tableColumn id="4" xr3:uid="{AFCBFB2C-2C04-44AA-B036-25CE07DD7CA9}" name="Ед. изм." dataDxfId="16" totalsRowDxfId="5"/>
    <tableColumn id="5" xr3:uid="{5E80D761-3DF4-4E1E-AD1C-21011CD06E46}" name="Количество" dataDxfId="15" totalsRowDxfId="4"/>
    <tableColumn id="6" xr3:uid="{7E39D1DB-F7DA-4BC9-9A95-5AB5F600622F}" name="Цена за ед., руб" dataDxfId="14" totalsRowDxfId="3"/>
    <tableColumn id="7" xr3:uid="{10E3B500-C9E0-4170-90A1-95B08AD88855}" name="Сумма, руб" totalsRowFunction="sum" dataDxfId="13" totalsRowDxfId="2">
      <calculatedColumnFormula>ROUND(М[[#This Row],[Количество]]*М[[#This Row],[Цена за ед., руб]],2)</calculatedColumnFormula>
    </tableColumn>
    <tableColumn id="8" xr3:uid="{6B683789-CA17-4DC4-B853-F243529E3EC0}" name="Прим." dataDxfId="12" totalsRowDxfId="1"/>
    <tableColumn id="9" xr3:uid="{94DA5E4F-D187-4E56-B362-40579F138FE9}" name="Форма закупа" dataDxfId="1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W114"/>
  <sheetViews>
    <sheetView tabSelected="1" workbookViewId="0">
      <pane ySplit="7" topLeftCell="A71" activePane="bottomLeft" state="frozen"/>
      <selection pane="bottomLeft" activeCell="L93" sqref="L93:L97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0.5" style="1" customWidth="1"/>
    <col min="8" max="8" width="14.6640625" style="1" customWidth="1"/>
    <col min="9" max="9" width="16" style="1" customWidth="1"/>
    <col min="10" max="10" width="17" style="1" customWidth="1"/>
    <col min="11" max="11" width="35" style="1" customWidth="1"/>
    <col min="12" max="12" width="23.33203125" style="1" customWidth="1"/>
  </cols>
  <sheetData>
    <row r="1" spans="1:12" ht="11.1" customHeight="1" x14ac:dyDescent="0.2"/>
    <row r="2" spans="1:12" ht="11.1" customHeight="1" x14ac:dyDescent="0.2">
      <c r="B2" s="107" t="s">
        <v>0</v>
      </c>
      <c r="C2" s="107"/>
      <c r="D2" s="107"/>
      <c r="E2" s="107"/>
      <c r="F2" s="107"/>
      <c r="G2" s="107"/>
      <c r="H2" s="107"/>
      <c r="I2" s="107"/>
      <c r="J2" s="107"/>
    </row>
    <row r="3" spans="1:12" ht="35.1" customHeight="1" x14ac:dyDescent="0.2">
      <c r="B3" s="108" t="s">
        <v>1</v>
      </c>
      <c r="C3" s="108"/>
      <c r="D3" s="108"/>
      <c r="E3" s="108"/>
      <c r="F3" s="108"/>
      <c r="G3" s="108"/>
      <c r="H3" s="108"/>
      <c r="I3" s="108"/>
      <c r="J3" s="108"/>
    </row>
    <row r="4" spans="1:12" ht="11.1" customHeight="1" x14ac:dyDescent="0.2">
      <c r="B4" s="108" t="s">
        <v>2</v>
      </c>
      <c r="C4" s="108"/>
      <c r="D4" s="108"/>
      <c r="E4" s="108"/>
      <c r="F4" s="108"/>
      <c r="G4" s="108"/>
      <c r="H4" s="108"/>
      <c r="I4" s="108"/>
      <c r="J4" s="108"/>
    </row>
    <row r="5" spans="1:12" ht="11.1" customHeight="1" x14ac:dyDescent="0.2"/>
    <row r="6" spans="1:12" ht="11.1" customHeight="1" x14ac:dyDescent="0.2">
      <c r="A6" s="94" t="s">
        <v>3</v>
      </c>
      <c r="B6" s="94" t="s">
        <v>4</v>
      </c>
      <c r="C6" s="109" t="s">
        <v>5</v>
      </c>
      <c r="D6" s="111" t="s">
        <v>6</v>
      </c>
      <c r="E6" s="94" t="s">
        <v>7</v>
      </c>
      <c r="F6" s="96" t="s">
        <v>8</v>
      </c>
      <c r="G6" s="113" t="s">
        <v>9</v>
      </c>
      <c r="H6" s="94" t="s">
        <v>10</v>
      </c>
      <c r="I6" s="96" t="s">
        <v>11</v>
      </c>
      <c r="J6" s="96" t="s">
        <v>12</v>
      </c>
      <c r="K6" s="94" t="s">
        <v>13</v>
      </c>
      <c r="L6" s="96" t="s">
        <v>14</v>
      </c>
    </row>
    <row r="7" spans="1:12" ht="11.1" customHeight="1" x14ac:dyDescent="0.2">
      <c r="A7" s="95"/>
      <c r="B7" s="95"/>
      <c r="C7" s="110"/>
      <c r="D7" s="112"/>
      <c r="E7" s="95"/>
      <c r="F7" s="97"/>
      <c r="G7" s="114"/>
      <c r="H7" s="95"/>
      <c r="I7" s="97"/>
      <c r="J7" s="97"/>
      <c r="K7" s="95"/>
      <c r="L7" s="97"/>
    </row>
    <row r="8" spans="1:12" ht="11.1" customHeight="1" x14ac:dyDescent="0.2">
      <c r="A8" s="3" t="s">
        <v>15</v>
      </c>
      <c r="B8" s="4" t="s">
        <v>16</v>
      </c>
      <c r="C8" s="5"/>
      <c r="D8" s="5"/>
      <c r="E8" s="6"/>
      <c r="F8" s="7"/>
      <c r="G8" s="7"/>
      <c r="H8" s="7"/>
      <c r="I8" s="50"/>
      <c r="J8" s="50"/>
      <c r="K8" s="5"/>
      <c r="L8" s="5"/>
    </row>
    <row r="9" spans="1:12" ht="11.1" customHeight="1" outlineLevel="1" x14ac:dyDescent="0.2">
      <c r="A9" s="8" t="s">
        <v>17</v>
      </c>
      <c r="B9" s="9" t="s">
        <v>18</v>
      </c>
      <c r="C9" s="10"/>
      <c r="D9" s="10"/>
      <c r="E9" s="11"/>
      <c r="F9" s="12"/>
      <c r="G9" s="12"/>
      <c r="H9" s="12"/>
      <c r="I9" s="51"/>
      <c r="J9" s="51">
        <f ca="1">SUM($J$98,$J$78,$J$50,$J$10)</f>
        <v>0</v>
      </c>
      <c r="K9" s="10"/>
      <c r="L9" s="10"/>
    </row>
    <row r="10" spans="1:12" ht="11.1" customHeight="1" outlineLevel="2" x14ac:dyDescent="0.2">
      <c r="A10" s="13" t="s">
        <v>19</v>
      </c>
      <c r="B10" s="14" t="s">
        <v>20</v>
      </c>
      <c r="C10" s="15"/>
      <c r="D10" s="15"/>
      <c r="E10" s="16"/>
      <c r="F10" s="17"/>
      <c r="G10" s="18"/>
      <c r="H10" s="18"/>
      <c r="I10" s="52"/>
      <c r="J10" s="52">
        <f>SUM($J$11)</f>
        <v>0</v>
      </c>
      <c r="K10" s="19"/>
      <c r="L10" s="19"/>
    </row>
    <row r="11" spans="1:12" ht="11.1" customHeight="1" outlineLevel="3" x14ac:dyDescent="0.2">
      <c r="A11" s="13" t="s">
        <v>21</v>
      </c>
      <c r="B11" s="14" t="s">
        <v>20</v>
      </c>
      <c r="C11" s="15"/>
      <c r="D11" s="15"/>
      <c r="E11" s="16"/>
      <c r="F11" s="17"/>
      <c r="G11" s="18"/>
      <c r="H11" s="18"/>
      <c r="I11" s="52"/>
      <c r="J11" s="52">
        <f>SUM($J$48,$J$46,$J$44,$J$42,$J$38,$J$36,$J$33,$J$31,$J$28,$J$26,$J$23,$J$21,$J$18,$J$16,$J$14,$J$12)</f>
        <v>0</v>
      </c>
      <c r="K11" s="19"/>
      <c r="L11" s="19"/>
    </row>
    <row r="12" spans="1:12" ht="11.1" customHeight="1" outlineLevel="4" x14ac:dyDescent="0.2">
      <c r="A12" s="20"/>
      <c r="B12" s="14" t="s">
        <v>22</v>
      </c>
      <c r="C12" s="21"/>
      <c r="D12" s="21"/>
      <c r="E12" s="21"/>
      <c r="F12" s="21"/>
      <c r="G12" s="21"/>
      <c r="H12" s="21"/>
      <c r="I12" s="53"/>
      <c r="J12" s="54">
        <f>SUM($J$13)</f>
        <v>0</v>
      </c>
      <c r="K12" s="18"/>
      <c r="L12" s="22"/>
    </row>
    <row r="13" spans="1:12" ht="11.1" customHeight="1" outlineLevel="4" x14ac:dyDescent="0.2">
      <c r="A13" s="23"/>
      <c r="B13" s="24" t="s">
        <v>23</v>
      </c>
      <c r="C13" s="25"/>
      <c r="D13" s="25"/>
      <c r="E13" s="26" t="s">
        <v>24</v>
      </c>
      <c r="F13" s="27"/>
      <c r="G13" s="28">
        <v>15</v>
      </c>
      <c r="H13" s="28">
        <f>SUM($G$13:$G$13)</f>
        <v>15</v>
      </c>
      <c r="I13" s="55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55">
        <f>ROUND($H$13*$I$13,2)</f>
        <v>0</v>
      </c>
      <c r="K13" s="25"/>
      <c r="L13" s="25"/>
    </row>
    <row r="14" spans="1:12" ht="11.1" customHeight="1" outlineLevel="4" x14ac:dyDescent="0.2">
      <c r="A14" s="20"/>
      <c r="B14" s="14" t="s">
        <v>22</v>
      </c>
      <c r="C14" s="21"/>
      <c r="D14" s="21"/>
      <c r="E14" s="21"/>
      <c r="F14" s="21"/>
      <c r="G14" s="21"/>
      <c r="H14" s="21"/>
      <c r="I14" s="53"/>
      <c r="J14" s="54">
        <f>SUM($J$15)</f>
        <v>0</v>
      </c>
      <c r="K14" s="18"/>
      <c r="L14" s="22"/>
    </row>
    <row r="15" spans="1:12" ht="11.1" customHeight="1" outlineLevel="4" x14ac:dyDescent="0.2">
      <c r="A15" s="23"/>
      <c r="B15" s="24" t="s">
        <v>25</v>
      </c>
      <c r="C15" s="25"/>
      <c r="D15" s="25"/>
      <c r="E15" s="26" t="s">
        <v>24</v>
      </c>
      <c r="F15" s="27"/>
      <c r="G15" s="28">
        <v>40</v>
      </c>
      <c r="H15" s="28">
        <f>SUM($G$15:$G$15)</f>
        <v>40</v>
      </c>
      <c r="I15" s="55">
        <f t="array" ref="I15">INDEX(Р[Цена за ед., руб],MATCH(1,IF(($B15=Р[Наименование])*($K15=Р[Примечание]),{1},($B15=Р[Наименование])*($K15=Р[Примечание])),0))</f>
        <v>0</v>
      </c>
      <c r="J15" s="55">
        <f>ROUND($H$15*$I$15,2)</f>
        <v>0</v>
      </c>
      <c r="K15" s="25"/>
      <c r="L15" s="25"/>
    </row>
    <row r="16" spans="1:12" ht="11.1" customHeight="1" outlineLevel="4" x14ac:dyDescent="0.2">
      <c r="A16" s="20"/>
      <c r="B16" s="14" t="s">
        <v>22</v>
      </c>
      <c r="C16" s="21"/>
      <c r="D16" s="21"/>
      <c r="E16" s="21"/>
      <c r="F16" s="21"/>
      <c r="G16" s="21"/>
      <c r="H16" s="21"/>
      <c r="I16" s="53"/>
      <c r="J16" s="54">
        <f>SUM($J$17)</f>
        <v>0</v>
      </c>
      <c r="K16" s="18"/>
      <c r="L16" s="22"/>
    </row>
    <row r="17" spans="1:12" ht="11.1" customHeight="1" outlineLevel="4" x14ac:dyDescent="0.2">
      <c r="A17" s="23"/>
      <c r="B17" s="24" t="s">
        <v>26</v>
      </c>
      <c r="C17" s="25"/>
      <c r="D17" s="25"/>
      <c r="E17" s="26" t="s">
        <v>27</v>
      </c>
      <c r="F17" s="27"/>
      <c r="G17" s="28">
        <v>25</v>
      </c>
      <c r="H17" s="28">
        <f>SUM($G$17:$G$17)</f>
        <v>25</v>
      </c>
      <c r="I17" s="55">
        <f t="array" ref="I17">INDEX(Р[Цена за ед., руб],MATCH(1,IF(($B17=Р[Наименование])*($K17=Р[Примечание]),{1},($B17=Р[Наименование])*($K17=Р[Примечание])),0))</f>
        <v>0</v>
      </c>
      <c r="J17" s="55">
        <f>ROUND($H$17*$I$17,2)</f>
        <v>0</v>
      </c>
      <c r="K17" s="25"/>
      <c r="L17" s="25"/>
    </row>
    <row r="18" spans="1:12" ht="11.1" customHeight="1" outlineLevel="4" x14ac:dyDescent="0.2">
      <c r="A18" s="20"/>
      <c r="B18" s="14" t="s">
        <v>28</v>
      </c>
      <c r="C18" s="21"/>
      <c r="D18" s="21"/>
      <c r="E18" s="21"/>
      <c r="F18" s="21"/>
      <c r="G18" s="21"/>
      <c r="H18" s="21"/>
      <c r="I18" s="53"/>
      <c r="J18" s="54">
        <f>SUM($J$19:$J$20)</f>
        <v>0</v>
      </c>
      <c r="K18" s="18"/>
      <c r="L18" s="22"/>
    </row>
    <row r="19" spans="1:12" ht="11.1" customHeight="1" outlineLevel="4" x14ac:dyDescent="0.2">
      <c r="A19" s="23" t="s">
        <v>29</v>
      </c>
      <c r="B19" s="24" t="s">
        <v>30</v>
      </c>
      <c r="C19" s="25"/>
      <c r="D19" s="25" t="s">
        <v>31</v>
      </c>
      <c r="E19" s="26" t="s">
        <v>32</v>
      </c>
      <c r="F19" s="27"/>
      <c r="G19" s="28">
        <v>5</v>
      </c>
      <c r="H19" s="28">
        <f>SUM($G$19:$G$19)</f>
        <v>5</v>
      </c>
      <c r="I19" s="55">
        <f t="array" ref="I19">INDEX(М[Цена за ед., руб],MATCH(1,IF(($B19=М[Наим.])*($C19=М[Артикул,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  <c r="J19" s="55">
        <f>ROUND($H$19*$I$19,2)</f>
        <v>0</v>
      </c>
      <c r="K19" s="25"/>
      <c r="L19" s="25">
        <f t="array" ref="L19">INDEX(М[Форма закупа],MATCH(1,IF(($B19=М[Наим.])*($C19=М[Артикул,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</row>
    <row r="20" spans="1:12" ht="35.1" customHeight="1" outlineLevel="4" x14ac:dyDescent="0.2">
      <c r="A20" s="23" t="s">
        <v>33</v>
      </c>
      <c r="B20" s="24" t="s">
        <v>34</v>
      </c>
      <c r="C20" s="25"/>
      <c r="D20" s="25" t="s">
        <v>35</v>
      </c>
      <c r="E20" s="26" t="s">
        <v>32</v>
      </c>
      <c r="F20" s="27"/>
      <c r="G20" s="28">
        <v>20</v>
      </c>
      <c r="H20" s="28">
        <f>SUM($G$20:$G$20)</f>
        <v>20</v>
      </c>
      <c r="I20" s="55">
        <f t="array" ref="I20">INDEX(М[Цена за ед., руб],MATCH(1,IF(($B20=М[Наим.])*($C20=М[Артикул,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  <c r="J20" s="55">
        <f>ROUND($H$20*$I$20,2)</f>
        <v>0</v>
      </c>
      <c r="K20" s="25"/>
      <c r="L20" s="25">
        <f t="array" ref="L20">INDEX(М[Форма закупа],MATCH(1,IF(($B20=М[Наим.])*($C20=М[Артикул,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</row>
    <row r="21" spans="1:12" ht="11.1" customHeight="1" outlineLevel="4" x14ac:dyDescent="0.2">
      <c r="A21" s="20"/>
      <c r="B21" s="14" t="s">
        <v>22</v>
      </c>
      <c r="C21" s="21"/>
      <c r="D21" s="21"/>
      <c r="E21" s="21"/>
      <c r="F21" s="21"/>
      <c r="G21" s="21"/>
      <c r="H21" s="21"/>
      <c r="I21" s="53"/>
      <c r="J21" s="54">
        <f>SUM($J$22)</f>
        <v>0</v>
      </c>
      <c r="K21" s="18"/>
      <c r="L21" s="22"/>
    </row>
    <row r="22" spans="1:12" ht="11.1" customHeight="1" outlineLevel="4" x14ac:dyDescent="0.2">
      <c r="A22" s="23"/>
      <c r="B22" s="24" t="s">
        <v>36</v>
      </c>
      <c r="C22" s="25"/>
      <c r="D22" s="25"/>
      <c r="E22" s="26" t="s">
        <v>24</v>
      </c>
      <c r="F22" s="27"/>
      <c r="G22" s="28">
        <v>60</v>
      </c>
      <c r="H22" s="28">
        <f>SUM($G$22:$G$22)</f>
        <v>60</v>
      </c>
      <c r="I22" s="55">
        <f t="array" ref="I22">INDEX(Р[Цена за ед., руб],MATCH(1,IF(($B22=Р[Наименование])*($K22=Р[Примечание]),{1},($B22=Р[Наименование])*($K22=Р[Примечание])),0))</f>
        <v>0</v>
      </c>
      <c r="J22" s="55">
        <f>ROUND($H$22*$I$22,2)</f>
        <v>0</v>
      </c>
      <c r="K22" s="25"/>
      <c r="L22" s="25"/>
    </row>
    <row r="23" spans="1:12" ht="11.1" customHeight="1" outlineLevel="4" x14ac:dyDescent="0.2">
      <c r="A23" s="20"/>
      <c r="B23" s="14" t="s">
        <v>28</v>
      </c>
      <c r="C23" s="21"/>
      <c r="D23" s="21"/>
      <c r="E23" s="21"/>
      <c r="F23" s="21"/>
      <c r="G23" s="21"/>
      <c r="H23" s="21"/>
      <c r="I23" s="53"/>
      <c r="J23" s="54">
        <f>SUM($J$24:$J$25)</f>
        <v>0</v>
      </c>
      <c r="K23" s="18"/>
      <c r="L23" s="22"/>
    </row>
    <row r="24" spans="1:12" ht="11.1" customHeight="1" outlineLevel="4" x14ac:dyDescent="0.2">
      <c r="A24" s="23" t="s">
        <v>29</v>
      </c>
      <c r="B24" s="24" t="s">
        <v>37</v>
      </c>
      <c r="C24" s="25"/>
      <c r="D24" s="25" t="s">
        <v>38</v>
      </c>
      <c r="E24" s="26" t="s">
        <v>24</v>
      </c>
      <c r="F24" s="27"/>
      <c r="G24" s="28">
        <v>40</v>
      </c>
      <c r="H24" s="28">
        <f>SUM($G$24:$G$24)</f>
        <v>40</v>
      </c>
      <c r="I24" s="55">
        <f t="array" ref="I24">INDEX(М[Цена за ед., руб],MATCH(1,IF(($B24=М[Наим.])*($C24=М[Артикул,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  <c r="J24" s="55">
        <f>ROUND($H$24*$I$24,2)</f>
        <v>0</v>
      </c>
      <c r="K24" s="25"/>
      <c r="L24" s="25">
        <f t="array" ref="L24">INDEX(М[Форма закупа],MATCH(1,IF(($B24=М[Наим.])*($C24=М[Артикул,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</row>
    <row r="25" spans="1:12" ht="11.1" customHeight="1" outlineLevel="4" x14ac:dyDescent="0.2">
      <c r="A25" s="23" t="s">
        <v>33</v>
      </c>
      <c r="B25" s="24" t="s">
        <v>37</v>
      </c>
      <c r="C25" s="25"/>
      <c r="D25" s="25" t="s">
        <v>39</v>
      </c>
      <c r="E25" s="26" t="s">
        <v>24</v>
      </c>
      <c r="F25" s="27"/>
      <c r="G25" s="28">
        <v>20</v>
      </c>
      <c r="H25" s="28">
        <f>SUM($G$25:$G$25)</f>
        <v>20</v>
      </c>
      <c r="I25" s="55">
        <f t="array" ref="I25">INDEX(М[Цена за ед., руб],MATCH(1,IF(($B25=М[Наим.])*($C25=М[Артикул, марка, произв.])*($D25=М[Хар-ка])*($K25=М[Прим.]),{1},($B25=М[Наим.])*($C25=М[Артикул, марка, произв.])*($D25=М[Хар-ка])*($K25=М[Прим.])),0))</f>
        <v>0</v>
      </c>
      <c r="J25" s="55">
        <f>ROUND($H$25*$I$25,2)</f>
        <v>0</v>
      </c>
      <c r="K25" s="25"/>
      <c r="L25" s="25">
        <f t="array" ref="L25">INDEX(М[Форма закупа],MATCH(1,IF(($B25=М[Наим.])*($C25=М[Артикул, марка, произв.])*($D25=М[Хар-ка])*($K25=М[Прим.]),{1},($B25=М[Наим.])*($C25=М[Артикул, марка, произв.])*($D25=М[Хар-ка])*($K25=М[Прим.])),0))</f>
        <v>0</v>
      </c>
    </row>
    <row r="26" spans="1:12" ht="11.1" customHeight="1" outlineLevel="4" x14ac:dyDescent="0.2">
      <c r="A26" s="20"/>
      <c r="B26" s="14" t="s">
        <v>22</v>
      </c>
      <c r="C26" s="21"/>
      <c r="D26" s="21"/>
      <c r="E26" s="21"/>
      <c r="F26" s="21"/>
      <c r="G26" s="21"/>
      <c r="H26" s="21"/>
      <c r="I26" s="53"/>
      <c r="J26" s="54">
        <f>SUM($J$27)</f>
        <v>0</v>
      </c>
      <c r="K26" s="18"/>
      <c r="L26" s="22"/>
    </row>
    <row r="27" spans="1:12" ht="11.1" customHeight="1" outlineLevel="4" x14ac:dyDescent="0.2">
      <c r="A27" s="23"/>
      <c r="B27" s="24" t="s">
        <v>40</v>
      </c>
      <c r="C27" s="25"/>
      <c r="D27" s="25"/>
      <c r="E27" s="26" t="s">
        <v>24</v>
      </c>
      <c r="F27" s="27"/>
      <c r="G27" s="29">
        <v>11</v>
      </c>
      <c r="H27" s="29">
        <f>SUM($G$27:$G$27)</f>
        <v>11</v>
      </c>
      <c r="I27" s="55">
        <f t="array" ref="I27">INDEX(Р[Цена за ед., руб],MATCH(1,IF(($B27=Р[Наименование])*($K27=Р[Примечание]),{1},($B27=Р[Наименование])*($K27=Р[Примечание])),0))</f>
        <v>0</v>
      </c>
      <c r="J27" s="55">
        <f>ROUND($H$27*$I$27,2)</f>
        <v>0</v>
      </c>
      <c r="K27" s="25"/>
      <c r="L27" s="25"/>
    </row>
    <row r="28" spans="1:12" ht="11.1" customHeight="1" outlineLevel="4" x14ac:dyDescent="0.2">
      <c r="A28" s="20"/>
      <c r="B28" s="14" t="s">
        <v>28</v>
      </c>
      <c r="C28" s="21"/>
      <c r="D28" s="21"/>
      <c r="E28" s="21"/>
      <c r="F28" s="21"/>
      <c r="G28" s="21"/>
      <c r="H28" s="21"/>
      <c r="I28" s="53"/>
      <c r="J28" s="54">
        <f>SUM($J$29:$J$30)</f>
        <v>0</v>
      </c>
      <c r="K28" s="18"/>
      <c r="L28" s="22"/>
    </row>
    <row r="29" spans="1:12" ht="23.1" customHeight="1" outlineLevel="4" x14ac:dyDescent="0.2">
      <c r="A29" s="23" t="s">
        <v>29</v>
      </c>
      <c r="B29" s="24" t="s">
        <v>41</v>
      </c>
      <c r="C29" s="25"/>
      <c r="D29" s="25" t="s">
        <v>42</v>
      </c>
      <c r="E29" s="26" t="s">
        <v>24</v>
      </c>
      <c r="F29" s="27"/>
      <c r="G29" s="28">
        <v>1</v>
      </c>
      <c r="H29" s="28">
        <f>SUM($G$29:$G$29)</f>
        <v>1</v>
      </c>
      <c r="I29" s="55">
        <f t="array" ref="I29">INDEX(М[Цена за ед., руб],MATCH(1,IF(($B29=М[Наим.])*($C29=М[Артикул, марка, произв.])*($D29=М[Хар-ка])*($K29=М[Прим.]),{1},($B29=М[Наим.])*($C29=М[Артикул, марка, произв.])*($D29=М[Хар-ка])*($K29=М[Прим.])),0))</f>
        <v>0</v>
      </c>
      <c r="J29" s="55">
        <f>ROUND($H$29*$I$29,2)</f>
        <v>0</v>
      </c>
      <c r="K29" s="25"/>
      <c r="L29" s="25">
        <f t="array" ref="L29">INDEX(М[Форма закупа],MATCH(1,IF(($B29=М[Наим.])*($C29=М[Артикул, марка, произв.])*($D29=М[Хар-ка])*($K29=М[Прим.]),{1},($B29=М[Наим.])*($C29=М[Артикул, марка, произв.])*($D29=М[Хар-ка])*($K29=М[Прим.])),0))</f>
        <v>0</v>
      </c>
    </row>
    <row r="30" spans="1:12" ht="23.1" customHeight="1" outlineLevel="4" x14ac:dyDescent="0.2">
      <c r="A30" s="23" t="s">
        <v>33</v>
      </c>
      <c r="B30" s="24" t="s">
        <v>41</v>
      </c>
      <c r="C30" s="25"/>
      <c r="D30" s="25" t="s">
        <v>43</v>
      </c>
      <c r="E30" s="26" t="s">
        <v>24</v>
      </c>
      <c r="F30" s="27"/>
      <c r="G30" s="29">
        <v>10</v>
      </c>
      <c r="H30" s="29">
        <f>SUM($G$30:$G$30)</f>
        <v>10</v>
      </c>
      <c r="I30" s="55">
        <f t="array" ref="I30">INDEX(М[Цена за ед., руб],MATCH(1,IF(($B30=М[Наим.])*($C30=М[Артикул, марка, произв.])*($D30=М[Хар-ка])*($K30=М[Прим.]),{1},($B30=М[Наим.])*($C30=М[Артикул, марка, произв.])*($D30=М[Хар-ка])*($K30=М[Прим.])),0))</f>
        <v>0</v>
      </c>
      <c r="J30" s="55">
        <f>ROUND($H$30*$I$30,2)</f>
        <v>0</v>
      </c>
      <c r="K30" s="25"/>
      <c r="L30" s="25">
        <f t="array" ref="L30">INDEX(М[Форма закупа],MATCH(1,IF(($B30=М[Наим.])*($C30=М[Артикул, марка, произв.])*($D30=М[Хар-ка])*($K30=М[Прим.]),{1},($B30=М[Наим.])*($C30=М[Артикул, марка, произв.])*($D30=М[Хар-ка])*($K30=М[Прим.])),0))</f>
        <v>0</v>
      </c>
    </row>
    <row r="31" spans="1:12" ht="11.1" customHeight="1" outlineLevel="4" x14ac:dyDescent="0.2">
      <c r="A31" s="20"/>
      <c r="B31" s="14" t="s">
        <v>22</v>
      </c>
      <c r="C31" s="21"/>
      <c r="D31" s="21"/>
      <c r="E31" s="21"/>
      <c r="F31" s="21"/>
      <c r="G31" s="21"/>
      <c r="H31" s="21"/>
      <c r="I31" s="53"/>
      <c r="J31" s="54">
        <f>SUM($J$32)</f>
        <v>0</v>
      </c>
      <c r="K31" s="18"/>
      <c r="L31" s="22"/>
    </row>
    <row r="32" spans="1:12" ht="11.1" customHeight="1" outlineLevel="4" x14ac:dyDescent="0.2">
      <c r="A32" s="23"/>
      <c r="B32" s="24" t="s">
        <v>44</v>
      </c>
      <c r="C32" s="25"/>
      <c r="D32" s="25"/>
      <c r="E32" s="26" t="s">
        <v>24</v>
      </c>
      <c r="F32" s="27"/>
      <c r="G32" s="28">
        <v>7</v>
      </c>
      <c r="H32" s="28">
        <f>SUM($G$32:$G$32)</f>
        <v>7</v>
      </c>
      <c r="I32" s="55">
        <f t="array" ref="I32">INDEX(Р[Цена за ед., руб],MATCH(1,IF(($B32=Р[Наименование])*($K32=Р[Примечание]),{1},($B32=Р[Наименование])*($K32=Р[Примечание])),0))</f>
        <v>0</v>
      </c>
      <c r="J32" s="55">
        <f>ROUND($H$32*$I$32,2)</f>
        <v>0</v>
      </c>
      <c r="K32" s="25"/>
      <c r="L32" s="25"/>
    </row>
    <row r="33" spans="1:12" ht="11.1" customHeight="1" outlineLevel="4" x14ac:dyDescent="0.2">
      <c r="A33" s="20"/>
      <c r="B33" s="14" t="s">
        <v>28</v>
      </c>
      <c r="C33" s="21"/>
      <c r="D33" s="21"/>
      <c r="E33" s="21"/>
      <c r="F33" s="21"/>
      <c r="G33" s="21"/>
      <c r="H33" s="21"/>
      <c r="I33" s="53"/>
      <c r="J33" s="54">
        <f>SUM($J$34:$J$35)</f>
        <v>0</v>
      </c>
      <c r="K33" s="18"/>
      <c r="L33" s="22"/>
    </row>
    <row r="34" spans="1:12" ht="23.1" customHeight="1" outlineLevel="4" x14ac:dyDescent="0.2">
      <c r="A34" s="23" t="s">
        <v>29</v>
      </c>
      <c r="B34" s="24" t="s">
        <v>45</v>
      </c>
      <c r="C34" s="25"/>
      <c r="D34" s="25" t="s">
        <v>46</v>
      </c>
      <c r="E34" s="26" t="s">
        <v>24</v>
      </c>
      <c r="F34" s="27"/>
      <c r="G34" s="28">
        <v>6</v>
      </c>
      <c r="H34" s="28">
        <f>SUM($G$34:$G$34)</f>
        <v>6</v>
      </c>
      <c r="I34" s="55">
        <f t="array" ref="I34">INDEX(М[Цена за ед., руб],MATCH(1,IF(($B34=М[Наим.])*($C34=М[Артикул, марка, произв.])*($D34=М[Хар-ка])*($K34=М[Прим.]),{1},($B34=М[Наим.])*($C34=М[Артикул, марка, произв.])*($D34=М[Хар-ка])*($K34=М[Прим.])),0))</f>
        <v>0</v>
      </c>
      <c r="J34" s="55">
        <f>ROUND($H$34*$I$34,2)</f>
        <v>0</v>
      </c>
      <c r="K34" s="25"/>
      <c r="L34" s="25">
        <f t="array" ref="L34">INDEX(М[Форма закупа],MATCH(1,IF(($B34=М[Наим.])*($C34=М[Артикул, марка, произв.])*($D34=М[Хар-ка])*($K34=М[Прим.]),{1},($B34=М[Наим.])*($C34=М[Артикул, марка, произв.])*($D34=М[Хар-ка])*($K34=М[Прим.])),0))</f>
        <v>0</v>
      </c>
    </row>
    <row r="35" spans="1:12" ht="35.1" customHeight="1" outlineLevel="4" x14ac:dyDescent="0.2">
      <c r="A35" s="23" t="s">
        <v>33</v>
      </c>
      <c r="B35" s="24" t="s">
        <v>45</v>
      </c>
      <c r="C35" s="25"/>
      <c r="D35" s="25" t="s">
        <v>47</v>
      </c>
      <c r="E35" s="26" t="s">
        <v>24</v>
      </c>
      <c r="F35" s="27"/>
      <c r="G35" s="28">
        <v>1</v>
      </c>
      <c r="H35" s="28">
        <f>SUM($G$35:$G$35)</f>
        <v>1</v>
      </c>
      <c r="I35" s="55">
        <f t="array" ref="I35">INDEX(М[Цена за ед., руб],MATCH(1,IF(($B35=М[Наим.])*($C35=М[Артикул, марка, произв.])*($D35=М[Хар-ка])*($K35=М[Прим.]),{1},($B35=М[Наим.])*($C35=М[Артикул, марка, произв.])*($D35=М[Хар-ка])*($K35=М[Прим.])),0))</f>
        <v>0</v>
      </c>
      <c r="J35" s="55">
        <f>ROUND($H$35*$I$35,2)</f>
        <v>0</v>
      </c>
      <c r="K35" s="25"/>
      <c r="L35" s="25">
        <f t="array" ref="L35">INDEX(М[Форма закупа],MATCH(1,IF(($B35=М[Наим.])*($C35=М[Артикул, марка, произв.])*($D35=М[Хар-ка])*($K35=М[Прим.]),{1},($B35=М[Наим.])*($C35=М[Артикул, марка, произв.])*($D35=М[Хар-ка])*($K35=М[Прим.])),0))</f>
        <v>0</v>
      </c>
    </row>
    <row r="36" spans="1:12" ht="11.1" customHeight="1" outlineLevel="4" x14ac:dyDescent="0.2">
      <c r="A36" s="20"/>
      <c r="B36" s="14" t="s">
        <v>22</v>
      </c>
      <c r="C36" s="21"/>
      <c r="D36" s="21"/>
      <c r="E36" s="21"/>
      <c r="F36" s="21"/>
      <c r="G36" s="21"/>
      <c r="H36" s="21"/>
      <c r="I36" s="53"/>
      <c r="J36" s="54">
        <f>SUM($J$37)</f>
        <v>0</v>
      </c>
      <c r="K36" s="18"/>
      <c r="L36" s="22"/>
    </row>
    <row r="37" spans="1:12" ht="23.1" customHeight="1" outlineLevel="4" x14ac:dyDescent="0.2">
      <c r="A37" s="23"/>
      <c r="B37" s="24" t="s">
        <v>48</v>
      </c>
      <c r="C37" s="25"/>
      <c r="D37" s="25"/>
      <c r="E37" s="26" t="s">
        <v>27</v>
      </c>
      <c r="F37" s="27"/>
      <c r="G37" s="28">
        <v>449</v>
      </c>
      <c r="H37" s="28">
        <f>SUM($G$37:$G$37)</f>
        <v>449</v>
      </c>
      <c r="I37" s="55">
        <f t="array" ref="I37">INDEX(Р[Цена за ед., руб],MATCH(1,IF(($B37=Р[Наименование])*($K37=Р[Примечание]),{1},($B37=Р[Наименование])*($K37=Р[Примечание])),0))</f>
        <v>0</v>
      </c>
      <c r="J37" s="55">
        <f>ROUND($H$37*$I$37,2)</f>
        <v>0</v>
      </c>
      <c r="K37" s="25"/>
      <c r="L37" s="25"/>
    </row>
    <row r="38" spans="1:12" ht="11.1" customHeight="1" outlineLevel="4" x14ac:dyDescent="0.2">
      <c r="A38" s="20"/>
      <c r="B38" s="14" t="s">
        <v>28</v>
      </c>
      <c r="C38" s="21"/>
      <c r="D38" s="21"/>
      <c r="E38" s="21"/>
      <c r="F38" s="21"/>
      <c r="G38" s="21"/>
      <c r="H38" s="21"/>
      <c r="I38" s="53"/>
      <c r="J38" s="54">
        <f>SUM($J$39:$J$41)</f>
        <v>0</v>
      </c>
      <c r="K38" s="18"/>
      <c r="L38" s="22"/>
    </row>
    <row r="39" spans="1:12" ht="23.1" customHeight="1" outlineLevel="4" x14ac:dyDescent="0.2">
      <c r="A39" s="70" t="s">
        <v>29</v>
      </c>
      <c r="B39" s="24" t="s">
        <v>49</v>
      </c>
      <c r="C39" s="25"/>
      <c r="D39" s="25" t="s">
        <v>50</v>
      </c>
      <c r="E39" s="26" t="s">
        <v>32</v>
      </c>
      <c r="F39" s="27"/>
      <c r="G39" s="28">
        <v>251</v>
      </c>
      <c r="H39" s="28">
        <f>SUM($G$39:$G$39)</f>
        <v>251</v>
      </c>
      <c r="I39" s="55">
        <f t="array" ref="I39">INDEX(М[Цена за ед., руб],MATCH(1,IF(($B39=М[Наим.])*($C39=М[Артикул, марка, произв.])*($D39=М[Хар-ка])*($K39=М[Прим.]),{1},($B39=М[Наим.])*($C39=М[Артикул, марка, произв.])*($D39=М[Хар-ка])*($K39=М[Прим.])),0))</f>
        <v>0</v>
      </c>
      <c r="J39" s="55">
        <f>ROUND($H$39*$I$39,2)</f>
        <v>0</v>
      </c>
      <c r="K39" s="25"/>
      <c r="L39" s="25">
        <f t="array" ref="L39">INDEX(М[Форма закупа],MATCH(1,IF(($B39=М[Наим.])*($C39=М[Артикул, марка, произв.])*($D39=М[Хар-ка])*($K39=М[Прим.]),{1},($B39=М[Наим.])*($C39=М[Артикул, марка, произв.])*($D39=М[Хар-ка])*($K39=М[Прим.])),0))</f>
        <v>0</v>
      </c>
    </row>
    <row r="40" spans="1:12" ht="23.1" customHeight="1" outlineLevel="4" x14ac:dyDescent="0.2">
      <c r="A40" s="70" t="s">
        <v>33</v>
      </c>
      <c r="B40" s="24" t="s">
        <v>49</v>
      </c>
      <c r="C40" s="25"/>
      <c r="D40" s="25" t="s">
        <v>51</v>
      </c>
      <c r="E40" s="26" t="s">
        <v>32</v>
      </c>
      <c r="F40" s="27"/>
      <c r="G40" s="28">
        <v>122</v>
      </c>
      <c r="H40" s="28">
        <f>SUM($G$40:$G$40)</f>
        <v>122</v>
      </c>
      <c r="I40" s="55">
        <f t="array" ref="I40">INDEX(М[Цена за ед., руб],MATCH(1,IF(($B40=М[Наим.])*($C40=М[Артикул, марка, произв.])*($D40=М[Хар-ка])*($K40=М[Прим.]),{1},($B40=М[Наим.])*($C40=М[Артикул, марка, произв.])*($D40=М[Хар-ка])*($K40=М[Прим.])),0))</f>
        <v>0</v>
      </c>
      <c r="J40" s="55">
        <f>ROUND($H$40*$I$40,2)</f>
        <v>0</v>
      </c>
      <c r="K40" s="25"/>
      <c r="L40" s="25">
        <f t="array" ref="L40">INDEX(М[Форма закупа],MATCH(1,IF(($B40=М[Наим.])*($C40=М[Артикул, марка, произв.])*($D40=М[Хар-ка])*($K40=М[Прим.]),{1},($B40=М[Наим.])*($C40=М[Артикул, марка, произв.])*($D40=М[Хар-ка])*($K40=М[Прим.])),0))</f>
        <v>0</v>
      </c>
    </row>
    <row r="41" spans="1:12" ht="11.1" customHeight="1" outlineLevel="4" x14ac:dyDescent="0.2">
      <c r="A41" s="70" t="s">
        <v>52</v>
      </c>
      <c r="B41" s="24" t="s">
        <v>49</v>
      </c>
      <c r="C41" s="25"/>
      <c r="D41" s="25" t="s">
        <v>53</v>
      </c>
      <c r="E41" s="26" t="s">
        <v>32</v>
      </c>
      <c r="F41" s="27"/>
      <c r="G41" s="28">
        <v>76</v>
      </c>
      <c r="H41" s="28">
        <f>SUM($G$41:$G$41)</f>
        <v>76</v>
      </c>
      <c r="I41" s="55">
        <f t="array" ref="I41">INDEX(М[Цена за ед., руб],MATCH(1,IF(($B41=М[Наим.])*($C41=М[Артикул,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  <c r="J41" s="55">
        <f>ROUND($H$41*$I$41,2)</f>
        <v>0</v>
      </c>
      <c r="K41" s="25"/>
      <c r="L41" s="25">
        <f t="array" ref="L41">INDEX(М[Форма закупа],MATCH(1,IF(($B41=М[Наим.])*($C41=М[Артикул,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</row>
    <row r="42" spans="1:12" ht="11.1" customHeight="1" outlineLevel="4" x14ac:dyDescent="0.2">
      <c r="A42" s="20"/>
      <c r="B42" s="14" t="s">
        <v>22</v>
      </c>
      <c r="C42" s="21"/>
      <c r="D42" s="21"/>
      <c r="E42" s="21"/>
      <c r="F42" s="21"/>
      <c r="G42" s="21"/>
      <c r="H42" s="21"/>
      <c r="I42" s="53"/>
      <c r="J42" s="54">
        <f>SUM($J$43)</f>
        <v>0</v>
      </c>
      <c r="K42" s="18"/>
      <c r="L42" s="22"/>
    </row>
    <row r="43" spans="1:12" ht="11.1" customHeight="1" outlineLevel="4" x14ac:dyDescent="0.2">
      <c r="A43" s="23"/>
      <c r="B43" s="24" t="s">
        <v>54</v>
      </c>
      <c r="C43" s="25"/>
      <c r="D43" s="25"/>
      <c r="E43" s="26" t="s">
        <v>27</v>
      </c>
      <c r="F43" s="27"/>
      <c r="G43" s="28">
        <v>2</v>
      </c>
      <c r="H43" s="28">
        <f>SUM($G$43:$G$43)</f>
        <v>2</v>
      </c>
      <c r="I43" s="55">
        <f t="array" ref="I43">INDEX(Р[Цена за ед., руб],MATCH(1,IF(($B43=Р[Наименование])*($K43=Р[Примечание]),{1},($B43=Р[Наименование])*($K43=Р[Примечание])),0))</f>
        <v>0</v>
      </c>
      <c r="J43" s="55">
        <f>ROUND($H$43*$I$43,2)</f>
        <v>0</v>
      </c>
      <c r="K43" s="25"/>
      <c r="L43" s="25"/>
    </row>
    <row r="44" spans="1:12" ht="11.1" customHeight="1" outlineLevel="4" x14ac:dyDescent="0.2">
      <c r="A44" s="20"/>
      <c r="B44" s="14" t="s">
        <v>28</v>
      </c>
      <c r="C44" s="21"/>
      <c r="D44" s="21"/>
      <c r="E44" s="21"/>
      <c r="F44" s="21"/>
      <c r="G44" s="21"/>
      <c r="H44" s="21"/>
      <c r="I44" s="53"/>
      <c r="J44" s="54">
        <f>SUM($J$45)</f>
        <v>0</v>
      </c>
      <c r="K44" s="18"/>
      <c r="L44" s="22"/>
    </row>
    <row r="45" spans="1:12" ht="11.1" customHeight="1" outlineLevel="4" x14ac:dyDescent="0.2">
      <c r="A45" s="70" t="s">
        <v>29</v>
      </c>
      <c r="B45" s="24" t="s">
        <v>55</v>
      </c>
      <c r="C45" s="25"/>
      <c r="D45" s="25" t="s">
        <v>56</v>
      </c>
      <c r="E45" s="26" t="s">
        <v>32</v>
      </c>
      <c r="F45" s="27"/>
      <c r="G45" s="28">
        <v>2</v>
      </c>
      <c r="H45" s="28">
        <f>SUM($G$45:$G$45)</f>
        <v>2</v>
      </c>
      <c r="I45" s="55">
        <f t="array" ref="I45">INDEX(М[Цена за ед., руб],MATCH(1,IF(($B45=М[Наим.])*($C45=М[Артикул, марка, произв.])*($D45=М[Хар-ка])*($K45=М[Прим.]),{1},($B45=М[Наим.])*($C45=М[Артикул, марка, произв.])*($D45=М[Хар-ка])*($K45=М[Прим.])),0))</f>
        <v>0</v>
      </c>
      <c r="J45" s="55">
        <f>ROUND($H$45*$I$45,2)</f>
        <v>0</v>
      </c>
      <c r="K45" s="25"/>
      <c r="L45" s="25">
        <f t="array" ref="L45">INDEX(М[Форма закупа],MATCH(1,IF(($B45=М[Наим.])*($C45=М[Артикул, марка, произв.])*($D45=М[Хар-ка])*($K45=М[Прим.]),{1},($B45=М[Наим.])*($C45=М[Артикул, марка, произв.])*($D45=М[Хар-ка])*($K45=М[Прим.])),0))</f>
        <v>0</v>
      </c>
    </row>
    <row r="46" spans="1:12" ht="11.1" customHeight="1" outlineLevel="4" x14ac:dyDescent="0.2">
      <c r="A46" s="20"/>
      <c r="B46" s="14" t="s">
        <v>22</v>
      </c>
      <c r="C46" s="21"/>
      <c r="D46" s="21"/>
      <c r="E46" s="21"/>
      <c r="F46" s="21"/>
      <c r="G46" s="21"/>
      <c r="H46" s="21"/>
      <c r="I46" s="53"/>
      <c r="J46" s="54">
        <f>SUM($J$47)</f>
        <v>0</v>
      </c>
      <c r="K46" s="18"/>
      <c r="L46" s="22"/>
    </row>
    <row r="47" spans="1:12" ht="11.1" customHeight="1" outlineLevel="4" x14ac:dyDescent="0.2">
      <c r="A47" s="70"/>
      <c r="B47" s="24" t="s">
        <v>57</v>
      </c>
      <c r="C47" s="25"/>
      <c r="D47" s="25"/>
      <c r="E47" s="26" t="s">
        <v>27</v>
      </c>
      <c r="F47" s="27"/>
      <c r="G47" s="28">
        <v>15</v>
      </c>
      <c r="H47" s="28">
        <f>SUM($G$47:$G$47)</f>
        <v>15</v>
      </c>
      <c r="I47" s="55">
        <f t="array" ref="I47">INDEX(Р[Цена за ед., руб],MATCH(1,IF(($B47=Р[Наименование])*($K47=Р[Примечание]),{1},($B47=Р[Наименование])*($K47=Р[Примечание])),0))</f>
        <v>0</v>
      </c>
      <c r="J47" s="55">
        <f>ROUND($H$47*$I$47,2)</f>
        <v>0</v>
      </c>
      <c r="K47" s="25"/>
      <c r="L47" s="25"/>
    </row>
    <row r="48" spans="1:12" ht="11.1" customHeight="1" outlineLevel="4" x14ac:dyDescent="0.2">
      <c r="A48" s="20"/>
      <c r="B48" s="14" t="s">
        <v>28</v>
      </c>
      <c r="C48" s="21"/>
      <c r="D48" s="21"/>
      <c r="E48" s="21"/>
      <c r="F48" s="21"/>
      <c r="G48" s="21"/>
      <c r="H48" s="21"/>
      <c r="I48" s="53"/>
      <c r="J48" s="54">
        <f>SUM($J$49)</f>
        <v>0</v>
      </c>
      <c r="K48" s="18"/>
      <c r="L48" s="22"/>
    </row>
    <row r="49" spans="1:12" ht="23.1" customHeight="1" outlineLevel="4" x14ac:dyDescent="0.2">
      <c r="A49" s="70" t="s">
        <v>29</v>
      </c>
      <c r="B49" s="24" t="s">
        <v>58</v>
      </c>
      <c r="C49" s="25"/>
      <c r="D49" s="25" t="s">
        <v>59</v>
      </c>
      <c r="E49" s="26" t="s">
        <v>32</v>
      </c>
      <c r="F49" s="27"/>
      <c r="G49" s="28">
        <v>15</v>
      </c>
      <c r="H49" s="28">
        <f>SUM($G$49:$G$49)</f>
        <v>15</v>
      </c>
      <c r="I49" s="55">
        <f t="array" ref="I49">INDEX(М[Цена за ед., руб],MATCH(1,IF(($B49=М[Наим.])*($C49=М[Артикул, марка, произв.])*($D49=М[Хар-ка])*($K49=М[Прим.]),{1},($B49=М[Наим.])*($C49=М[Артикул, марка, произв.])*($D49=М[Хар-ка])*($K49=М[Прим.])),0))</f>
        <v>0</v>
      </c>
      <c r="J49" s="55">
        <f>ROUND($H$49*$I$49,2)</f>
        <v>0</v>
      </c>
      <c r="K49" s="25"/>
      <c r="L49" s="25">
        <f t="array" ref="L49">INDEX(М[Форма закупа],MATCH(1,IF(($B49=М[Наим.])*($C49=М[Артикул, марка, произв.])*($D49=М[Хар-ка])*($K49=М[Прим.]),{1},($B49=М[Наим.])*($C49=М[Артикул, марка, произв.])*($D49=М[Хар-ка])*($K49=М[Прим.])),0))</f>
        <v>0</v>
      </c>
    </row>
    <row r="50" spans="1:12" ht="11.1" customHeight="1" outlineLevel="2" x14ac:dyDescent="0.2">
      <c r="A50" s="13" t="s">
        <v>61</v>
      </c>
      <c r="B50" s="14" t="s">
        <v>62</v>
      </c>
      <c r="C50" s="15"/>
      <c r="D50" s="15"/>
      <c r="E50" s="16"/>
      <c r="F50" s="17"/>
      <c r="G50" s="18"/>
      <c r="H50" s="18"/>
      <c r="I50" s="52"/>
      <c r="J50" s="52">
        <f>SUM($J$51)</f>
        <v>0</v>
      </c>
      <c r="K50" s="19"/>
      <c r="L50" s="19"/>
    </row>
    <row r="51" spans="1:12" ht="11.1" customHeight="1" outlineLevel="3" x14ac:dyDescent="0.2">
      <c r="A51" s="13" t="s">
        <v>63</v>
      </c>
      <c r="B51" s="14" t="s">
        <v>62</v>
      </c>
      <c r="C51" s="15"/>
      <c r="D51" s="15"/>
      <c r="E51" s="16"/>
      <c r="F51" s="17"/>
      <c r="G51" s="18"/>
      <c r="H51" s="18"/>
      <c r="I51" s="52"/>
      <c r="J51" s="52">
        <f>SUM($J$72,$J$70,$J$67,$J$65,$J$62,$J$60,$J$56,$J$54,$J$52,J74,J76)</f>
        <v>0</v>
      </c>
      <c r="K51" s="19"/>
      <c r="L51" s="19"/>
    </row>
    <row r="52" spans="1:12" ht="11.1" customHeight="1" outlineLevel="4" x14ac:dyDescent="0.2">
      <c r="A52" s="20"/>
      <c r="B52" s="14" t="s">
        <v>22</v>
      </c>
      <c r="C52" s="21"/>
      <c r="D52" s="21"/>
      <c r="E52" s="21"/>
      <c r="F52" s="21"/>
      <c r="G52" s="21"/>
      <c r="H52" s="21"/>
      <c r="I52" s="53"/>
      <c r="J52" s="54">
        <f>SUM($J$53)</f>
        <v>0</v>
      </c>
      <c r="K52" s="18"/>
      <c r="L52" s="22"/>
    </row>
    <row r="53" spans="1:12" ht="11.1" customHeight="1" outlineLevel="4" x14ac:dyDescent="0.2">
      <c r="A53" s="23"/>
      <c r="B53" s="24" t="s">
        <v>64</v>
      </c>
      <c r="C53" s="25"/>
      <c r="D53" s="25"/>
      <c r="E53" s="26" t="s">
        <v>24</v>
      </c>
      <c r="F53" s="27"/>
      <c r="G53" s="28">
        <v>4</v>
      </c>
      <c r="H53" s="28">
        <f>SUM($G$53:$G$53)</f>
        <v>4</v>
      </c>
      <c r="I53" s="55">
        <f t="array" ref="I53">INDEX(Р[Цена за ед., руб],MATCH(1,IF(($B53=Р[Наименование])*($K53=Р[Примечание]),{1},($B53=Р[Наименование])*($K53=Р[Примечание])),0))</f>
        <v>0</v>
      </c>
      <c r="J53" s="55">
        <f>ROUND($H$53*$I$53,2)</f>
        <v>0</v>
      </c>
      <c r="K53" s="25"/>
      <c r="L53" s="25"/>
    </row>
    <row r="54" spans="1:12" ht="11.1" customHeight="1" outlineLevel="4" x14ac:dyDescent="0.2">
      <c r="A54" s="20"/>
      <c r="B54" s="14" t="s">
        <v>22</v>
      </c>
      <c r="C54" s="21"/>
      <c r="D54" s="21"/>
      <c r="E54" s="21"/>
      <c r="F54" s="21"/>
      <c r="G54" s="21"/>
      <c r="H54" s="21"/>
      <c r="I54" s="53"/>
      <c r="J54" s="54">
        <f>SUM($J$55)</f>
        <v>0</v>
      </c>
      <c r="K54" s="18"/>
      <c r="L54" s="22"/>
    </row>
    <row r="55" spans="1:12" ht="11.1" customHeight="1" outlineLevel="4" x14ac:dyDescent="0.2">
      <c r="A55" s="23"/>
      <c r="B55" s="24" t="s">
        <v>26</v>
      </c>
      <c r="C55" s="25"/>
      <c r="D55" s="25"/>
      <c r="E55" s="74" t="s">
        <v>27</v>
      </c>
      <c r="F55" s="27"/>
      <c r="G55" s="28">
        <v>42</v>
      </c>
      <c r="H55" s="28">
        <f>SUM($G$55:$G$55)</f>
        <v>42</v>
      </c>
      <c r="I55" s="55">
        <f t="array" ref="I55">INDEX(Р[Цена за ед., руб],MATCH(1,IF(($B55=Р[Наименование])*($K55=Р[Примечание]),{1},($B55=Р[Наименование])*($K55=Р[Примечание])),0))</f>
        <v>0</v>
      </c>
      <c r="J55" s="55">
        <f>ROUND($H$55*$I$55,2)</f>
        <v>0</v>
      </c>
      <c r="K55" s="25"/>
      <c r="L55" s="25"/>
    </row>
    <row r="56" spans="1:12" ht="11.1" customHeight="1" outlineLevel="4" x14ac:dyDescent="0.2">
      <c r="A56" s="20"/>
      <c r="B56" s="14" t="s">
        <v>28</v>
      </c>
      <c r="C56" s="21"/>
      <c r="D56" s="21"/>
      <c r="E56" s="21"/>
      <c r="F56" s="21"/>
      <c r="G56" s="21"/>
      <c r="H56" s="21"/>
      <c r="I56" s="53"/>
      <c r="J56" s="54">
        <f>SUM($J$57:$J$59)</f>
        <v>0</v>
      </c>
      <c r="K56" s="18"/>
      <c r="L56" s="22"/>
    </row>
    <row r="57" spans="1:12" ht="11.1" customHeight="1" outlineLevel="4" x14ac:dyDescent="0.2">
      <c r="A57" s="23" t="s">
        <v>29</v>
      </c>
      <c r="B57" s="24" t="s">
        <v>65</v>
      </c>
      <c r="C57" s="25"/>
      <c r="D57" s="25" t="s">
        <v>66</v>
      </c>
      <c r="E57" s="26" t="s">
        <v>32</v>
      </c>
      <c r="F57" s="27"/>
      <c r="G57" s="28">
        <v>15</v>
      </c>
      <c r="H57" s="28">
        <f>SUM($G$57:$G$57)</f>
        <v>15</v>
      </c>
      <c r="I57" s="55">
        <f t="array" ref="I57">INDEX(М[Цена за ед., руб],MATCH(1,IF(($B57=М[Наим.])*($C57=М[Артикул,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  <c r="J57" s="55">
        <f>ROUND($H$57*$I$57,2)</f>
        <v>0</v>
      </c>
      <c r="K57" s="25"/>
      <c r="L57" s="25">
        <f t="array" ref="L57">INDEX(М[Форма закупа],MATCH(1,IF(($B57=М[Наим.])*($C57=М[Артикул,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</row>
    <row r="58" spans="1:12" ht="35.1" customHeight="1" outlineLevel="4" x14ac:dyDescent="0.2">
      <c r="A58" s="23" t="s">
        <v>33</v>
      </c>
      <c r="B58" s="24" t="s">
        <v>65</v>
      </c>
      <c r="C58" s="25"/>
      <c r="D58" s="25" t="s">
        <v>67</v>
      </c>
      <c r="E58" s="26" t="s">
        <v>32</v>
      </c>
      <c r="F58" s="27"/>
      <c r="G58" s="28">
        <v>4</v>
      </c>
      <c r="H58" s="28">
        <f>SUM($G$58:$G$58)</f>
        <v>4</v>
      </c>
      <c r="I58" s="55">
        <f t="array" ref="I58">INDEX(М[Цена за ед., руб],MATCH(1,IF(($B58=М[Наим.])*($C58=М[Артикул,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  <c r="J58" s="55">
        <f>ROUND($H$58*$I$58,2)</f>
        <v>0</v>
      </c>
      <c r="K58" s="25"/>
      <c r="L58" s="25">
        <f t="array" ref="L58">INDEX(М[Форма закупа],MATCH(1,IF(($B58=М[Наим.])*($C58=М[Артикул,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</row>
    <row r="59" spans="1:12" ht="56.25" outlineLevel="4" x14ac:dyDescent="0.2">
      <c r="A59" s="23" t="s">
        <v>52</v>
      </c>
      <c r="B59" s="24" t="s">
        <v>34</v>
      </c>
      <c r="C59" s="25"/>
      <c r="D59" s="25" t="s">
        <v>122</v>
      </c>
      <c r="E59" s="26" t="s">
        <v>32</v>
      </c>
      <c r="F59" s="27"/>
      <c r="G59" s="28">
        <v>23</v>
      </c>
      <c r="H59" s="28">
        <f>SUM(G59)</f>
        <v>23</v>
      </c>
      <c r="I59" s="55">
        <f t="array" ref="I59">INDEX(М[Цена за ед., руб],MATCH(1,IF(($B59=М[Наим.])*($C59=М[Артикул, марка, произв.])*($D59=М[Хар-ка])*($K59=М[Прим.]),{1},($B59=М[Наим.])*($C59=М[Артикул, марка, произв.])*($D59=М[Хар-ка])*($K59=М[Прим.])),0))</f>
        <v>0</v>
      </c>
      <c r="J59" s="46">
        <f>H59*I59</f>
        <v>0</v>
      </c>
      <c r="K59" s="25" t="s">
        <v>129</v>
      </c>
      <c r="L59" s="25">
        <f t="array" ref="L59">INDEX(М[Форма закупа],MATCH(1,IF(($B59=М[Наим.])*($C59=М[Артикул, марка, произв.])*($D59=М[Хар-ка])*($K59=М[Прим.]),{1},($B59=М[Наим.])*($C59=М[Артикул, марка, произв.])*($D59=М[Хар-ка])*($K59=М[Прим.])),0))</f>
        <v>0</v>
      </c>
    </row>
    <row r="60" spans="1:12" ht="11.1" customHeight="1" outlineLevel="4" x14ac:dyDescent="0.2">
      <c r="A60" s="20"/>
      <c r="B60" s="14" t="s">
        <v>22</v>
      </c>
      <c r="C60" s="21"/>
      <c r="D60" s="21"/>
      <c r="E60" s="21"/>
      <c r="F60" s="21"/>
      <c r="G60" s="21"/>
      <c r="H60" s="21"/>
      <c r="I60" s="53"/>
      <c r="J60" s="54">
        <f>SUM($J$61)</f>
        <v>0</v>
      </c>
      <c r="K60" s="18"/>
      <c r="L60" s="22"/>
    </row>
    <row r="61" spans="1:12" ht="11.1" customHeight="1" outlineLevel="4" x14ac:dyDescent="0.2">
      <c r="A61" s="23"/>
      <c r="B61" s="24" t="s">
        <v>36</v>
      </c>
      <c r="C61" s="25"/>
      <c r="D61" s="25"/>
      <c r="E61" s="26" t="s">
        <v>24</v>
      </c>
      <c r="F61" s="27"/>
      <c r="G61" s="28">
        <v>6</v>
      </c>
      <c r="H61" s="28">
        <f>SUM($G$61:$G$61)</f>
        <v>6</v>
      </c>
      <c r="I61" s="55">
        <f t="array" ref="I61">INDEX(Р[Цена за ед., руб],MATCH(1,IF(($B61=Р[Наименование])*($K61=Р[Примечание]),{1},($B61=Р[Наименование])*($K61=Р[Примечание])),0))</f>
        <v>0</v>
      </c>
      <c r="J61" s="55">
        <f>ROUND($H$61*$I$61,2)</f>
        <v>0</v>
      </c>
      <c r="K61" s="25"/>
      <c r="L61" s="25"/>
    </row>
    <row r="62" spans="1:12" ht="11.1" customHeight="1" outlineLevel="4" x14ac:dyDescent="0.2">
      <c r="A62" s="20"/>
      <c r="B62" s="14" t="s">
        <v>28</v>
      </c>
      <c r="C62" s="21"/>
      <c r="D62" s="21"/>
      <c r="E62" s="21"/>
      <c r="F62" s="21"/>
      <c r="G62" s="21"/>
      <c r="H62" s="21"/>
      <c r="I62" s="53"/>
      <c r="J62" s="54">
        <f>SUM($J$63:$J$64)</f>
        <v>0</v>
      </c>
      <c r="K62" s="18"/>
      <c r="L62" s="22"/>
    </row>
    <row r="63" spans="1:12" ht="11.1" customHeight="1" outlineLevel="4" x14ac:dyDescent="0.2">
      <c r="A63" s="23" t="s">
        <v>29</v>
      </c>
      <c r="B63" s="24" t="s">
        <v>37</v>
      </c>
      <c r="C63" s="25"/>
      <c r="D63" s="25" t="s">
        <v>39</v>
      </c>
      <c r="E63" s="26" t="s">
        <v>24</v>
      </c>
      <c r="F63" s="27"/>
      <c r="G63" s="28">
        <v>4</v>
      </c>
      <c r="H63" s="28">
        <f>SUM($G$63:$G$63)</f>
        <v>4</v>
      </c>
      <c r="I63" s="55">
        <f t="array" ref="I63">INDEX(М[Цена за ед., руб],MATCH(1,IF(($B63=М[Наим.])*($C63=М[Артикул, марка, произв.])*($D63=М[Хар-ка])*($K63=М[Прим.]),{1},($B63=М[Наим.])*($C63=М[Артикул, марка, произв.])*($D63=М[Хар-ка])*($K63=М[Прим.])),0))</f>
        <v>0</v>
      </c>
      <c r="J63" s="55">
        <f>ROUND($H$63*$I$63,2)</f>
        <v>0</v>
      </c>
      <c r="K63" s="25"/>
      <c r="L63" s="25">
        <f t="array" ref="L63">INDEX(М[Форма закупа],MATCH(1,IF(($B63=М[Наим.])*($C63=М[Артикул, марка, произв.])*($D63=М[Хар-ка])*($K63=М[Прим.]),{1},($B63=М[Наим.])*($C63=М[Артикул, марка, произв.])*($D63=М[Хар-ка])*($K63=М[Прим.])),0))</f>
        <v>0</v>
      </c>
    </row>
    <row r="64" spans="1:12" ht="33.75" outlineLevel="4" x14ac:dyDescent="0.2">
      <c r="A64" s="23">
        <v>2</v>
      </c>
      <c r="B64" s="24" t="s">
        <v>123</v>
      </c>
      <c r="C64" s="25"/>
      <c r="D64" s="25" t="s">
        <v>124</v>
      </c>
      <c r="E64" s="26" t="s">
        <v>24</v>
      </c>
      <c r="F64" s="27"/>
      <c r="G64" s="28">
        <v>2</v>
      </c>
      <c r="H64" s="28">
        <f>SUM(G64)</f>
        <v>2</v>
      </c>
      <c r="I64" s="55">
        <f t="array" ref="I64">INDEX(М[Цена за ед., руб],MATCH(1,IF(($B64=М[Наим.])*($C64=М[Артикул, марка, произв.])*($D64=М[Хар-ка])*($K64=М[Прим.]),{1},($B64=М[Наим.])*($C64=М[Артикул, марка, произв.])*($D64=М[Хар-ка])*($K64=М[Прим.])),0))</f>
        <v>0</v>
      </c>
      <c r="J64" s="46">
        <f>H64*I64</f>
        <v>0</v>
      </c>
      <c r="K64" s="25" t="s">
        <v>129</v>
      </c>
      <c r="L64" s="25">
        <f t="array" ref="L64">INDEX(М[Форма закупа],MATCH(1,IF(($B64=М[Наим.])*($C64=М[Артикул, марка, произв.])*($D64=М[Хар-ка])*($K64=М[Прим.]),{1},($B64=М[Наим.])*($C64=М[Артикул, марка, произв.])*($D64=М[Хар-ка])*($K64=М[Прим.])),0))</f>
        <v>0</v>
      </c>
    </row>
    <row r="65" spans="1:12" ht="11.1" customHeight="1" outlineLevel="4" x14ac:dyDescent="0.2">
      <c r="A65" s="20"/>
      <c r="B65" s="14" t="s">
        <v>22</v>
      </c>
      <c r="C65" s="21"/>
      <c r="D65" s="21"/>
      <c r="E65" s="21"/>
      <c r="F65" s="21"/>
      <c r="G65" s="21"/>
      <c r="H65" s="21"/>
      <c r="I65" s="53"/>
      <c r="J65" s="54">
        <f>SUM($J$66)</f>
        <v>0</v>
      </c>
      <c r="K65" s="18"/>
      <c r="L65" s="22"/>
    </row>
    <row r="66" spans="1:12" ht="11.1" customHeight="1" outlineLevel="4" x14ac:dyDescent="0.2">
      <c r="A66" s="23"/>
      <c r="B66" s="24" t="s">
        <v>40</v>
      </c>
      <c r="C66" s="25"/>
      <c r="D66" s="25"/>
      <c r="E66" s="26" t="s">
        <v>24</v>
      </c>
      <c r="F66" s="27"/>
      <c r="G66" s="28">
        <v>7</v>
      </c>
      <c r="H66" s="28">
        <f>SUM($G$66:$G$66)</f>
        <v>7</v>
      </c>
      <c r="I66" s="55">
        <f t="array" ref="I66">INDEX(Р[Цена за ед., руб],MATCH(1,IF(($B66=Р[Наименование])*($K66=Р[Примечание]),{1},($B66=Р[Наименование])*($K66=Р[Примечание])),0))</f>
        <v>0</v>
      </c>
      <c r="J66" s="55">
        <f>ROUND($H$66*$I$66,2)</f>
        <v>0</v>
      </c>
      <c r="K66" s="25"/>
      <c r="L66" s="25"/>
    </row>
    <row r="67" spans="1:12" ht="11.1" customHeight="1" outlineLevel="4" x14ac:dyDescent="0.2">
      <c r="A67" s="20"/>
      <c r="B67" s="14" t="s">
        <v>28</v>
      </c>
      <c r="C67" s="21"/>
      <c r="D67" s="21"/>
      <c r="E67" s="21"/>
      <c r="F67" s="21"/>
      <c r="G67" s="21"/>
      <c r="H67" s="21"/>
      <c r="I67" s="53"/>
      <c r="J67" s="54">
        <f>SUM($J$68:$J$69)</f>
        <v>0</v>
      </c>
      <c r="K67" s="18"/>
      <c r="L67" s="22"/>
    </row>
    <row r="68" spans="1:12" ht="11.1" customHeight="1" outlineLevel="4" x14ac:dyDescent="0.2">
      <c r="A68" s="23" t="s">
        <v>29</v>
      </c>
      <c r="B68" s="24" t="s">
        <v>41</v>
      </c>
      <c r="C68" s="25"/>
      <c r="D68" s="25" t="s">
        <v>68</v>
      </c>
      <c r="E68" s="26" t="s">
        <v>24</v>
      </c>
      <c r="F68" s="27"/>
      <c r="G68" s="28">
        <v>2</v>
      </c>
      <c r="H68" s="28">
        <f>SUM($G$68:$G$68)</f>
        <v>2</v>
      </c>
      <c r="I68" s="55">
        <f t="array" ref="I68">INDEX(М[Цена за ед., руб],MATCH(1,IF(($B68=М[Наим.])*($C68=М[Артикул, марка, произв.])*($D68=М[Хар-ка])*($K68=М[Прим.]),{1},($B68=М[Наим.])*($C68=М[Артикул, марка, произв.])*($D68=М[Хар-ка])*($K68=М[Прим.])),0))</f>
        <v>0</v>
      </c>
      <c r="J68" s="55">
        <f>ROUND($H$68*$I$68,2)</f>
        <v>0</v>
      </c>
      <c r="K68" s="25"/>
      <c r="L68" s="25">
        <f t="array" ref="L68">INDEX(М[Форма закупа],MATCH(1,IF(($B68=М[Наим.])*($C68=М[Артикул, марка, произв.])*($D68=М[Хар-ка])*($K68=М[Прим.]),{1},($B68=М[Наим.])*($C68=М[Артикул, марка, произв.])*($D68=М[Хар-ка])*($K68=М[Прим.])),0))</f>
        <v>0</v>
      </c>
    </row>
    <row r="69" spans="1:12" ht="22.5" outlineLevel="4" x14ac:dyDescent="0.2">
      <c r="A69" s="23">
        <v>2</v>
      </c>
      <c r="B69" s="24" t="s">
        <v>41</v>
      </c>
      <c r="C69" s="25"/>
      <c r="D69" s="25" t="s">
        <v>125</v>
      </c>
      <c r="E69" s="26" t="s">
        <v>24</v>
      </c>
      <c r="F69" s="27"/>
      <c r="G69" s="28">
        <v>5</v>
      </c>
      <c r="H69" s="28">
        <f>SUM(G69)</f>
        <v>5</v>
      </c>
      <c r="I69" s="55">
        <f t="array" ref="I69">INDEX(М[Цена за ед., руб],MATCH(1,IF(($B69=М[Наим.])*($C69=М[Артикул, марка, произв.])*($D69=М[Хар-ка])*($K69=М[Прим.]),{1},($B69=М[Наим.])*($C69=М[Артикул, марка, произв.])*($D69=М[Хар-ка])*($K69=М[Прим.])),0))</f>
        <v>0</v>
      </c>
      <c r="J69" s="46">
        <f>H69*I69</f>
        <v>0</v>
      </c>
      <c r="K69" s="25" t="s">
        <v>129</v>
      </c>
      <c r="L69" s="25">
        <f t="array" ref="L69">INDEX(М[Форма закупа],MATCH(1,IF(($B69=М[Наим.])*($C69=М[Артикул, марка, произв.])*($D69=М[Хар-ка])*($K69=М[Прим.]),{1},($B69=М[Наим.])*($C69=М[Артикул, марка, произв.])*($D69=М[Хар-ка])*($K69=М[Прим.])),0))</f>
        <v>0</v>
      </c>
    </row>
    <row r="70" spans="1:12" ht="11.1" customHeight="1" outlineLevel="4" x14ac:dyDescent="0.2">
      <c r="A70" s="20"/>
      <c r="B70" s="14" t="s">
        <v>22</v>
      </c>
      <c r="C70" s="21"/>
      <c r="D70" s="21"/>
      <c r="E70" s="21"/>
      <c r="F70" s="21"/>
      <c r="G70" s="21"/>
      <c r="H70" s="21"/>
      <c r="I70" s="53"/>
      <c r="J70" s="54">
        <f>SUM($J$71)</f>
        <v>0</v>
      </c>
      <c r="K70" s="18"/>
      <c r="L70" s="22"/>
    </row>
    <row r="71" spans="1:12" ht="11.1" customHeight="1" outlineLevel="4" x14ac:dyDescent="0.2">
      <c r="A71" s="23"/>
      <c r="B71" s="24" t="s">
        <v>69</v>
      </c>
      <c r="C71" s="25"/>
      <c r="D71" s="25"/>
      <c r="E71" s="26" t="s">
        <v>27</v>
      </c>
      <c r="F71" s="27"/>
      <c r="G71" s="28">
        <v>45</v>
      </c>
      <c r="H71" s="28">
        <f>SUM($G$71:$G$71)</f>
        <v>45</v>
      </c>
      <c r="I71" s="55">
        <f t="array" ref="I71">INDEX(Р[Цена за ед., руб],MATCH(1,IF(($B71=Р[Наименование])*($K71=Р[Примечание]),{1},($B71=Р[Наименование])*($K71=Р[Примечание])),0))</f>
        <v>0</v>
      </c>
      <c r="J71" s="55">
        <f>ROUND($H$71*$I$71,2)</f>
        <v>0</v>
      </c>
      <c r="K71" s="25"/>
      <c r="L71" s="25"/>
    </row>
    <row r="72" spans="1:12" ht="11.1" customHeight="1" outlineLevel="4" x14ac:dyDescent="0.2">
      <c r="A72" s="20"/>
      <c r="B72" s="14" t="s">
        <v>28</v>
      </c>
      <c r="C72" s="21"/>
      <c r="D72" s="21"/>
      <c r="E72" s="21"/>
      <c r="F72" s="21"/>
      <c r="G72" s="21"/>
      <c r="H72" s="21"/>
      <c r="I72" s="53"/>
      <c r="J72" s="54">
        <f>SUM($J$73)</f>
        <v>0</v>
      </c>
      <c r="K72" s="18"/>
      <c r="L72" s="22"/>
    </row>
    <row r="73" spans="1:12" ht="23.1" customHeight="1" outlineLevel="4" x14ac:dyDescent="0.2">
      <c r="A73" s="70" t="s">
        <v>29</v>
      </c>
      <c r="B73" s="24" t="s">
        <v>70</v>
      </c>
      <c r="C73" s="25"/>
      <c r="D73" s="25" t="s">
        <v>71</v>
      </c>
      <c r="E73" s="26" t="s">
        <v>32</v>
      </c>
      <c r="F73" s="27"/>
      <c r="G73" s="28">
        <v>45</v>
      </c>
      <c r="H73" s="28">
        <f>SUM($G$73:$G$73)</f>
        <v>45</v>
      </c>
      <c r="I73" s="55">
        <f t="array" ref="I73">INDEX(М[Цена за ед., руб],MATCH(1,IF(($B73=М[Наим.])*($C73=М[Артикул, марка, произв.])*($D73=М[Хар-ка])*($K73=М[Прим.]),{1},($B73=М[Наим.])*($C73=М[Артикул, марка, произв.])*($D73=М[Хар-ка])*($K73=М[Прим.])),0))</f>
        <v>0</v>
      </c>
      <c r="J73" s="55">
        <f>ROUND($H$73*$I$73,2)</f>
        <v>0</v>
      </c>
      <c r="K73" s="25"/>
      <c r="L73" s="25">
        <f t="array" ref="L73">INDEX(М[Форма закупа],MATCH(1,IF(($B73=М[Наим.])*($C73=М[Артикул, марка, произв.])*($D73=М[Хар-ка])*($K73=М[Прим.]),{1},($B73=М[Наим.])*($C73=М[Артикул, марка, произв.])*($D73=М[Хар-ка])*($K73=М[Прим.])),0))</f>
        <v>0</v>
      </c>
    </row>
    <row r="74" spans="1:12" ht="23.1" customHeight="1" outlineLevel="4" x14ac:dyDescent="0.2">
      <c r="A74" s="20"/>
      <c r="B74" s="14" t="s">
        <v>22</v>
      </c>
      <c r="C74" s="21"/>
      <c r="D74" s="21"/>
      <c r="E74" s="21"/>
      <c r="F74" s="21"/>
      <c r="G74" s="21"/>
      <c r="H74" s="21"/>
      <c r="I74" s="53"/>
      <c r="J74" s="54">
        <f>J75</f>
        <v>0</v>
      </c>
      <c r="K74" s="18"/>
      <c r="L74" s="22"/>
    </row>
    <row r="75" spans="1:12" ht="23.1" customHeight="1" outlineLevel="4" x14ac:dyDescent="0.2">
      <c r="A75" s="23"/>
      <c r="B75" s="24" t="s">
        <v>126</v>
      </c>
      <c r="C75" s="25"/>
      <c r="D75" s="25"/>
      <c r="E75" s="26" t="s">
        <v>32</v>
      </c>
      <c r="F75" s="27"/>
      <c r="G75" s="28">
        <v>23</v>
      </c>
      <c r="H75" s="28">
        <f>SUM(G75)</f>
        <v>23</v>
      </c>
      <c r="I75" s="55">
        <f t="array" ref="I75">INDEX(Р[Цена за ед., руб],MATCH(1,IF(($B75=Р[Наименование])*($K75=Р[Примечание]),{1},($B75=Р[Наименование])*($K75=Р[Примечание])),0))</f>
        <v>0</v>
      </c>
      <c r="J75" s="46">
        <f>H75*I75</f>
        <v>0</v>
      </c>
      <c r="K75" s="25"/>
      <c r="L75" s="25"/>
    </row>
    <row r="76" spans="1:12" ht="23.1" customHeight="1" outlineLevel="4" x14ac:dyDescent="0.2">
      <c r="A76" s="20"/>
      <c r="B76" s="14" t="s">
        <v>28</v>
      </c>
      <c r="C76" s="21"/>
      <c r="D76" s="21"/>
      <c r="E76" s="21"/>
      <c r="F76" s="21"/>
      <c r="G76" s="21"/>
      <c r="H76" s="21"/>
      <c r="I76" s="53"/>
      <c r="J76" s="54">
        <f>J77</f>
        <v>0</v>
      </c>
      <c r="K76" s="18"/>
      <c r="L76" s="22"/>
    </row>
    <row r="77" spans="1:12" ht="23.1" customHeight="1" outlineLevel="4" x14ac:dyDescent="0.2">
      <c r="A77" s="70" t="s">
        <v>29</v>
      </c>
      <c r="B77" s="24" t="s">
        <v>127</v>
      </c>
      <c r="C77" s="25"/>
      <c r="D77" s="25" t="s">
        <v>128</v>
      </c>
      <c r="E77" s="26" t="s">
        <v>32</v>
      </c>
      <c r="F77" s="27"/>
      <c r="G77" s="28">
        <v>23</v>
      </c>
      <c r="H77" s="28">
        <f>SUM(G77)</f>
        <v>23</v>
      </c>
      <c r="I77" s="55">
        <f t="array" ref="I77">INDEX(М[Цена за ед., руб],MATCH(1,IF(($B77=М[Наим.])*($C77=М[Артикул, марка, произв.])*($D77=М[Хар-ка])*($K77=М[Прим.]),{1},($B77=М[Наим.])*($C77=М[Артикул, марка, произв.])*($D77=М[Хар-ка])*($K77=М[Прим.])),0))</f>
        <v>0</v>
      </c>
      <c r="J77" s="46">
        <f>H77*I77</f>
        <v>0</v>
      </c>
      <c r="K77" s="25" t="s">
        <v>130</v>
      </c>
      <c r="L77" s="25">
        <f t="array" ref="L77">INDEX(М[Форма закупа],MATCH(1,IF(($B77=М[Наим.])*($C77=М[Артикул, марка, произв.])*($D77=М[Хар-ка])*($K77=М[Прим.]),{1},($B77=М[Наим.])*($C77=М[Артикул, марка, произв.])*($D77=М[Хар-ка])*($K77=М[Прим.])),0))</f>
        <v>0</v>
      </c>
    </row>
    <row r="78" spans="1:12" ht="11.1" customHeight="1" outlineLevel="2" x14ac:dyDescent="0.2">
      <c r="A78" s="13" t="s">
        <v>72</v>
      </c>
      <c r="B78" s="14" t="s">
        <v>73</v>
      </c>
      <c r="C78" s="15"/>
      <c r="D78" s="15"/>
      <c r="E78" s="16"/>
      <c r="F78" s="17"/>
      <c r="G78" s="18"/>
      <c r="H78" s="18"/>
      <c r="I78" s="52"/>
      <c r="J78" s="52">
        <f ca="1">SUM($J$79)</f>
        <v>0</v>
      </c>
      <c r="K78" s="19"/>
      <c r="L78" s="19"/>
    </row>
    <row r="79" spans="1:12" ht="11.1" customHeight="1" outlineLevel="3" x14ac:dyDescent="0.2">
      <c r="A79" s="13" t="s">
        <v>74</v>
      </c>
      <c r="B79" s="14" t="s">
        <v>73</v>
      </c>
      <c r="C79" s="15"/>
      <c r="D79" s="15"/>
      <c r="E79" s="16"/>
      <c r="F79" s="17"/>
      <c r="G79" s="18"/>
      <c r="H79" s="18"/>
      <c r="I79" s="52"/>
      <c r="J79" s="52">
        <f ca="1">SUM($J$90,$J$88,$J$86,$J$84,$J$82,$J$80,J92)</f>
        <v>0</v>
      </c>
      <c r="K79" s="19"/>
      <c r="L79" s="19"/>
    </row>
    <row r="80" spans="1:12" ht="11.1" customHeight="1" outlineLevel="4" x14ac:dyDescent="0.2">
      <c r="A80" s="20"/>
      <c r="B80" s="14" t="s">
        <v>22</v>
      </c>
      <c r="C80" s="21"/>
      <c r="D80" s="21"/>
      <c r="E80" s="21"/>
      <c r="F80" s="21"/>
      <c r="G80" s="21"/>
      <c r="H80" s="21"/>
      <c r="I80" s="53"/>
      <c r="J80" s="54">
        <f>SUM($J$81)</f>
        <v>0</v>
      </c>
      <c r="K80" s="18"/>
      <c r="L80" s="22"/>
    </row>
    <row r="81" spans="1:12" ht="11.1" customHeight="1" outlineLevel="4" x14ac:dyDescent="0.2">
      <c r="A81" s="23"/>
      <c r="B81" s="24" t="s">
        <v>75</v>
      </c>
      <c r="C81" s="25"/>
      <c r="D81" s="25"/>
      <c r="E81" s="26" t="s">
        <v>24</v>
      </c>
      <c r="F81" s="27"/>
      <c r="G81" s="28">
        <v>4</v>
      </c>
      <c r="H81" s="28">
        <f>SUM($G$81:$G$81)</f>
        <v>4</v>
      </c>
      <c r="I81" s="55">
        <f t="array" ref="I81">INDEX(Р[Цена за ед., руб],MATCH(1,IF(($B81=Р[Наименование])*($K81=Р[Примечание]),{1},($B81=Р[Наименование])*($K81=Р[Примечание])),0))</f>
        <v>0</v>
      </c>
      <c r="J81" s="55">
        <f>ROUND($H$81*$I$81,2)</f>
        <v>0</v>
      </c>
      <c r="K81" s="25"/>
      <c r="L81" s="25"/>
    </row>
    <row r="82" spans="1:12" ht="11.1" customHeight="1" outlineLevel="4" x14ac:dyDescent="0.2">
      <c r="A82" s="20"/>
      <c r="B82" s="14" t="s">
        <v>28</v>
      </c>
      <c r="C82" s="21"/>
      <c r="D82" s="21"/>
      <c r="E82" s="21"/>
      <c r="F82" s="21"/>
      <c r="G82" s="21"/>
      <c r="H82" s="21"/>
      <c r="I82" s="53"/>
      <c r="J82" s="54">
        <f>SUM($J$83)</f>
        <v>0</v>
      </c>
      <c r="K82" s="18"/>
      <c r="L82" s="22"/>
    </row>
    <row r="83" spans="1:12" ht="11.1" customHeight="1" outlineLevel="4" x14ac:dyDescent="0.2">
      <c r="A83" s="23" t="s">
        <v>29</v>
      </c>
      <c r="B83" s="24" t="s">
        <v>76</v>
      </c>
      <c r="C83" s="25"/>
      <c r="D83" s="25" t="s">
        <v>77</v>
      </c>
      <c r="E83" s="26" t="s">
        <v>24</v>
      </c>
      <c r="F83" s="27"/>
      <c r="G83" s="28">
        <v>4</v>
      </c>
      <c r="H83" s="28">
        <f>SUM($G$83:$G$83)</f>
        <v>4</v>
      </c>
      <c r="I83" s="55">
        <f t="array" ref="I83">INDEX(М[Цена за ед., руб],MATCH(1,IF(($B83=М[Наим.])*($C83=М[Артикул, марка, произв.])*($D83=М[Хар-ка])*($K83=М[Прим.]),{1},($B83=М[Наим.])*($C83=М[Артикул, марка, произв.])*($D83=М[Хар-ка])*($K83=М[Прим.])),0))</f>
        <v>0</v>
      </c>
      <c r="J83" s="55">
        <f>ROUND($H$83*$I$83,2)</f>
        <v>0</v>
      </c>
      <c r="K83" s="25" t="s">
        <v>78</v>
      </c>
      <c r="L83" s="25">
        <f t="array" ref="L83">INDEX(М[Форма закупа],MATCH(1,IF(($B83=М[Наим.])*($C83=М[Артикул, марка, произв.])*($D83=М[Хар-ка])*($K83=М[Прим.]),{1},($B83=М[Наим.])*($C83=М[Артикул, марка, произв.])*($D83=М[Хар-ка])*($K83=М[Прим.])),0))</f>
        <v>0</v>
      </c>
    </row>
    <row r="84" spans="1:12" ht="11.1" customHeight="1" outlineLevel="4" x14ac:dyDescent="0.2">
      <c r="A84" s="20"/>
      <c r="B84" s="14" t="s">
        <v>22</v>
      </c>
      <c r="C84" s="21"/>
      <c r="D84" s="21"/>
      <c r="E84" s="21"/>
      <c r="F84" s="21"/>
      <c r="G84" s="21"/>
      <c r="H84" s="21"/>
      <c r="I84" s="53"/>
      <c r="J84" s="54">
        <f>SUM($J$85)</f>
        <v>0</v>
      </c>
      <c r="K84" s="18"/>
      <c r="L84" s="22"/>
    </row>
    <row r="85" spans="1:12" ht="23.1" customHeight="1" outlineLevel="4" x14ac:dyDescent="0.2">
      <c r="A85" s="23"/>
      <c r="B85" s="24" t="s">
        <v>79</v>
      </c>
      <c r="C85" s="25"/>
      <c r="D85" s="25"/>
      <c r="E85" s="26" t="s">
        <v>24</v>
      </c>
      <c r="F85" s="27"/>
      <c r="G85" s="28">
        <v>4</v>
      </c>
      <c r="H85" s="28">
        <f>SUM($G$85:$G$85)</f>
        <v>4</v>
      </c>
      <c r="I85" s="55">
        <f t="array" ref="I85">INDEX(Р[Цена за ед., руб],MATCH(1,IF(($B85=Р[Наименование])*($K85=Р[Примечание]),{1},($B85=Р[Наименование])*($K85=Р[Примечание])),0))</f>
        <v>0</v>
      </c>
      <c r="J85" s="55">
        <f>ROUND($H$85*$I$85,2)</f>
        <v>0</v>
      </c>
      <c r="K85" s="25"/>
      <c r="L85" s="25"/>
    </row>
    <row r="86" spans="1:12" ht="11.1" customHeight="1" outlineLevel="4" x14ac:dyDescent="0.2">
      <c r="A86" s="20"/>
      <c r="B86" s="14" t="s">
        <v>28</v>
      </c>
      <c r="C86" s="21"/>
      <c r="D86" s="21"/>
      <c r="E86" s="21"/>
      <c r="F86" s="21"/>
      <c r="G86" s="21"/>
      <c r="H86" s="21"/>
      <c r="I86" s="53"/>
      <c r="J86" s="54">
        <f>SUM($J$87)</f>
        <v>0</v>
      </c>
      <c r="K86" s="18"/>
      <c r="L86" s="22"/>
    </row>
    <row r="87" spans="1:12" ht="23.1" customHeight="1" outlineLevel="4" x14ac:dyDescent="0.2">
      <c r="A87" s="23" t="s">
        <v>29</v>
      </c>
      <c r="B87" s="24" t="s">
        <v>80</v>
      </c>
      <c r="C87" s="25"/>
      <c r="D87" s="25" t="s">
        <v>81</v>
      </c>
      <c r="E87" s="26" t="s">
        <v>24</v>
      </c>
      <c r="F87" s="27"/>
      <c r="G87" s="28">
        <v>4</v>
      </c>
      <c r="H87" s="28">
        <f>SUM($G$87:$G$87)</f>
        <v>4</v>
      </c>
      <c r="I87" s="55">
        <f t="array" ref="I87">INDEX(М[Цена за ед., руб],MATCH(1,IF(($B87=М[Наим.])*($C87=М[Артикул, марка, произв.])*($D87=М[Хар-ка])*($K87=М[Прим.]),{1},($B87=М[Наим.])*($C87=М[Артикул, марка, произв.])*($D87=М[Хар-ка])*($K87=М[Прим.])),0))</f>
        <v>0</v>
      </c>
      <c r="J87" s="55">
        <f>ROUND($H$87*$I$87,2)</f>
        <v>0</v>
      </c>
      <c r="K87" s="25"/>
      <c r="L87" s="25">
        <f t="array" ref="L87">INDEX(М[Форма закупа],MATCH(1,IF(($B87=М[Наим.])*($C87=М[Артикул, марка, произв.])*($D87=М[Хар-ка])*($K87=М[Прим.]),{1},($B87=М[Наим.])*($C87=М[Артикул, марка, произв.])*($D87=М[Хар-ка])*($K87=М[Прим.])),0))</f>
        <v>0</v>
      </c>
    </row>
    <row r="88" spans="1:12" ht="11.1" customHeight="1" outlineLevel="4" x14ac:dyDescent="0.2">
      <c r="A88" s="20"/>
      <c r="B88" s="14" t="s">
        <v>22</v>
      </c>
      <c r="C88" s="21"/>
      <c r="D88" s="21"/>
      <c r="E88" s="21"/>
      <c r="F88" s="21"/>
      <c r="G88" s="21"/>
      <c r="H88" s="21"/>
      <c r="I88" s="53"/>
      <c r="J88" s="54">
        <f>SUM($J$89)</f>
        <v>0</v>
      </c>
      <c r="K88" s="18"/>
      <c r="L88" s="22"/>
    </row>
    <row r="89" spans="1:12" ht="23.1" customHeight="1" outlineLevel="4" x14ac:dyDescent="0.2">
      <c r="A89" s="23"/>
      <c r="B89" s="24" t="s">
        <v>82</v>
      </c>
      <c r="C89" s="25"/>
      <c r="D89" s="25"/>
      <c r="E89" s="26" t="s">
        <v>24</v>
      </c>
      <c r="F89" s="27"/>
      <c r="G89" s="28">
        <v>4</v>
      </c>
      <c r="H89" s="28">
        <f>SUM($G$89:$G$89)</f>
        <v>4</v>
      </c>
      <c r="I89" s="55">
        <f t="array" ref="I89">INDEX(Р[Цена за ед., руб],MATCH(1,IF(($B89=Р[Наименование])*($K89=Р[Примечание]),{1},($B89=Р[Наименование])*($K89=Р[Примечание])),0))</f>
        <v>0</v>
      </c>
      <c r="J89" s="55">
        <f>ROUND($H$89*$I$89,2)</f>
        <v>0</v>
      </c>
      <c r="K89" s="25"/>
      <c r="L89" s="25"/>
    </row>
    <row r="90" spans="1:12" ht="11.1" customHeight="1" outlineLevel="4" x14ac:dyDescent="0.2">
      <c r="A90" s="20"/>
      <c r="B90" s="14" t="s">
        <v>28</v>
      </c>
      <c r="C90" s="21"/>
      <c r="D90" s="21"/>
      <c r="E90" s="21"/>
      <c r="F90" s="21"/>
      <c r="G90" s="21"/>
      <c r="H90" s="21"/>
      <c r="I90" s="53"/>
      <c r="J90" s="54">
        <f>SUM($J$91)</f>
        <v>0</v>
      </c>
      <c r="K90" s="18"/>
      <c r="L90" s="22"/>
    </row>
    <row r="91" spans="1:12" ht="35.1" customHeight="1" outlineLevel="4" x14ac:dyDescent="0.2">
      <c r="A91" s="23" t="s">
        <v>29</v>
      </c>
      <c r="B91" s="24" t="s">
        <v>83</v>
      </c>
      <c r="C91" s="25"/>
      <c r="D91" s="25" t="s">
        <v>84</v>
      </c>
      <c r="E91" s="26" t="s">
        <v>24</v>
      </c>
      <c r="F91" s="27"/>
      <c r="G91" s="28">
        <v>4</v>
      </c>
      <c r="H91" s="28">
        <f>SUM($G$91:$G$91)</f>
        <v>4</v>
      </c>
      <c r="I91" s="55">
        <f t="array" ref="I91">INDEX(М[Цена за ед., руб],MATCH(1,IF(($B91=М[Наим.])*($C91=М[Артикул, марка, произв.])*($D91=М[Хар-ка])*($K91=М[Прим.]),{1},($B91=М[Наим.])*($C91=М[Артикул, марка, произв.])*($D91=М[Хар-ка])*($K91=М[Прим.])),0))</f>
        <v>0</v>
      </c>
      <c r="J91" s="55">
        <f>ROUND($H$91*$I$91,2)</f>
        <v>0</v>
      </c>
      <c r="K91" s="25"/>
      <c r="L91" s="25">
        <f t="array" ref="L91">INDEX(М[Форма закупа],MATCH(1,IF(($B91=М[Наим.])*($C91=М[Артикул, марка, произв.])*($D91=М[Хар-ка])*($K91=М[Прим.]),{1},($B91=М[Наим.])*($C91=М[Артикул, марка, произв.])*($D91=М[Хар-ка])*($K91=М[Прим.])),0))</f>
        <v>0</v>
      </c>
    </row>
    <row r="92" spans="1:12" ht="11.1" customHeight="1" outlineLevel="4" x14ac:dyDescent="0.2">
      <c r="A92" s="62"/>
      <c r="B92" s="63" t="s">
        <v>28</v>
      </c>
      <c r="C92" s="64"/>
      <c r="D92" s="64"/>
      <c r="E92" s="64"/>
      <c r="F92" s="64"/>
      <c r="G92" s="64"/>
      <c r="H92" s="64"/>
      <c r="I92" s="65"/>
      <c r="J92" s="66">
        <f ca="1">SUM(J93:J97)</f>
        <v>0</v>
      </c>
      <c r="K92" s="18"/>
      <c r="L92" s="22"/>
    </row>
    <row r="93" spans="1:12" ht="22.5" outlineLevel="4" x14ac:dyDescent="0.2">
      <c r="A93" s="67">
        <v>1</v>
      </c>
      <c r="B93" s="68" t="s">
        <v>105</v>
      </c>
      <c r="C93" s="61"/>
      <c r="D93" s="61"/>
      <c r="E93" s="58" t="s">
        <v>60</v>
      </c>
      <c r="F93" s="69"/>
      <c r="G93" s="69"/>
      <c r="H93" s="59">
        <f ca="1">SUMIF(М[[Наим.]:[Сумма, руб]],B93,М[Количество])</f>
        <v>0</v>
      </c>
      <c r="I93" s="60"/>
      <c r="J93" s="60">
        <f ca="1">ROUND(SUM(J45)*H93%,3)</f>
        <v>0</v>
      </c>
      <c r="K93" s="57" t="s">
        <v>131</v>
      </c>
      <c r="L93" s="61">
        <f t="array" ref="L93">INDEX(М[Форма закупа],MATCH(1,IF(($B93=М[Наим.])*($C93=М[Артикул, марка, произв.])*($D93=М[Хар-ка])*($K93=М[Прим.]),{1},($B93=М[Наим.])*($C93=М[Артикул, марка, произв.])*($D93=М[Хар-ка])*($K93=М[Прим.])),0))</f>
        <v>0</v>
      </c>
    </row>
    <row r="94" spans="1:12" ht="22.5" outlineLevel="4" x14ac:dyDescent="0.2">
      <c r="A94" s="67">
        <v>2</v>
      </c>
      <c r="B94" s="68" t="s">
        <v>106</v>
      </c>
      <c r="C94" s="61"/>
      <c r="D94" s="61"/>
      <c r="E94" s="58" t="s">
        <v>60</v>
      </c>
      <c r="F94" s="69"/>
      <c r="G94" s="69"/>
      <c r="H94" s="59">
        <f ca="1">SUMIF(М[[Наим.]:[Сумма, руб]],B94,М[Количество])</f>
        <v>0</v>
      </c>
      <c r="I94" s="60"/>
      <c r="J94" s="60">
        <f ca="1">ROUND(SUM(J73)*H94%,3)</f>
        <v>0</v>
      </c>
      <c r="K94" s="57" t="s">
        <v>131</v>
      </c>
      <c r="L94" s="61">
        <f t="array" ref="L94">INDEX(М[Форма закупа],MATCH(1,IF(($B94=М[Наим.])*($C94=М[Артикул, марка, произв.])*($D94=М[Хар-ка])*($K94=М[Прим.]),{1},($B94=М[Наим.])*($C94=М[Артикул, марка, произв.])*($D94=М[Хар-ка])*($K94=М[Прим.])),0))</f>
        <v>0</v>
      </c>
    </row>
    <row r="95" spans="1:12" ht="22.5" outlineLevel="4" x14ac:dyDescent="0.2">
      <c r="A95" s="67">
        <v>3</v>
      </c>
      <c r="B95" s="68" t="s">
        <v>107</v>
      </c>
      <c r="C95" s="61"/>
      <c r="D95" s="61"/>
      <c r="E95" s="58" t="s">
        <v>60</v>
      </c>
      <c r="F95" s="69"/>
      <c r="G95" s="69"/>
      <c r="H95" s="59">
        <f ca="1">SUMIF(М[[Наим.]:[Сумма, руб]],B95,М[Количество])</f>
        <v>0</v>
      </c>
      <c r="I95" s="60"/>
      <c r="J95" s="60">
        <f ca="1">ROUND(SUM(J49)*H95%,3)</f>
        <v>0</v>
      </c>
      <c r="K95" s="57" t="s">
        <v>131</v>
      </c>
      <c r="L95" s="61">
        <f t="array" ref="L95">INDEX(М[Форма закупа],MATCH(1,IF(($B95=М[Наим.])*($C95=М[Артикул, марка, произв.])*($D95=М[Хар-ка])*($K95=М[Прим.]),{1},($B95=М[Наим.])*($C95=М[Артикул, марка, произв.])*($D95=М[Хар-ка])*($K95=М[Прим.])),0))</f>
        <v>0</v>
      </c>
    </row>
    <row r="96" spans="1:12" ht="22.5" outlineLevel="4" x14ac:dyDescent="0.2">
      <c r="A96" s="67">
        <v>4</v>
      </c>
      <c r="B96" s="68" t="s">
        <v>108</v>
      </c>
      <c r="C96" s="61"/>
      <c r="D96" s="61"/>
      <c r="E96" s="58" t="s">
        <v>60</v>
      </c>
      <c r="F96" s="69"/>
      <c r="G96" s="69"/>
      <c r="H96" s="59">
        <f ca="1">SUMIF(М[[Наим.]:[Сумма, руб]],B96,М[Количество])</f>
        <v>0</v>
      </c>
      <c r="I96" s="60"/>
      <c r="J96" s="60">
        <f ca="1">ROUND(SUM(J39:J41)*H96%,3)</f>
        <v>0</v>
      </c>
      <c r="K96" s="57" t="s">
        <v>131</v>
      </c>
      <c r="L96" s="61">
        <f t="array" ref="L96">INDEX(М[Форма закупа],MATCH(1,IF(($B96=М[Наим.])*($C96=М[Артикул, марка, произв.])*($D96=М[Хар-ка])*($K96=М[Прим.]),{1},($B96=М[Наим.])*($C96=М[Артикул, марка, произв.])*($D96=М[Хар-ка])*($K96=М[Прим.])),0))</f>
        <v>0</v>
      </c>
    </row>
    <row r="97" spans="1:127" ht="22.5" outlineLevel="4" x14ac:dyDescent="0.2">
      <c r="A97" s="67">
        <v>5</v>
      </c>
      <c r="B97" s="68" t="s">
        <v>109</v>
      </c>
      <c r="C97" s="61"/>
      <c r="D97" s="61"/>
      <c r="E97" s="58" t="s">
        <v>60</v>
      </c>
      <c r="F97" s="69"/>
      <c r="G97" s="69"/>
      <c r="H97" s="59">
        <f ca="1">SUMIF(М[[Наим.]:[Сумма, руб]],B97,М[Количество])</f>
        <v>0</v>
      </c>
      <c r="I97" s="60"/>
      <c r="J97" s="60">
        <f ca="1">ROUND(SUM(J19:J20,J24:J25,J29:J30,J34:J35,J39:J41,J45,J49,J57:J59,J63:J64,J68:J69,J73,J83,J87,J91,J77)*H97%,3)</f>
        <v>0</v>
      </c>
      <c r="K97" s="57" t="s">
        <v>131</v>
      </c>
      <c r="L97" s="61">
        <f t="array" ref="L97">INDEX(М[Форма закупа],MATCH(1,IF(($B97=М[Наим.])*($C97=М[Артикул, марка, произв.])*($D97=М[Хар-ка])*($K97=М[Прим.]),{1},($B97=М[Наим.])*($C97=М[Артикул, марка, произв.])*($D97=М[Хар-ка])*($K97=М[Прим.])),0))</f>
        <v>0</v>
      </c>
    </row>
    <row r="98" spans="1:127" ht="11.1" customHeight="1" outlineLevel="2" x14ac:dyDescent="0.2">
      <c r="A98" s="13" t="s">
        <v>85</v>
      </c>
      <c r="B98" s="14" t="s">
        <v>86</v>
      </c>
      <c r="C98" s="15"/>
      <c r="D98" s="15"/>
      <c r="E98" s="16"/>
      <c r="F98" s="17"/>
      <c r="G98" s="18"/>
      <c r="H98" s="18"/>
      <c r="I98" s="52"/>
      <c r="J98" s="52">
        <f>SUM($J$99)</f>
        <v>0</v>
      </c>
      <c r="K98" s="19"/>
      <c r="L98" s="19"/>
    </row>
    <row r="99" spans="1:127" ht="11.1" customHeight="1" outlineLevel="3" x14ac:dyDescent="0.2">
      <c r="A99" s="13" t="s">
        <v>87</v>
      </c>
      <c r="B99" s="14" t="s">
        <v>86</v>
      </c>
      <c r="C99" s="15"/>
      <c r="D99" s="15"/>
      <c r="E99" s="16"/>
      <c r="F99" s="17"/>
      <c r="G99" s="18"/>
      <c r="H99" s="18"/>
      <c r="I99" s="52"/>
      <c r="J99" s="52">
        <f>SUM($J$100)</f>
        <v>0</v>
      </c>
      <c r="K99" s="19"/>
      <c r="L99" s="19"/>
    </row>
    <row r="100" spans="1:127" ht="11.1" customHeight="1" outlineLevel="4" x14ac:dyDescent="0.2">
      <c r="A100" s="20"/>
      <c r="B100" s="14" t="s">
        <v>22</v>
      </c>
      <c r="C100" s="21"/>
      <c r="D100" s="21"/>
      <c r="E100" s="21"/>
      <c r="F100" s="21"/>
      <c r="G100" s="21"/>
      <c r="H100" s="21"/>
      <c r="I100" s="53"/>
      <c r="J100" s="54">
        <f>SUM($J$101)</f>
        <v>0</v>
      </c>
      <c r="K100" s="18"/>
      <c r="L100" s="22"/>
    </row>
    <row r="101" spans="1:127" ht="23.1" customHeight="1" outlineLevel="4" x14ac:dyDescent="0.2">
      <c r="A101" s="23"/>
      <c r="B101" s="24" t="s">
        <v>88</v>
      </c>
      <c r="C101" s="25"/>
      <c r="D101" s="25"/>
      <c r="E101" s="26" t="s">
        <v>89</v>
      </c>
      <c r="F101" s="27"/>
      <c r="G101" s="28">
        <v>1</v>
      </c>
      <c r="H101" s="28">
        <f>SUM($G$101:$G$101)</f>
        <v>1</v>
      </c>
      <c r="I101" s="55">
        <f t="array" ref="I101">INDEX(Р[Цена за ед., руб],MATCH(1,IF(($B101=Р[Наименование])*($K101=Р[Примечание]),{1},($B101=Р[Наименование])*($K101=Р[Примечание])),0))</f>
        <v>0</v>
      </c>
      <c r="J101" s="55">
        <f>ROUND($H$101*$I$101,2)</f>
        <v>0</v>
      </c>
      <c r="K101" s="25"/>
      <c r="L101" s="25"/>
    </row>
    <row r="102" spans="1:127" ht="11.1" customHeight="1" x14ac:dyDescent="0.2">
      <c r="A102" s="98" t="s">
        <v>112</v>
      </c>
      <c r="B102" s="99"/>
      <c r="C102" s="99"/>
      <c r="D102" s="99"/>
      <c r="E102" s="99"/>
      <c r="F102" s="99"/>
      <c r="G102" s="99"/>
      <c r="H102" s="99"/>
      <c r="I102" s="100"/>
      <c r="J102" s="56">
        <f ca="1">$J$9</f>
        <v>0</v>
      </c>
      <c r="K102" s="30"/>
      <c r="L102" s="30"/>
    </row>
    <row r="103" spans="1:127" ht="11.1" customHeight="1" x14ac:dyDescent="0.2">
      <c r="A103" s="101" t="s">
        <v>90</v>
      </c>
      <c r="B103" s="102"/>
      <c r="C103" s="102"/>
      <c r="D103" s="102"/>
      <c r="E103" s="102"/>
      <c r="F103" s="102"/>
      <c r="G103" s="102"/>
      <c r="H103" s="102"/>
      <c r="I103" s="103"/>
      <c r="J103" s="56">
        <f>SUM($J$100,$J$88,$J$84,$J$80,$J$70,$J$65,$J$60,$J$54,$J$52,$J$46,$J$42,$J$36,$J$31,$J$26,$J$21,$J$16,$J$14,$J$12,J74)</f>
        <v>0</v>
      </c>
      <c r="K103" s="30"/>
      <c r="L103" s="30"/>
    </row>
    <row r="104" spans="1:127" ht="11.1" customHeight="1" x14ac:dyDescent="0.2">
      <c r="A104" s="101" t="s">
        <v>91</v>
      </c>
      <c r="B104" s="102"/>
      <c r="C104" s="102"/>
      <c r="D104" s="102"/>
      <c r="E104" s="102"/>
      <c r="F104" s="102"/>
      <c r="G104" s="102"/>
      <c r="H104" s="102"/>
      <c r="I104" s="103"/>
      <c r="J104" s="56">
        <f ca="1">SUM($J$90,$J$86,$J$82,$J$72,$J$67,$J$62,$J$56,$J$48,$J$44,$J$38,$J$33,$J$28,$J$23,$J$18,J92,J76)</f>
        <v>0</v>
      </c>
      <c r="K104" s="30"/>
      <c r="L104" s="30"/>
    </row>
    <row r="105" spans="1:127" ht="11.1" customHeight="1" x14ac:dyDescent="0.2">
      <c r="A105" s="104" t="s">
        <v>111</v>
      </c>
      <c r="B105" s="105"/>
      <c r="C105" s="105"/>
      <c r="D105" s="105"/>
      <c r="E105" s="105"/>
      <c r="F105" s="105"/>
      <c r="G105" s="105"/>
      <c r="H105" s="105"/>
      <c r="I105" s="106"/>
      <c r="J105" s="75"/>
      <c r="K105" s="76" t="s">
        <v>113</v>
      </c>
      <c r="L105" s="30"/>
    </row>
    <row r="106" spans="1:127" ht="11.1" customHeight="1" x14ac:dyDescent="0.2">
      <c r="A106" s="31"/>
      <c r="B106" s="90" t="s">
        <v>92</v>
      </c>
      <c r="C106" s="90"/>
      <c r="D106" s="90"/>
      <c r="E106" s="90"/>
      <c r="F106" s="90"/>
      <c r="G106" s="90"/>
      <c r="H106" s="90"/>
      <c r="I106" s="91"/>
      <c r="J106" s="91"/>
      <c r="K106" s="90"/>
      <c r="L106" s="31"/>
    </row>
    <row r="107" spans="1:127" ht="11.1" customHeight="1" x14ac:dyDescent="0.2">
      <c r="B107" s="92"/>
      <c r="C107" s="92"/>
      <c r="D107" s="92"/>
      <c r="E107" s="92"/>
      <c r="F107" s="92"/>
      <c r="G107" s="92"/>
      <c r="H107" s="92"/>
      <c r="I107" s="93"/>
      <c r="J107" s="93"/>
      <c r="K107" s="92"/>
    </row>
    <row r="108" spans="1:127" s="84" customFormat="1" ht="30.75" customHeight="1" x14ac:dyDescent="0.2">
      <c r="A108" s="77"/>
      <c r="B108" s="78" t="s">
        <v>114</v>
      </c>
      <c r="C108" s="79"/>
      <c r="D108" s="79"/>
      <c r="E108" s="80"/>
      <c r="F108" s="80"/>
      <c r="G108" s="80"/>
      <c r="H108" s="80"/>
      <c r="I108" s="80"/>
      <c r="J108" s="81"/>
      <c r="K108" s="80"/>
      <c r="L108" s="80"/>
      <c r="M108" s="79"/>
      <c r="N108" s="79"/>
      <c r="O108" s="82"/>
      <c r="P108" s="83"/>
      <c r="V108" s="85"/>
      <c r="AD108" s="85"/>
      <c r="AL108" s="85"/>
      <c r="AT108" s="85"/>
      <c r="AU108" s="85"/>
      <c r="AV108" s="85"/>
      <c r="AW108" s="85"/>
      <c r="AX108" s="85"/>
      <c r="AY108" s="85"/>
      <c r="AZ108" s="85"/>
      <c r="BA108" s="85"/>
      <c r="BB108" s="85"/>
      <c r="BC108" s="85"/>
      <c r="BD108" s="85"/>
      <c r="BE108" s="85"/>
      <c r="BF108" s="85"/>
      <c r="BG108" s="85"/>
      <c r="BH108" s="85"/>
      <c r="BI108" s="85"/>
      <c r="BJ108" s="85"/>
      <c r="BK108" s="85"/>
      <c r="BL108" s="85"/>
      <c r="BM108" s="85"/>
      <c r="BN108" s="85"/>
      <c r="BO108" s="85"/>
      <c r="BP108" s="85"/>
      <c r="BQ108" s="85"/>
      <c r="BR108" s="85"/>
      <c r="BS108" s="85"/>
      <c r="BT108" s="85"/>
      <c r="BU108" s="85"/>
      <c r="BV108" s="85"/>
      <c r="BW108" s="85"/>
      <c r="BX108" s="85"/>
      <c r="BY108" s="85"/>
      <c r="BZ108" s="85"/>
      <c r="CA108" s="85"/>
      <c r="CB108" s="85"/>
      <c r="CC108" s="85"/>
      <c r="CD108" s="85"/>
      <c r="CE108" s="85"/>
      <c r="CF108" s="85"/>
      <c r="CG108" s="85"/>
      <c r="CH108" s="85"/>
      <c r="CI108" s="85"/>
      <c r="CJ108" s="85"/>
      <c r="CK108" s="85"/>
      <c r="CL108" s="85"/>
      <c r="CM108" s="85"/>
      <c r="CN108" s="85"/>
      <c r="CO108" s="85"/>
      <c r="CP108" s="85"/>
      <c r="CQ108" s="85"/>
      <c r="CR108" s="85"/>
      <c r="CS108" s="85"/>
      <c r="CT108" s="85"/>
      <c r="CU108" s="85"/>
      <c r="CV108" s="85"/>
      <c r="CW108" s="85"/>
      <c r="CX108" s="85"/>
      <c r="CY108" s="85"/>
      <c r="CZ108" s="85"/>
      <c r="DA108" s="85"/>
      <c r="DB108" s="85"/>
      <c r="DC108" s="85"/>
      <c r="DD108" s="85"/>
      <c r="DE108" s="85"/>
      <c r="DF108" s="85"/>
      <c r="DN108" s="85"/>
      <c r="DO108" s="85"/>
      <c r="DW108" s="85"/>
    </row>
    <row r="109" spans="1:127" s="84" customFormat="1" ht="30.75" customHeight="1" x14ac:dyDescent="0.2">
      <c r="A109" s="77"/>
      <c r="B109" s="116" t="s">
        <v>115</v>
      </c>
      <c r="C109" s="116"/>
      <c r="D109" s="116"/>
      <c r="E109" s="116"/>
      <c r="F109" s="116"/>
      <c r="G109" s="116"/>
      <c r="H109" s="116"/>
      <c r="I109" s="116"/>
      <c r="J109" s="116"/>
      <c r="K109" s="80"/>
      <c r="L109" s="80"/>
      <c r="M109" s="79"/>
      <c r="N109" s="79"/>
      <c r="O109" s="82"/>
      <c r="P109" s="83"/>
      <c r="V109" s="85"/>
      <c r="AD109" s="85"/>
      <c r="AL109" s="85"/>
      <c r="AT109" s="85"/>
      <c r="AU109" s="85"/>
      <c r="AV109" s="85"/>
      <c r="AW109" s="85"/>
      <c r="AX109" s="85"/>
      <c r="AY109" s="85"/>
      <c r="AZ109" s="85"/>
      <c r="BA109" s="85"/>
      <c r="BB109" s="85"/>
      <c r="BC109" s="85"/>
      <c r="BD109" s="85"/>
      <c r="BE109" s="85"/>
      <c r="BF109" s="85"/>
      <c r="BG109" s="85"/>
      <c r="BH109" s="85"/>
      <c r="BI109" s="85"/>
      <c r="BJ109" s="85"/>
      <c r="BK109" s="85"/>
      <c r="BL109" s="85"/>
      <c r="BM109" s="85"/>
      <c r="BN109" s="85"/>
      <c r="BO109" s="85"/>
      <c r="BP109" s="85"/>
      <c r="BQ109" s="85"/>
      <c r="BR109" s="85"/>
      <c r="BS109" s="85"/>
      <c r="BT109" s="85"/>
      <c r="BU109" s="85"/>
      <c r="BV109" s="85"/>
      <c r="BW109" s="85"/>
      <c r="BX109" s="85"/>
      <c r="BY109" s="85"/>
      <c r="BZ109" s="85"/>
      <c r="CA109" s="85"/>
      <c r="CB109" s="85"/>
      <c r="CC109" s="85"/>
      <c r="CD109" s="85"/>
      <c r="CE109" s="85"/>
      <c r="CF109" s="85"/>
      <c r="CG109" s="85"/>
      <c r="CH109" s="85"/>
      <c r="CI109" s="85"/>
      <c r="CJ109" s="85"/>
      <c r="CK109" s="85"/>
      <c r="CL109" s="85"/>
      <c r="CM109" s="85"/>
      <c r="CN109" s="85"/>
      <c r="CO109" s="85"/>
      <c r="CP109" s="85"/>
      <c r="CQ109" s="85"/>
      <c r="CR109" s="85"/>
      <c r="CS109" s="85"/>
      <c r="CT109" s="85"/>
      <c r="CU109" s="85"/>
      <c r="CV109" s="85"/>
      <c r="CW109" s="85"/>
      <c r="CX109" s="85"/>
      <c r="CY109" s="85"/>
      <c r="CZ109" s="85"/>
      <c r="DA109" s="85"/>
      <c r="DB109" s="85"/>
      <c r="DC109" s="85"/>
      <c r="DD109" s="85"/>
      <c r="DE109" s="85"/>
      <c r="DF109" s="85"/>
      <c r="DN109" s="85"/>
      <c r="DO109" s="85"/>
      <c r="DW109" s="85"/>
    </row>
    <row r="110" spans="1:127" s="84" customFormat="1" ht="30.75" customHeight="1" x14ac:dyDescent="0.2">
      <c r="A110" s="77" t="s">
        <v>116</v>
      </c>
      <c r="B110" s="117" t="s">
        <v>117</v>
      </c>
      <c r="C110" s="117"/>
      <c r="D110" s="117"/>
      <c r="E110" s="117"/>
      <c r="F110" s="117"/>
      <c r="G110" s="117"/>
      <c r="H110" s="117"/>
      <c r="I110" s="117"/>
      <c r="J110" s="117"/>
      <c r="K110" s="117"/>
      <c r="L110" s="117"/>
      <c r="M110" s="117"/>
      <c r="N110" s="117"/>
      <c r="O110" s="86"/>
      <c r="P110" s="86"/>
      <c r="V110" s="85"/>
      <c r="AD110" s="85"/>
      <c r="AL110" s="85"/>
      <c r="AT110" s="85"/>
      <c r="AU110" s="85"/>
      <c r="AV110" s="85"/>
      <c r="AW110" s="85"/>
      <c r="AX110" s="85"/>
      <c r="AY110" s="85"/>
      <c r="AZ110" s="85"/>
      <c r="BA110" s="85"/>
      <c r="BB110" s="85"/>
      <c r="BC110" s="85"/>
      <c r="BD110" s="85"/>
      <c r="BE110" s="85"/>
      <c r="BF110" s="85"/>
      <c r="BG110" s="85"/>
      <c r="BH110" s="85"/>
      <c r="BI110" s="85"/>
      <c r="BJ110" s="85"/>
      <c r="BK110" s="85"/>
      <c r="BL110" s="85"/>
      <c r="BM110" s="85"/>
      <c r="BN110" s="85"/>
      <c r="BO110" s="85"/>
      <c r="BP110" s="85"/>
      <c r="BQ110" s="85"/>
      <c r="BR110" s="85"/>
      <c r="BS110" s="85"/>
      <c r="BT110" s="85"/>
      <c r="BU110" s="85"/>
      <c r="BV110" s="85"/>
      <c r="BW110" s="85"/>
      <c r="BX110" s="85"/>
      <c r="BY110" s="85"/>
      <c r="BZ110" s="85"/>
      <c r="CA110" s="85"/>
      <c r="CB110" s="85"/>
      <c r="CC110" s="85"/>
      <c r="CD110" s="85"/>
      <c r="CE110" s="85"/>
      <c r="CF110" s="85"/>
      <c r="CG110" s="85"/>
      <c r="CH110" s="85"/>
      <c r="CI110" s="85"/>
      <c r="CJ110" s="85"/>
      <c r="CK110" s="85"/>
      <c r="CL110" s="85"/>
      <c r="CM110" s="85"/>
      <c r="CN110" s="85"/>
      <c r="CO110" s="85"/>
      <c r="CP110" s="85"/>
      <c r="CQ110" s="85"/>
      <c r="CR110" s="85"/>
      <c r="CS110" s="85"/>
      <c r="CT110" s="85"/>
      <c r="CU110" s="85"/>
      <c r="CV110" s="85"/>
      <c r="CW110" s="85"/>
      <c r="CX110" s="85"/>
      <c r="CY110" s="85"/>
      <c r="CZ110" s="85"/>
      <c r="DA110" s="85"/>
      <c r="DB110" s="85"/>
      <c r="DC110" s="85"/>
      <c r="DD110" s="85"/>
      <c r="DE110" s="85"/>
      <c r="DF110" s="85"/>
      <c r="DN110" s="85"/>
      <c r="DO110" s="85"/>
      <c r="DW110" s="85"/>
    </row>
    <row r="111" spans="1:127" s="84" customFormat="1" ht="51.75" customHeight="1" x14ac:dyDescent="0.2">
      <c r="A111" s="84" t="s">
        <v>116</v>
      </c>
      <c r="B111" s="117" t="s">
        <v>118</v>
      </c>
      <c r="C111" s="117"/>
      <c r="D111" s="117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O111" s="87"/>
      <c r="P111" s="83"/>
      <c r="V111" s="85"/>
      <c r="AD111" s="85"/>
      <c r="AL111" s="85"/>
      <c r="AT111" s="85"/>
      <c r="AU111" s="85"/>
      <c r="AV111" s="85"/>
      <c r="AW111" s="85"/>
      <c r="AX111" s="85"/>
      <c r="AY111" s="85"/>
      <c r="AZ111" s="85"/>
      <c r="BA111" s="85"/>
      <c r="BB111" s="85"/>
      <c r="BC111" s="85"/>
      <c r="BD111" s="85"/>
      <c r="BE111" s="85"/>
      <c r="BF111" s="85"/>
      <c r="BG111" s="85"/>
      <c r="BH111" s="85"/>
      <c r="BI111" s="85"/>
      <c r="BJ111" s="85"/>
      <c r="BK111" s="85"/>
      <c r="BL111" s="85"/>
      <c r="BM111" s="85"/>
      <c r="BN111" s="85"/>
      <c r="BO111" s="85"/>
      <c r="BP111" s="85"/>
      <c r="BQ111" s="85"/>
      <c r="BR111" s="85"/>
      <c r="BS111" s="85"/>
      <c r="BT111" s="85"/>
      <c r="BU111" s="85"/>
      <c r="BV111" s="85"/>
      <c r="BW111" s="85"/>
      <c r="BX111" s="85"/>
      <c r="BY111" s="85"/>
      <c r="BZ111" s="85"/>
      <c r="CA111" s="85"/>
      <c r="CB111" s="85"/>
      <c r="CC111" s="85"/>
      <c r="CD111" s="85"/>
      <c r="CE111" s="85"/>
      <c r="CF111" s="85"/>
      <c r="CG111" s="85"/>
      <c r="CH111" s="85"/>
      <c r="CI111" s="85"/>
      <c r="CJ111" s="85"/>
      <c r="CK111" s="85"/>
      <c r="CL111" s="85"/>
      <c r="CM111" s="85"/>
      <c r="CN111" s="85"/>
      <c r="CO111" s="85"/>
      <c r="CP111" s="85"/>
      <c r="CQ111" s="85"/>
      <c r="CR111" s="85"/>
      <c r="CS111" s="85"/>
      <c r="CT111" s="85"/>
      <c r="CU111" s="85"/>
      <c r="CV111" s="85"/>
      <c r="CW111" s="85"/>
      <c r="CX111" s="85"/>
      <c r="CY111" s="85"/>
      <c r="CZ111" s="85"/>
      <c r="DA111" s="85"/>
      <c r="DB111" s="85"/>
      <c r="DC111" s="85"/>
      <c r="DD111" s="85"/>
      <c r="DE111" s="85"/>
      <c r="DF111" s="85"/>
      <c r="DN111" s="85"/>
      <c r="DO111" s="85"/>
      <c r="DW111" s="85"/>
    </row>
    <row r="112" spans="1:127" s="84" customFormat="1" ht="30.75" customHeight="1" x14ac:dyDescent="0.2">
      <c r="A112" s="77" t="s">
        <v>116</v>
      </c>
      <c r="B112" s="118" t="s">
        <v>119</v>
      </c>
      <c r="C112" s="118"/>
      <c r="D112" s="118"/>
      <c r="E112" s="118"/>
      <c r="F112" s="118"/>
      <c r="G112" s="118"/>
      <c r="H112" s="118"/>
      <c r="I112" s="118"/>
      <c r="J112" s="118"/>
      <c r="K112" s="118"/>
      <c r="L112" s="118"/>
      <c r="M112" s="118"/>
      <c r="N112" s="118"/>
      <c r="O112" s="88"/>
      <c r="P112" s="88"/>
      <c r="V112" s="85"/>
      <c r="AD112" s="85"/>
      <c r="AL112" s="85"/>
      <c r="AT112" s="85"/>
      <c r="AU112" s="85"/>
      <c r="AV112" s="85"/>
      <c r="AW112" s="85"/>
      <c r="AX112" s="85"/>
      <c r="AY112" s="85"/>
      <c r="AZ112" s="85"/>
      <c r="BA112" s="85"/>
      <c r="BB112" s="85"/>
      <c r="BC112" s="85"/>
      <c r="BD112" s="85"/>
      <c r="BE112" s="85"/>
      <c r="BF112" s="85"/>
      <c r="BG112" s="85"/>
      <c r="BH112" s="85"/>
      <c r="BI112" s="85"/>
      <c r="BJ112" s="85"/>
      <c r="BK112" s="85"/>
      <c r="BL112" s="85"/>
      <c r="BM112" s="85"/>
      <c r="BN112" s="85"/>
      <c r="BO112" s="85"/>
      <c r="BP112" s="85"/>
      <c r="BQ112" s="85"/>
      <c r="BR112" s="85"/>
      <c r="BS112" s="85"/>
      <c r="BT112" s="85"/>
      <c r="BU112" s="85"/>
      <c r="BV112" s="85"/>
      <c r="BW112" s="85"/>
      <c r="BX112" s="85"/>
      <c r="BY112" s="85"/>
      <c r="BZ112" s="85"/>
      <c r="CA112" s="85"/>
      <c r="CB112" s="85"/>
      <c r="CC112" s="85"/>
      <c r="CD112" s="85"/>
      <c r="CE112" s="85"/>
      <c r="CF112" s="85"/>
      <c r="CG112" s="85"/>
      <c r="CH112" s="85"/>
      <c r="CI112" s="85"/>
      <c r="CJ112" s="85"/>
      <c r="CK112" s="85"/>
      <c r="CL112" s="85"/>
      <c r="CM112" s="85"/>
      <c r="CN112" s="85"/>
      <c r="CO112" s="85"/>
      <c r="CP112" s="85"/>
      <c r="CQ112" s="85"/>
      <c r="CR112" s="85"/>
      <c r="CS112" s="85"/>
      <c r="CT112" s="85"/>
      <c r="CU112" s="85"/>
      <c r="CV112" s="85"/>
      <c r="CW112" s="85"/>
      <c r="CX112" s="85"/>
      <c r="CY112" s="85"/>
      <c r="CZ112" s="85"/>
      <c r="DA112" s="85"/>
      <c r="DB112" s="85"/>
      <c r="DC112" s="85"/>
      <c r="DD112" s="85"/>
      <c r="DE112" s="85"/>
      <c r="DF112" s="85"/>
      <c r="DN112" s="85"/>
      <c r="DO112" s="85"/>
      <c r="DW112" s="85"/>
    </row>
    <row r="113" spans="1:18" ht="22.5" customHeight="1" x14ac:dyDescent="0.2">
      <c r="A113" s="89" t="s">
        <v>116</v>
      </c>
      <c r="B113" s="119" t="s">
        <v>120</v>
      </c>
      <c r="C113" s="119"/>
      <c r="D113" s="119"/>
      <c r="E113" s="119"/>
      <c r="F113" s="119"/>
      <c r="G113" s="119"/>
      <c r="H113" s="119"/>
      <c r="I113" s="119"/>
      <c r="J113" s="119"/>
      <c r="K113" s="119"/>
      <c r="L113" s="119"/>
      <c r="M113" s="119"/>
      <c r="N113" s="119"/>
    </row>
    <row r="114" spans="1:18" ht="36" customHeight="1" x14ac:dyDescent="0.2">
      <c r="B114" s="115" t="s">
        <v>121</v>
      </c>
      <c r="C114" s="115"/>
      <c r="D114" s="115"/>
      <c r="E114" s="115"/>
      <c r="F114" s="115"/>
      <c r="G114" s="115"/>
      <c r="H114" s="115"/>
      <c r="I114" s="115"/>
      <c r="J114" s="115"/>
      <c r="K114" s="115"/>
      <c r="L114" s="115"/>
      <c r="M114" s="115"/>
      <c r="N114" s="115"/>
      <c r="O114" s="115"/>
      <c r="P114" s="115"/>
      <c r="Q114" s="115"/>
      <c r="R114" s="115"/>
    </row>
  </sheetData>
  <autoFilter ref="A7:L106" xr:uid="{00000000-0001-0000-0000-000000000000}"/>
  <mergeCells count="27">
    <mergeCell ref="B114:R114"/>
    <mergeCell ref="B109:J109"/>
    <mergeCell ref="B110:N110"/>
    <mergeCell ref="B111:N111"/>
    <mergeCell ref="B112:N112"/>
    <mergeCell ref="B113:N113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106:K106"/>
    <mergeCell ref="B107:K107"/>
    <mergeCell ref="K6:K7"/>
    <mergeCell ref="L6:L7"/>
    <mergeCell ref="A102:I102"/>
    <mergeCell ref="A103:I103"/>
    <mergeCell ref="A104:I104"/>
    <mergeCell ref="A105:I105"/>
  </mergeCells>
  <conditionalFormatting sqref="DP108:DW112">
    <cfRule type="cellIs" dxfId="10" priority="1" operator="equal">
      <formula>0</formula>
    </cfRule>
    <cfRule type="cellIs" dxfId="9" priority="2" operator="lessThan">
      <formula>0</formula>
    </cfRule>
  </conditionalFormatting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22"/>
  <sheetViews>
    <sheetView workbookViewId="0">
      <pane ySplit="3" topLeftCell="A4" activePane="bottomLeft" state="frozen"/>
      <selection pane="bottomLeft" activeCell="C9" sqref="C9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20" t="s">
        <v>93</v>
      </c>
      <c r="B1" s="120"/>
      <c r="C1" s="120"/>
      <c r="D1" s="120"/>
      <c r="E1" s="120"/>
      <c r="F1" s="120"/>
    </row>
    <row r="3" spans="1:6" ht="11.1" customHeight="1" x14ac:dyDescent="0.2">
      <c r="A3" s="38" t="s">
        <v>4</v>
      </c>
      <c r="B3" s="2" t="s">
        <v>7</v>
      </c>
      <c r="C3" s="2" t="s">
        <v>10</v>
      </c>
      <c r="D3" s="45" t="s">
        <v>11</v>
      </c>
      <c r="E3" s="45" t="s">
        <v>12</v>
      </c>
      <c r="F3" s="39" t="s">
        <v>13</v>
      </c>
    </row>
    <row r="4" spans="1:6" ht="11.1" customHeight="1" x14ac:dyDescent="0.2">
      <c r="A4" s="36" t="s">
        <v>23</v>
      </c>
      <c r="B4" s="32" t="s">
        <v>24</v>
      </c>
      <c r="C4" s="33">
        <v>15</v>
      </c>
      <c r="D4" s="46"/>
      <c r="E4" s="46">
        <f>ROUND(Р[[#This Row],[Количество]]*Р[[#This Row],[Цена за ед., руб]],2)</f>
        <v>0</v>
      </c>
      <c r="F4" s="37"/>
    </row>
    <row r="5" spans="1:6" ht="11.1" customHeight="1" x14ac:dyDescent="0.2">
      <c r="A5" s="36" t="s">
        <v>25</v>
      </c>
      <c r="B5" s="32" t="s">
        <v>24</v>
      </c>
      <c r="C5" s="33">
        <v>40</v>
      </c>
      <c r="D5" s="46"/>
      <c r="E5" s="46">
        <f>ROUND(Р[[#This Row],[Количество]]*Р[[#This Row],[Цена за ед., руб]],2)</f>
        <v>0</v>
      </c>
      <c r="F5" s="37"/>
    </row>
    <row r="6" spans="1:6" ht="11.1" customHeight="1" x14ac:dyDescent="0.2">
      <c r="A6" s="36" t="s">
        <v>26</v>
      </c>
      <c r="B6" s="32" t="s">
        <v>27</v>
      </c>
      <c r="C6" s="33">
        <v>67</v>
      </c>
      <c r="D6" s="46"/>
      <c r="E6" s="46">
        <f>ROUND(Р[[#This Row],[Количество]]*Р[[#This Row],[Цена за ед., руб]],2)</f>
        <v>0</v>
      </c>
      <c r="F6" s="37"/>
    </row>
    <row r="7" spans="1:6" ht="11.1" customHeight="1" x14ac:dyDescent="0.2">
      <c r="A7" s="36" t="s">
        <v>36</v>
      </c>
      <c r="B7" s="32" t="s">
        <v>24</v>
      </c>
      <c r="C7" s="33">
        <v>66</v>
      </c>
      <c r="D7" s="46"/>
      <c r="E7" s="46">
        <f>ROUND(Р[[#This Row],[Количество]]*Р[[#This Row],[Цена за ед., руб]],2)</f>
        <v>0</v>
      </c>
      <c r="F7" s="37"/>
    </row>
    <row r="8" spans="1:6" ht="11.1" customHeight="1" x14ac:dyDescent="0.2">
      <c r="A8" s="36" t="s">
        <v>40</v>
      </c>
      <c r="B8" s="32" t="s">
        <v>24</v>
      </c>
      <c r="C8" s="35">
        <v>18</v>
      </c>
      <c r="D8" s="46"/>
      <c r="E8" s="46">
        <f>ROUND(Р[[#This Row],[Количество]]*Р[[#This Row],[Цена за ед., руб]],2)</f>
        <v>0</v>
      </c>
      <c r="F8" s="37"/>
    </row>
    <row r="9" spans="1:6" ht="11.1" customHeight="1" x14ac:dyDescent="0.2">
      <c r="A9" s="36" t="s">
        <v>44</v>
      </c>
      <c r="B9" s="32" t="s">
        <v>24</v>
      </c>
      <c r="C9" s="33">
        <v>7</v>
      </c>
      <c r="D9" s="46"/>
      <c r="E9" s="46">
        <f>ROUND(Р[[#This Row],[Количество]]*Р[[#This Row],[Цена за ед., руб]],2)</f>
        <v>0</v>
      </c>
      <c r="F9" s="37"/>
    </row>
    <row r="10" spans="1:6" ht="11.1" customHeight="1" x14ac:dyDescent="0.2">
      <c r="A10" s="36" t="s">
        <v>48</v>
      </c>
      <c r="B10" s="32" t="s">
        <v>27</v>
      </c>
      <c r="C10" s="33">
        <v>449</v>
      </c>
      <c r="D10" s="46"/>
      <c r="E10" s="46">
        <f>ROUND(Р[[#This Row],[Количество]]*Р[[#This Row],[Цена за ед., руб]],2)</f>
        <v>0</v>
      </c>
      <c r="F10" s="37"/>
    </row>
    <row r="11" spans="1:6" ht="11.1" customHeight="1" x14ac:dyDescent="0.2">
      <c r="A11" s="36" t="s">
        <v>54</v>
      </c>
      <c r="B11" s="32" t="s">
        <v>27</v>
      </c>
      <c r="C11" s="33">
        <v>2</v>
      </c>
      <c r="D11" s="46"/>
      <c r="E11" s="46">
        <f>ROUND(Р[[#This Row],[Количество]]*Р[[#This Row],[Цена за ед., руб]],2)</f>
        <v>0</v>
      </c>
      <c r="F11" s="37"/>
    </row>
    <row r="12" spans="1:6" ht="11.1" customHeight="1" x14ac:dyDescent="0.2">
      <c r="A12" s="36" t="s">
        <v>57</v>
      </c>
      <c r="B12" s="32" t="s">
        <v>27</v>
      </c>
      <c r="C12" s="33">
        <v>15</v>
      </c>
      <c r="D12" s="46"/>
      <c r="E12" s="46">
        <f>ROUND(Р[[#This Row],[Количество]]*Р[[#This Row],[Цена за ед., руб]],2)</f>
        <v>0</v>
      </c>
      <c r="F12" s="37"/>
    </row>
    <row r="13" spans="1:6" ht="11.1" customHeight="1" x14ac:dyDescent="0.2">
      <c r="A13" s="36" t="s">
        <v>64</v>
      </c>
      <c r="B13" s="32" t="s">
        <v>24</v>
      </c>
      <c r="C13" s="33">
        <v>4</v>
      </c>
      <c r="D13" s="46"/>
      <c r="E13" s="46">
        <f>ROUND(Р[[#This Row],[Количество]]*Р[[#This Row],[Цена за ед., руб]],2)</f>
        <v>0</v>
      </c>
      <c r="F13" s="37"/>
    </row>
    <row r="14" spans="1:6" ht="11.1" customHeight="1" x14ac:dyDescent="0.2">
      <c r="A14" s="36" t="s">
        <v>69</v>
      </c>
      <c r="B14" s="32" t="s">
        <v>27</v>
      </c>
      <c r="C14" s="33">
        <v>45</v>
      </c>
      <c r="D14" s="46"/>
      <c r="E14" s="46">
        <f>ROUND(Р[[#This Row],[Количество]]*Р[[#This Row],[Цена за ед., руб]],2)</f>
        <v>0</v>
      </c>
      <c r="F14" s="37"/>
    </row>
    <row r="15" spans="1:6" ht="11.1" customHeight="1" x14ac:dyDescent="0.2">
      <c r="A15" s="36" t="s">
        <v>126</v>
      </c>
      <c r="B15" s="32" t="s">
        <v>27</v>
      </c>
      <c r="C15" s="33">
        <v>23</v>
      </c>
      <c r="D15" s="46"/>
      <c r="E15" s="46">
        <f>ROUND(Р[[#This Row],[Количество]]*Р[[#This Row],[Цена за ед., руб]],2)</f>
        <v>0</v>
      </c>
      <c r="F15" s="37"/>
    </row>
    <row r="16" spans="1:6" ht="11.1" customHeight="1" x14ac:dyDescent="0.2">
      <c r="A16" s="36" t="s">
        <v>75</v>
      </c>
      <c r="B16" s="32" t="s">
        <v>24</v>
      </c>
      <c r="C16" s="33">
        <v>4</v>
      </c>
      <c r="D16" s="46"/>
      <c r="E16" s="46">
        <f>ROUND(Р[[#This Row],[Количество]]*Р[[#This Row],[Цена за ед., руб]],2)</f>
        <v>0</v>
      </c>
      <c r="F16" s="37"/>
    </row>
    <row r="17" spans="1:6" ht="11.1" customHeight="1" x14ac:dyDescent="0.2">
      <c r="A17" s="36" t="s">
        <v>79</v>
      </c>
      <c r="B17" s="32" t="s">
        <v>24</v>
      </c>
      <c r="C17" s="33">
        <v>4</v>
      </c>
      <c r="D17" s="46"/>
      <c r="E17" s="46">
        <f>ROUND(Р[[#This Row],[Количество]]*Р[[#This Row],[Цена за ед., руб]],2)</f>
        <v>0</v>
      </c>
      <c r="F17" s="37"/>
    </row>
    <row r="18" spans="1:6" ht="11.1" customHeight="1" x14ac:dyDescent="0.2">
      <c r="A18" s="36" t="s">
        <v>82</v>
      </c>
      <c r="B18" s="32" t="s">
        <v>24</v>
      </c>
      <c r="C18" s="33">
        <v>4</v>
      </c>
      <c r="D18" s="46"/>
      <c r="E18" s="46">
        <f>ROUND(Р[[#This Row],[Количество]]*Р[[#This Row],[Цена за ед., руб]],2)</f>
        <v>0</v>
      </c>
      <c r="F18" s="37"/>
    </row>
    <row r="19" spans="1:6" ht="11.1" customHeight="1" x14ac:dyDescent="0.2">
      <c r="A19" s="40" t="s">
        <v>88</v>
      </c>
      <c r="B19" s="41" t="s">
        <v>89</v>
      </c>
      <c r="C19" s="42">
        <v>1</v>
      </c>
      <c r="D19" s="46"/>
      <c r="E19" s="47">
        <f>ROUND(Р[[#This Row],[Количество]]*Р[[#This Row],[Цена за ед., руб]],2)</f>
        <v>0</v>
      </c>
      <c r="F19" s="44"/>
    </row>
    <row r="20" spans="1:6" ht="11.45" customHeight="1" x14ac:dyDescent="0.2">
      <c r="A20" s="40" t="s">
        <v>104</v>
      </c>
      <c r="B20" s="41"/>
      <c r="C20" s="43"/>
      <c r="D20" s="47"/>
      <c r="E20" s="47">
        <f>SUBTOTAL(109,Р[Сумма, руб])</f>
        <v>0</v>
      </c>
      <c r="F20" s="44"/>
    </row>
    <row r="22" spans="1:6" ht="11.45" customHeight="1" x14ac:dyDescent="0.2">
      <c r="D22" s="72" t="s">
        <v>110</v>
      </c>
      <c r="E22" s="73">
        <f>ЛСР!J103-Р[[#Totals],[Сумма, руб]]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35"/>
  <sheetViews>
    <sheetView workbookViewId="0">
      <pane ySplit="3" topLeftCell="A4" activePane="bottomLeft" state="frozen"/>
      <selection pane="bottomLeft" activeCell="I32" sqref="I4:I32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20" t="s">
        <v>94</v>
      </c>
      <c r="B1" s="120"/>
      <c r="C1" s="120"/>
      <c r="D1" s="120"/>
      <c r="E1" s="120"/>
      <c r="F1" s="120"/>
      <c r="G1" s="120"/>
      <c r="H1" s="120"/>
    </row>
    <row r="2" spans="1:9" ht="11.1" customHeight="1" x14ac:dyDescent="0.2"/>
    <row r="3" spans="1:9" ht="23.1" customHeight="1" x14ac:dyDescent="0.2">
      <c r="A3" s="38" t="s">
        <v>95</v>
      </c>
      <c r="B3" s="48" t="s">
        <v>96</v>
      </c>
      <c r="C3" s="39" t="s">
        <v>97</v>
      </c>
      <c r="D3" s="2" t="s">
        <v>7</v>
      </c>
      <c r="E3" s="2" t="s">
        <v>10</v>
      </c>
      <c r="F3" s="45" t="s">
        <v>11</v>
      </c>
      <c r="G3" s="45" t="s">
        <v>12</v>
      </c>
      <c r="H3" s="2" t="s">
        <v>98</v>
      </c>
      <c r="I3" s="39" t="s">
        <v>99</v>
      </c>
    </row>
    <row r="4" spans="1:9" ht="23.1" customHeight="1" x14ac:dyDescent="0.2">
      <c r="A4" s="36" t="s">
        <v>45</v>
      </c>
      <c r="B4" s="34"/>
      <c r="C4" s="34" t="s">
        <v>46</v>
      </c>
      <c r="D4" s="32" t="s">
        <v>24</v>
      </c>
      <c r="E4" s="33">
        <v>6</v>
      </c>
      <c r="F4" s="46"/>
      <c r="G4" s="46">
        <f>ROUND(М[[#This Row],[Количество]]*М[[#This Row],[Цена за ед., руб]],2)</f>
        <v>0</v>
      </c>
      <c r="H4" s="34"/>
      <c r="I4" s="37"/>
    </row>
    <row r="5" spans="1:9" ht="23.1" customHeight="1" x14ac:dyDescent="0.2">
      <c r="A5" s="36" t="s">
        <v>45</v>
      </c>
      <c r="B5" s="34"/>
      <c r="C5" s="34" t="s">
        <v>47</v>
      </c>
      <c r="D5" s="32" t="s">
        <v>24</v>
      </c>
      <c r="E5" s="33">
        <v>1</v>
      </c>
      <c r="F5" s="46"/>
      <c r="G5" s="46">
        <f>ROUND(М[[#This Row],[Количество]]*М[[#This Row],[Цена за ед., руб]],2)</f>
        <v>0</v>
      </c>
      <c r="H5" s="34"/>
      <c r="I5" s="37"/>
    </row>
    <row r="6" spans="1:9" ht="11.1" customHeight="1" x14ac:dyDescent="0.2">
      <c r="A6" s="36" t="s">
        <v>30</v>
      </c>
      <c r="B6" s="34"/>
      <c r="C6" s="34" t="s">
        <v>31</v>
      </c>
      <c r="D6" s="32" t="s">
        <v>32</v>
      </c>
      <c r="E6" s="33">
        <v>5</v>
      </c>
      <c r="F6" s="46"/>
      <c r="G6" s="46">
        <f>ROUND(М[[#This Row],[Количество]]*М[[#This Row],[Цена за ед., руб]],2)</f>
        <v>0</v>
      </c>
      <c r="H6" s="34"/>
      <c r="I6" s="37"/>
    </row>
    <row r="7" spans="1:9" ht="11.1" customHeight="1" x14ac:dyDescent="0.2">
      <c r="A7" s="36" t="s">
        <v>65</v>
      </c>
      <c r="B7" s="34"/>
      <c r="C7" s="34" t="s">
        <v>66</v>
      </c>
      <c r="D7" s="32" t="s">
        <v>32</v>
      </c>
      <c r="E7" s="33">
        <v>15</v>
      </c>
      <c r="F7" s="46"/>
      <c r="G7" s="46">
        <f>ROUND(М[[#This Row],[Количество]]*М[[#This Row],[Цена за ед., руб]],2)</f>
        <v>0</v>
      </c>
      <c r="H7" s="34"/>
      <c r="I7" s="37"/>
    </row>
    <row r="8" spans="1:9" ht="23.1" customHeight="1" x14ac:dyDescent="0.2">
      <c r="A8" s="36" t="s">
        <v>65</v>
      </c>
      <c r="B8" s="34"/>
      <c r="C8" s="34" t="s">
        <v>67</v>
      </c>
      <c r="D8" s="32" t="s">
        <v>32</v>
      </c>
      <c r="E8" s="33">
        <v>4</v>
      </c>
      <c r="F8" s="46"/>
      <c r="G8" s="46">
        <f>ROUND(М[[#This Row],[Количество]]*М[[#This Row],[Цена за ед., руб]],2)</f>
        <v>0</v>
      </c>
      <c r="H8" s="34"/>
      <c r="I8" s="37"/>
    </row>
    <row r="9" spans="1:9" ht="11.1" customHeight="1" x14ac:dyDescent="0.2">
      <c r="A9" s="36" t="s">
        <v>70</v>
      </c>
      <c r="B9" s="34"/>
      <c r="C9" s="34" t="s">
        <v>71</v>
      </c>
      <c r="D9" s="32" t="s">
        <v>32</v>
      </c>
      <c r="E9" s="33">
        <v>45</v>
      </c>
      <c r="F9" s="46"/>
      <c r="G9" s="46">
        <f>ROUND(М[[#This Row],[Количество]]*М[[#This Row],[Цена за ед., руб]],2)</f>
        <v>0</v>
      </c>
      <c r="H9" s="34"/>
      <c r="I9" s="37"/>
    </row>
    <row r="10" spans="1:9" ht="11.1" customHeight="1" x14ac:dyDescent="0.2">
      <c r="A10" s="36" t="s">
        <v>55</v>
      </c>
      <c r="B10" s="34"/>
      <c r="C10" s="34" t="s">
        <v>56</v>
      </c>
      <c r="D10" s="32" t="s">
        <v>32</v>
      </c>
      <c r="E10" s="33">
        <v>2</v>
      </c>
      <c r="F10" s="46"/>
      <c r="G10" s="46">
        <f>ROUND(М[[#This Row],[Количество]]*М[[#This Row],[Цена за ед., руб]],2)</f>
        <v>0</v>
      </c>
      <c r="H10" s="34"/>
      <c r="I10" s="37"/>
    </row>
    <row r="11" spans="1:9" ht="11.1" customHeight="1" x14ac:dyDescent="0.2">
      <c r="A11" s="36" t="s">
        <v>83</v>
      </c>
      <c r="B11" s="34"/>
      <c r="C11" s="34" t="s">
        <v>84</v>
      </c>
      <c r="D11" s="32" t="s">
        <v>24</v>
      </c>
      <c r="E11" s="33">
        <v>4</v>
      </c>
      <c r="F11" s="46"/>
      <c r="G11" s="46">
        <f>ROUND(М[[#This Row],[Количество]]*М[[#This Row],[Цена за ед., руб]],2)</f>
        <v>0</v>
      </c>
      <c r="H11" s="34"/>
      <c r="I11" s="37"/>
    </row>
    <row r="12" spans="1:9" ht="11.1" customHeight="1" x14ac:dyDescent="0.2">
      <c r="A12" s="36" t="s">
        <v>49</v>
      </c>
      <c r="B12" s="34"/>
      <c r="C12" s="34" t="s">
        <v>50</v>
      </c>
      <c r="D12" s="32" t="s">
        <v>32</v>
      </c>
      <c r="E12" s="33">
        <v>251</v>
      </c>
      <c r="F12" s="46"/>
      <c r="G12" s="46">
        <f>ROUND(М[[#This Row],[Количество]]*М[[#This Row],[Цена за ед., руб]],2)</f>
        <v>0</v>
      </c>
      <c r="H12" s="34"/>
      <c r="I12" s="37"/>
    </row>
    <row r="13" spans="1:9" ht="11.1" customHeight="1" x14ac:dyDescent="0.2">
      <c r="A13" s="36" t="s">
        <v>49</v>
      </c>
      <c r="B13" s="34"/>
      <c r="C13" s="34" t="s">
        <v>51</v>
      </c>
      <c r="D13" s="32" t="s">
        <v>32</v>
      </c>
      <c r="E13" s="33">
        <v>122</v>
      </c>
      <c r="F13" s="46"/>
      <c r="G13" s="46">
        <f>ROUND(М[[#This Row],[Количество]]*М[[#This Row],[Цена за ед., руб]],2)</f>
        <v>0</v>
      </c>
      <c r="H13" s="34"/>
      <c r="I13" s="37"/>
    </row>
    <row r="14" spans="1:9" ht="11.1" customHeight="1" x14ac:dyDescent="0.2">
      <c r="A14" s="36" t="s">
        <v>49</v>
      </c>
      <c r="B14" s="34"/>
      <c r="C14" s="34" t="s">
        <v>53</v>
      </c>
      <c r="D14" s="32" t="s">
        <v>32</v>
      </c>
      <c r="E14" s="33">
        <v>76</v>
      </c>
      <c r="F14" s="46"/>
      <c r="G14" s="46">
        <f>ROUND(М[[#This Row],[Количество]]*М[[#This Row],[Цена за ед., руб]],2)</f>
        <v>0</v>
      </c>
      <c r="H14" s="34"/>
      <c r="I14" s="37"/>
    </row>
    <row r="15" spans="1:9" ht="11.1" customHeight="1" x14ac:dyDescent="0.2">
      <c r="A15" s="36" t="s">
        <v>76</v>
      </c>
      <c r="B15" s="34"/>
      <c r="C15" s="34" t="s">
        <v>77</v>
      </c>
      <c r="D15" s="32" t="s">
        <v>24</v>
      </c>
      <c r="E15" s="33">
        <v>4</v>
      </c>
      <c r="F15" s="46"/>
      <c r="G15" s="46">
        <f>ROUND(М[[#This Row],[Количество]]*М[[#This Row],[Цена за ед., руб]],2)</f>
        <v>0</v>
      </c>
      <c r="H15" s="34" t="s">
        <v>78</v>
      </c>
      <c r="I15" s="37"/>
    </row>
    <row r="16" spans="1:9" ht="23.1" customHeight="1" x14ac:dyDescent="0.2">
      <c r="A16" s="36" t="s">
        <v>41</v>
      </c>
      <c r="B16" s="34"/>
      <c r="C16" s="34" t="s">
        <v>42</v>
      </c>
      <c r="D16" s="32" t="s">
        <v>24</v>
      </c>
      <c r="E16" s="33">
        <v>1</v>
      </c>
      <c r="F16" s="46"/>
      <c r="G16" s="46">
        <f>ROUND(М[[#This Row],[Количество]]*М[[#This Row],[Цена за ед., руб]],2)</f>
        <v>0</v>
      </c>
      <c r="H16" s="34"/>
      <c r="I16" s="37"/>
    </row>
    <row r="17" spans="1:9" ht="11.1" customHeight="1" x14ac:dyDescent="0.2">
      <c r="A17" s="36" t="s">
        <v>41</v>
      </c>
      <c r="B17" s="34"/>
      <c r="C17" s="34" t="s">
        <v>68</v>
      </c>
      <c r="D17" s="32" t="s">
        <v>24</v>
      </c>
      <c r="E17" s="33">
        <v>2</v>
      </c>
      <c r="F17" s="46"/>
      <c r="G17" s="46">
        <f>ROUND(М[[#This Row],[Количество]]*М[[#This Row],[Цена за ед., руб]],2)</f>
        <v>0</v>
      </c>
      <c r="H17" s="34"/>
      <c r="I17" s="37"/>
    </row>
    <row r="18" spans="1:9" ht="23.1" customHeight="1" x14ac:dyDescent="0.2">
      <c r="A18" s="36" t="s">
        <v>41</v>
      </c>
      <c r="B18" s="34"/>
      <c r="C18" s="34" t="s">
        <v>43</v>
      </c>
      <c r="D18" s="32" t="s">
        <v>24</v>
      </c>
      <c r="E18" s="35">
        <v>10</v>
      </c>
      <c r="F18" s="46"/>
      <c r="G18" s="46">
        <f>ROUND(М[[#This Row],[Количество]]*М[[#This Row],[Цена за ед., руб]],2)</f>
        <v>0</v>
      </c>
      <c r="H18" s="34"/>
      <c r="I18" s="37"/>
    </row>
    <row r="19" spans="1:9" ht="11.1" customHeight="1" x14ac:dyDescent="0.2">
      <c r="A19" s="36" t="s">
        <v>80</v>
      </c>
      <c r="B19" s="34"/>
      <c r="C19" s="34" t="s">
        <v>81</v>
      </c>
      <c r="D19" s="32" t="s">
        <v>24</v>
      </c>
      <c r="E19" s="33">
        <v>4</v>
      </c>
      <c r="F19" s="46"/>
      <c r="G19" s="46">
        <f>ROUND(М[[#This Row],[Количество]]*М[[#This Row],[Цена за ед., руб]],2)</f>
        <v>0</v>
      </c>
      <c r="H19" s="34"/>
      <c r="I19" s="37"/>
    </row>
    <row r="20" spans="1:9" ht="11.1" customHeight="1" x14ac:dyDescent="0.2">
      <c r="A20" s="36" t="s">
        <v>58</v>
      </c>
      <c r="B20" s="34"/>
      <c r="C20" s="34" t="s">
        <v>59</v>
      </c>
      <c r="D20" s="32" t="s">
        <v>32</v>
      </c>
      <c r="E20" s="33">
        <v>15</v>
      </c>
      <c r="F20" s="46"/>
      <c r="G20" s="46">
        <f>ROUND(М[[#This Row],[Количество]]*М[[#This Row],[Цена за ед., руб]],2)</f>
        <v>0</v>
      </c>
      <c r="H20" s="34"/>
      <c r="I20" s="37"/>
    </row>
    <row r="21" spans="1:9" ht="11.1" customHeight="1" x14ac:dyDescent="0.2">
      <c r="A21" s="36" t="s">
        <v>37</v>
      </c>
      <c r="B21" s="34"/>
      <c r="C21" s="34" t="s">
        <v>38</v>
      </c>
      <c r="D21" s="32" t="s">
        <v>24</v>
      </c>
      <c r="E21" s="33">
        <v>40</v>
      </c>
      <c r="F21" s="46"/>
      <c r="G21" s="46">
        <f>ROUND(М[[#This Row],[Количество]]*М[[#This Row],[Цена за ед., руб]],2)</f>
        <v>0</v>
      </c>
      <c r="H21" s="34"/>
      <c r="I21" s="37"/>
    </row>
    <row r="22" spans="1:9" ht="11.1" customHeight="1" x14ac:dyDescent="0.2">
      <c r="A22" s="36" t="s">
        <v>37</v>
      </c>
      <c r="B22" s="34"/>
      <c r="C22" s="34" t="s">
        <v>39</v>
      </c>
      <c r="D22" s="32" t="s">
        <v>24</v>
      </c>
      <c r="E22" s="33">
        <v>24</v>
      </c>
      <c r="F22" s="46"/>
      <c r="G22" s="46">
        <f>ROUND(М[[#This Row],[Количество]]*М[[#This Row],[Цена за ед., руб]],2)</f>
        <v>0</v>
      </c>
      <c r="H22" s="34"/>
      <c r="I22" s="37"/>
    </row>
    <row r="23" spans="1:9" ht="11.1" customHeight="1" x14ac:dyDescent="0.2">
      <c r="A23" s="40" t="s">
        <v>34</v>
      </c>
      <c r="B23" s="49"/>
      <c r="C23" s="49" t="s">
        <v>35</v>
      </c>
      <c r="D23" s="41" t="s">
        <v>32</v>
      </c>
      <c r="E23" s="42">
        <v>20</v>
      </c>
      <c r="F23" s="46"/>
      <c r="G23" s="47">
        <f>ROUND(М[[#This Row],[Количество]]*М[[#This Row],[Цена за ед., руб]],2)</f>
        <v>0</v>
      </c>
      <c r="H23" s="49"/>
      <c r="I23" s="44"/>
    </row>
    <row r="24" spans="1:9" ht="11.1" customHeight="1" x14ac:dyDescent="0.2">
      <c r="A24" s="36" t="s">
        <v>34</v>
      </c>
      <c r="B24" s="34"/>
      <c r="C24" s="34" t="s">
        <v>122</v>
      </c>
      <c r="D24" s="32" t="s">
        <v>32</v>
      </c>
      <c r="E24" s="33">
        <v>23</v>
      </c>
      <c r="F24" s="46"/>
      <c r="G24" s="47">
        <f>ROUND(М[[#This Row],[Количество]]*М[[#This Row],[Цена за ед., руб]],2)</f>
        <v>0</v>
      </c>
      <c r="H24" s="34" t="s">
        <v>129</v>
      </c>
      <c r="I24" s="44"/>
    </row>
    <row r="25" spans="1:9" ht="11.1" customHeight="1" x14ac:dyDescent="0.2">
      <c r="A25" s="36" t="s">
        <v>123</v>
      </c>
      <c r="B25" s="34"/>
      <c r="C25" s="34" t="s">
        <v>124</v>
      </c>
      <c r="D25" s="32" t="s">
        <v>24</v>
      </c>
      <c r="E25" s="42">
        <v>2</v>
      </c>
      <c r="F25" s="46"/>
      <c r="G25" s="47">
        <f>ROUND(М[[#This Row],[Количество]]*М[[#This Row],[Цена за ед., руб]],2)</f>
        <v>0</v>
      </c>
      <c r="H25" s="34" t="s">
        <v>129</v>
      </c>
      <c r="I25" s="37"/>
    </row>
    <row r="26" spans="1:9" ht="11.1" customHeight="1" x14ac:dyDescent="0.2">
      <c r="A26" s="40" t="s">
        <v>41</v>
      </c>
      <c r="B26" s="49"/>
      <c r="C26" s="34" t="s">
        <v>125</v>
      </c>
      <c r="D26" s="32" t="s">
        <v>24</v>
      </c>
      <c r="E26" s="33">
        <v>5</v>
      </c>
      <c r="F26" s="46"/>
      <c r="G26" s="47">
        <f>ROUND(М[[#This Row],[Количество]]*М[[#This Row],[Цена за ед., руб]],2)</f>
        <v>0</v>
      </c>
      <c r="H26" s="49" t="s">
        <v>129</v>
      </c>
      <c r="I26" s="37"/>
    </row>
    <row r="27" spans="1:9" ht="33.75" x14ac:dyDescent="0.2">
      <c r="A27" s="36" t="s">
        <v>127</v>
      </c>
      <c r="B27" s="34"/>
      <c r="C27" s="34" t="s">
        <v>128</v>
      </c>
      <c r="D27" s="32" t="s">
        <v>32</v>
      </c>
      <c r="E27" s="33">
        <v>23</v>
      </c>
      <c r="F27" s="46"/>
      <c r="G27" s="47">
        <f>ROUND(М[[#This Row],[Количество]]*М[[#This Row],[Цена за ед., руб]],2)</f>
        <v>0</v>
      </c>
      <c r="H27" s="49" t="s">
        <v>130</v>
      </c>
      <c r="I27" s="37"/>
    </row>
    <row r="28" spans="1:9" ht="11.1" customHeight="1" x14ac:dyDescent="0.2">
      <c r="A28" s="40" t="s">
        <v>105</v>
      </c>
      <c r="B28" s="49"/>
      <c r="C28" s="49"/>
      <c r="D28" s="41" t="s">
        <v>60</v>
      </c>
      <c r="E28" s="71"/>
      <c r="F28" s="47"/>
      <c r="G28" s="47">
        <f ca="1">SUMIF(ЛСР!$B$6:$K$101,М[[#This Row],[Наим.]],ЛСР!$J$6:$J$101)</f>
        <v>0</v>
      </c>
      <c r="H28" s="49" t="s">
        <v>131</v>
      </c>
      <c r="I28" s="44"/>
    </row>
    <row r="29" spans="1:9" ht="11.1" customHeight="1" x14ac:dyDescent="0.2">
      <c r="A29" s="40" t="s">
        <v>106</v>
      </c>
      <c r="B29" s="49"/>
      <c r="C29" s="49"/>
      <c r="D29" s="41" t="s">
        <v>60</v>
      </c>
      <c r="E29" s="71"/>
      <c r="F29" s="47"/>
      <c r="G29" s="47">
        <f ca="1">SUMIF(ЛСР!$B$6:$K$101,М[[#This Row],[Наим.]],ЛСР!$J$6:$J$101)</f>
        <v>0</v>
      </c>
      <c r="H29" s="49" t="s">
        <v>131</v>
      </c>
      <c r="I29" s="44"/>
    </row>
    <row r="30" spans="1:9" ht="11.1" customHeight="1" x14ac:dyDescent="0.2">
      <c r="A30" s="40" t="s">
        <v>107</v>
      </c>
      <c r="B30" s="49"/>
      <c r="C30" s="49"/>
      <c r="D30" s="41" t="s">
        <v>60</v>
      </c>
      <c r="E30" s="71"/>
      <c r="F30" s="47"/>
      <c r="G30" s="47">
        <f ca="1">SUMIF(ЛСР!$B$6:$K$101,М[[#This Row],[Наим.]],ЛСР!$J$6:$J$101)</f>
        <v>0</v>
      </c>
      <c r="H30" s="49" t="s">
        <v>131</v>
      </c>
      <c r="I30" s="44"/>
    </row>
    <row r="31" spans="1:9" ht="11.1" customHeight="1" x14ac:dyDescent="0.2">
      <c r="A31" s="40" t="s">
        <v>108</v>
      </c>
      <c r="B31" s="49"/>
      <c r="C31" s="49"/>
      <c r="D31" s="41" t="s">
        <v>60</v>
      </c>
      <c r="E31" s="71"/>
      <c r="F31" s="47"/>
      <c r="G31" s="47">
        <f ca="1">SUMIF(ЛСР!$B$6:$K$101,М[[#This Row],[Наим.]],ЛСР!$J$6:$J$101)</f>
        <v>0</v>
      </c>
      <c r="H31" s="49" t="s">
        <v>131</v>
      </c>
      <c r="I31" s="44"/>
    </row>
    <row r="32" spans="1:9" ht="11.1" customHeight="1" x14ac:dyDescent="0.2">
      <c r="A32" s="40" t="s">
        <v>109</v>
      </c>
      <c r="B32" s="49"/>
      <c r="C32" s="49"/>
      <c r="D32" s="41" t="s">
        <v>60</v>
      </c>
      <c r="E32" s="71"/>
      <c r="F32" s="47"/>
      <c r="G32" s="47">
        <f ca="1">SUMIF(ЛСР!$B$6:$K$101,М[[#This Row],[Наим.]],ЛСР!$J$6:$J$101)</f>
        <v>0</v>
      </c>
      <c r="H32" s="49" t="s">
        <v>131</v>
      </c>
      <c r="I32" s="44"/>
    </row>
    <row r="33" spans="1:9" ht="11.45" customHeight="1" x14ac:dyDescent="0.2">
      <c r="A33" s="40" t="s">
        <v>104</v>
      </c>
      <c r="B33" s="49"/>
      <c r="C33" s="49"/>
      <c r="D33" s="41"/>
      <c r="E33" s="43"/>
      <c r="F33" s="47"/>
      <c r="G33" s="47">
        <f ca="1">SUBTOTAL(109,М[Сумма, руб])</f>
        <v>0</v>
      </c>
      <c r="H33" s="49"/>
      <c r="I33" s="44"/>
    </row>
    <row r="35" spans="1:9" ht="11.45" customHeight="1" x14ac:dyDescent="0.2">
      <c r="F35" s="72" t="s">
        <v>110</v>
      </c>
      <c r="G35" s="73">
        <f ca="1">ЛСР!J104-М[[#Totals],[Сумма, руб]]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32" xr:uid="{4B6FE2E6-0ABD-4833-8A52-BAD7309E486D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100</v>
      </c>
      <c r="B1" s="1" t="s">
        <v>101</v>
      </c>
    </row>
    <row r="2" spans="1:2" ht="11.1" customHeight="1" x14ac:dyDescent="0.2">
      <c r="A2" s="1" t="s">
        <v>102</v>
      </c>
      <c r="B2" s="1" t="s">
        <v>103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2026-07-22T08:42:15Z</dcterms:modified>
</cp:coreProperties>
</file>