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6E5C1BD0-A3B6-48FD-9DEA-259790C6B1BE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ЛСР!$A$7:$M$195</definedName>
  </definedNames>
  <calcPr calcId="191029"/>
</workbook>
</file>

<file path=xl/calcChain.xml><?xml version="1.0" encoding="utf-8"?>
<calcChain xmlns="http://schemas.openxmlformats.org/spreadsheetml/2006/main">
  <c r="M186" i="1" l="1" a="1"/>
  <c r="M186" i="1" s="1"/>
  <c r="M185" i="1" a="1"/>
  <c r="M185" i="1" s="1"/>
  <c r="M184" i="1" a="1"/>
  <c r="M184" i="1" s="1"/>
  <c r="H110" i="1"/>
  <c r="I110" i="1" s="1"/>
  <c r="H59" i="1"/>
  <c r="I59" i="1" s="1"/>
  <c r="I185" i="1"/>
  <c r="I186" i="1"/>
  <c r="I184" i="1"/>
  <c r="G60" i="3"/>
  <c r="E26" i="2"/>
  <c r="J53" i="1" a="1"/>
  <c r="J53" i="1" s="1"/>
  <c r="J55" i="1" a="1"/>
  <c r="J55" i="1" s="1"/>
  <c r="I55" i="1"/>
  <c r="I53" i="1"/>
  <c r="I13" i="1"/>
  <c r="J13" i="1" a="1"/>
  <c r="J13" i="1" s="1"/>
  <c r="K13" i="1" s="1"/>
  <c r="K12" i="1" s="1"/>
  <c r="I15" i="1"/>
  <c r="J15" i="1" a="1"/>
  <c r="J15" i="1" s="1"/>
  <c r="K15" i="1" s="1"/>
  <c r="K14" i="1" s="1"/>
  <c r="I17" i="1"/>
  <c r="J17" i="1" a="1"/>
  <c r="J17" i="1" s="1"/>
  <c r="K17" i="1" s="1"/>
  <c r="K16" i="1" s="1"/>
  <c r="I19" i="1"/>
  <c r="J19" i="1" a="1"/>
  <c r="J19" i="1" s="1"/>
  <c r="K19" i="1" s="1"/>
  <c r="K18" i="1" s="1"/>
  <c r="I21" i="1"/>
  <c r="M21" i="1" a="1"/>
  <c r="M21" i="1" s="1"/>
  <c r="J21" i="1" a="1"/>
  <c r="J21" i="1" s="1"/>
  <c r="K21" i="1" s="1"/>
  <c r="K20" i="1" s="1"/>
  <c r="I23" i="1"/>
  <c r="J23" i="1" a="1"/>
  <c r="J23" i="1" s="1"/>
  <c r="I25" i="1"/>
  <c r="M25" i="1" a="1"/>
  <c r="M25" i="1" s="1"/>
  <c r="J25" i="1" a="1"/>
  <c r="J25" i="1" s="1"/>
  <c r="K25" i="1" s="1"/>
  <c r="I26" i="1"/>
  <c r="M26" i="1" a="1"/>
  <c r="M26" i="1" s="1"/>
  <c r="J26" i="1" a="1"/>
  <c r="J26" i="1" s="1"/>
  <c r="K26" i="1" s="1"/>
  <c r="I27" i="1"/>
  <c r="M27" i="1" a="1"/>
  <c r="M27" i="1" s="1"/>
  <c r="J27" i="1" a="1"/>
  <c r="J27" i="1" s="1"/>
  <c r="K27" i="1" s="1"/>
  <c r="I29" i="1"/>
  <c r="J29" i="1" a="1"/>
  <c r="J29" i="1" s="1"/>
  <c r="I31" i="1"/>
  <c r="M31" i="1" a="1"/>
  <c r="M31" i="1" s="1"/>
  <c r="J31" i="1" a="1"/>
  <c r="J31" i="1" s="1"/>
  <c r="I33" i="1"/>
  <c r="J33" i="1" a="1"/>
  <c r="J33" i="1" s="1"/>
  <c r="K33" i="1" s="1"/>
  <c r="K32" i="1" s="1"/>
  <c r="I35" i="1"/>
  <c r="M35" i="1" a="1"/>
  <c r="M35" i="1" s="1"/>
  <c r="J35" i="1" a="1"/>
  <c r="J35" i="1" s="1"/>
  <c r="K35" i="1" s="1"/>
  <c r="I36" i="1"/>
  <c r="M36" i="1" a="1"/>
  <c r="M36" i="1" s="1"/>
  <c r="J36" i="1" a="1"/>
  <c r="J36" i="1" s="1"/>
  <c r="K36" i="1" s="1"/>
  <c r="I37" i="1"/>
  <c r="M37" i="1" a="1"/>
  <c r="M37" i="1" s="1"/>
  <c r="J37" i="1" a="1"/>
  <c r="J37" i="1" s="1"/>
  <c r="K37" i="1" s="1"/>
  <c r="I39" i="1"/>
  <c r="J39" i="1" a="1"/>
  <c r="J39" i="1" s="1"/>
  <c r="K39" i="1" s="1"/>
  <c r="K38" i="1" s="1"/>
  <c r="I41" i="1"/>
  <c r="M41" i="1" a="1"/>
  <c r="M41" i="1" s="1"/>
  <c r="J41" i="1" a="1"/>
  <c r="J41" i="1" s="1"/>
  <c r="I42" i="1"/>
  <c r="M42" i="1" a="1"/>
  <c r="M42" i="1" s="1"/>
  <c r="J42" i="1" a="1"/>
  <c r="J42" i="1" s="1"/>
  <c r="I43" i="1"/>
  <c r="M43" i="1" a="1"/>
  <c r="M43" i="1" s="1"/>
  <c r="J43" i="1" a="1"/>
  <c r="J43" i="1" s="1"/>
  <c r="K43" i="1" s="1"/>
  <c r="I45" i="1"/>
  <c r="J45" i="1" a="1"/>
  <c r="J45" i="1" s="1"/>
  <c r="I47" i="1"/>
  <c r="M47" i="1" a="1"/>
  <c r="M47" i="1" s="1"/>
  <c r="J47" i="1" a="1"/>
  <c r="J47" i="1" s="1"/>
  <c r="K47" i="1" s="1"/>
  <c r="I48" i="1"/>
  <c r="M48" i="1" a="1"/>
  <c r="M48" i="1" s="1"/>
  <c r="J48" i="1" a="1"/>
  <c r="J48" i="1" s="1"/>
  <c r="I49" i="1"/>
  <c r="M49" i="1" a="1"/>
  <c r="M49" i="1" s="1"/>
  <c r="J49" i="1" a="1"/>
  <c r="J49" i="1" s="1"/>
  <c r="K49" i="1" s="1"/>
  <c r="I50" i="1"/>
  <c r="M50" i="1" a="1"/>
  <c r="M50" i="1" s="1"/>
  <c r="J50" i="1" a="1"/>
  <c r="J50" i="1" s="1"/>
  <c r="K50" i="1" s="1"/>
  <c r="I51" i="1"/>
  <c r="M51" i="1" a="1"/>
  <c r="M51" i="1" s="1"/>
  <c r="J51" i="1" a="1"/>
  <c r="J51" i="1" s="1"/>
  <c r="K51" i="1" s="1"/>
  <c r="I57" i="1"/>
  <c r="J57" i="1" a="1"/>
  <c r="J57" i="1" s="1"/>
  <c r="K57" i="1" s="1"/>
  <c r="K56" i="1" s="1"/>
  <c r="J59" i="1" a="1"/>
  <c r="J59" i="1" s="1"/>
  <c r="I61" i="1"/>
  <c r="M61" i="1" a="1"/>
  <c r="M61" i="1" s="1"/>
  <c r="J61" i="1" a="1"/>
  <c r="J61" i="1" s="1"/>
  <c r="I62" i="1"/>
  <c r="M62" i="1" a="1"/>
  <c r="M62" i="1" s="1"/>
  <c r="J62" i="1" a="1"/>
  <c r="J62" i="1" s="1"/>
  <c r="I63" i="1"/>
  <c r="M63" i="1" a="1"/>
  <c r="M63" i="1" s="1"/>
  <c r="J63" i="1" a="1"/>
  <c r="J63" i="1" s="1"/>
  <c r="I64" i="1"/>
  <c r="M64" i="1" a="1"/>
  <c r="M64" i="1" s="1"/>
  <c r="J64" i="1" a="1"/>
  <c r="J64" i="1" s="1"/>
  <c r="I65" i="1"/>
  <c r="M65" i="1" a="1"/>
  <c r="M65" i="1" s="1"/>
  <c r="J65" i="1" a="1"/>
  <c r="J65" i="1" s="1"/>
  <c r="I67" i="1"/>
  <c r="J67" i="1" a="1"/>
  <c r="J67" i="1" s="1"/>
  <c r="I69" i="1"/>
  <c r="M69" i="1" a="1"/>
  <c r="M69" i="1" s="1"/>
  <c r="J69" i="1" a="1"/>
  <c r="J69" i="1" s="1"/>
  <c r="I70" i="1"/>
  <c r="M70" i="1" a="1"/>
  <c r="M70" i="1" s="1"/>
  <c r="J70" i="1" a="1"/>
  <c r="J70" i="1" s="1"/>
  <c r="I71" i="1"/>
  <c r="M71" i="1" a="1"/>
  <c r="M71" i="1" s="1"/>
  <c r="J71" i="1" a="1"/>
  <c r="J71" i="1" s="1"/>
  <c r="I72" i="1"/>
  <c r="M72" i="1" a="1"/>
  <c r="M72" i="1" s="1"/>
  <c r="J72" i="1" a="1"/>
  <c r="J72" i="1" s="1"/>
  <c r="K72" i="1" s="1"/>
  <c r="I73" i="1"/>
  <c r="M73" i="1" a="1"/>
  <c r="M73" i="1" s="1"/>
  <c r="J73" i="1" a="1"/>
  <c r="J73" i="1" s="1"/>
  <c r="K73" i="1" s="1"/>
  <c r="I77" i="1"/>
  <c r="J77" i="1" a="1"/>
  <c r="J77" i="1" s="1"/>
  <c r="K77" i="1" s="1"/>
  <c r="K76" i="1" s="1"/>
  <c r="I79" i="1"/>
  <c r="M79" i="1" a="1"/>
  <c r="M79" i="1" s="1"/>
  <c r="J79" i="1" a="1"/>
  <c r="J79" i="1" s="1"/>
  <c r="I81" i="1"/>
  <c r="J81" i="1" a="1"/>
  <c r="J81" i="1" s="1"/>
  <c r="K81" i="1" s="1"/>
  <c r="K80" i="1" s="1"/>
  <c r="I83" i="1"/>
  <c r="M83" i="1" a="1"/>
  <c r="M83" i="1" s="1"/>
  <c r="J83" i="1" a="1"/>
  <c r="J83" i="1" s="1"/>
  <c r="I85" i="1"/>
  <c r="J85" i="1" a="1"/>
  <c r="J85" i="1" s="1"/>
  <c r="K85" i="1" s="1"/>
  <c r="K84" i="1" s="1"/>
  <c r="I87" i="1"/>
  <c r="M87" i="1" a="1"/>
  <c r="M87" i="1" s="1"/>
  <c r="J87" i="1" a="1"/>
  <c r="J87" i="1" s="1"/>
  <c r="K87" i="1" s="1"/>
  <c r="I88" i="1"/>
  <c r="M88" i="1" a="1"/>
  <c r="M88" i="1" s="1"/>
  <c r="J88" i="1" a="1"/>
  <c r="J88" i="1" s="1"/>
  <c r="I89" i="1"/>
  <c r="M89" i="1" a="1"/>
  <c r="M89" i="1" s="1"/>
  <c r="J89" i="1" a="1"/>
  <c r="J89" i="1" s="1"/>
  <c r="K89" i="1" s="1"/>
  <c r="I90" i="1"/>
  <c r="M90" i="1" a="1"/>
  <c r="M90" i="1" s="1"/>
  <c r="J90" i="1" a="1"/>
  <c r="J90" i="1" s="1"/>
  <c r="K90" i="1" s="1"/>
  <c r="I92" i="1"/>
  <c r="J92" i="1" a="1"/>
  <c r="J92" i="1" s="1"/>
  <c r="K92" i="1" s="1"/>
  <c r="K91" i="1" s="1"/>
  <c r="I94" i="1"/>
  <c r="M94" i="1" a="1"/>
  <c r="M94" i="1" s="1"/>
  <c r="J94" i="1" a="1"/>
  <c r="J94" i="1" s="1"/>
  <c r="K94" i="1" s="1"/>
  <c r="K93" i="1" s="1"/>
  <c r="I96" i="1"/>
  <c r="J96" i="1" a="1"/>
  <c r="J96" i="1" s="1"/>
  <c r="K96" i="1" s="1"/>
  <c r="K95" i="1" s="1"/>
  <c r="I98" i="1"/>
  <c r="M98" i="1" a="1"/>
  <c r="M98" i="1" s="1"/>
  <c r="J98" i="1" a="1"/>
  <c r="J98" i="1" s="1"/>
  <c r="I99" i="1"/>
  <c r="M99" i="1" a="1"/>
  <c r="M99" i="1" s="1"/>
  <c r="J99" i="1" a="1"/>
  <c r="J99" i="1" s="1"/>
  <c r="I101" i="1"/>
  <c r="J101" i="1" a="1"/>
  <c r="J101" i="1" s="1"/>
  <c r="K101" i="1" s="1"/>
  <c r="K100" i="1" s="1"/>
  <c r="I103" i="1"/>
  <c r="M103" i="1" a="1"/>
  <c r="M103" i="1" s="1"/>
  <c r="J103" i="1" a="1"/>
  <c r="J103" i="1" s="1"/>
  <c r="K103" i="1" s="1"/>
  <c r="I104" i="1"/>
  <c r="M104" i="1" a="1"/>
  <c r="M104" i="1" s="1"/>
  <c r="J104" i="1" a="1"/>
  <c r="J104" i="1" s="1"/>
  <c r="K104" i="1" s="1"/>
  <c r="I106" i="1"/>
  <c r="J106" i="1" a="1"/>
  <c r="J106" i="1" s="1"/>
  <c r="K106" i="1" s="1"/>
  <c r="K105" i="1" s="1"/>
  <c r="I108" i="1"/>
  <c r="M108" i="1" a="1"/>
  <c r="M108" i="1" s="1"/>
  <c r="J108" i="1" a="1"/>
  <c r="J108" i="1" s="1"/>
  <c r="J110" i="1" a="1"/>
  <c r="J110" i="1" s="1"/>
  <c r="I112" i="1"/>
  <c r="M112" i="1" a="1"/>
  <c r="M112" i="1" s="1"/>
  <c r="J112" i="1" a="1"/>
  <c r="J112" i="1" s="1"/>
  <c r="I113" i="1"/>
  <c r="M113" i="1" a="1"/>
  <c r="M113" i="1" s="1"/>
  <c r="J113" i="1" a="1"/>
  <c r="J113" i="1" s="1"/>
  <c r="I114" i="1"/>
  <c r="M114" i="1" a="1"/>
  <c r="M114" i="1" s="1"/>
  <c r="J114" i="1" a="1"/>
  <c r="J114" i="1" s="1"/>
  <c r="I115" i="1"/>
  <c r="M115" i="1" a="1"/>
  <c r="M115" i="1" s="1"/>
  <c r="J115" i="1" a="1"/>
  <c r="J115" i="1" s="1"/>
  <c r="I116" i="1"/>
  <c r="M116" i="1" a="1"/>
  <c r="M116" i="1" s="1"/>
  <c r="J116" i="1" a="1"/>
  <c r="J116" i="1" s="1"/>
  <c r="I117" i="1"/>
  <c r="M117" i="1" a="1"/>
  <c r="M117" i="1" s="1"/>
  <c r="J117" i="1" a="1"/>
  <c r="J117" i="1" s="1"/>
  <c r="I118" i="1"/>
  <c r="M118" i="1" a="1"/>
  <c r="M118" i="1" s="1"/>
  <c r="J118" i="1" a="1"/>
  <c r="J118" i="1" s="1"/>
  <c r="K118" i="1" s="1"/>
  <c r="I119" i="1"/>
  <c r="M119" i="1" a="1"/>
  <c r="M119" i="1" s="1"/>
  <c r="J119" i="1" a="1"/>
  <c r="J119" i="1" s="1"/>
  <c r="K119" i="1" s="1"/>
  <c r="I120" i="1"/>
  <c r="M120" i="1" a="1"/>
  <c r="M120" i="1" s="1"/>
  <c r="J120" i="1" a="1"/>
  <c r="J120" i="1" s="1"/>
  <c r="I121" i="1"/>
  <c r="M121" i="1" a="1"/>
  <c r="M121" i="1" s="1"/>
  <c r="J121" i="1" a="1"/>
  <c r="J121" i="1" s="1"/>
  <c r="K121" i="1" s="1"/>
  <c r="I122" i="1"/>
  <c r="M122" i="1" a="1"/>
  <c r="M122" i="1" s="1"/>
  <c r="J122" i="1" a="1"/>
  <c r="J122" i="1" s="1"/>
  <c r="I123" i="1"/>
  <c r="M123" i="1" a="1"/>
  <c r="M123" i="1" s="1"/>
  <c r="J123" i="1" a="1"/>
  <c r="J123" i="1" s="1"/>
  <c r="I124" i="1"/>
  <c r="M124" i="1" a="1"/>
  <c r="M124" i="1" s="1"/>
  <c r="J124" i="1" a="1"/>
  <c r="J124" i="1" s="1"/>
  <c r="I125" i="1"/>
  <c r="M125" i="1" a="1"/>
  <c r="M125" i="1" s="1"/>
  <c r="J125" i="1" a="1"/>
  <c r="J125" i="1" s="1"/>
  <c r="I126" i="1"/>
  <c r="M126" i="1" a="1"/>
  <c r="M126" i="1" s="1"/>
  <c r="J126" i="1" a="1"/>
  <c r="J126" i="1" s="1"/>
  <c r="I127" i="1"/>
  <c r="M127" i="1" a="1"/>
  <c r="M127" i="1" s="1"/>
  <c r="J127" i="1" a="1"/>
  <c r="J127" i="1" s="1"/>
  <c r="I128" i="1"/>
  <c r="M128" i="1" a="1"/>
  <c r="M128" i="1" s="1"/>
  <c r="J128" i="1" a="1"/>
  <c r="J128" i="1" s="1"/>
  <c r="I129" i="1"/>
  <c r="M129" i="1" a="1"/>
  <c r="M129" i="1" s="1"/>
  <c r="J129" i="1" a="1"/>
  <c r="J129" i="1" s="1"/>
  <c r="I130" i="1"/>
  <c r="M130" i="1" a="1"/>
  <c r="M130" i="1" s="1"/>
  <c r="J130" i="1" a="1"/>
  <c r="J130" i="1" s="1"/>
  <c r="K130" i="1" s="1"/>
  <c r="I131" i="1"/>
  <c r="M131" i="1" a="1"/>
  <c r="M131" i="1" s="1"/>
  <c r="J131" i="1" a="1"/>
  <c r="J131" i="1" s="1"/>
  <c r="K131" i="1" s="1"/>
  <c r="I133" i="1"/>
  <c r="J133" i="1" a="1"/>
  <c r="J133" i="1" s="1"/>
  <c r="K133" i="1" s="1"/>
  <c r="K132" i="1" s="1"/>
  <c r="I135" i="1"/>
  <c r="M135" i="1" a="1"/>
  <c r="M135" i="1" s="1"/>
  <c r="J135" i="1" a="1"/>
  <c r="J135" i="1" s="1"/>
  <c r="I136" i="1"/>
  <c r="M136" i="1" a="1"/>
  <c r="M136" i="1" s="1"/>
  <c r="J136" i="1" a="1"/>
  <c r="J136" i="1" s="1"/>
  <c r="I137" i="1"/>
  <c r="M137" i="1" a="1"/>
  <c r="M137" i="1" s="1"/>
  <c r="J137" i="1" a="1"/>
  <c r="J137" i="1" s="1"/>
  <c r="K137" i="1" s="1"/>
  <c r="I138" i="1"/>
  <c r="M138" i="1" a="1"/>
  <c r="M138" i="1" s="1"/>
  <c r="J138" i="1" a="1"/>
  <c r="J138" i="1" s="1"/>
  <c r="I139" i="1"/>
  <c r="M139" i="1" a="1"/>
  <c r="M139" i="1" s="1"/>
  <c r="J139" i="1" a="1"/>
  <c r="J139" i="1" s="1"/>
  <c r="I140" i="1"/>
  <c r="M140" i="1" a="1"/>
  <c r="M140" i="1" s="1"/>
  <c r="J140" i="1" a="1"/>
  <c r="J140" i="1" s="1"/>
  <c r="I142" i="1"/>
  <c r="J142" i="1" a="1"/>
  <c r="J142" i="1" s="1"/>
  <c r="I144" i="1"/>
  <c r="M144" i="1" a="1"/>
  <c r="M144" i="1" s="1"/>
  <c r="J144" i="1" a="1"/>
  <c r="J144" i="1" s="1"/>
  <c r="K144" i="1" s="1"/>
  <c r="I145" i="1"/>
  <c r="M145" i="1" a="1"/>
  <c r="M145" i="1" s="1"/>
  <c r="J145" i="1" a="1"/>
  <c r="J145" i="1" s="1"/>
  <c r="K145" i="1" s="1"/>
  <c r="I146" i="1"/>
  <c r="M146" i="1" a="1"/>
  <c r="M146" i="1" s="1"/>
  <c r="J146" i="1" a="1"/>
  <c r="J146" i="1" s="1"/>
  <c r="K146" i="1" s="1"/>
  <c r="I148" i="1"/>
  <c r="J148" i="1" a="1"/>
  <c r="J148" i="1" s="1"/>
  <c r="K148" i="1" s="1"/>
  <c r="K147" i="1" s="1"/>
  <c r="I150" i="1"/>
  <c r="M150" i="1" a="1"/>
  <c r="M150" i="1" s="1"/>
  <c r="J150" i="1" a="1"/>
  <c r="J150" i="1" s="1"/>
  <c r="K150" i="1" s="1"/>
  <c r="I151" i="1"/>
  <c r="M151" i="1" a="1"/>
  <c r="M151" i="1" s="1"/>
  <c r="J151" i="1" a="1"/>
  <c r="J151" i="1" s="1"/>
  <c r="I152" i="1"/>
  <c r="M152" i="1" a="1"/>
  <c r="M152" i="1" s="1"/>
  <c r="J152" i="1" a="1"/>
  <c r="J152" i="1" s="1"/>
  <c r="K152" i="1" s="1"/>
  <c r="I154" i="1"/>
  <c r="J154" i="1" a="1"/>
  <c r="J154" i="1" s="1"/>
  <c r="K154" i="1" s="1"/>
  <c r="K153" i="1" s="1"/>
  <c r="I156" i="1"/>
  <c r="M156" i="1" a="1"/>
  <c r="M156" i="1" s="1"/>
  <c r="J156" i="1" a="1"/>
  <c r="J156" i="1" s="1"/>
  <c r="I157" i="1"/>
  <c r="M157" i="1" a="1"/>
  <c r="M157" i="1" s="1"/>
  <c r="J157" i="1" a="1"/>
  <c r="J157" i="1" s="1"/>
  <c r="I159" i="1"/>
  <c r="J159" i="1" a="1"/>
  <c r="J159" i="1" s="1"/>
  <c r="K159" i="1" s="1"/>
  <c r="K158" i="1" s="1"/>
  <c r="I161" i="1"/>
  <c r="M161" i="1" a="1"/>
  <c r="M161" i="1" s="1"/>
  <c r="J161" i="1" a="1"/>
  <c r="J161" i="1" s="1"/>
  <c r="K161" i="1" s="1"/>
  <c r="K160" i="1" s="1"/>
  <c r="I163" i="1"/>
  <c r="J163" i="1" a="1"/>
  <c r="J163" i="1" s="1"/>
  <c r="I165" i="1"/>
  <c r="M165" i="1" a="1"/>
  <c r="M165" i="1" s="1"/>
  <c r="J165" i="1" a="1"/>
  <c r="J165" i="1" s="1"/>
  <c r="K165" i="1" s="1"/>
  <c r="K164" i="1" s="1"/>
  <c r="I167" i="1"/>
  <c r="J167" i="1" a="1"/>
  <c r="J167" i="1" s="1"/>
  <c r="K167" i="1" s="1"/>
  <c r="K166" i="1" s="1"/>
  <c r="I169" i="1"/>
  <c r="M169" i="1" a="1"/>
  <c r="M169" i="1" s="1"/>
  <c r="J169" i="1" a="1"/>
  <c r="J169" i="1" s="1"/>
  <c r="K169" i="1" s="1"/>
  <c r="I170" i="1"/>
  <c r="M170" i="1" a="1"/>
  <c r="M170" i="1" s="1"/>
  <c r="J170" i="1" a="1"/>
  <c r="J170" i="1" s="1"/>
  <c r="K170" i="1" s="1"/>
  <c r="I172" i="1"/>
  <c r="J172" i="1" a="1"/>
  <c r="J172" i="1" s="1"/>
  <c r="I174" i="1"/>
  <c r="M174" i="1" a="1"/>
  <c r="M174" i="1" s="1"/>
  <c r="J174" i="1" a="1"/>
  <c r="J174" i="1" s="1"/>
  <c r="K174" i="1" s="1"/>
  <c r="I175" i="1"/>
  <c r="M175" i="1" a="1"/>
  <c r="M175" i="1" s="1"/>
  <c r="J175" i="1" a="1"/>
  <c r="J175" i="1" s="1"/>
  <c r="I176" i="1"/>
  <c r="M176" i="1" a="1"/>
  <c r="M176" i="1" s="1"/>
  <c r="J176" i="1" a="1"/>
  <c r="J176" i="1" s="1"/>
  <c r="I190" i="1"/>
  <c r="J190" i="1" a="1"/>
  <c r="J190" i="1" s="1"/>
  <c r="K190" i="1" s="1"/>
  <c r="K189" i="1" s="1"/>
  <c r="K188" i="1" s="1"/>
  <c r="K187" i="1" s="1"/>
  <c r="I180" i="1"/>
  <c r="J180" i="1" a="1"/>
  <c r="J180" i="1" s="1"/>
  <c r="K180" i="1" s="1"/>
  <c r="K179" i="1" s="1"/>
  <c r="I182" i="1"/>
  <c r="M182" i="1" a="1"/>
  <c r="M182" i="1" s="1"/>
  <c r="J182" i="1" a="1"/>
  <c r="J182" i="1" s="1"/>
  <c r="K182" i="1" s="1"/>
  <c r="K181" i="1" s="1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30" i="2"/>
  <c r="E29" i="2"/>
  <c r="E28" i="2"/>
  <c r="E27" i="2"/>
  <c r="E25" i="2"/>
  <c r="E24" i="2"/>
  <c r="E23" i="2"/>
  <c r="E22" i="2"/>
  <c r="E21" i="2"/>
  <c r="E20" i="2"/>
  <c r="E19" i="2"/>
  <c r="E18" i="2"/>
  <c r="E17" i="2"/>
  <c r="E16" i="2"/>
  <c r="E15" i="2"/>
  <c r="E14" i="2"/>
  <c r="E31" i="2" s="1"/>
  <c r="E13" i="2"/>
  <c r="E12" i="2"/>
  <c r="E11" i="2"/>
  <c r="E10" i="2"/>
  <c r="E9" i="2"/>
  <c r="E8" i="2"/>
  <c r="E7" i="2"/>
  <c r="E6" i="2"/>
  <c r="E5" i="2"/>
  <c r="E4" i="2"/>
  <c r="K83" i="1" l="1"/>
  <c r="K82" i="1" s="1"/>
  <c r="K110" i="1"/>
  <c r="K109" i="1" s="1"/>
  <c r="K45" i="1"/>
  <c r="K44" i="1" s="1"/>
  <c r="K175" i="1"/>
  <c r="K59" i="1"/>
  <c r="K58" i="1" s="1"/>
  <c r="K48" i="1"/>
  <c r="K46" i="1" s="1"/>
  <c r="K88" i="1"/>
  <c r="K86" i="1" s="1"/>
  <c r="K151" i="1"/>
  <c r="K149" i="1" s="1"/>
  <c r="K172" i="1"/>
  <c r="K171" i="1" s="1"/>
  <c r="K23" i="1"/>
  <c r="K22" i="1" s="1"/>
  <c r="K142" i="1"/>
  <c r="K141" i="1" s="1"/>
  <c r="K67" i="1"/>
  <c r="K66" i="1" s="1"/>
  <c r="K41" i="1"/>
  <c r="K53" i="1"/>
  <c r="K52" i="1" s="1"/>
  <c r="K55" i="1"/>
  <c r="K54" i="1" s="1"/>
  <c r="K163" i="1"/>
  <c r="K162" i="1" s="1"/>
  <c r="K143" i="1"/>
  <c r="K70" i="1"/>
  <c r="K42" i="1"/>
  <c r="K108" i="1"/>
  <c r="K107" i="1" s="1"/>
  <c r="K112" i="1"/>
  <c r="K135" i="1"/>
  <c r="K99" i="1"/>
  <c r="K29" i="1"/>
  <c r="K28" i="1" s="1"/>
  <c r="K120" i="1"/>
  <c r="K136" i="1"/>
  <c r="K138" i="1"/>
  <c r="K24" i="1"/>
  <c r="K140" i="1"/>
  <c r="K117" i="1"/>
  <c r="K156" i="1"/>
  <c r="K61" i="1"/>
  <c r="K31" i="1"/>
  <c r="K30" i="1" s="1"/>
  <c r="K69" i="1"/>
  <c r="K71" i="1"/>
  <c r="K102" i="1"/>
  <c r="K168" i="1"/>
  <c r="K79" i="1"/>
  <c r="K78" i="1" s="1"/>
  <c r="K34" i="1"/>
  <c r="K63" i="1"/>
  <c r="K98" i="1"/>
  <c r="K113" i="1"/>
  <c r="K114" i="1"/>
  <c r="K115" i="1"/>
  <c r="K116" i="1"/>
  <c r="K122" i="1"/>
  <c r="K123" i="1"/>
  <c r="K124" i="1"/>
  <c r="K125" i="1"/>
  <c r="K126" i="1"/>
  <c r="K127" i="1"/>
  <c r="K128" i="1"/>
  <c r="K129" i="1"/>
  <c r="K139" i="1"/>
  <c r="K62" i="1"/>
  <c r="K64" i="1"/>
  <c r="K65" i="1"/>
  <c r="K157" i="1"/>
  <c r="K176" i="1"/>
  <c r="K173" i="1" l="1"/>
  <c r="K184" i="1"/>
  <c r="K192" i="1"/>
  <c r="E33" i="2" s="1"/>
  <c r="K185" i="1"/>
  <c r="K186" i="1"/>
  <c r="K40" i="1"/>
  <c r="K97" i="1"/>
  <c r="K68" i="1"/>
  <c r="K134" i="1"/>
  <c r="K111" i="1"/>
  <c r="K155" i="1"/>
  <c r="K60" i="1"/>
  <c r="K183" i="1" l="1"/>
  <c r="K75" i="1"/>
  <c r="K74" i="1" s="1"/>
  <c r="K11" i="1"/>
  <c r="K10" i="1" s="1"/>
  <c r="K193" i="1" l="1"/>
  <c r="K178" i="1"/>
  <c r="K177" i="1" s="1"/>
  <c r="K9" i="1" s="1"/>
  <c r="G82" i="3" l="1"/>
  <c r="G83" i="3"/>
  <c r="K191" i="1"/>
  <c r="G81" i="3"/>
  <c r="G84" i="3" l="1"/>
  <c r="G86" i="3" s="1"/>
</calcChain>
</file>

<file path=xl/sharedStrings.xml><?xml version="1.0" encoding="utf-8"?>
<sst xmlns="http://schemas.openxmlformats.org/spreadsheetml/2006/main" count="840" uniqueCount="220">
  <si>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</si>
  <si>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1</t>
  </si>
  <si>
    <t>Ведомость объемов работ и расхода материалов по работе: Устройство системы отопления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</si>
  <si>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</si>
  <si>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</si>
  <si>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</si>
  <si>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</si>
  <si>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</si>
  <si>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</si>
  <si>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</si>
  <si>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</si>
  <si>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</si>
  <si>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</si>
  <si>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</si>
  <si>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</si>
  <si>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</si>
  <si>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</si>
  <si>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11.04</t>
  </si>
  <si>
    <t>Устройство системы отопления</t>
  </si>
  <si>
    <t>11.04.02</t>
  </si>
  <si>
    <t>Устройство стояка для горизонтальной системы отопления</t>
  </si>
  <si>
    <t>11.04.02.00</t>
  </si>
  <si>
    <t>Работы:</t>
  </si>
  <si>
    <t>Бурение отверстий Ø60</t>
  </si>
  <si>
    <t>шт</t>
  </si>
  <si>
    <t>Бурение отверстий до 120мм</t>
  </si>
  <si>
    <t>Бурение отверстий до 80мм</t>
  </si>
  <si>
    <t>Монтаж автоматического воздухоотводчика</t>
  </si>
  <si>
    <t>Материалы:</t>
  </si>
  <si>
    <t>1</t>
  </si>
  <si>
    <t>Воздухоотводчик</t>
  </si>
  <si>
    <t>автоматический Ду-15 10bar</t>
  </si>
  <si>
    <t>Монтаж компенсатора сильфонного</t>
  </si>
  <si>
    <t>Компенсатор сильфонный</t>
  </si>
  <si>
    <t>с защитной гильзой под приварку с внутренней направляющей Ду-50</t>
  </si>
  <si>
    <t>2</t>
  </si>
  <si>
    <t>с защитной гильзой под приварку с внутренней направляющей Ду-65</t>
  </si>
  <si>
    <t>3</t>
  </si>
  <si>
    <t>с защитной гильзой под приварку с внутренней направляющей Ду-32</t>
  </si>
  <si>
    <t>Монтаж кранов (фланцевые, резьбовые) до 32 мм</t>
  </si>
  <si>
    <t>Кран шаровой</t>
  </si>
  <si>
    <t>В/В Ду-15 полнопроходной</t>
  </si>
  <si>
    <t>Монтаж неподвижных опор</t>
  </si>
  <si>
    <t>Опора неподвижная</t>
  </si>
  <si>
    <t>стальная для стояков отопления Ду-76</t>
  </si>
  <si>
    <t>стальная для стояков отопления Ду-32</t>
  </si>
  <si>
    <t>стальная для стояков отопления Ду-57</t>
  </si>
  <si>
    <t>Монтаж счетчика</t>
  </si>
  <si>
    <t>Присоединители для счетчика</t>
  </si>
  <si>
    <t>компл.</t>
  </si>
  <si>
    <t>Вставка ремонтная</t>
  </si>
  <si>
    <t>для счетчика Ду15 мм</t>
  </si>
  <si>
    <t>Счетчик тепловой энергии</t>
  </si>
  <si>
    <t>RS-485 Modbus Ду15</t>
  </si>
  <si>
    <t>Монтаж трубной изоляции</t>
  </si>
  <si>
    <t>м</t>
  </si>
  <si>
    <t>Теплоизоляция трубная</t>
  </si>
  <si>
    <t>76х13мм вспененный полиэтилен</t>
  </si>
  <si>
    <t>пог. м</t>
  </si>
  <si>
    <t>48х13мм вспененный полиэтилен</t>
  </si>
  <si>
    <t>57х13мм вспененный полиэтилен</t>
  </si>
  <si>
    <t>4</t>
  </si>
  <si>
    <t>35х13мм вспененный полиэтилен</t>
  </si>
  <si>
    <t>5</t>
  </si>
  <si>
    <t>42х13мм вспененный полиэтилен</t>
  </si>
  <si>
    <t>Пробивка отверстий Ø70</t>
  </si>
  <si>
    <t>Прокладка трубы стальной до 40 мм</t>
  </si>
  <si>
    <t>Труба водогазопроводная</t>
  </si>
  <si>
    <t>стальная D-32х2,5 СТ3</t>
  </si>
  <si>
    <t>Гильзы</t>
  </si>
  <si>
    <t>стальная D-40х3,0 СТ3</t>
  </si>
  <si>
    <t>стальная D-15х2,8 СТ3</t>
  </si>
  <si>
    <t>стальная D-25х3,2 СТ3</t>
  </si>
  <si>
    <t>6</t>
  </si>
  <si>
    <t>стальная D-32х3,2 СТ3</t>
  </si>
  <si>
    <t>7</t>
  </si>
  <si>
    <t>стальная D-40х3,5 СТ3</t>
  </si>
  <si>
    <t>Прокладка трубы стальной от 57 мм</t>
  </si>
  <si>
    <t>Труба электросварная (пог.м.)</t>
  </si>
  <si>
    <t>стальная D-57х3,0</t>
  </si>
  <si>
    <t>стальная D-76х3,5</t>
  </si>
  <si>
    <t>стальная D-89х3,5</t>
  </si>
  <si>
    <t>стальная D-57х3,5</t>
  </si>
  <si>
    <t>стальная D-76х3,0</t>
  </si>
  <si>
    <t>%</t>
  </si>
  <si>
    <t>11.04.03</t>
  </si>
  <si>
    <t>Устройство отопления (горизонтальная разводка)</t>
  </si>
  <si>
    <t>11.04.03.00</t>
  </si>
  <si>
    <t>Монтаж запорной-регулирующей арматуры</t>
  </si>
  <si>
    <t>Запорно-регулирующая арматура</t>
  </si>
  <si>
    <t>в комплекте с нипелями Ф3/4*1/2</t>
  </si>
  <si>
    <t>Монтаж клапана (фланцевые, резьбовые) до 32 мм</t>
  </si>
  <si>
    <t>Клапан балансировочный</t>
  </si>
  <si>
    <t>автоматический AQT-R3 с присоединителями Ду-15 Ру-16бар</t>
  </si>
  <si>
    <t>Монтаж коллектора</t>
  </si>
  <si>
    <t>Коллектор (в сборе) распределительный</t>
  </si>
  <si>
    <t>Д-50 с 4-мя выходами (диаметр подключения Ду25)</t>
  </si>
  <si>
    <t>Д-40 с 1-м выходом (диаметр подключения Ду20)</t>
  </si>
  <si>
    <t>Коммерция</t>
  </si>
  <si>
    <t>Д-50 с 3-мя выходами (диаметр подключения Ду25)</t>
  </si>
  <si>
    <t>Д-40 с 1-м выходом (диаметр подключения Ду25)</t>
  </si>
  <si>
    <t>Монтаж коллектора для теплого пола</t>
  </si>
  <si>
    <t>с 4-мя выходами для теплого пола с насосом, расходомерами и термостатическим клапаном,16 bar</t>
  </si>
  <si>
    <t>В/В Ду-20 полнопроходной</t>
  </si>
  <si>
    <t>Монтаж кранов (фланцевые, резьбовые) от 40 мм</t>
  </si>
  <si>
    <t>фланцевый Регула Ду-65</t>
  </si>
  <si>
    <t>фланцевый Ду-65</t>
  </si>
  <si>
    <t>Монтаж кронштейна напольного</t>
  </si>
  <si>
    <t>Кронштейн для радиаторов</t>
  </si>
  <si>
    <t>напольный Н-300мм</t>
  </si>
  <si>
    <t>Монтаж радиаторов</t>
  </si>
  <si>
    <t>Термостатический элемент</t>
  </si>
  <si>
    <t>TR-84</t>
  </si>
  <si>
    <t>Монтаж не требуется. Передается собственнику с ключами</t>
  </si>
  <si>
    <t>Радиатор отопления</t>
  </si>
  <si>
    <t>стальной панельный с нижним подключением 22 300х1100</t>
  </si>
  <si>
    <t>стальной панельный с нижним подключением 21 400х800</t>
  </si>
  <si>
    <t>стальной панельный с нижним подключением 21 400х1000</t>
  </si>
  <si>
    <t>стальной панельный с нижним подключением 21 400х1100</t>
  </si>
  <si>
    <t>стальной панельный с нижним подключением 22 300х1300</t>
  </si>
  <si>
    <t>8</t>
  </si>
  <si>
    <t>стальной панельный с нижним подключением 33 200х1000</t>
  </si>
  <si>
    <t>9</t>
  </si>
  <si>
    <t>стальной панельный с нижним подключением 33 200х1200</t>
  </si>
  <si>
    <t>10</t>
  </si>
  <si>
    <t>стальной панельный с нижним подключением 33 200х1600</t>
  </si>
  <si>
    <t>стальной панельный с нижним подключением 33 500х1000</t>
  </si>
  <si>
    <t>12</t>
  </si>
  <si>
    <t>стальной панельный с нижним подключением 33 500х1400</t>
  </si>
  <si>
    <t>13</t>
  </si>
  <si>
    <t>стальной панельный с нижним подключением 21 400х1200</t>
  </si>
  <si>
    <t>15</t>
  </si>
  <si>
    <t>стальной панельный с нижним подключением 33 200х1400</t>
  </si>
  <si>
    <t>16</t>
  </si>
  <si>
    <t>стальной панельный с нижним подключением 21 400х700</t>
  </si>
  <si>
    <t>17</t>
  </si>
  <si>
    <t>стальной панельный с боковым подключением 22 500х700</t>
  </si>
  <si>
    <t>18</t>
  </si>
  <si>
    <t>стальной панельный с боковым подключением 22 300х1200</t>
  </si>
  <si>
    <t>19</t>
  </si>
  <si>
    <t>стальной панельный с нижним подключением 33 200х700</t>
  </si>
  <si>
    <t>20</t>
  </si>
  <si>
    <t>стальной панельный с нижним подключением 22 400х1200</t>
  </si>
  <si>
    <t>стальной панельный с боковым подключением 22 300х800</t>
  </si>
  <si>
    <t>89х13мм вспененный полиэтилен</t>
  </si>
  <si>
    <t>108х13мм вспененный полиэтилен</t>
  </si>
  <si>
    <t>18х13мм вспененный полиэтилен</t>
  </si>
  <si>
    <t>22х13мм вспененный полиэтилен</t>
  </si>
  <si>
    <t>28х13мм вспененный полиэтилен</t>
  </si>
  <si>
    <t>Монтаж трубы гофрированной</t>
  </si>
  <si>
    <t>Труба гофрированная защитная</t>
  </si>
  <si>
    <t>Ø22</t>
  </si>
  <si>
    <t>Ø28</t>
  </si>
  <si>
    <t>Ø35</t>
  </si>
  <si>
    <t>Монтаж трубы из сшитого полиэтилена</t>
  </si>
  <si>
    <t>Труба сшитый полиэтилен</t>
  </si>
  <si>
    <t>DN-16х2,0 PEXа</t>
  </si>
  <si>
    <t>DN-20х2,0 PEXа</t>
  </si>
  <si>
    <t>DN-26х3,0 PEXа</t>
  </si>
  <si>
    <t>Монтаж трубы из сшитого полиэтилена для теплого пола</t>
  </si>
  <si>
    <t>Плита для теплого пола полистирольная с фиксаторам</t>
  </si>
  <si>
    <t>м2</t>
  </si>
  <si>
    <t>Монтаж шкафа распределительного коллекторного</t>
  </si>
  <si>
    <t>Шкаф сантехнический коллекторный</t>
  </si>
  <si>
    <t>ххSTOUT ШРВ-3, либо аналог</t>
  </si>
  <si>
    <t>Для теплого пола</t>
  </si>
  <si>
    <t>Монтаж электроконвектора</t>
  </si>
  <si>
    <t>Электроконвектор</t>
  </si>
  <si>
    <t>1,5 кВт</t>
  </si>
  <si>
    <t>стальная D-20х2,8 СТ3</t>
  </si>
  <si>
    <t>стальная D-89х4,0</t>
  </si>
  <si>
    <t>стальная D-108х4,0</t>
  </si>
  <si>
    <t>11.04.04</t>
  </si>
  <si>
    <t>ПНР</t>
  </si>
  <si>
    <t>11.04.04.00</t>
  </si>
  <si>
    <t>Пусконаладочные работы системы отопления: промывка, регулировка системы, манометрические испытания</t>
  </si>
  <si>
    <t>11.04.99</t>
  </si>
  <si>
    <t>Прочие работы</t>
  </si>
  <si>
    <t>11.04.99.00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</si>
  <si>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</si>
  <si>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</si>
  <si>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</si>
  <si>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</si>
  <si>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</si>
  <si>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</si>
  <si>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</si>
  <si>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</si>
  <si>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</si>
  <si>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</si>
  <si>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</si>
  <si>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</si>
  <si>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</si>
  <si>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</si>
  <si>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</si>
  <si>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</si>
  <si>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ГП-72.110.01.11.04 Секция 1_Устройство системы отопления №1</t>
  </si>
  <si>
    <t>02a3cb02-ffe7-11f0-8b5d-a036bcbd010b</t>
  </si>
  <si>
    <t>Итог</t>
  </si>
  <si>
    <t>Монтаж фильтра</t>
  </si>
  <si>
    <t>Фильтр сетчатый</t>
  </si>
  <si>
    <t>Valtec</t>
  </si>
  <si>
    <t>Ду-25 латунь</t>
  </si>
  <si>
    <t>Фитинги для ПЭ (сшитый)</t>
  </si>
  <si>
    <t>Фитинги для стальной трубы</t>
  </si>
  <si>
    <t>Прочие материалы</t>
  </si>
  <si>
    <t>ИТОГО по сметному расчету, в тч НДС:</t>
  </si>
  <si>
    <t>в тч НДС ____%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</si>
  <si>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</si>
  <si>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</si>
  <si>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</si>
  <si>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</si>
  <si>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</si>
  <si>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В стоимость СМР учтено: штробление отверстий в местах прохода коммуникаций (под выход узлов радиаторов), запенивание отверстий в местах прохода коммуникаций (под выход узлов радиаторов)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</si>
  <si>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</si>
  <si>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</si>
  <si>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</si>
  <si>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</si>
  <si>
    <t>Проверка:</t>
  </si>
  <si>
    <t>Прочие работы (навигация)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</si>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</sst>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43" fontId="5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4" fontId="0" fillId="4" borderId="9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right" vertical="center"/>
    </xf>
    <xf numFmtId="0" fontId="0" fillId="5" borderId="7" xfId="0" applyFill="1" applyBorder="1" applyAlignment="1">
      <alignment horizontal="center" vertical="center" wrapText="1"/>
    </xf>
    <xf numFmtId="4" fontId="0" fillId="5" borderId="2" xfId="0" applyNumberFormat="1" applyFill="1" applyBorder="1" applyAlignment="1">
      <alignment horizontal="right" vertical="center"/>
    </xf>
    <xf numFmtId="4" fontId="0" fillId="5" borderId="1" xfId="0" applyNumberFormat="1" applyFill="1" applyBorder="1" applyAlignment="1">
      <alignment horizontal="right" vertical="center"/>
    </xf>
    <xf numFmtId="4" fontId="3" fillId="4" borderId="13" xfId="0" applyNumberFormat="1" applyFont="1" applyFill="1" applyBorder="1" applyAlignment="1">
      <alignment horizontal="right" vertical="center"/>
    </xf>
    <xf numFmtId="4" fontId="0" fillId="5" borderId="13" xfId="0" applyNumberFormat="1" applyFill="1" applyBorder="1" applyAlignment="1">
      <alignment horizontal="right" vertical="center"/>
    </xf>
    <xf numFmtId="0" fontId="5" fillId="0" borderId="7" xfId="0" applyFont="1" applyBorder="1" applyAlignment="1">
      <alignment horizontal="left" wrapText="1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5" borderId="6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right" vertical="center"/>
    </xf>
    <xf numFmtId="1" fontId="6" fillId="5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/>
    </xf>
    <xf numFmtId="1" fontId="6" fillId="9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49" fontId="8" fillId="10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165" fontId="8" fillId="10" borderId="0" xfId="0" applyNumberFormat="1" applyFont="1" applyFill="1" applyAlignment="1">
      <alignment horizontal="center" vertical="center" wrapText="1"/>
    </xf>
    <xf numFmtId="165" fontId="10" fillId="10" borderId="0" xfId="0" applyNumberFormat="1" applyFont="1" applyFill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0" xfId="1" applyFont="1" applyAlignment="1">
      <alignment vertical="center"/>
    </xf>
    <xf numFmtId="43" fontId="8" fillId="0" borderId="0" xfId="2" applyFont="1" applyAlignment="1">
      <alignment vertical="center"/>
    </xf>
    <xf numFmtId="4" fontId="8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 wrapText="1"/>
    </xf>
    <xf numFmtId="0" fontId="8" fillId="0" borderId="0" xfId="3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1" fontId="0" fillId="9" borderId="2" xfId="0" applyNumberForma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5" fillId="5" borderId="5" xfId="0" applyFont="1" applyFill="1" applyBorder="1" applyAlignment="1">
      <alignment horizontal="left" wrapText="1"/>
    </xf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3" fillId="8" borderId="0" xfId="0" applyFont="1" applyFill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2" xfId="1" xr:uid="{A466E8B3-93EB-42A3-85D3-52A61E1BCCB4}"/>
    <cellStyle name="Обычный 3 2 2 3 2" xfId="3" xr:uid="{F0E0859E-DD13-43D7-AD70-774ED8875A05}"/>
    <cellStyle name="Финансовый 2" xfId="2" xr:uid="{6D52780E-C5FB-4BFF-9735-C0229314AAE5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F02E5F-7F23-4223-A270-1AB2553647D8}" name="Р" displayName="Р" ref="A3:F31" totalsRowCount="1" headerRowDxfId="37" headerRowBorderDxfId="36" tableBorderDxfId="35" totalsRowBorderDxfId="34">
  <autoFilter ref="A3:F30" xr:uid="{48F02E5F-7F23-4223-A270-1AB2553647D8}"/>
  <tableColumns count="6">
    <tableColumn id="1" xr3:uid="{B00E48A8-4201-4FA0-89E9-6051FC037B2B}" name="Наименование" totalsRowLabel="Итог" dataDxfId="33" totalsRowDxfId="32"/>
    <tableColumn id="2" xr3:uid="{8B54CCFE-72A5-4646-8B5C-104C1F836D69}" name="Ед. изм." dataDxfId="31" totalsRowDxfId="30"/>
    <tableColumn id="3" xr3:uid="{76FA45E5-1B4E-4486-880A-434ACC466515}" name="Количество" dataDxfId="29" totalsRowDxfId="28"/>
    <tableColumn id="4" xr3:uid="{B995A184-3BD3-4E9F-BE5D-81C92C807FFA}" name="Цена за ед., руб" dataDxfId="27" totalsRowDxfId="26"/>
    <tableColumn id="5" xr3:uid="{95E90CA6-FB75-4C3D-A34C-636F3032AE7B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408E0EC0-6DC7-4E20-86A0-E4670FCDA1DD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29675B-E107-4E5B-BC43-A9DA99ED2A93}" name="М" displayName="М" ref="A3:I84" totalsRowCount="1" headerRowDxfId="21" headerRowBorderDxfId="20" tableBorderDxfId="19" totalsRowBorderDxfId="18">
  <autoFilter ref="A3:I83" xr:uid="{6D29675B-E107-4E5B-BC43-A9DA99ED2A93}"/>
  <tableColumns count="9">
    <tableColumn id="1" xr3:uid="{0DF4D82B-CD6E-48A7-AC44-1BF7F9E51AA6}" name="Наим." totalsRowLabel="Итог" dataDxfId="17" totalsRowDxfId="8"/>
    <tableColumn id="2" xr3:uid="{876BCE58-F8F4-4D79-B44B-E53420834734}" name="Артикул, марка, произв." dataDxfId="16" totalsRowDxfId="7"/>
    <tableColumn id="3" xr3:uid="{11FA9FFB-914F-4C3C-99A4-96C2B328009E}" name="Хар-ка" dataDxfId="15" totalsRowDxfId="6"/>
    <tableColumn id="4" xr3:uid="{EABDC174-8CD2-4829-8AFE-6E8D72787C87}" name="Ед. изм." dataDxfId="14" totalsRowDxfId="5"/>
    <tableColumn id="5" xr3:uid="{208D8FAC-F243-4655-849B-DB2735248C0F}" name="Количество" dataDxfId="13" totalsRowDxfId="4"/>
    <tableColumn id="6" xr3:uid="{A3835A10-F1C8-4186-99CD-E3EEC332E761}" name="Цена за ед., руб" dataDxfId="12" totalsRowDxfId="3"/>
    <tableColumn id="7" xr3:uid="{923ADBD2-5CB9-44E1-933F-4F472455B3C9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405D6B1B-22DC-4540-8787-CBFA3E56F08C}" name="Прим." dataDxfId="10" totalsRowDxfId="1"/>
    <tableColumn id="9" xr3:uid="{16ABB2FC-D798-4D2F-9F71-E97EF89DB855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Z203"/>
  <sheetViews>
    <sheetView tabSelected="1" workbookViewId="0">
      <pane ySplit="7" topLeftCell="A155" activePane="bottomLeft" state="frozen"/>
      <selection pane="bottomLeft" activeCell="M184" sqref="M184:M18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5" width="17" style="1" customWidth="1"/>
    <col min="6" max="6" width="10" style="1" customWidth="1"/>
    <col min="7" max="7" width="9.6640625" style="1" customWidth="1"/>
    <col min="8" max="8" width="10.5" style="1" customWidth="1"/>
    <col min="9" max="9" width="14.6640625" style="1" customWidth="1"/>
    <col min="10" max="10" width="16" style="1" customWidth="1"/>
    <col min="11" max="11" width="17" style="1" customWidth="1"/>
    <col min="12" max="12" width="35" style="1" customWidth="1"/>
    <col min="13" max="13" width="23.33203125" style="1" customWidth="1"/>
  </cols>
  <sheetData>
    <row r="1" spans="1:13" ht="11.1" customHeight="1" x14ac:dyDescent="0.2"/>
    <row r="2" spans="1:13" ht="11.1" customHeight="1" x14ac:dyDescent="0.2">
      <c r="B2" s="106" t="s">
        <v>0</v>
      </c>
      <c r="C2" s="106"/>
      <c r="D2" s="106"/>
      <c r="E2" s="106"/>
      <c r="F2" s="106"/>
      <c r="G2" s="106"/>
      <c r="H2" s="106"/>
      <c r="I2" s="106"/>
      <c r="J2" s="106"/>
      <c r="K2" s="106"/>
    </row>
    <row r="3" spans="1:13" ht="35.1" customHeight="1" x14ac:dyDescent="0.2">
      <c r="B3" s="107" t="s">
        <v>1</v>
      </c>
      <c r="C3" s="107"/>
      <c r="D3" s="107"/>
      <c r="E3" s="107"/>
      <c r="F3" s="107"/>
      <c r="G3" s="107"/>
      <c r="H3" s="107"/>
      <c r="I3" s="107"/>
      <c r="J3" s="107"/>
      <c r="K3" s="107"/>
    </row>
    <row r="4" spans="1:13" ht="11.1" customHeight="1" x14ac:dyDescent="0.2">
      <c r="B4" s="107" t="s">
        <v>2</v>
      </c>
      <c r="C4" s="107"/>
      <c r="D4" s="107"/>
      <c r="E4" s="107"/>
      <c r="F4" s="107"/>
      <c r="G4" s="107"/>
      <c r="H4" s="107"/>
      <c r="I4" s="107"/>
      <c r="J4" s="107"/>
      <c r="K4" s="107"/>
    </row>
    <row r="5" spans="1:13" ht="11.1" customHeight="1" x14ac:dyDescent="0.2"/>
    <row r="6" spans="1:13" ht="11.1" customHeight="1" x14ac:dyDescent="0.2">
      <c r="A6" s="108" t="s">
        <v>3</v>
      </c>
      <c r="B6" s="108" t="s">
        <v>4</v>
      </c>
      <c r="C6" s="110" t="s">
        <v>5</v>
      </c>
      <c r="D6" s="112" t="s">
        <v>6</v>
      </c>
      <c r="E6" s="37"/>
      <c r="F6" s="108" t="s">
        <v>7</v>
      </c>
      <c r="G6" s="114" t="s">
        <v>8</v>
      </c>
      <c r="H6" s="116" t="s">
        <v>9</v>
      </c>
      <c r="I6" s="108" t="s">
        <v>10</v>
      </c>
      <c r="J6" s="114" t="s">
        <v>11</v>
      </c>
      <c r="K6" s="114" t="s">
        <v>12</v>
      </c>
      <c r="L6" s="108" t="s">
        <v>13</v>
      </c>
      <c r="M6" s="114" t="s">
        <v>14</v>
      </c>
    </row>
    <row r="7" spans="1:13" ht="11.1" customHeight="1" x14ac:dyDescent="0.2">
      <c r="A7" s="109"/>
      <c r="B7" s="109"/>
      <c r="C7" s="111"/>
      <c r="D7" s="113"/>
      <c r="E7" s="38"/>
      <c r="F7" s="109"/>
      <c r="G7" s="115"/>
      <c r="H7" s="117"/>
      <c r="I7" s="109"/>
      <c r="J7" s="115"/>
      <c r="K7" s="115"/>
      <c r="L7" s="109"/>
      <c r="M7" s="115"/>
    </row>
    <row r="8" spans="1:13" ht="11.1" customHeight="1" x14ac:dyDescent="0.2">
      <c r="A8" s="3" t="s">
        <v>15</v>
      </c>
      <c r="B8" s="4" t="s">
        <v>16</v>
      </c>
      <c r="C8" s="5"/>
      <c r="D8" s="5"/>
      <c r="E8" s="5"/>
      <c r="F8" s="6"/>
      <c r="G8" s="7"/>
      <c r="H8" s="7"/>
      <c r="I8" s="7"/>
      <c r="J8" s="53"/>
      <c r="K8" s="53"/>
      <c r="L8" s="5"/>
      <c r="M8" s="5"/>
    </row>
    <row r="9" spans="1:13" ht="11.1" customHeight="1" outlineLevel="1" x14ac:dyDescent="0.2">
      <c r="A9" s="8" t="s">
        <v>17</v>
      </c>
      <c r="B9" s="9" t="s">
        <v>18</v>
      </c>
      <c r="C9" s="10"/>
      <c r="D9" s="10"/>
      <c r="E9" s="10"/>
      <c r="F9" s="11"/>
      <c r="G9" s="12"/>
      <c r="H9" s="12"/>
      <c r="I9" s="12"/>
      <c r="J9" s="54"/>
      <c r="K9" s="54">
        <f ca="1">SUM($K$177,$K$187,$K$74,$K$10)</f>
        <v>0</v>
      </c>
      <c r="L9" s="10"/>
      <c r="M9" s="10"/>
    </row>
    <row r="10" spans="1:13" ht="23.1" customHeight="1" outlineLevel="2" x14ac:dyDescent="0.2">
      <c r="A10" s="13" t="s">
        <v>19</v>
      </c>
      <c r="B10" s="14" t="s">
        <v>20</v>
      </c>
      <c r="C10" s="15"/>
      <c r="D10" s="15"/>
      <c r="E10" s="15"/>
      <c r="F10" s="16"/>
      <c r="G10" s="17"/>
      <c r="H10" s="18"/>
      <c r="I10" s="18"/>
      <c r="J10" s="55"/>
      <c r="K10" s="55">
        <f>SUM($K$11)</f>
        <v>0</v>
      </c>
      <c r="L10" s="19"/>
      <c r="M10" s="19"/>
    </row>
    <row r="11" spans="1:13" ht="23.1" customHeight="1" outlineLevel="3" x14ac:dyDescent="0.2">
      <c r="A11" s="13" t="s">
        <v>21</v>
      </c>
      <c r="B11" s="14" t="s">
        <v>20</v>
      </c>
      <c r="C11" s="15"/>
      <c r="D11" s="15"/>
      <c r="E11" s="15"/>
      <c r="F11" s="16"/>
      <c r="G11" s="17"/>
      <c r="H11" s="18"/>
      <c r="I11" s="18"/>
      <c r="J11" s="55"/>
      <c r="K11" s="55">
        <f>SUM($K$68,$K$66,$K$60,$K$58,$K$56,$K$46,$K$44,$K$40,$K$38,$K$34,$K$32,$K$30,$K$28,$K$24,$K$22,$K$20,$K$18,$K$16,$K$14,$K$12,K52,K54)</f>
        <v>0</v>
      </c>
      <c r="L11" s="19"/>
      <c r="M11" s="19"/>
    </row>
    <row r="12" spans="1:13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21"/>
      <c r="J12" s="56"/>
      <c r="K12" s="57">
        <f>SUM($K$13)</f>
        <v>0</v>
      </c>
      <c r="L12" s="18"/>
      <c r="M12" s="22"/>
    </row>
    <row r="13" spans="1:13" ht="11.1" customHeight="1" outlineLevel="4" x14ac:dyDescent="0.2">
      <c r="A13" s="23"/>
      <c r="B13" s="24" t="s">
        <v>23</v>
      </c>
      <c r="C13" s="25"/>
      <c r="D13" s="25"/>
      <c r="E13" s="25"/>
      <c r="F13" s="26" t="s">
        <v>24</v>
      </c>
      <c r="G13" s="27"/>
      <c r="H13" s="28">
        <v>8</v>
      </c>
      <c r="I13" s="28">
        <f>SUM($H$13:$H$13)</f>
        <v>8</v>
      </c>
      <c r="J13" s="58">
        <f t="array" ref="J13">INDEX(Р[Цена за ед., руб],MATCH(1,IF(($B13=Р[Наименование])*($L13=Р[Примечание]),{1},($B13=Р[Наименование])*($L13=Р[Примечание])),0))</f>
        <v>0</v>
      </c>
      <c r="K13" s="58">
        <f>ROUND($I$13*$J$13,2)</f>
        <v>0</v>
      </c>
      <c r="L13" s="25"/>
      <c r="M13" s="25"/>
    </row>
    <row r="14" spans="1:13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21"/>
      <c r="J14" s="56"/>
      <c r="K14" s="57">
        <f>SUM($K$15)</f>
        <v>0</v>
      </c>
      <c r="L14" s="18"/>
      <c r="M14" s="22"/>
    </row>
    <row r="15" spans="1:13" ht="11.1" customHeight="1" outlineLevel="4" x14ac:dyDescent="0.2">
      <c r="A15" s="23"/>
      <c r="B15" s="24" t="s">
        <v>25</v>
      </c>
      <c r="C15" s="25"/>
      <c r="D15" s="25"/>
      <c r="E15" s="25"/>
      <c r="F15" s="26" t="s">
        <v>24</v>
      </c>
      <c r="G15" s="27"/>
      <c r="H15" s="28">
        <v>140</v>
      </c>
      <c r="I15" s="28">
        <f>SUM($H$15:$H$15)</f>
        <v>140</v>
      </c>
      <c r="J15" s="58">
        <f t="array" ref="J15">INDEX(Р[Цена за ед., руб],MATCH(1,IF(($B15=Р[Наименование])*($L15=Р[Примечание]),{1},($B15=Р[Наименование])*($L15=Р[Примечание])),0))</f>
        <v>0</v>
      </c>
      <c r="K15" s="58">
        <f>ROUND($I$15*$J$15,2)</f>
        <v>0</v>
      </c>
      <c r="L15" s="25"/>
      <c r="M15" s="25"/>
    </row>
    <row r="16" spans="1:13" ht="11.1" customHeight="1" outlineLevel="4" x14ac:dyDescent="0.2">
      <c r="A16" s="20"/>
      <c r="B16" s="14" t="s">
        <v>22</v>
      </c>
      <c r="C16" s="21"/>
      <c r="D16" s="21"/>
      <c r="E16" s="21"/>
      <c r="F16" s="21"/>
      <c r="G16" s="21"/>
      <c r="H16" s="21"/>
      <c r="I16" s="21"/>
      <c r="J16" s="56"/>
      <c r="K16" s="57">
        <f>SUM($K$17)</f>
        <v>0</v>
      </c>
      <c r="L16" s="18"/>
      <c r="M16" s="22"/>
    </row>
    <row r="17" spans="1:13" ht="11.1" customHeight="1" outlineLevel="4" x14ac:dyDescent="0.2">
      <c r="A17" s="23"/>
      <c r="B17" s="24" t="s">
        <v>26</v>
      </c>
      <c r="C17" s="25"/>
      <c r="D17" s="25"/>
      <c r="E17" s="25"/>
      <c r="F17" s="26" t="s">
        <v>24</v>
      </c>
      <c r="G17" s="27"/>
      <c r="H17" s="28">
        <v>24</v>
      </c>
      <c r="I17" s="28">
        <f>SUM($H$17:$H$17)</f>
        <v>24</v>
      </c>
      <c r="J17" s="58">
        <f t="array" ref="J17">INDEX(Р[Цена за ед., руб],MATCH(1,IF(($B17=Р[Наименование])*($L17=Р[Примечание]),{1},($B17=Р[Наименование])*($L17=Р[Примечание])),0))</f>
        <v>0</v>
      </c>
      <c r="K17" s="58">
        <f>ROUND($I$17*$J$17,2)</f>
        <v>0</v>
      </c>
      <c r="L17" s="25"/>
      <c r="M17" s="25"/>
    </row>
    <row r="18" spans="1:13" ht="11.1" customHeight="1" outlineLevel="4" x14ac:dyDescent="0.2">
      <c r="A18" s="20"/>
      <c r="B18" s="14" t="s">
        <v>22</v>
      </c>
      <c r="C18" s="21"/>
      <c r="D18" s="21"/>
      <c r="E18" s="21"/>
      <c r="F18" s="21"/>
      <c r="G18" s="21"/>
      <c r="H18" s="21"/>
      <c r="I18" s="21"/>
      <c r="J18" s="56"/>
      <c r="K18" s="57">
        <f>SUM($K$19)</f>
        <v>0</v>
      </c>
      <c r="L18" s="18"/>
      <c r="M18" s="22"/>
    </row>
    <row r="19" spans="1:13" ht="23.1" customHeight="1" outlineLevel="4" x14ac:dyDescent="0.2">
      <c r="A19" s="23"/>
      <c r="B19" s="24" t="s">
        <v>27</v>
      </c>
      <c r="C19" s="25"/>
      <c r="D19" s="25"/>
      <c r="E19" s="25"/>
      <c r="F19" s="26" t="s">
        <v>24</v>
      </c>
      <c r="G19" s="27"/>
      <c r="H19" s="28">
        <v>8</v>
      </c>
      <c r="I19" s="28">
        <f>SUM($H$19:$H$19)</f>
        <v>8</v>
      </c>
      <c r="J19" s="58">
        <f t="array" ref="J19">INDEX(Р[Цена за ед., руб],MATCH(1,IF(($B19=Р[Наименование])*($L19=Р[Примечание]),{1},($B19=Р[Наименование])*($L19=Р[Примечание])),0))</f>
        <v>0</v>
      </c>
      <c r="K19" s="58">
        <f>ROUND($I$19*$J$19,2)</f>
        <v>0</v>
      </c>
      <c r="L19" s="25"/>
      <c r="M19" s="25"/>
    </row>
    <row r="20" spans="1:13" ht="11.1" customHeight="1" outlineLevel="4" x14ac:dyDescent="0.2">
      <c r="A20" s="20"/>
      <c r="B20" s="14" t="s">
        <v>28</v>
      </c>
      <c r="C20" s="21"/>
      <c r="D20" s="21"/>
      <c r="E20" s="21"/>
      <c r="F20" s="21"/>
      <c r="G20" s="21"/>
      <c r="H20" s="21"/>
      <c r="I20" s="21"/>
      <c r="J20" s="56"/>
      <c r="K20" s="57">
        <f>SUM($K$21)</f>
        <v>0</v>
      </c>
      <c r="L20" s="18"/>
      <c r="M20" s="22"/>
    </row>
    <row r="21" spans="1:13" ht="23.1" customHeight="1" outlineLevel="4" x14ac:dyDescent="0.2">
      <c r="A21" s="23" t="s">
        <v>29</v>
      </c>
      <c r="B21" s="24" t="s">
        <v>30</v>
      </c>
      <c r="C21" s="25"/>
      <c r="D21" s="25" t="s">
        <v>31</v>
      </c>
      <c r="E21" s="25"/>
      <c r="F21" s="26" t="s">
        <v>24</v>
      </c>
      <c r="G21" s="27"/>
      <c r="H21" s="28">
        <v>8</v>
      </c>
      <c r="I21" s="28">
        <f>SUM($H$21:$H$21)</f>
        <v>8</v>
      </c>
      <c r="J21" s="58">
        <f t="array" ref="J21">INDEX(М[Цена за ед., руб],MATCH(1,IF(($B21=М[Наим.])*($C21=М[Артикул, марка, произв.])*($D21=М[Хар-ка])*($L21=М[Прим.]),{1},($B21=М[Наим.])*($C21=М[Артикул, марка, произв.])*($D21=М[Хар-ка])*($L21=М[Прим.])),0))</f>
        <v>0</v>
      </c>
      <c r="K21" s="58">
        <f>ROUND($I$21*$J$21,2)</f>
        <v>0</v>
      </c>
      <c r="L21" s="25"/>
      <c r="M21" s="25">
        <f t="array" ref="M21">INDEX(М[Форма закупа],MATCH(1,IF(($B21=М[Наим.])*($C21=М[Артикул, марка, произв.])*($D21=М[Хар-ка])*($L21=М[Прим.]),{1},($B21=М[Наим.])*($C21=М[Артикул, марка, произв.])*($D21=М[Хар-ка])*($L21=М[Прим.])),0))</f>
        <v>0</v>
      </c>
    </row>
    <row r="22" spans="1:13" ht="11.1" customHeight="1" outlineLevel="4" x14ac:dyDescent="0.2">
      <c r="A22" s="20"/>
      <c r="B22" s="14" t="s">
        <v>22</v>
      </c>
      <c r="C22" s="21"/>
      <c r="D22" s="21"/>
      <c r="E22" s="21"/>
      <c r="F22" s="21"/>
      <c r="G22" s="21"/>
      <c r="H22" s="21"/>
      <c r="I22" s="21"/>
      <c r="J22" s="56"/>
      <c r="K22" s="57">
        <f>SUM($K$23)</f>
        <v>0</v>
      </c>
      <c r="L22" s="18"/>
      <c r="M22" s="22"/>
    </row>
    <row r="23" spans="1:13" ht="11.1" customHeight="1" outlineLevel="4" x14ac:dyDescent="0.2">
      <c r="A23" s="23"/>
      <c r="B23" s="24" t="s">
        <v>32</v>
      </c>
      <c r="C23" s="25"/>
      <c r="D23" s="25"/>
      <c r="E23" s="25"/>
      <c r="F23" s="26" t="s">
        <v>24</v>
      </c>
      <c r="G23" s="27"/>
      <c r="H23" s="28">
        <v>28</v>
      </c>
      <c r="I23" s="28">
        <f>SUM($H$23:$H$23)</f>
        <v>28</v>
      </c>
      <c r="J23" s="58">
        <f t="array" ref="J23">INDEX(Р[Цена за ед., руб],MATCH(1,IF(($B23=Р[Наименование])*($L23=Р[Примечание]),{1},($B23=Р[Наименование])*($L23=Р[Примечание])),0))</f>
        <v>0</v>
      </c>
      <c r="K23" s="58">
        <f>ROUND($I$23*$J$23,2)</f>
        <v>0</v>
      </c>
      <c r="L23" s="25"/>
      <c r="M23" s="25"/>
    </row>
    <row r="24" spans="1:13" ht="11.1" customHeight="1" outlineLevel="4" x14ac:dyDescent="0.2">
      <c r="A24" s="20"/>
      <c r="B24" s="14" t="s">
        <v>28</v>
      </c>
      <c r="C24" s="21"/>
      <c r="D24" s="21"/>
      <c r="E24" s="21"/>
      <c r="F24" s="21"/>
      <c r="G24" s="21"/>
      <c r="H24" s="21"/>
      <c r="I24" s="21"/>
      <c r="J24" s="56"/>
      <c r="K24" s="57">
        <f>SUM($K$25:$K$27)</f>
        <v>0</v>
      </c>
      <c r="L24" s="18"/>
      <c r="M24" s="22"/>
    </row>
    <row r="25" spans="1:13" ht="71.099999999999994" customHeight="1" outlineLevel="4" x14ac:dyDescent="0.2">
      <c r="A25" s="23" t="s">
        <v>29</v>
      </c>
      <c r="B25" s="24" t="s">
        <v>33</v>
      </c>
      <c r="C25" s="25"/>
      <c r="D25" s="25" t="s">
        <v>34</v>
      </c>
      <c r="E25" s="25"/>
      <c r="F25" s="26" t="s">
        <v>24</v>
      </c>
      <c r="G25" s="27"/>
      <c r="H25" s="28">
        <v>4</v>
      </c>
      <c r="I25" s="28">
        <f>SUM($H$25:$H$25)</f>
        <v>4</v>
      </c>
      <c r="J25" s="58">
        <f t="array" ref="J25">INDEX(М[Цена за ед., руб],MATCH(1,IF(($B25=М[Наим.])*($C25=М[Артикул, марка, произв.])*($D25=М[Хар-ка])*($L25=М[Прим.]),{1},($B25=М[Наим.])*($C25=М[Артикул, марка, произв.])*($D25=М[Хар-ка])*($L25=М[Прим.])),0))</f>
        <v>0</v>
      </c>
      <c r="K25" s="58">
        <f>ROUND($I$25*$J$25,2)</f>
        <v>0</v>
      </c>
      <c r="L25" s="25"/>
      <c r="M25" s="25">
        <f t="array" ref="M25">INDEX(М[Форма закупа],MATCH(1,IF(($B25=М[Наим.])*($C25=М[Артикул, марка, произв.])*($D25=М[Хар-ка])*($L25=М[Прим.]),{1},($B25=М[Наим.])*($C25=М[Артикул, марка, произв.])*($D25=М[Хар-ка])*($L25=М[Прим.])),0))</f>
        <v>0</v>
      </c>
    </row>
    <row r="26" spans="1:13" ht="71.099999999999994" customHeight="1" outlineLevel="4" x14ac:dyDescent="0.2">
      <c r="A26" s="23" t="s">
        <v>35</v>
      </c>
      <c r="B26" s="24" t="s">
        <v>33</v>
      </c>
      <c r="C26" s="25"/>
      <c r="D26" s="25" t="s">
        <v>36</v>
      </c>
      <c r="E26" s="25"/>
      <c r="F26" s="26" t="s">
        <v>24</v>
      </c>
      <c r="G26" s="27"/>
      <c r="H26" s="28">
        <v>20</v>
      </c>
      <c r="I26" s="28">
        <f>SUM($H$26:$H$26)</f>
        <v>20</v>
      </c>
      <c r="J26" s="58">
        <f t="array" ref="J26">INDEX(М[Цена за ед., руб],MATCH(1,IF(($B26=М[Наим.])*($C26=М[Артикул, марка, произв.])*($D26=М[Хар-ка])*($L26=М[Прим.]),{1},($B26=М[Наим.])*($C26=М[Артикул, марка, произв.])*($D26=М[Хар-ка])*($L26=М[Прим.])),0))</f>
        <v>0</v>
      </c>
      <c r="K26" s="58">
        <f>ROUND($I$26*$J$26,2)</f>
        <v>0</v>
      </c>
      <c r="L26" s="25"/>
      <c r="M26" s="25">
        <f t="array" ref="M26">INDEX(М[Форма закупа],MATCH(1,IF(($B26=М[Наим.])*($C26=М[Артикул, марка, произв.])*($D26=М[Хар-ка])*($L26=М[Прим.]),{1},($B26=М[Наим.])*($C26=М[Артикул, марка, произв.])*($D26=М[Хар-ка])*($L26=М[Прим.])),0))</f>
        <v>0</v>
      </c>
    </row>
    <row r="27" spans="1:13" ht="71.099999999999994" customHeight="1" outlineLevel="4" x14ac:dyDescent="0.2">
      <c r="A27" s="23" t="s">
        <v>37</v>
      </c>
      <c r="B27" s="24" t="s">
        <v>33</v>
      </c>
      <c r="C27" s="25"/>
      <c r="D27" s="25" t="s">
        <v>38</v>
      </c>
      <c r="E27" s="25"/>
      <c r="F27" s="26" t="s">
        <v>24</v>
      </c>
      <c r="G27" s="27"/>
      <c r="H27" s="28">
        <v>4</v>
      </c>
      <c r="I27" s="28">
        <f>SUM($H$27:$H$27)</f>
        <v>4</v>
      </c>
      <c r="J27" s="58">
        <f t="array" ref="J27">INDEX(М[Цена за ед., руб],MATCH(1,IF(($B27=М[Наим.])*($C27=М[Артикул,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  <c r="K27" s="58">
        <f>ROUND($I$27*$J$27,2)</f>
        <v>0</v>
      </c>
      <c r="L27" s="25"/>
      <c r="M27" s="25">
        <f t="array" ref="M27">INDEX(М[Форма закупа],MATCH(1,IF(($B27=М[Наим.])*($C27=М[Артикул,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</row>
    <row r="28" spans="1:13" ht="11.1" customHeight="1" outlineLevel="4" x14ac:dyDescent="0.2">
      <c r="A28" s="20"/>
      <c r="B28" s="14" t="s">
        <v>22</v>
      </c>
      <c r="C28" s="21"/>
      <c r="D28" s="21"/>
      <c r="E28" s="21"/>
      <c r="F28" s="21"/>
      <c r="G28" s="21"/>
      <c r="H28" s="21"/>
      <c r="I28" s="21"/>
      <c r="J28" s="56"/>
      <c r="K28" s="57">
        <f>SUM($K$29)</f>
        <v>0</v>
      </c>
      <c r="L28" s="18"/>
      <c r="M28" s="22"/>
    </row>
    <row r="29" spans="1:13" ht="23.1" customHeight="1" outlineLevel="4" x14ac:dyDescent="0.2">
      <c r="A29" s="23"/>
      <c r="B29" s="24" t="s">
        <v>39</v>
      </c>
      <c r="C29" s="25"/>
      <c r="D29" s="25"/>
      <c r="E29" s="25"/>
      <c r="F29" s="26" t="s">
        <v>24</v>
      </c>
      <c r="G29" s="27"/>
      <c r="H29" s="28">
        <v>8</v>
      </c>
      <c r="I29" s="28">
        <f>SUM($H$29:$H$29)</f>
        <v>8</v>
      </c>
      <c r="J29" s="58">
        <f t="array" ref="J29">INDEX(Р[Цена за ед., руб],MATCH(1,IF(($B29=Р[Наименование])*($L29=Р[Примечание]),{1},($B29=Р[Наименование])*($L29=Р[Примечание])),0))</f>
        <v>0</v>
      </c>
      <c r="K29" s="58">
        <f>ROUND($I$29*$J$29,2)</f>
        <v>0</v>
      </c>
      <c r="L29" s="25"/>
      <c r="M29" s="25"/>
    </row>
    <row r="30" spans="1:13" ht="11.1" customHeight="1" outlineLevel="4" x14ac:dyDescent="0.2">
      <c r="A30" s="20"/>
      <c r="B30" s="14" t="s">
        <v>28</v>
      </c>
      <c r="C30" s="21"/>
      <c r="D30" s="21"/>
      <c r="E30" s="21"/>
      <c r="F30" s="21"/>
      <c r="G30" s="21"/>
      <c r="H30" s="21"/>
      <c r="I30" s="21"/>
      <c r="J30" s="56"/>
      <c r="K30" s="57">
        <f>SUM($K$31)</f>
        <v>0</v>
      </c>
      <c r="L30" s="18"/>
      <c r="M30" s="22"/>
    </row>
    <row r="31" spans="1:13" ht="23.1" customHeight="1" outlineLevel="4" x14ac:dyDescent="0.2">
      <c r="A31" s="23" t="s">
        <v>29</v>
      </c>
      <c r="B31" s="24" t="s">
        <v>40</v>
      </c>
      <c r="C31" s="25"/>
      <c r="D31" s="25" t="s">
        <v>41</v>
      </c>
      <c r="E31" s="25"/>
      <c r="F31" s="26" t="s">
        <v>24</v>
      </c>
      <c r="G31" s="27"/>
      <c r="H31" s="28">
        <v>8</v>
      </c>
      <c r="I31" s="28">
        <f>SUM($H$31:$H$31)</f>
        <v>8</v>
      </c>
      <c r="J31" s="58">
        <f t="array" ref="J31">INDEX(М[Цена за ед., руб],MATCH(1,IF(($B31=М[Наим.])*($C31=М[Артикул, марка, произв.])*($D31=М[Хар-ка])*($L31=М[Прим.]),{1},($B31=М[Наим.])*($C31=М[Артикул, марка, произв.])*($D31=М[Хар-ка])*($L31=М[Прим.])),0))</f>
        <v>0</v>
      </c>
      <c r="K31" s="58">
        <f>ROUND($I$31*$J$31,2)</f>
        <v>0</v>
      </c>
      <c r="L31" s="25"/>
      <c r="M31" s="25">
        <f t="array" ref="M31">INDEX(М[Форма закупа],MATCH(1,IF(($B31=М[Наим.])*($C31=М[Артикул, марка, произв.])*($D31=М[Хар-ка])*($L31=М[Прим.]),{1},($B31=М[Наим.])*($C31=М[Артикул, марка, произв.])*($D31=М[Хар-ка])*($L31=М[Прим.])),0))</f>
        <v>0</v>
      </c>
    </row>
    <row r="32" spans="1:13" ht="11.1" customHeight="1" outlineLevel="4" x14ac:dyDescent="0.2">
      <c r="A32" s="20"/>
      <c r="B32" s="14" t="s">
        <v>22</v>
      </c>
      <c r="C32" s="21"/>
      <c r="D32" s="21"/>
      <c r="E32" s="21"/>
      <c r="F32" s="21"/>
      <c r="G32" s="21"/>
      <c r="H32" s="21"/>
      <c r="I32" s="21"/>
      <c r="J32" s="56"/>
      <c r="K32" s="57">
        <f>SUM($K$33)</f>
        <v>0</v>
      </c>
      <c r="L32" s="18"/>
      <c r="M32" s="22"/>
    </row>
    <row r="33" spans="1:13" ht="11.1" customHeight="1" outlineLevel="4" x14ac:dyDescent="0.2">
      <c r="A33" s="23"/>
      <c r="B33" s="24" t="s">
        <v>42</v>
      </c>
      <c r="C33" s="25"/>
      <c r="D33" s="25"/>
      <c r="E33" s="25"/>
      <c r="F33" s="26" t="s">
        <v>24</v>
      </c>
      <c r="G33" s="27"/>
      <c r="H33" s="28">
        <v>36</v>
      </c>
      <c r="I33" s="28">
        <f>SUM($H$33:$H$33)</f>
        <v>36</v>
      </c>
      <c r="J33" s="58">
        <f t="array" ref="J33">INDEX(Р[Цена за ед., руб],MATCH(1,IF(($B33=Р[Наименование])*($L33=Р[Примечание]),{1},($B33=Р[Наименование])*($L33=Р[Примечание])),0))</f>
        <v>0</v>
      </c>
      <c r="K33" s="58">
        <f>ROUND($I$33*$J$33,2)</f>
        <v>0</v>
      </c>
      <c r="L33" s="25"/>
      <c r="M33" s="25"/>
    </row>
    <row r="34" spans="1:13" ht="11.1" customHeight="1" outlineLevel="4" x14ac:dyDescent="0.2">
      <c r="A34" s="20"/>
      <c r="B34" s="14" t="s">
        <v>28</v>
      </c>
      <c r="C34" s="21"/>
      <c r="D34" s="21"/>
      <c r="E34" s="21"/>
      <c r="F34" s="21"/>
      <c r="G34" s="21"/>
      <c r="H34" s="21"/>
      <c r="I34" s="21"/>
      <c r="J34" s="56"/>
      <c r="K34" s="57">
        <f>SUM($K$35:$K$37)</f>
        <v>0</v>
      </c>
      <c r="L34" s="18"/>
      <c r="M34" s="22"/>
    </row>
    <row r="35" spans="1:13" ht="35.1" customHeight="1" outlineLevel="4" x14ac:dyDescent="0.2">
      <c r="A35" s="23" t="s">
        <v>29</v>
      </c>
      <c r="B35" s="24" t="s">
        <v>43</v>
      </c>
      <c r="C35" s="25"/>
      <c r="D35" s="25" t="s">
        <v>44</v>
      </c>
      <c r="E35" s="25"/>
      <c r="F35" s="26" t="s">
        <v>24</v>
      </c>
      <c r="G35" s="27"/>
      <c r="H35" s="28">
        <v>28</v>
      </c>
      <c r="I35" s="28">
        <f>SUM($H$35:$H$35)</f>
        <v>28</v>
      </c>
      <c r="J35" s="58">
        <f t="array" ref="J35">INDEX(М[Цена за ед., руб],MATCH(1,IF(($B35=М[Наим.])*($C35=М[Артикул,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  <c r="K35" s="58">
        <f>ROUND($I$35*$J$35,2)</f>
        <v>0</v>
      </c>
      <c r="L35" s="25"/>
      <c r="M35" s="25">
        <f t="array" ref="M35">INDEX(М[Форма закупа],MATCH(1,IF(($B35=М[Наим.])*($C35=М[Артикул,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</row>
    <row r="36" spans="1:13" ht="35.1" customHeight="1" outlineLevel="4" x14ac:dyDescent="0.2">
      <c r="A36" s="23" t="s">
        <v>35</v>
      </c>
      <c r="B36" s="24" t="s">
        <v>43</v>
      </c>
      <c r="C36" s="25"/>
      <c r="D36" s="25" t="s">
        <v>45</v>
      </c>
      <c r="E36" s="25"/>
      <c r="F36" s="26" t="s">
        <v>24</v>
      </c>
      <c r="G36" s="27"/>
      <c r="H36" s="28">
        <v>4</v>
      </c>
      <c r="I36" s="28">
        <f>SUM($H$36:$H$36)</f>
        <v>4</v>
      </c>
      <c r="J36" s="58">
        <f t="array" ref="J36">INDEX(М[Цена за ед., руб],MATCH(1,IF(($B36=М[Наим.])*($C36=М[Артикул, марка, произв.])*($D36=М[Хар-ка])*($L36=М[Прим.]),{1},($B36=М[Наим.])*($C36=М[Артикул, марка, произв.])*($D36=М[Хар-ка])*($L36=М[Прим.])),0))</f>
        <v>0</v>
      </c>
      <c r="K36" s="58">
        <f>ROUND($I$36*$J$36,2)</f>
        <v>0</v>
      </c>
      <c r="L36" s="25"/>
      <c r="M36" s="25">
        <f t="array" ref="M36">INDEX(М[Форма закупа],MATCH(1,IF(($B36=М[Наим.])*($C36=М[Артикул, марка, произв.])*($D36=М[Хар-ка])*($L36=М[Прим.]),{1},($B36=М[Наим.])*($C36=М[Артикул, марка, произв.])*($D36=М[Хар-ка])*($L36=М[Прим.])),0))</f>
        <v>0</v>
      </c>
    </row>
    <row r="37" spans="1:13" ht="35.1" customHeight="1" outlineLevel="4" x14ac:dyDescent="0.2">
      <c r="A37" s="23" t="s">
        <v>37</v>
      </c>
      <c r="B37" s="24" t="s">
        <v>43</v>
      </c>
      <c r="C37" s="25"/>
      <c r="D37" s="25" t="s">
        <v>46</v>
      </c>
      <c r="E37" s="25"/>
      <c r="F37" s="26" t="s">
        <v>24</v>
      </c>
      <c r="G37" s="27"/>
      <c r="H37" s="28">
        <v>4</v>
      </c>
      <c r="I37" s="28">
        <f>SUM($H$37:$H$37)</f>
        <v>4</v>
      </c>
      <c r="J37" s="58">
        <f t="array" ref="J37">INDEX(М[Цена за ед., руб],MATCH(1,IF(($B37=М[Наим.])*($C37=М[Артикул,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  <c r="K37" s="58">
        <f>ROUND($I$37*$J$37,2)</f>
        <v>0</v>
      </c>
      <c r="L37" s="25"/>
      <c r="M37" s="25">
        <f t="array" ref="M37">INDEX(М[Форма закупа],MATCH(1,IF(($B37=М[Наим.])*($C37=М[Артикул,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</row>
    <row r="38" spans="1:13" ht="11.1" customHeight="1" outlineLevel="4" x14ac:dyDescent="0.2">
      <c r="A38" s="20"/>
      <c r="B38" s="14" t="s">
        <v>22</v>
      </c>
      <c r="C38" s="21"/>
      <c r="D38" s="21"/>
      <c r="E38" s="21"/>
      <c r="F38" s="21"/>
      <c r="G38" s="21"/>
      <c r="H38" s="21"/>
      <c r="I38" s="21"/>
      <c r="J38" s="56"/>
      <c r="K38" s="57">
        <f>SUM($K$39)</f>
        <v>0</v>
      </c>
      <c r="L38" s="18"/>
      <c r="M38" s="22"/>
    </row>
    <row r="39" spans="1:13" ht="11.1" customHeight="1" outlineLevel="4" x14ac:dyDescent="0.2">
      <c r="A39" s="23"/>
      <c r="B39" s="24" t="s">
        <v>47</v>
      </c>
      <c r="C39" s="25"/>
      <c r="D39" s="25"/>
      <c r="E39" s="25"/>
      <c r="F39" s="26" t="s">
        <v>24</v>
      </c>
      <c r="G39" s="27"/>
      <c r="H39" s="28">
        <v>182</v>
      </c>
      <c r="I39" s="28">
        <f>SUM($H$39:$H$39)</f>
        <v>182</v>
      </c>
      <c r="J39" s="58">
        <f t="array" ref="J39">INDEX(Р[Цена за ед., руб],MATCH(1,IF(($B39=Р[Наименование])*($L39=Р[Примечание]),{1},($B39=Р[Наименование])*($L39=Р[Примечание])),0))</f>
        <v>0</v>
      </c>
      <c r="K39" s="58">
        <f>ROUND($I$39*$J$39,2)</f>
        <v>0</v>
      </c>
      <c r="L39" s="25"/>
      <c r="M39" s="25"/>
    </row>
    <row r="40" spans="1:13" ht="11.1" customHeight="1" outlineLevel="4" x14ac:dyDescent="0.2">
      <c r="A40" s="20"/>
      <c r="B40" s="14" t="s">
        <v>28</v>
      </c>
      <c r="C40" s="21"/>
      <c r="D40" s="21"/>
      <c r="E40" s="21"/>
      <c r="F40" s="21"/>
      <c r="G40" s="21"/>
      <c r="H40" s="21"/>
      <c r="I40" s="21"/>
      <c r="J40" s="56"/>
      <c r="K40" s="57">
        <f>SUM($K$41:$K$43)</f>
        <v>0</v>
      </c>
      <c r="L40" s="18"/>
      <c r="M40" s="22"/>
    </row>
    <row r="41" spans="1:13" ht="11.1" customHeight="1" outlineLevel="4" x14ac:dyDescent="0.2">
      <c r="A41" s="23" t="s">
        <v>29</v>
      </c>
      <c r="B41" s="24" t="s">
        <v>48</v>
      </c>
      <c r="C41" s="25"/>
      <c r="D41" s="25"/>
      <c r="E41" s="25"/>
      <c r="F41" s="26" t="s">
        <v>49</v>
      </c>
      <c r="G41" s="27"/>
      <c r="H41" s="28">
        <v>182</v>
      </c>
      <c r="I41" s="28">
        <f>SUM($H$41:$H$41)</f>
        <v>182</v>
      </c>
      <c r="J41" s="58">
        <f t="array" ref="J41">INDEX(М[Цена за ед., руб],MATCH(1,IF(($B41=М[Наим.])*($C41=М[Артикул, марка, произв.])*($D41=М[Хар-ка])*($L41=М[Прим.]),{1},($B41=М[Наим.])*($C41=М[Артикул, марка, произв.])*($D41=М[Хар-ка])*($L41=М[Прим.])),0))</f>
        <v>0</v>
      </c>
      <c r="K41" s="58">
        <f>ROUND($I$41*$J$41,2)</f>
        <v>0</v>
      </c>
      <c r="L41" s="25"/>
      <c r="M41" s="25">
        <f t="array" ref="M41">INDEX(М[Форма закупа],MATCH(1,IF(($B41=М[Наим.])*($C41=М[Артикул, марка, произв.])*($D41=М[Хар-ка])*($L41=М[Прим.]),{1},($B41=М[Наим.])*($C41=М[Артикул, марка, произв.])*($D41=М[Хар-ка])*($L41=М[Прим.])),0))</f>
        <v>0</v>
      </c>
    </row>
    <row r="42" spans="1:13" ht="23.1" customHeight="1" outlineLevel="4" x14ac:dyDescent="0.2">
      <c r="A42" s="23" t="s">
        <v>35</v>
      </c>
      <c r="B42" s="24" t="s">
        <v>50</v>
      </c>
      <c r="C42" s="25"/>
      <c r="D42" s="25" t="s">
        <v>51</v>
      </c>
      <c r="E42" s="25"/>
      <c r="F42" s="26" t="s">
        <v>24</v>
      </c>
      <c r="G42" s="27"/>
      <c r="H42" s="28">
        <v>182</v>
      </c>
      <c r="I42" s="28">
        <f>SUM($H$42:$H$42)</f>
        <v>182</v>
      </c>
      <c r="J42" s="58">
        <f t="array" ref="J42">INDEX(М[Цена за ед., руб],MATCH(1,IF(($B42=М[Наим.])*($C42=М[Артикул, марка, произв.])*($D42=М[Хар-ка])*($L42=М[Прим.]),{1},($B42=М[Наим.])*($C42=М[Артикул, марка, произв.])*($D42=М[Хар-ка])*($L42=М[Прим.])),0))</f>
        <v>0</v>
      </c>
      <c r="K42" s="58">
        <f>ROUND($I$42*$J$42,2)</f>
        <v>0</v>
      </c>
      <c r="L42" s="25"/>
      <c r="M42" s="25">
        <f t="array" ref="M42">INDEX(М[Форма закупа],MATCH(1,IF(($B42=М[Наим.])*($C42=М[Артикул, марка, произв.])*($D42=М[Хар-ка])*($L42=М[Прим.]),{1},($B42=М[Наим.])*($C42=М[Артикул, марка, произв.])*($D42=М[Хар-ка])*($L42=М[Прим.])),0))</f>
        <v>0</v>
      </c>
    </row>
    <row r="43" spans="1:13" ht="23.1" customHeight="1" outlineLevel="4" x14ac:dyDescent="0.2">
      <c r="A43" s="23" t="s">
        <v>37</v>
      </c>
      <c r="B43" s="24" t="s">
        <v>52</v>
      </c>
      <c r="C43" s="25"/>
      <c r="D43" s="25" t="s">
        <v>53</v>
      </c>
      <c r="E43" s="25"/>
      <c r="F43" s="26" t="s">
        <v>24</v>
      </c>
      <c r="G43" s="27"/>
      <c r="H43" s="28">
        <v>182</v>
      </c>
      <c r="I43" s="28">
        <f>SUM($H$43:$H$43)</f>
        <v>182</v>
      </c>
      <c r="J43" s="58">
        <f t="array" ref="J43">INDEX(М[Цена за ед., руб],MATCH(1,IF(($B43=М[Наим.])*($C43=М[Артикул,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  <c r="K43" s="58">
        <f>ROUND($I$43*$J$43,2)</f>
        <v>0</v>
      </c>
      <c r="L43" s="25"/>
      <c r="M43" s="25">
        <f t="array" ref="M43">INDEX(М[Форма закупа],MATCH(1,IF(($B43=М[Наим.])*($C43=М[Артикул,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</row>
    <row r="44" spans="1:13" ht="11.1" customHeight="1" outlineLevel="4" x14ac:dyDescent="0.2">
      <c r="A44" s="20"/>
      <c r="B44" s="14" t="s">
        <v>22</v>
      </c>
      <c r="C44" s="21"/>
      <c r="D44" s="21"/>
      <c r="E44" s="21"/>
      <c r="F44" s="21"/>
      <c r="G44" s="21"/>
      <c r="H44" s="21"/>
      <c r="I44" s="21"/>
      <c r="J44" s="56"/>
      <c r="K44" s="57">
        <f>SUM($K$45)</f>
        <v>0</v>
      </c>
      <c r="L44" s="18"/>
      <c r="M44" s="22"/>
    </row>
    <row r="45" spans="1:13" ht="11.1" customHeight="1" outlineLevel="4" x14ac:dyDescent="0.2">
      <c r="A45" s="23"/>
      <c r="B45" s="24" t="s">
        <v>54</v>
      </c>
      <c r="C45" s="25"/>
      <c r="D45" s="25"/>
      <c r="E45" s="25"/>
      <c r="F45" s="26" t="s">
        <v>55</v>
      </c>
      <c r="G45" s="27"/>
      <c r="H45" s="28">
        <v>496</v>
      </c>
      <c r="I45" s="28">
        <f>SUM($H$45:$H$45)</f>
        <v>496</v>
      </c>
      <c r="J45" s="58">
        <f t="array" ref="J45">INDEX(Р[Цена за ед., руб],MATCH(1,IF(($B45=Р[Наименование])*($L45=Р[Примечание]),{1},($B45=Р[Наименование])*($L45=Р[Примечание])),0))</f>
        <v>0</v>
      </c>
      <c r="K45" s="58">
        <f>ROUND($I$45*$J$45,2)</f>
        <v>0</v>
      </c>
      <c r="L45" s="25"/>
      <c r="M45" s="25"/>
    </row>
    <row r="46" spans="1:13" ht="11.1" customHeight="1" outlineLevel="4" x14ac:dyDescent="0.2">
      <c r="A46" s="20"/>
      <c r="B46" s="14" t="s">
        <v>28</v>
      </c>
      <c r="C46" s="21"/>
      <c r="D46" s="21"/>
      <c r="E46" s="21"/>
      <c r="F46" s="21"/>
      <c r="G46" s="21"/>
      <c r="H46" s="21"/>
      <c r="I46" s="21"/>
      <c r="J46" s="56"/>
      <c r="K46" s="57">
        <f>SUM($K$47:$K$51)</f>
        <v>0</v>
      </c>
      <c r="L46" s="18"/>
      <c r="M46" s="22"/>
    </row>
    <row r="47" spans="1:13" ht="35.1" customHeight="1" outlineLevel="4" x14ac:dyDescent="0.2">
      <c r="A47" s="23" t="s">
        <v>29</v>
      </c>
      <c r="B47" s="24" t="s">
        <v>56</v>
      </c>
      <c r="C47" s="25"/>
      <c r="D47" s="25" t="s">
        <v>57</v>
      </c>
      <c r="E47" s="25"/>
      <c r="F47" s="26" t="s">
        <v>58</v>
      </c>
      <c r="G47" s="27"/>
      <c r="H47" s="28">
        <v>352</v>
      </c>
      <c r="I47" s="28">
        <f>SUM($H$47:$H$47)</f>
        <v>352</v>
      </c>
      <c r="J47" s="58">
        <f t="array" ref="J47">INDEX(М[Цена за ед., руб],MATCH(1,IF(($B47=М[Наим.])*($C47=М[Артикул,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  <c r="K47" s="58">
        <f>ROUND($I$47*$J$47,2)</f>
        <v>0</v>
      </c>
      <c r="L47" s="25"/>
      <c r="M47" s="25">
        <f t="array" ref="M47">INDEX(М[Форма закупа],MATCH(1,IF(($B47=М[Наим.])*($C47=М[Артикул, марка, произв.])*($D47=М[Хар-ка])*($L47=М[Прим.]),{1},($B47=М[Наим.])*($C47=М[Артикул, марка, произв.])*($D47=М[Хар-ка])*($L47=М[Прим.])),0))</f>
        <v>0</v>
      </c>
    </row>
    <row r="48" spans="1:13" ht="35.1" customHeight="1" outlineLevel="4" x14ac:dyDescent="0.2">
      <c r="A48" s="23" t="s">
        <v>35</v>
      </c>
      <c r="B48" s="24" t="s">
        <v>56</v>
      </c>
      <c r="C48" s="25"/>
      <c r="D48" s="25" t="s">
        <v>59</v>
      </c>
      <c r="E48" s="25"/>
      <c r="F48" s="26" t="s">
        <v>58</v>
      </c>
      <c r="G48" s="27"/>
      <c r="H48" s="28">
        <v>24</v>
      </c>
      <c r="I48" s="28">
        <f>SUM($H$48:$H$48)</f>
        <v>24</v>
      </c>
      <c r="J48" s="58">
        <f t="array" ref="J48">INDEX(М[Цена за ед., руб],MATCH(1,IF(($B48=М[Наим.])*($C48=М[Артикул, марка, произв.])*($D48=М[Хар-ка])*($L48=М[Прим.]),{1},($B48=М[Наим.])*($C48=М[Артикул, марка, произв.])*($D48=М[Хар-ка])*($L48=М[Прим.])),0))</f>
        <v>0</v>
      </c>
      <c r="K48" s="58">
        <f>ROUND($I$48*$J$48,2)</f>
        <v>0</v>
      </c>
      <c r="L48" s="25"/>
      <c r="M48" s="25">
        <f t="array" ref="M48">INDEX(М[Форма закупа],MATCH(1,IF(($B48=М[Наим.])*($C48=М[Артикул, марка, произв.])*($D48=М[Хар-ка])*($L48=М[Прим.]),{1},($B48=М[Наим.])*($C48=М[Артикул, марка, произв.])*($D48=М[Хар-ка])*($L48=М[Прим.])),0))</f>
        <v>0</v>
      </c>
    </row>
    <row r="49" spans="1:13" ht="35.1" customHeight="1" outlineLevel="4" x14ac:dyDescent="0.2">
      <c r="A49" s="23" t="s">
        <v>37</v>
      </c>
      <c r="B49" s="24" t="s">
        <v>56</v>
      </c>
      <c r="C49" s="25"/>
      <c r="D49" s="25" t="s">
        <v>60</v>
      </c>
      <c r="E49" s="25"/>
      <c r="F49" s="26" t="s">
        <v>58</v>
      </c>
      <c r="G49" s="27"/>
      <c r="H49" s="28">
        <v>72</v>
      </c>
      <c r="I49" s="28">
        <f>SUM($H$49:$H$49)</f>
        <v>72</v>
      </c>
      <c r="J49" s="58">
        <f t="array" ref="J49">INDEX(М[Цена за ед., руб],MATCH(1,IF(($B49=М[Наим.])*($C49=М[Артикул, марка, произв.])*($D49=М[Хар-ка])*($L49=М[Прим.]),{1},($B49=М[Наим.])*($C49=М[Артикул, марка, произв.])*($D49=М[Хар-ка])*($L49=М[Прим.])),0))</f>
        <v>0</v>
      </c>
      <c r="K49" s="58">
        <f>ROUND($I$49*$J$49,2)</f>
        <v>0</v>
      </c>
      <c r="L49" s="25"/>
      <c r="M49" s="25">
        <f t="array" ref="M49">INDEX(М[Форма закупа],MATCH(1,IF(($B49=М[Наим.])*($C49=М[Артикул, марка, произв.])*($D49=М[Хар-ка])*($L49=М[Прим.]),{1},($B49=М[Наим.])*($C49=М[Артикул, марка, произв.])*($D49=М[Хар-ка])*($L49=М[Прим.])),0))</f>
        <v>0</v>
      </c>
    </row>
    <row r="50" spans="1:13" ht="35.1" customHeight="1" outlineLevel="4" x14ac:dyDescent="0.2">
      <c r="A50" s="23" t="s">
        <v>61</v>
      </c>
      <c r="B50" s="24" t="s">
        <v>56</v>
      </c>
      <c r="C50" s="25"/>
      <c r="D50" s="25" t="s">
        <v>62</v>
      </c>
      <c r="E50" s="25"/>
      <c r="F50" s="26" t="s">
        <v>58</v>
      </c>
      <c r="G50" s="27"/>
      <c r="H50" s="28">
        <v>24</v>
      </c>
      <c r="I50" s="28">
        <f>SUM($H$50:$H$50)</f>
        <v>24</v>
      </c>
      <c r="J50" s="58">
        <f t="array" ref="J50">INDEX(М[Цена за ед., руб],MATCH(1,IF(($B50=М[Наим.])*($C50=М[Артикул, марка, произв.])*($D50=М[Хар-ка])*($L50=М[Прим.]),{1},($B50=М[Наим.])*($C50=М[Артикул, марка, произв.])*($D50=М[Хар-ка])*($L50=М[Прим.])),0))</f>
        <v>0</v>
      </c>
      <c r="K50" s="58">
        <f>ROUND($I$50*$J$50,2)</f>
        <v>0</v>
      </c>
      <c r="L50" s="25"/>
      <c r="M50" s="25">
        <f t="array" ref="M50">INDEX(М[Форма закупа],MATCH(1,IF(($B50=М[Наим.])*($C50=М[Артикул, марка, произв.])*($D50=М[Хар-ка])*($L50=М[Прим.]),{1},($B50=М[Наим.])*($C50=М[Артикул, марка, произв.])*($D50=М[Хар-ка])*($L50=М[Прим.])),0))</f>
        <v>0</v>
      </c>
    </row>
    <row r="51" spans="1:13" ht="35.1" customHeight="1" outlineLevel="4" x14ac:dyDescent="0.2">
      <c r="A51" s="23" t="s">
        <v>63</v>
      </c>
      <c r="B51" s="24" t="s">
        <v>56</v>
      </c>
      <c r="C51" s="25"/>
      <c r="D51" s="25" t="s">
        <v>64</v>
      </c>
      <c r="E51" s="25"/>
      <c r="F51" s="26" t="s">
        <v>58</v>
      </c>
      <c r="G51" s="27"/>
      <c r="H51" s="28">
        <v>24</v>
      </c>
      <c r="I51" s="28">
        <f>SUM($H$51:$H$51)</f>
        <v>24</v>
      </c>
      <c r="J51" s="58">
        <f t="array" ref="J51">INDEX(М[Цена за ед., руб],MATCH(1,IF(($B51=М[Наим.])*($C51=М[Артикул, марка, произв.])*($D51=М[Хар-ка])*($L51=М[Прим.]),{1},($B51=М[Наим.])*($C51=М[Артикул, марка, произв.])*($D51=М[Хар-ка])*($L51=М[Прим.])),0))</f>
        <v>0</v>
      </c>
      <c r="K51" s="64">
        <f>ROUND($I$51*$J$51,2)</f>
        <v>0</v>
      </c>
      <c r="L51" s="25"/>
      <c r="M51" s="25">
        <f t="array" ref="M51">INDEX(М[Форма закупа],MATCH(1,IF(($B51=М[Наим.])*($C51=М[Артикул, марка, произв.])*($D51=М[Хар-ка])*($L51=М[Прим.]),{1},($B51=М[Наим.])*($C51=М[Артикул, марка, произв.])*($D51=М[Хар-ка])*($L51=М[Прим.])),0))</f>
        <v>0</v>
      </c>
    </row>
    <row r="52" spans="1:13" ht="11.1" customHeight="1" outlineLevel="4" x14ac:dyDescent="0.2">
      <c r="A52" s="20"/>
      <c r="B52" s="14" t="s">
        <v>22</v>
      </c>
      <c r="C52" s="21"/>
      <c r="D52" s="21"/>
      <c r="E52" s="21"/>
      <c r="F52" s="21"/>
      <c r="G52" s="21"/>
      <c r="H52" s="21"/>
      <c r="I52" s="21"/>
      <c r="J52" s="61"/>
      <c r="K52" s="66">
        <f>K53</f>
        <v>0</v>
      </c>
      <c r="L52" s="62"/>
      <c r="M52" s="22"/>
    </row>
    <row r="53" spans="1:13" ht="11.25" outlineLevel="4" x14ac:dyDescent="0.2">
      <c r="A53" s="23"/>
      <c r="B53" s="24" t="s">
        <v>198</v>
      </c>
      <c r="C53" s="25"/>
      <c r="D53" s="25"/>
      <c r="E53" s="25"/>
      <c r="F53" s="26" t="s">
        <v>24</v>
      </c>
      <c r="G53" s="27"/>
      <c r="H53" s="28">
        <v>2</v>
      </c>
      <c r="I53" s="28">
        <f>SUM(H53)</f>
        <v>2</v>
      </c>
      <c r="J53" s="58">
        <f t="array" ref="J53">INDEX(Р[Цена за ед., руб],MATCH(1,IF(($B53=Р[Наименование])*($L53=Р[Примечание]),{1},($B53=Р[Наименование])*($L53=Р[Примечание])),0))</f>
        <v>0</v>
      </c>
      <c r="K53" s="67">
        <f>J53*I53</f>
        <v>0</v>
      </c>
      <c r="L53" s="63"/>
      <c r="M53" s="25"/>
    </row>
    <row r="54" spans="1:13" ht="11.1" customHeight="1" outlineLevel="4" x14ac:dyDescent="0.2">
      <c r="A54" s="20"/>
      <c r="B54" s="14" t="s">
        <v>28</v>
      </c>
      <c r="C54" s="21"/>
      <c r="D54" s="21"/>
      <c r="E54" s="21"/>
      <c r="F54" s="21"/>
      <c r="G54" s="21"/>
      <c r="H54" s="21"/>
      <c r="I54" s="21"/>
      <c r="J54" s="61"/>
      <c r="K54" s="66">
        <f>K55</f>
        <v>0</v>
      </c>
      <c r="L54" s="62"/>
      <c r="M54" s="22"/>
    </row>
    <row r="55" spans="1:13" ht="11.25" outlineLevel="4" x14ac:dyDescent="0.2">
      <c r="A55" s="23" t="s">
        <v>29</v>
      </c>
      <c r="B55" s="24" t="s">
        <v>199</v>
      </c>
      <c r="C55" s="25" t="s">
        <v>200</v>
      </c>
      <c r="D55" s="25" t="s">
        <v>201</v>
      </c>
      <c r="E55" s="25"/>
      <c r="F55" s="26" t="s">
        <v>24</v>
      </c>
      <c r="G55" s="27"/>
      <c r="H55" s="28">
        <v>2</v>
      </c>
      <c r="I55" s="28">
        <f>SUM(H55)</f>
        <v>2</v>
      </c>
      <c r="J55" s="58">
        <f t="array" ref="J55">INDEX(М[Цена за ед., руб],MATCH(1,IF(($B55=М[Наим.])*($C55=М[Артикул, марка, произв.])*($D55=М[Хар-ка])*($L55=М[Прим.]),{1},($B55=М[Наим.])*($C55=М[Артикул, марка, произв.])*($D55=М[Хар-ка])*($L55=М[Прим.])),0))</f>
        <v>0</v>
      </c>
      <c r="K55" s="67">
        <f>J55*I55</f>
        <v>0</v>
      </c>
      <c r="L55" s="63"/>
      <c r="M55" s="25"/>
    </row>
    <row r="56" spans="1:13" ht="11.1" customHeight="1" outlineLevel="4" x14ac:dyDescent="0.2">
      <c r="A56" s="20"/>
      <c r="B56" s="14" t="s">
        <v>22</v>
      </c>
      <c r="C56" s="21"/>
      <c r="D56" s="21"/>
      <c r="E56" s="21"/>
      <c r="F56" s="21"/>
      <c r="G56" s="21"/>
      <c r="H56" s="21"/>
      <c r="I56" s="21"/>
      <c r="J56" s="61"/>
      <c r="K56" s="66">
        <f>SUM($K$57)</f>
        <v>0</v>
      </c>
      <c r="L56" s="62"/>
      <c r="M56" s="22"/>
    </row>
    <row r="57" spans="1:13" ht="11.1" customHeight="1" outlineLevel="4" x14ac:dyDescent="0.2">
      <c r="A57" s="23"/>
      <c r="B57" s="24" t="s">
        <v>65</v>
      </c>
      <c r="C57" s="25"/>
      <c r="D57" s="25"/>
      <c r="E57" s="25"/>
      <c r="F57" s="26" t="s">
        <v>24</v>
      </c>
      <c r="G57" s="27"/>
      <c r="H57" s="28">
        <v>342</v>
      </c>
      <c r="I57" s="28">
        <f>SUM($H$57:$H$57)</f>
        <v>342</v>
      </c>
      <c r="J57" s="58">
        <f t="array" ref="J57">INDEX(Р[Цена за ед., руб],MATCH(1,IF(($B57=Р[Наименование])*($L57=Р[Примечание]),{1},($B57=Р[Наименование])*($L57=Р[Примечание])),0))</f>
        <v>0</v>
      </c>
      <c r="K57" s="65">
        <f>ROUND($I$57*$J$57,2)</f>
        <v>0</v>
      </c>
      <c r="L57" s="25"/>
      <c r="M57" s="25"/>
    </row>
    <row r="58" spans="1:13" ht="11.1" customHeight="1" outlineLevel="4" x14ac:dyDescent="0.2">
      <c r="A58" s="20"/>
      <c r="B58" s="14" t="s">
        <v>22</v>
      </c>
      <c r="C58" s="21"/>
      <c r="D58" s="21"/>
      <c r="E58" s="21"/>
      <c r="F58" s="21"/>
      <c r="G58" s="21"/>
      <c r="H58" s="21"/>
      <c r="I58" s="21"/>
      <c r="J58" s="56"/>
      <c r="K58" s="57">
        <f>SUM($K$59)</f>
        <v>0</v>
      </c>
      <c r="L58" s="18"/>
      <c r="M58" s="22"/>
    </row>
    <row r="59" spans="1:13" ht="11.1" customHeight="1" outlineLevel="4" x14ac:dyDescent="0.2">
      <c r="A59" s="23"/>
      <c r="B59" s="24" t="s">
        <v>66</v>
      </c>
      <c r="C59" s="25"/>
      <c r="D59" s="25"/>
      <c r="E59" s="25"/>
      <c r="F59" s="26" t="s">
        <v>58</v>
      </c>
      <c r="G59" s="27"/>
      <c r="H59" s="28">
        <f>SUM(H61:H65)</f>
        <v>78</v>
      </c>
      <c r="I59" s="28">
        <f>SUM($H$59:$H$59)</f>
        <v>78</v>
      </c>
      <c r="J59" s="58">
        <f t="array" ref="J59">INDEX(Р[Цена за ед., руб],MATCH(1,IF(($B59=Р[Наименование])*($L59=Р[Примечание]),{1},($B59=Р[Наименование])*($L59=Р[Примечание])),0))</f>
        <v>0</v>
      </c>
      <c r="K59" s="58">
        <f>ROUND($I$59*$J$59,2)</f>
        <v>0</v>
      </c>
      <c r="L59" s="25"/>
      <c r="M59" s="25"/>
    </row>
    <row r="60" spans="1:13" ht="11.1" customHeight="1" outlineLevel="4" x14ac:dyDescent="0.2">
      <c r="A60" s="20"/>
      <c r="B60" s="14" t="s">
        <v>28</v>
      </c>
      <c r="C60" s="21"/>
      <c r="D60" s="21"/>
      <c r="E60" s="21"/>
      <c r="F60" s="21"/>
      <c r="G60" s="21"/>
      <c r="H60" s="21"/>
      <c r="I60" s="21"/>
      <c r="J60" s="56"/>
      <c r="K60" s="57">
        <f>SUM($K$61:$K$65)</f>
        <v>0</v>
      </c>
      <c r="L60" s="18"/>
      <c r="M60" s="22"/>
    </row>
    <row r="61" spans="1:13" ht="23.1" customHeight="1" outlineLevel="4" x14ac:dyDescent="0.2">
      <c r="A61" s="100" t="s">
        <v>29</v>
      </c>
      <c r="B61" s="24" t="s">
        <v>67</v>
      </c>
      <c r="C61" s="25"/>
      <c r="D61" s="25" t="s">
        <v>68</v>
      </c>
      <c r="E61" s="25"/>
      <c r="F61" s="26" t="s">
        <v>58</v>
      </c>
      <c r="G61" s="27"/>
      <c r="H61" s="28">
        <v>3</v>
      </c>
      <c r="I61" s="28">
        <f>SUM($H$61:$H$61)</f>
        <v>3</v>
      </c>
      <c r="J61" s="58">
        <f t="array" ref="J61">INDEX(М[Цена за ед., руб],MATCH(1,IF(($B61=М[Наим.])*($C61=М[Артикул, марка, произв.])*($D61=М[Хар-ка])*($L61=М[Прим.]),{1},($B61=М[Наим.])*($C61=М[Артикул, марка, произв.])*($D61=М[Хар-ка])*($L61=М[Прим.])),0))</f>
        <v>0</v>
      </c>
      <c r="K61" s="58">
        <f>ROUND($I$61*$J$61,2)</f>
        <v>0</v>
      </c>
      <c r="L61" s="25" t="s">
        <v>69</v>
      </c>
      <c r="M61" s="25">
        <f t="array" ref="M61">INDEX(М[Форма закупа],MATCH(1,IF(($B61=М[Наим.])*($C61=М[Артикул, марка, произв.])*($D61=М[Хар-ка])*($L61=М[Прим.]),{1},($B61=М[Наим.])*($C61=М[Артикул, марка, произв.])*($D61=М[Хар-ка])*($L61=М[Прим.])),0))</f>
        <v>0</v>
      </c>
    </row>
    <row r="62" spans="1:13" ht="23.1" customHeight="1" outlineLevel="4" x14ac:dyDescent="0.2">
      <c r="A62" s="100" t="s">
        <v>35</v>
      </c>
      <c r="B62" s="24" t="s">
        <v>67</v>
      </c>
      <c r="C62" s="25"/>
      <c r="D62" s="25" t="s">
        <v>70</v>
      </c>
      <c r="E62" s="25"/>
      <c r="F62" s="26" t="s">
        <v>58</v>
      </c>
      <c r="G62" s="27"/>
      <c r="H62" s="28">
        <v>3</v>
      </c>
      <c r="I62" s="28">
        <f>SUM($H$62:$H$62)</f>
        <v>3</v>
      </c>
      <c r="J62" s="58">
        <f t="array" ref="J62">INDEX(М[Цена за ед., руб],MATCH(1,IF(($B62=М[Наим.])*($C62=М[Артикул, марка, произв.])*($D62=М[Хар-ка])*($L62=М[Прим.]),{1},($B62=М[Наим.])*($C62=М[Артикул, марка, произв.])*($D62=М[Хар-ка])*($L62=М[Прим.])),0))</f>
        <v>0</v>
      </c>
      <c r="K62" s="58">
        <f>ROUND($I$62*$J$62,2)</f>
        <v>0</v>
      </c>
      <c r="L62" s="25" t="s">
        <v>69</v>
      </c>
      <c r="M62" s="25">
        <f t="array" ref="M62">INDEX(М[Форма закупа],MATCH(1,IF(($B62=М[Наим.])*($C62=М[Артикул, марка, произв.])*($D62=М[Хар-ка])*($L62=М[Прим.]),{1},($B62=М[Наим.])*($C62=М[Артикул, марка, произв.])*($D62=М[Хар-ка])*($L62=М[Прим.])),0))</f>
        <v>0</v>
      </c>
    </row>
    <row r="63" spans="1:13" ht="23.1" customHeight="1" outlineLevel="4" x14ac:dyDescent="0.2">
      <c r="A63" s="100" t="s">
        <v>37</v>
      </c>
      <c r="B63" s="24" t="s">
        <v>67</v>
      </c>
      <c r="C63" s="25"/>
      <c r="D63" s="25" t="s">
        <v>72</v>
      </c>
      <c r="E63" s="25"/>
      <c r="F63" s="26" t="s">
        <v>58</v>
      </c>
      <c r="G63" s="27"/>
      <c r="H63" s="28">
        <v>24</v>
      </c>
      <c r="I63" s="28">
        <f>SUM($H$63:$H$63)</f>
        <v>24</v>
      </c>
      <c r="J63" s="58">
        <f t="array" ref="J63">INDEX(М[Цена за ед., руб],MATCH(1,IF(($B63=М[Наим.])*($C63=М[Артикул, марка, произв.])*($D63=М[Хар-ка])*($L63=М[Прим.]),{1},($B63=М[Наим.])*($C63=М[Артикул, марка, произв.])*($D63=М[Хар-ка])*($L63=М[Прим.])),0))</f>
        <v>0</v>
      </c>
      <c r="K63" s="58">
        <f>ROUND($I$63*$J$63,2)</f>
        <v>0</v>
      </c>
      <c r="L63" s="25"/>
      <c r="M63" s="25">
        <f t="array" ref="M63">INDEX(М[Форма закупа],MATCH(1,IF(($B63=М[Наим.])*($C63=М[Артикул, марка, произв.])*($D63=М[Хар-ка])*($L63=М[Прим.]),{1},($B63=М[Наим.])*($C63=М[Артикул, марка, произв.])*($D63=М[Хар-ка])*($L63=М[Прим.])),0))</f>
        <v>0</v>
      </c>
    </row>
    <row r="64" spans="1:13" ht="23.1" customHeight="1" outlineLevel="4" x14ac:dyDescent="0.2">
      <c r="A64" s="100" t="s">
        <v>61</v>
      </c>
      <c r="B64" s="24" t="s">
        <v>67</v>
      </c>
      <c r="C64" s="25"/>
      <c r="D64" s="25" t="s">
        <v>74</v>
      </c>
      <c r="E64" s="25"/>
      <c r="F64" s="26" t="s">
        <v>58</v>
      </c>
      <c r="G64" s="27"/>
      <c r="H64" s="28">
        <v>24</v>
      </c>
      <c r="I64" s="28">
        <f>SUM($H$64:$H$64)</f>
        <v>24</v>
      </c>
      <c r="J64" s="58">
        <f t="array" ref="J64">INDEX(М[Цена за ед., руб],MATCH(1,IF(($B64=М[Наим.])*($C64=М[Артикул, марка, произв.])*($D64=М[Хар-ка])*($L64=М[Прим.]),{1},($B64=М[Наим.])*($C64=М[Артикул, марка, произв.])*($D64=М[Хар-ка])*($L64=М[Прим.])),0))</f>
        <v>0</v>
      </c>
      <c r="K64" s="58">
        <f>ROUND($I$64*$J$64,2)</f>
        <v>0</v>
      </c>
      <c r="L64" s="25"/>
      <c r="M64" s="25">
        <f t="array" ref="M64">INDEX(М[Форма закупа],MATCH(1,IF(($B64=М[Наим.])*($C64=М[Артикул, марка, произв.])*($D64=М[Хар-ка])*($L64=М[Прим.]),{1},($B64=М[Наим.])*($C64=М[Артикул, марка, произв.])*($D64=М[Хар-ка])*($L64=М[Прим.])),0))</f>
        <v>0</v>
      </c>
    </row>
    <row r="65" spans="1:13" ht="23.1" customHeight="1" outlineLevel="4" x14ac:dyDescent="0.2">
      <c r="A65" s="100" t="s">
        <v>63</v>
      </c>
      <c r="B65" s="24" t="s">
        <v>67</v>
      </c>
      <c r="C65" s="25"/>
      <c r="D65" s="25" t="s">
        <v>76</v>
      </c>
      <c r="E65" s="25"/>
      <c r="F65" s="26" t="s">
        <v>58</v>
      </c>
      <c r="G65" s="27"/>
      <c r="H65" s="28">
        <v>24</v>
      </c>
      <c r="I65" s="28">
        <f>SUM($H$65:$H$65)</f>
        <v>24</v>
      </c>
      <c r="J65" s="58">
        <f t="array" ref="J65">INDEX(М[Цена за ед., руб],MATCH(1,IF(($B65=М[Наим.])*($C65=М[Артикул,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  <c r="K65" s="58">
        <f>ROUND($I$65*$J$65,2)</f>
        <v>0</v>
      </c>
      <c r="L65" s="25"/>
      <c r="M65" s="25">
        <f t="array" ref="M65">INDEX(М[Форма закупа],MATCH(1,IF(($B65=М[Наим.])*($C65=М[Артикул, марка, произв.])*($D65=М[Хар-ка])*($L65=М[Прим.]),{1},($B65=М[Наим.])*($C65=М[Артикул, марка, произв.])*($D65=М[Хар-ка])*($L65=М[Прим.])),0))</f>
        <v>0</v>
      </c>
    </row>
    <row r="66" spans="1:13" ht="11.1" customHeight="1" outlineLevel="4" x14ac:dyDescent="0.2">
      <c r="A66" s="20"/>
      <c r="B66" s="14" t="s">
        <v>22</v>
      </c>
      <c r="C66" s="21"/>
      <c r="D66" s="21"/>
      <c r="E66" s="21"/>
      <c r="F66" s="21"/>
      <c r="G66" s="21"/>
      <c r="H66" s="21"/>
      <c r="I66" s="21"/>
      <c r="J66" s="56"/>
      <c r="K66" s="57">
        <f>SUM($K$67)</f>
        <v>0</v>
      </c>
      <c r="L66" s="18"/>
      <c r="M66" s="22"/>
    </row>
    <row r="67" spans="1:13" ht="11.1" customHeight="1" outlineLevel="4" x14ac:dyDescent="0.2">
      <c r="A67" s="23"/>
      <c r="B67" s="24" t="s">
        <v>77</v>
      </c>
      <c r="C67" s="25"/>
      <c r="D67" s="25"/>
      <c r="E67" s="25"/>
      <c r="F67" s="26" t="s">
        <v>58</v>
      </c>
      <c r="G67" s="27"/>
      <c r="H67" s="28">
        <v>473</v>
      </c>
      <c r="I67" s="28">
        <f>SUM($H$67:$H$67)</f>
        <v>473</v>
      </c>
      <c r="J67" s="58">
        <f t="array" ref="J67">INDEX(Р[Цена за ед., руб],MATCH(1,IF(($B67=Р[Наименование])*($L67=Р[Примечание]),{1},($B67=Р[Наименование])*($L67=Р[Примечание])),0))</f>
        <v>0</v>
      </c>
      <c r="K67" s="58">
        <f>ROUND($I$67*$J$67,2)</f>
        <v>0</v>
      </c>
      <c r="L67" s="25"/>
      <c r="M67" s="25"/>
    </row>
    <row r="68" spans="1:13" ht="11.1" customHeight="1" outlineLevel="4" x14ac:dyDescent="0.2">
      <c r="A68" s="20"/>
      <c r="B68" s="14" t="s">
        <v>28</v>
      </c>
      <c r="C68" s="21"/>
      <c r="D68" s="21"/>
      <c r="E68" s="21"/>
      <c r="F68" s="21"/>
      <c r="G68" s="21"/>
      <c r="H68" s="21"/>
      <c r="I68" s="21"/>
      <c r="J68" s="56"/>
      <c r="K68" s="57">
        <f>SUM($K$69:$K$73)</f>
        <v>0</v>
      </c>
      <c r="L68" s="18"/>
      <c r="M68" s="22"/>
    </row>
    <row r="69" spans="1:13" ht="11.1" customHeight="1" outlineLevel="4" x14ac:dyDescent="0.2">
      <c r="A69" s="100" t="s">
        <v>29</v>
      </c>
      <c r="B69" s="24" t="s">
        <v>78</v>
      </c>
      <c r="C69" s="25"/>
      <c r="D69" s="25" t="s">
        <v>79</v>
      </c>
      <c r="E69" s="25"/>
      <c r="F69" s="26" t="s">
        <v>58</v>
      </c>
      <c r="G69" s="27"/>
      <c r="H69" s="28">
        <v>3</v>
      </c>
      <c r="I69" s="28">
        <f>SUM($H$69:$H$69)</f>
        <v>3</v>
      </c>
      <c r="J69" s="58">
        <f t="array" ref="J69">INDEX(М[Цена за ед., руб],MATCH(1,IF(($B69=М[Наим.])*($C69=М[Артикул, марка, произв.])*($D69=М[Хар-ка])*($L69=М[Прим.]),{1},($B69=М[Наим.])*($C69=М[Артикул, марка, произв.])*($D69=М[Хар-ка])*($L69=М[Прим.])),0))</f>
        <v>0</v>
      </c>
      <c r="K69" s="58">
        <f>ROUND($I$69*$J$69,2)</f>
        <v>0</v>
      </c>
      <c r="L69" s="25" t="s">
        <v>69</v>
      </c>
      <c r="M69" s="25">
        <f t="array" ref="M69">INDEX(М[Форма закупа],MATCH(1,IF(($B69=М[Наим.])*($C69=М[Артикул, марка, произв.])*($D69=М[Хар-ка])*($L69=М[Прим.]),{1},($B69=М[Наим.])*($C69=М[Артикул, марка, произв.])*($D69=М[Хар-ка])*($L69=М[Прим.])),0))</f>
        <v>0</v>
      </c>
    </row>
    <row r="70" spans="1:13" ht="11.1" customHeight="1" outlineLevel="4" x14ac:dyDescent="0.2">
      <c r="A70" s="100" t="s">
        <v>35</v>
      </c>
      <c r="B70" s="24" t="s">
        <v>78</v>
      </c>
      <c r="C70" s="25"/>
      <c r="D70" s="25" t="s">
        <v>80</v>
      </c>
      <c r="E70" s="25"/>
      <c r="F70" s="26" t="s">
        <v>58</v>
      </c>
      <c r="G70" s="27"/>
      <c r="H70" s="28">
        <v>352</v>
      </c>
      <c r="I70" s="28">
        <f>SUM($H$70:$H$70)</f>
        <v>352</v>
      </c>
      <c r="J70" s="58">
        <f t="array" ref="J70">INDEX(М[Цена за ед., руб],MATCH(1,IF(($B70=М[Наим.])*($C70=М[Артикул, марка, произв.])*($D70=М[Хар-ка])*($L70=М[Прим.]),{1},($B70=М[Наим.])*($C70=М[Артикул, марка, произв.])*($D70=М[Хар-ка])*($L70=М[Прим.])),0))</f>
        <v>0</v>
      </c>
      <c r="K70" s="58">
        <f>ROUND($I$70*$J$70,2)</f>
        <v>0</v>
      </c>
      <c r="L70" s="25"/>
      <c r="M70" s="25">
        <f t="array" ref="M70">INDEX(М[Форма закупа],MATCH(1,IF(($B70=М[Наим.])*($C70=М[Артикул, марка, произв.])*($D70=М[Хар-ка])*($L70=М[Прим.]),{1},($B70=М[Наим.])*($C70=М[Артикул, марка, произв.])*($D70=М[Хар-ка])*($L70=М[Прим.])),0))</f>
        <v>0</v>
      </c>
    </row>
    <row r="71" spans="1:13" ht="11.1" customHeight="1" outlineLevel="4" x14ac:dyDescent="0.2">
      <c r="A71" s="100" t="s">
        <v>37</v>
      </c>
      <c r="B71" s="24" t="s">
        <v>78</v>
      </c>
      <c r="C71" s="25"/>
      <c r="D71" s="25" t="s">
        <v>81</v>
      </c>
      <c r="E71" s="25"/>
      <c r="F71" s="26" t="s">
        <v>58</v>
      </c>
      <c r="G71" s="27"/>
      <c r="H71" s="28">
        <v>38</v>
      </c>
      <c r="I71" s="28">
        <f>SUM($H$71:$H$71)</f>
        <v>38</v>
      </c>
      <c r="J71" s="58">
        <f t="array" ref="J71">INDEX(М[Цена за ед., руб],MATCH(1,IF(($B71=М[Наим.])*($C71=М[Артикул, марка, произв.])*($D71=М[Хар-ка])*($L71=М[Прим.]),{1},($B71=М[Наим.])*($C71=М[Артикул, марка, произв.])*($D71=М[Хар-ка])*($L71=М[Прим.])),0))</f>
        <v>0</v>
      </c>
      <c r="K71" s="58">
        <f>ROUND($I$71*$J$71,2)</f>
        <v>0</v>
      </c>
      <c r="L71" s="25" t="s">
        <v>69</v>
      </c>
      <c r="M71" s="25">
        <f t="array" ref="M71">INDEX(М[Форма закупа],MATCH(1,IF(($B71=М[Наим.])*($C71=М[Артикул, марка, произв.])*($D71=М[Хар-ка])*($L71=М[Прим.]),{1},($B71=М[Наим.])*($C71=М[Артикул, марка, произв.])*($D71=М[Хар-ка])*($L71=М[Прим.])),0))</f>
        <v>0</v>
      </c>
    </row>
    <row r="72" spans="1:13" ht="11.1" customHeight="1" outlineLevel="4" x14ac:dyDescent="0.2">
      <c r="A72" s="100" t="s">
        <v>61</v>
      </c>
      <c r="B72" s="24" t="s">
        <v>78</v>
      </c>
      <c r="C72" s="25"/>
      <c r="D72" s="25" t="s">
        <v>82</v>
      </c>
      <c r="E72" s="25"/>
      <c r="F72" s="26" t="s">
        <v>58</v>
      </c>
      <c r="G72" s="27"/>
      <c r="H72" s="28">
        <v>72</v>
      </c>
      <c r="I72" s="28">
        <f>SUM($H$72:$H$72)</f>
        <v>72</v>
      </c>
      <c r="J72" s="58">
        <f t="array" ref="J72">INDEX(М[Цена за ед., руб],MATCH(1,IF(($B72=М[Наим.])*($C72=М[Артикул, марка, произв.])*($D72=М[Хар-ка])*($L72=М[Прим.]),{1},($B72=М[Наим.])*($C72=М[Артикул, марка, произв.])*($D72=М[Хар-ка])*($L72=М[Прим.])),0))</f>
        <v>0</v>
      </c>
      <c r="K72" s="58">
        <f>ROUND($I$72*$J$72,2)</f>
        <v>0</v>
      </c>
      <c r="L72" s="25"/>
      <c r="M72" s="25">
        <f t="array" ref="M72">INDEX(М[Форма закупа],MATCH(1,IF(($B72=М[Наим.])*($C72=М[Артикул, марка, произв.])*($D72=М[Хар-ка])*($L72=М[Прим.]),{1},($B72=М[Наим.])*($C72=М[Артикул, марка, произв.])*($D72=М[Хар-ка])*($L72=М[Прим.])),0))</f>
        <v>0</v>
      </c>
    </row>
    <row r="73" spans="1:13" ht="11.1" customHeight="1" outlineLevel="4" x14ac:dyDescent="0.2">
      <c r="A73" s="100" t="s">
        <v>63</v>
      </c>
      <c r="B73" s="24" t="s">
        <v>78</v>
      </c>
      <c r="C73" s="25"/>
      <c r="D73" s="25" t="s">
        <v>83</v>
      </c>
      <c r="E73" s="25"/>
      <c r="F73" s="26" t="s">
        <v>58</v>
      </c>
      <c r="G73" s="27"/>
      <c r="H73" s="28">
        <v>8</v>
      </c>
      <c r="I73" s="28">
        <f>SUM($H$73:$H$73)</f>
        <v>8</v>
      </c>
      <c r="J73" s="58">
        <f t="array" ref="J73">INDEX(М[Цена за ед., руб],MATCH(1,IF(($B73=М[Наим.])*($C73=М[Артикул, марка, произв.])*($D73=М[Хар-ка])*($L73=М[Прим.]),{1},($B73=М[Наим.])*($C73=М[Артикул, марка, произв.])*($D73=М[Хар-ка])*($L73=М[Прим.])),0))</f>
        <v>0</v>
      </c>
      <c r="K73" s="58">
        <f>ROUND($I$73*$J$73,2)</f>
        <v>0</v>
      </c>
      <c r="L73" s="25" t="s">
        <v>69</v>
      </c>
      <c r="M73" s="25">
        <f t="array" ref="M73">INDEX(М[Форма закупа],MATCH(1,IF(($B73=М[Наим.])*($C73=М[Артикул, марка, произв.])*($D73=М[Хар-ка])*($L73=М[Прим.]),{1},($B73=М[Наим.])*($C73=М[Артикул, марка, произв.])*($D73=М[Хар-ка])*($L73=М[Прим.])),0))</f>
        <v>0</v>
      </c>
    </row>
    <row r="74" spans="1:13" ht="23.1" customHeight="1" outlineLevel="2" x14ac:dyDescent="0.2">
      <c r="A74" s="13" t="s">
        <v>85</v>
      </c>
      <c r="B74" s="14" t="s">
        <v>86</v>
      </c>
      <c r="C74" s="15"/>
      <c r="D74" s="15"/>
      <c r="E74" s="15"/>
      <c r="F74" s="16"/>
      <c r="G74" s="17"/>
      <c r="H74" s="18"/>
      <c r="I74" s="18"/>
      <c r="J74" s="55"/>
      <c r="K74" s="55">
        <f>SUM($K$75)</f>
        <v>0</v>
      </c>
      <c r="L74" s="19"/>
      <c r="M74" s="19"/>
    </row>
    <row r="75" spans="1:13" ht="23.1" customHeight="1" outlineLevel="3" x14ac:dyDescent="0.2">
      <c r="A75" s="13" t="s">
        <v>87</v>
      </c>
      <c r="B75" s="14" t="s">
        <v>86</v>
      </c>
      <c r="C75" s="15"/>
      <c r="D75" s="15"/>
      <c r="E75" s="15"/>
      <c r="F75" s="16"/>
      <c r="G75" s="17"/>
      <c r="H75" s="18"/>
      <c r="I75" s="18"/>
      <c r="J75" s="55"/>
      <c r="K75" s="55">
        <f>SUM($K$173,$K$171,$K$168,$K$166,$K$164,$K$162,$K$160,$K$158,$K$155,$K$153,$K$149,$K$147,$K$143,$K$141,$K$134,$K$132,$K$111,$K$109,$K$107,$K$105,$K$102,$K$100,$K$97,$K$95,$K$93,$K$91,$K$86,$K$84,$K$82,$K$80,$K$78,$K$76)</f>
        <v>0</v>
      </c>
      <c r="L75" s="19"/>
      <c r="M75" s="19"/>
    </row>
    <row r="76" spans="1:13" ht="11.1" customHeight="1" outlineLevel="4" x14ac:dyDescent="0.2">
      <c r="A76" s="20"/>
      <c r="B76" s="14" t="s">
        <v>22</v>
      </c>
      <c r="C76" s="21"/>
      <c r="D76" s="21"/>
      <c r="E76" s="21"/>
      <c r="F76" s="21"/>
      <c r="G76" s="21"/>
      <c r="H76" s="21"/>
      <c r="I76" s="21"/>
      <c r="J76" s="56"/>
      <c r="K76" s="57">
        <f>SUM($K$77)</f>
        <v>0</v>
      </c>
      <c r="L76" s="18"/>
      <c r="M76" s="22"/>
    </row>
    <row r="77" spans="1:13" ht="23.1" customHeight="1" outlineLevel="4" x14ac:dyDescent="0.2">
      <c r="A77" s="23"/>
      <c r="B77" s="24" t="s">
        <v>88</v>
      </c>
      <c r="C77" s="25"/>
      <c r="D77" s="25"/>
      <c r="E77" s="25"/>
      <c r="F77" s="26" t="s">
        <v>24</v>
      </c>
      <c r="G77" s="27"/>
      <c r="H77" s="28">
        <v>663</v>
      </c>
      <c r="I77" s="28">
        <f>SUM($H$77:$H$77)</f>
        <v>663</v>
      </c>
      <c r="J77" s="58">
        <f t="array" ref="J77">INDEX(Р[Цена за ед., руб],MATCH(1,IF(($B77=Р[Наименование])*($L77=Р[Примечание]),{1},($B77=Р[Наименование])*($L77=Р[Примечание])),0))</f>
        <v>0</v>
      </c>
      <c r="K77" s="58">
        <f>ROUND($I$77*$J$77,2)</f>
        <v>0</v>
      </c>
      <c r="L77" s="25"/>
      <c r="M77" s="25"/>
    </row>
    <row r="78" spans="1:13" ht="11.1" customHeight="1" outlineLevel="4" x14ac:dyDescent="0.2">
      <c r="A78" s="20"/>
      <c r="B78" s="14" t="s">
        <v>28</v>
      </c>
      <c r="C78" s="21"/>
      <c r="D78" s="21"/>
      <c r="E78" s="21"/>
      <c r="F78" s="21"/>
      <c r="G78" s="21"/>
      <c r="H78" s="21"/>
      <c r="I78" s="21"/>
      <c r="J78" s="56"/>
      <c r="K78" s="57">
        <f>SUM($K$79)</f>
        <v>0</v>
      </c>
      <c r="L78" s="18"/>
      <c r="M78" s="22"/>
    </row>
    <row r="79" spans="1:13" ht="23.1" customHeight="1" outlineLevel="4" x14ac:dyDescent="0.2">
      <c r="A79" s="23" t="s">
        <v>29</v>
      </c>
      <c r="B79" s="24" t="s">
        <v>89</v>
      </c>
      <c r="C79" s="25"/>
      <c r="D79" s="25" t="s">
        <v>90</v>
      </c>
      <c r="E79" s="25"/>
      <c r="F79" s="26" t="s">
        <v>24</v>
      </c>
      <c r="G79" s="27"/>
      <c r="H79" s="28">
        <v>663</v>
      </c>
      <c r="I79" s="28">
        <f>SUM($H$79:$H$79)</f>
        <v>663</v>
      </c>
      <c r="J79" s="58">
        <f t="array" ref="J79">INDEX(М[Цена за ед., руб],MATCH(1,IF(($B79=М[Наим.])*($C79=М[Артикул, марка, произв.])*($D79=М[Хар-ка])*($L79=М[Прим.]),{1},($B79=М[Наим.])*($C79=М[Артикул, марка, произв.])*($D79=М[Хар-ка])*($L79=М[Прим.])),0))</f>
        <v>0</v>
      </c>
      <c r="K79" s="58">
        <f>ROUND($I$79*$J$79,2)</f>
        <v>0</v>
      </c>
      <c r="L79" s="25"/>
      <c r="M79" s="25">
        <f t="array" ref="M79">INDEX(М[Форма закупа],MATCH(1,IF(($B79=М[Наим.])*($C79=М[Артикул, марка, произв.])*($D79=М[Хар-ка])*($L79=М[Прим.]),{1},($B79=М[Наим.])*($C79=М[Артикул, марка, произв.])*($D79=М[Хар-ка])*($L79=М[Прим.])),0))</f>
        <v>0</v>
      </c>
    </row>
    <row r="80" spans="1:13" ht="11.1" customHeight="1" outlineLevel="4" x14ac:dyDescent="0.2">
      <c r="A80" s="20"/>
      <c r="B80" s="14" t="s">
        <v>22</v>
      </c>
      <c r="C80" s="21"/>
      <c r="D80" s="21"/>
      <c r="E80" s="21"/>
      <c r="F80" s="21"/>
      <c r="G80" s="21"/>
      <c r="H80" s="21"/>
      <c r="I80" s="21"/>
      <c r="J80" s="56"/>
      <c r="K80" s="57">
        <f>SUM($K$81)</f>
        <v>0</v>
      </c>
      <c r="L80" s="18"/>
      <c r="M80" s="22"/>
    </row>
    <row r="81" spans="1:13" ht="23.1" customHeight="1" outlineLevel="4" x14ac:dyDescent="0.2">
      <c r="A81" s="23"/>
      <c r="B81" s="24" t="s">
        <v>91</v>
      </c>
      <c r="C81" s="25"/>
      <c r="D81" s="25"/>
      <c r="E81" s="25"/>
      <c r="F81" s="26" t="s">
        <v>24</v>
      </c>
      <c r="G81" s="27"/>
      <c r="H81" s="28">
        <v>3</v>
      </c>
      <c r="I81" s="28">
        <f>SUM($H$81:$H$81)</f>
        <v>3</v>
      </c>
      <c r="J81" s="58">
        <f t="array" ref="J81">INDEX(Р[Цена за ед., руб],MATCH(1,IF(($B81=Р[Наименование])*($L81=Р[Примечание]),{1},($B81=Р[Наименование])*($L81=Р[Примечание])),0))</f>
        <v>0</v>
      </c>
      <c r="K81" s="58">
        <f>ROUND($I$81*$J$81,2)</f>
        <v>0</v>
      </c>
      <c r="L81" s="25"/>
      <c r="M81" s="25"/>
    </row>
    <row r="82" spans="1:13" ht="11.1" customHeight="1" outlineLevel="4" x14ac:dyDescent="0.2">
      <c r="A82" s="20"/>
      <c r="B82" s="14" t="s">
        <v>28</v>
      </c>
      <c r="C82" s="21"/>
      <c r="D82" s="21"/>
      <c r="E82" s="21"/>
      <c r="F82" s="21"/>
      <c r="G82" s="21"/>
      <c r="H82" s="21"/>
      <c r="I82" s="21"/>
      <c r="J82" s="56"/>
      <c r="K82" s="57">
        <f>SUM($K$83)</f>
        <v>0</v>
      </c>
      <c r="L82" s="18"/>
      <c r="M82" s="22"/>
    </row>
    <row r="83" spans="1:13" ht="47.1" customHeight="1" outlineLevel="4" x14ac:dyDescent="0.2">
      <c r="A83" s="23" t="s">
        <v>29</v>
      </c>
      <c r="B83" s="24" t="s">
        <v>92</v>
      </c>
      <c r="C83" s="25"/>
      <c r="D83" s="25" t="s">
        <v>93</v>
      </c>
      <c r="E83" s="25"/>
      <c r="F83" s="26" t="s">
        <v>24</v>
      </c>
      <c r="G83" s="27"/>
      <c r="H83" s="28">
        <v>3</v>
      </c>
      <c r="I83" s="28">
        <f>SUM($H$83:$H$83)</f>
        <v>3</v>
      </c>
      <c r="J83" s="58">
        <f t="array" ref="J83">INDEX(М[Цена за ед., руб],MATCH(1,IF(($B83=М[Наим.])*($C83=М[Артикул, марка, произв.])*($D83=М[Хар-ка])*($L83=М[Прим.]),{1},($B83=М[Наим.])*($C83=М[Артикул, марка, произв.])*($D83=М[Хар-ка])*($L83=М[Прим.])),0))</f>
        <v>0</v>
      </c>
      <c r="K83" s="58">
        <f>ROUND($I$83*$J$83,2)</f>
        <v>0</v>
      </c>
      <c r="L83" s="25"/>
      <c r="M83" s="25">
        <f t="array" ref="M83">INDEX(М[Форма закупа],MATCH(1,IF(($B83=М[Наим.])*($C83=М[Артикул, марка, произв.])*($D83=М[Хар-ка])*($L83=М[Прим.]),{1},($B83=М[Наим.])*($C83=М[Артикул, марка, произв.])*($D83=М[Хар-ка])*($L83=М[Прим.])),0))</f>
        <v>0</v>
      </c>
    </row>
    <row r="84" spans="1:13" ht="11.1" customHeight="1" outlineLevel="4" x14ac:dyDescent="0.2">
      <c r="A84" s="20"/>
      <c r="B84" s="14" t="s">
        <v>22</v>
      </c>
      <c r="C84" s="21"/>
      <c r="D84" s="21"/>
      <c r="E84" s="21"/>
      <c r="F84" s="21"/>
      <c r="G84" s="21"/>
      <c r="H84" s="21"/>
      <c r="I84" s="21"/>
      <c r="J84" s="56"/>
      <c r="K84" s="57">
        <f>SUM($K$85)</f>
        <v>0</v>
      </c>
      <c r="L84" s="18"/>
      <c r="M84" s="22"/>
    </row>
    <row r="85" spans="1:13" ht="11.1" customHeight="1" outlineLevel="4" x14ac:dyDescent="0.2">
      <c r="A85" s="23"/>
      <c r="B85" s="24" t="s">
        <v>94</v>
      </c>
      <c r="C85" s="25"/>
      <c r="D85" s="25"/>
      <c r="E85" s="25"/>
      <c r="F85" s="26" t="s">
        <v>24</v>
      </c>
      <c r="G85" s="27"/>
      <c r="H85" s="28">
        <v>51</v>
      </c>
      <c r="I85" s="28">
        <f>SUM($H$85:$H$85)</f>
        <v>51</v>
      </c>
      <c r="J85" s="58">
        <f t="array" ref="J85">INDEX(Р[Цена за ед., руб],MATCH(1,IF(($B85=Р[Наименование])*($L85=Р[Примечание]),{1},($B85=Р[Наименование])*($L85=Р[Примечание])),0))</f>
        <v>0</v>
      </c>
      <c r="K85" s="58">
        <f>ROUND($I$85*$J$85,2)</f>
        <v>0</v>
      </c>
      <c r="L85" s="25"/>
      <c r="M85" s="25"/>
    </row>
    <row r="86" spans="1:13" ht="11.1" customHeight="1" outlineLevel="4" x14ac:dyDescent="0.2">
      <c r="A86" s="20"/>
      <c r="B86" s="14" t="s">
        <v>28</v>
      </c>
      <c r="C86" s="21"/>
      <c r="D86" s="21"/>
      <c r="E86" s="21"/>
      <c r="F86" s="21"/>
      <c r="G86" s="21"/>
      <c r="H86" s="21"/>
      <c r="I86" s="21"/>
      <c r="J86" s="56"/>
      <c r="K86" s="57">
        <f>SUM($K$87:$K$90)</f>
        <v>0</v>
      </c>
      <c r="L86" s="18"/>
      <c r="M86" s="22"/>
    </row>
    <row r="87" spans="1:13" ht="59.1" customHeight="1" outlineLevel="4" x14ac:dyDescent="0.2">
      <c r="A87" s="23" t="s">
        <v>29</v>
      </c>
      <c r="B87" s="24" t="s">
        <v>95</v>
      </c>
      <c r="C87" s="25"/>
      <c r="D87" s="25" t="s">
        <v>96</v>
      </c>
      <c r="E87" s="25"/>
      <c r="F87" s="26" t="s">
        <v>24</v>
      </c>
      <c r="G87" s="27"/>
      <c r="H87" s="28">
        <v>43</v>
      </c>
      <c r="I87" s="28">
        <f>SUM($H$87:$H$87)</f>
        <v>43</v>
      </c>
      <c r="J87" s="58">
        <f t="array" ref="J87">INDEX(М[Цена за ед., руб],MATCH(1,IF(($B87=М[Наим.])*($C87=М[Артикул, марка, произв.])*($D87=М[Хар-ка])*($L87=М[Прим.]),{1},($B87=М[Наим.])*($C87=М[Артикул, марка, произв.])*($D87=М[Хар-ка])*($L87=М[Прим.])),0))</f>
        <v>0</v>
      </c>
      <c r="K87" s="58">
        <f>ROUND($I$87*$J$87,2)</f>
        <v>0</v>
      </c>
      <c r="L87" s="25"/>
      <c r="M87" s="25">
        <f t="array" ref="M87">INDEX(М[Форма закупа],MATCH(1,IF(($B87=М[Наим.])*($C87=М[Артикул, марка, произв.])*($D87=М[Хар-ка])*($L87=М[Прим.]),{1},($B87=М[Наим.])*($C87=М[Артикул, марка, произв.])*($D87=М[Хар-ка])*($L87=М[Прим.])),0))</f>
        <v>0</v>
      </c>
    </row>
    <row r="88" spans="1:13" ht="59.1" customHeight="1" outlineLevel="4" x14ac:dyDescent="0.2">
      <c r="A88" s="23" t="s">
        <v>35</v>
      </c>
      <c r="B88" s="24" t="s">
        <v>95</v>
      </c>
      <c r="C88" s="25"/>
      <c r="D88" s="25" t="s">
        <v>97</v>
      </c>
      <c r="E88" s="25"/>
      <c r="F88" s="26" t="s">
        <v>24</v>
      </c>
      <c r="G88" s="27"/>
      <c r="H88" s="28">
        <v>4</v>
      </c>
      <c r="I88" s="28">
        <f>SUM($H$88:$H$88)</f>
        <v>4</v>
      </c>
      <c r="J88" s="58">
        <f t="array" ref="J88">INDEX(М[Цена за ед., руб],MATCH(1,IF(($B88=М[Наим.])*($C88=М[Артикул, марка, произв.])*($D88=М[Хар-ка])*($L88=М[Прим.]),{1},($B88=М[Наим.])*($C88=М[Артикул, марка, произв.])*($D88=М[Хар-ка])*($L88=М[Прим.])),0))</f>
        <v>0</v>
      </c>
      <c r="K88" s="58">
        <f>ROUND($I$88*$J$88,2)</f>
        <v>0</v>
      </c>
      <c r="L88" s="25" t="s">
        <v>98</v>
      </c>
      <c r="M88" s="25">
        <f t="array" ref="M88">INDEX(М[Форма закупа],MATCH(1,IF(($B88=М[Наим.])*($C88=М[Артикул, марка, произв.])*($D88=М[Хар-ка])*($L88=М[Прим.]),{1},($B88=М[Наим.])*($C88=М[Артикул, марка, произв.])*($D88=М[Хар-ка])*($L88=М[Прим.])),0))</f>
        <v>0</v>
      </c>
    </row>
    <row r="89" spans="1:13" ht="59.1" customHeight="1" outlineLevel="4" x14ac:dyDescent="0.2">
      <c r="A89" s="23" t="s">
        <v>37</v>
      </c>
      <c r="B89" s="24" t="s">
        <v>95</v>
      </c>
      <c r="C89" s="25"/>
      <c r="D89" s="25" t="s">
        <v>99</v>
      </c>
      <c r="E89" s="25"/>
      <c r="F89" s="26" t="s">
        <v>24</v>
      </c>
      <c r="G89" s="27"/>
      <c r="H89" s="28">
        <v>3</v>
      </c>
      <c r="I89" s="28">
        <f>SUM($H$89:$H$89)</f>
        <v>3</v>
      </c>
      <c r="J89" s="58">
        <f t="array" ref="J89">INDEX(М[Цена за ед., руб],MATCH(1,IF(($B89=М[Наим.])*($C89=М[Артикул, марка, произв.])*($D89=М[Хар-ка])*($L89=М[Прим.]),{1},($B89=М[Наим.])*($C89=М[Артикул, марка, произв.])*($D89=М[Хар-ка])*($L89=М[Прим.])),0))</f>
        <v>0</v>
      </c>
      <c r="K89" s="58">
        <f>ROUND($I$89*$J$89,2)</f>
        <v>0</v>
      </c>
      <c r="L89" s="25"/>
      <c r="M89" s="25">
        <f t="array" ref="M89">INDEX(М[Форма закупа],MATCH(1,IF(($B89=М[Наим.])*($C89=М[Артикул, марка, произв.])*($D89=М[Хар-ка])*($L89=М[Прим.]),{1},($B89=М[Наим.])*($C89=М[Артикул, марка, произв.])*($D89=М[Хар-ка])*($L89=М[Прим.])),0))</f>
        <v>0</v>
      </c>
    </row>
    <row r="90" spans="1:13" ht="59.1" customHeight="1" outlineLevel="4" x14ac:dyDescent="0.2">
      <c r="A90" s="23" t="s">
        <v>61</v>
      </c>
      <c r="B90" s="24" t="s">
        <v>95</v>
      </c>
      <c r="C90" s="25"/>
      <c r="D90" s="25" t="s">
        <v>100</v>
      </c>
      <c r="E90" s="25"/>
      <c r="F90" s="26" t="s">
        <v>24</v>
      </c>
      <c r="G90" s="27"/>
      <c r="H90" s="28">
        <v>1</v>
      </c>
      <c r="I90" s="28">
        <f>SUM($H$90:$H$90)</f>
        <v>1</v>
      </c>
      <c r="J90" s="58">
        <f t="array" ref="J90">INDEX(М[Цена за ед., руб],MATCH(1,IF(($B90=М[Наим.])*($C90=М[Артикул, марка, произв.])*($D90=М[Хар-ка])*($L90=М[Прим.]),{1},($B90=М[Наим.])*($C90=М[Артикул, марка, произв.])*($D90=М[Хар-ка])*($L90=М[Прим.])),0))</f>
        <v>0</v>
      </c>
      <c r="K90" s="58">
        <f>ROUND($I$90*$J$90,2)</f>
        <v>0</v>
      </c>
      <c r="L90" s="25"/>
      <c r="M90" s="25">
        <f t="array" ref="M90">INDEX(М[Форма закупа],MATCH(1,IF(($B90=М[Наим.])*($C90=М[Артикул, марка, произв.])*($D90=М[Хар-ка])*($L90=М[Прим.]),{1},($B90=М[Наим.])*($C90=М[Артикул, марка, произв.])*($D90=М[Хар-ка])*($L90=М[Прим.])),0))</f>
        <v>0</v>
      </c>
    </row>
    <row r="91" spans="1:13" ht="11.1" customHeight="1" outlineLevel="4" x14ac:dyDescent="0.2">
      <c r="A91" s="20"/>
      <c r="B91" s="14" t="s">
        <v>22</v>
      </c>
      <c r="C91" s="21"/>
      <c r="D91" s="21"/>
      <c r="E91" s="21"/>
      <c r="F91" s="21"/>
      <c r="G91" s="21"/>
      <c r="H91" s="21"/>
      <c r="I91" s="21"/>
      <c r="J91" s="56"/>
      <c r="K91" s="57">
        <f>SUM($K$92)</f>
        <v>0</v>
      </c>
      <c r="L91" s="18"/>
      <c r="M91" s="22"/>
    </row>
    <row r="92" spans="1:13" ht="11.1" customHeight="1" outlineLevel="4" x14ac:dyDescent="0.2">
      <c r="A92" s="23"/>
      <c r="B92" s="24" t="s">
        <v>101</v>
      </c>
      <c r="C92" s="25"/>
      <c r="D92" s="25"/>
      <c r="E92" s="25"/>
      <c r="F92" s="26" t="s">
        <v>24</v>
      </c>
      <c r="G92" s="27"/>
      <c r="H92" s="28">
        <v>1</v>
      </c>
      <c r="I92" s="28">
        <f>SUM($H$92:$H$92)</f>
        <v>1</v>
      </c>
      <c r="J92" s="58">
        <f t="array" ref="J92">INDEX(Р[Цена за ед., руб],MATCH(1,IF(($B92=Р[Наименование])*($L92=Р[Примечание]),{1},($B92=Р[Наименование])*($L92=Р[Примечание])),0))</f>
        <v>0</v>
      </c>
      <c r="K92" s="58">
        <f>ROUND($I$92*$J$92,2)</f>
        <v>0</v>
      </c>
      <c r="L92" s="25"/>
      <c r="M92" s="25"/>
    </row>
    <row r="93" spans="1:13" ht="11.1" customHeight="1" outlineLevel="4" x14ac:dyDescent="0.2">
      <c r="A93" s="20"/>
      <c r="B93" s="14" t="s">
        <v>28</v>
      </c>
      <c r="C93" s="21"/>
      <c r="D93" s="21"/>
      <c r="E93" s="21"/>
      <c r="F93" s="21"/>
      <c r="G93" s="21"/>
      <c r="H93" s="21"/>
      <c r="I93" s="21"/>
      <c r="J93" s="56"/>
      <c r="K93" s="57">
        <f>SUM($K$94)</f>
        <v>0</v>
      </c>
      <c r="L93" s="18"/>
      <c r="M93" s="22"/>
    </row>
    <row r="94" spans="1:13" ht="71.099999999999994" customHeight="1" outlineLevel="4" x14ac:dyDescent="0.2">
      <c r="A94" s="23" t="s">
        <v>29</v>
      </c>
      <c r="B94" s="24" t="s">
        <v>95</v>
      </c>
      <c r="C94" s="25"/>
      <c r="D94" s="25" t="s">
        <v>102</v>
      </c>
      <c r="E94" s="25"/>
      <c r="F94" s="26" t="s">
        <v>24</v>
      </c>
      <c r="G94" s="27"/>
      <c r="H94" s="28">
        <v>1</v>
      </c>
      <c r="I94" s="28">
        <f>SUM($H$94:$H$94)</f>
        <v>1</v>
      </c>
      <c r="J94" s="58">
        <f t="array" ref="J94">INDEX(М[Цена за ед., руб],MATCH(1,IF(($B94=М[Наим.])*($C94=М[Артикул, марка, произв.])*($D94=М[Хар-ка])*($L94=М[Прим.]),{1},($B94=М[Наим.])*($C94=М[Артикул, марка, произв.])*($D94=М[Хар-ка])*($L94=М[Прим.])),0))</f>
        <v>0</v>
      </c>
      <c r="K94" s="58">
        <f>ROUND($I$94*$J$94,2)</f>
        <v>0</v>
      </c>
      <c r="L94" s="25"/>
      <c r="M94" s="25">
        <f t="array" ref="M94">INDEX(М[Форма закупа],MATCH(1,IF(($B94=М[Наим.])*($C94=М[Артикул, марка, произв.])*($D94=М[Хар-ка])*($L94=М[Прим.]),{1},($B94=М[Наим.])*($C94=М[Артикул, марка, произв.])*($D94=М[Хар-ка])*($L94=М[Прим.])),0))</f>
        <v>0</v>
      </c>
    </row>
    <row r="95" spans="1:13" ht="11.1" customHeight="1" outlineLevel="4" x14ac:dyDescent="0.2">
      <c r="A95" s="20"/>
      <c r="B95" s="14" t="s">
        <v>22</v>
      </c>
      <c r="C95" s="21"/>
      <c r="D95" s="21"/>
      <c r="E95" s="21"/>
      <c r="F95" s="21"/>
      <c r="G95" s="21"/>
      <c r="H95" s="21"/>
      <c r="I95" s="21"/>
      <c r="J95" s="56"/>
      <c r="K95" s="57">
        <f>SUM($K$96)</f>
        <v>0</v>
      </c>
      <c r="L95" s="18"/>
      <c r="M95" s="22"/>
    </row>
    <row r="96" spans="1:13" ht="23.1" customHeight="1" outlineLevel="4" x14ac:dyDescent="0.2">
      <c r="A96" s="23"/>
      <c r="B96" s="24" t="s">
        <v>39</v>
      </c>
      <c r="C96" s="25"/>
      <c r="D96" s="25"/>
      <c r="E96" s="25"/>
      <c r="F96" s="26" t="s">
        <v>24</v>
      </c>
      <c r="G96" s="27"/>
      <c r="H96" s="28">
        <v>22</v>
      </c>
      <c r="I96" s="28">
        <f>SUM($H$96:$H$96)</f>
        <v>22</v>
      </c>
      <c r="J96" s="58">
        <f t="array" ref="J96">INDEX(Р[Цена за ед., руб],MATCH(1,IF(($B96=Р[Наименование])*($L96=Р[Примечание]),{1},($B96=Р[Наименование])*($L96=Р[Примечание])),0))</f>
        <v>0</v>
      </c>
      <c r="K96" s="58">
        <f>ROUND($I$96*$J$96,2)</f>
        <v>0</v>
      </c>
      <c r="L96" s="25"/>
      <c r="M96" s="25"/>
    </row>
    <row r="97" spans="1:13" ht="11.1" customHeight="1" outlineLevel="4" x14ac:dyDescent="0.2">
      <c r="A97" s="20"/>
      <c r="B97" s="14" t="s">
        <v>28</v>
      </c>
      <c r="C97" s="21"/>
      <c r="D97" s="21"/>
      <c r="E97" s="21"/>
      <c r="F97" s="21"/>
      <c r="G97" s="21"/>
      <c r="H97" s="21"/>
      <c r="I97" s="21"/>
      <c r="J97" s="56"/>
      <c r="K97" s="57">
        <f>SUM($K$98:$K$99)</f>
        <v>0</v>
      </c>
      <c r="L97" s="18"/>
      <c r="M97" s="22"/>
    </row>
    <row r="98" spans="1:13" ht="23.1" customHeight="1" outlineLevel="4" x14ac:dyDescent="0.2">
      <c r="A98" s="23" t="s">
        <v>29</v>
      </c>
      <c r="B98" s="24" t="s">
        <v>40</v>
      </c>
      <c r="C98" s="25"/>
      <c r="D98" s="25" t="s">
        <v>41</v>
      </c>
      <c r="E98" s="25"/>
      <c r="F98" s="26" t="s">
        <v>24</v>
      </c>
      <c r="G98" s="27"/>
      <c r="H98" s="28">
        <v>6</v>
      </c>
      <c r="I98" s="28">
        <f>SUM($H$98:$H$98)</f>
        <v>6</v>
      </c>
      <c r="J98" s="58">
        <f t="array" ref="J98">INDEX(М[Цена за ед., руб],MATCH(1,IF(($B98=М[Наим.])*($C98=М[Артикул, марка, произв.])*($D98=М[Хар-ка])*($L98=М[Прим.]),{1},($B98=М[Наим.])*($C98=М[Артикул, марка, произв.])*($D98=М[Хар-ка])*($L98=М[Прим.])),0))</f>
        <v>0</v>
      </c>
      <c r="K98" s="58">
        <f>ROUND($I$98*$J$98,2)</f>
        <v>0</v>
      </c>
      <c r="L98" s="25"/>
      <c r="M98" s="25">
        <f t="array" ref="M98">INDEX(М[Форма закупа],MATCH(1,IF(($B98=М[Наим.])*($C98=М[Артикул, марка, произв.])*($D98=М[Хар-ка])*($L98=М[Прим.]),{1},($B98=М[Наим.])*($C98=М[Артикул, марка, произв.])*($D98=М[Хар-ка])*($L98=М[Прим.])),0))</f>
        <v>0</v>
      </c>
    </row>
    <row r="99" spans="1:13" ht="23.1" customHeight="1" outlineLevel="4" x14ac:dyDescent="0.2">
      <c r="A99" s="23" t="s">
        <v>35</v>
      </c>
      <c r="B99" s="24" t="s">
        <v>40</v>
      </c>
      <c r="C99" s="25"/>
      <c r="D99" s="25" t="s">
        <v>103</v>
      </c>
      <c r="E99" s="25"/>
      <c r="F99" s="26" t="s">
        <v>24</v>
      </c>
      <c r="G99" s="27"/>
      <c r="H99" s="28">
        <v>16</v>
      </c>
      <c r="I99" s="28">
        <f>SUM($H$99:$H$99)</f>
        <v>16</v>
      </c>
      <c r="J99" s="58">
        <f t="array" ref="J99">INDEX(М[Цена за ед., руб],MATCH(1,IF(($B99=М[Наим.])*($C99=М[Артикул,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  <c r="K99" s="58">
        <f>ROUND($I$99*$J$99,2)</f>
        <v>0</v>
      </c>
      <c r="L99" s="25"/>
      <c r="M99" s="25">
        <f t="array" ref="M99">INDEX(М[Форма закупа],MATCH(1,IF(($B99=М[Наим.])*($C99=М[Артикул, марка, произв.])*($D99=М[Хар-ка])*($L99=М[Прим.]),{1},($B99=М[Наим.])*($C99=М[Артикул, марка, произв.])*($D99=М[Хар-ка])*($L99=М[Прим.])),0))</f>
        <v>0</v>
      </c>
    </row>
    <row r="100" spans="1:13" ht="11.1" customHeight="1" outlineLevel="4" x14ac:dyDescent="0.2">
      <c r="A100" s="20"/>
      <c r="B100" s="14" t="s">
        <v>22</v>
      </c>
      <c r="C100" s="21"/>
      <c r="D100" s="21"/>
      <c r="E100" s="21"/>
      <c r="F100" s="21"/>
      <c r="G100" s="21"/>
      <c r="H100" s="21"/>
      <c r="I100" s="21"/>
      <c r="J100" s="56"/>
      <c r="K100" s="57">
        <f>SUM($K$101)</f>
        <v>0</v>
      </c>
      <c r="L100" s="18"/>
      <c r="M100" s="22"/>
    </row>
    <row r="101" spans="1:13" ht="23.1" customHeight="1" outlineLevel="4" x14ac:dyDescent="0.2">
      <c r="A101" s="23"/>
      <c r="B101" s="24" t="s">
        <v>104</v>
      </c>
      <c r="C101" s="25"/>
      <c r="D101" s="25"/>
      <c r="E101" s="25"/>
      <c r="F101" s="26" t="s">
        <v>24</v>
      </c>
      <c r="G101" s="27"/>
      <c r="H101" s="28">
        <v>8</v>
      </c>
      <c r="I101" s="28">
        <f>SUM($H$101:$H$101)</f>
        <v>8</v>
      </c>
      <c r="J101" s="58">
        <f t="array" ref="J101">INDEX(Р[Цена за ед., руб],MATCH(1,IF(($B101=Р[Наименование])*($L101=Р[Примечание]),{1},($B101=Р[Наименование])*($L101=Р[Примечание])),0))</f>
        <v>0</v>
      </c>
      <c r="K101" s="58">
        <f>ROUND($I$101*$J$101,2)</f>
        <v>0</v>
      </c>
      <c r="L101" s="25"/>
      <c r="M101" s="25"/>
    </row>
    <row r="102" spans="1:13" ht="11.1" customHeight="1" outlineLevel="4" x14ac:dyDescent="0.2">
      <c r="A102" s="20"/>
      <c r="B102" s="14" t="s">
        <v>28</v>
      </c>
      <c r="C102" s="21"/>
      <c r="D102" s="21"/>
      <c r="E102" s="21"/>
      <c r="F102" s="21"/>
      <c r="G102" s="21"/>
      <c r="H102" s="21"/>
      <c r="I102" s="21"/>
      <c r="J102" s="56"/>
      <c r="K102" s="57">
        <f>SUM($K$103:$K$104)</f>
        <v>0</v>
      </c>
      <c r="L102" s="18"/>
      <c r="M102" s="22"/>
    </row>
    <row r="103" spans="1:13" ht="23.1" customHeight="1" outlineLevel="4" x14ac:dyDescent="0.2">
      <c r="A103" s="23" t="s">
        <v>29</v>
      </c>
      <c r="B103" s="24" t="s">
        <v>40</v>
      </c>
      <c r="C103" s="25"/>
      <c r="D103" s="25" t="s">
        <v>105</v>
      </c>
      <c r="E103" s="25"/>
      <c r="F103" s="26" t="s">
        <v>24</v>
      </c>
      <c r="G103" s="27"/>
      <c r="H103" s="28">
        <v>4</v>
      </c>
      <c r="I103" s="28">
        <f>SUM($H$103:$H$103)</f>
        <v>4</v>
      </c>
      <c r="J103" s="58">
        <f t="array" ref="J103">INDEX(М[Цена за ед., руб],MATCH(1,IF(($B103=М[Наим.])*($C103=М[Артикул, марка, произв.])*($D103=М[Хар-ка])*($L103=М[Прим.]),{1},($B103=М[Наим.])*($C103=М[Артикул, марка, произв.])*($D103=М[Хар-ка])*($L103=М[Прим.])),0))</f>
        <v>0</v>
      </c>
      <c r="K103" s="58">
        <f>ROUND($I$103*$J$103,2)</f>
        <v>0</v>
      </c>
      <c r="L103" s="25"/>
      <c r="M103" s="25">
        <f t="array" ref="M103">INDEX(М[Форма закупа],MATCH(1,IF(($B103=М[Наим.])*($C103=М[Артикул, марка, произв.])*($D103=М[Хар-ка])*($L103=М[Прим.]),{1},($B103=М[Наим.])*($C103=М[Артикул, марка, произв.])*($D103=М[Хар-ка])*($L103=М[Прим.])),0))</f>
        <v>0</v>
      </c>
    </row>
    <row r="104" spans="1:13" ht="11.1" customHeight="1" outlineLevel="4" x14ac:dyDescent="0.2">
      <c r="A104" s="23" t="s">
        <v>35</v>
      </c>
      <c r="B104" s="24" t="s">
        <v>40</v>
      </c>
      <c r="C104" s="25"/>
      <c r="D104" s="25" t="s">
        <v>106</v>
      </c>
      <c r="E104" s="25"/>
      <c r="F104" s="26" t="s">
        <v>24</v>
      </c>
      <c r="G104" s="27"/>
      <c r="H104" s="28">
        <v>4</v>
      </c>
      <c r="I104" s="28">
        <f>SUM($H$104:$H$104)</f>
        <v>4</v>
      </c>
      <c r="J104" s="58">
        <f t="array" ref="J104">INDEX(М[Цена за ед., руб],MATCH(1,IF(($B104=М[Наим.])*($C104=М[Артикул, марка, произв.])*($D104=М[Хар-ка])*($L104=М[Прим.]),{1},($B104=М[Наим.])*($C104=М[Артикул, марка, произв.])*($D104=М[Хар-ка])*($L104=М[Прим.])),0))</f>
        <v>0</v>
      </c>
      <c r="K104" s="58">
        <f>ROUND($I$104*$J$104,2)</f>
        <v>0</v>
      </c>
      <c r="L104" s="25"/>
      <c r="M104" s="25">
        <f t="array" ref="M104">INDEX(М[Форма закупа],MATCH(1,IF(($B104=М[Наим.])*($C104=М[Артикул, марка, произв.])*($D104=М[Хар-ка])*($L104=М[Прим.]),{1},($B104=М[Наим.])*($C104=М[Артикул, марка, произв.])*($D104=М[Хар-ка])*($L104=М[Прим.])),0))</f>
        <v>0</v>
      </c>
    </row>
    <row r="105" spans="1:13" ht="11.1" customHeight="1" outlineLevel="4" x14ac:dyDescent="0.2">
      <c r="A105" s="20"/>
      <c r="B105" s="14" t="s">
        <v>22</v>
      </c>
      <c r="C105" s="21"/>
      <c r="D105" s="21"/>
      <c r="E105" s="21"/>
      <c r="F105" s="21"/>
      <c r="G105" s="21"/>
      <c r="H105" s="21"/>
      <c r="I105" s="21"/>
      <c r="J105" s="56"/>
      <c r="K105" s="57">
        <f>SUM($K$106)</f>
        <v>0</v>
      </c>
      <c r="L105" s="18"/>
      <c r="M105" s="22"/>
    </row>
    <row r="106" spans="1:13" ht="11.1" customHeight="1" outlineLevel="4" x14ac:dyDescent="0.2">
      <c r="A106" s="23"/>
      <c r="B106" s="24" t="s">
        <v>107</v>
      </c>
      <c r="C106" s="25"/>
      <c r="D106" s="25"/>
      <c r="E106" s="25"/>
      <c r="F106" s="26" t="s">
        <v>24</v>
      </c>
      <c r="G106" s="27"/>
      <c r="H106" s="28">
        <v>408</v>
      </c>
      <c r="I106" s="28">
        <f>SUM($H$106:$H$106)</f>
        <v>408</v>
      </c>
      <c r="J106" s="58">
        <f t="array" ref="J106">INDEX(Р[Цена за ед., руб],MATCH(1,IF(($B106=Р[Наименование])*($L106=Р[Примечание]),{1},($B106=Р[Наименование])*($L106=Р[Примечание])),0))</f>
        <v>0</v>
      </c>
      <c r="K106" s="58">
        <f>ROUND($I$106*$J$106,2)</f>
        <v>0</v>
      </c>
      <c r="L106" s="25"/>
      <c r="M106" s="25"/>
    </row>
    <row r="107" spans="1:13" ht="11.1" customHeight="1" outlineLevel="4" x14ac:dyDescent="0.2">
      <c r="A107" s="20"/>
      <c r="B107" s="14" t="s">
        <v>28</v>
      </c>
      <c r="C107" s="21"/>
      <c r="D107" s="21"/>
      <c r="E107" s="21"/>
      <c r="F107" s="21"/>
      <c r="G107" s="21"/>
      <c r="H107" s="21"/>
      <c r="I107" s="21"/>
      <c r="J107" s="56"/>
      <c r="K107" s="57">
        <f>SUM($K$108)</f>
        <v>0</v>
      </c>
      <c r="L107" s="18"/>
      <c r="M107" s="22"/>
    </row>
    <row r="108" spans="1:13" ht="23.1" customHeight="1" outlineLevel="4" x14ac:dyDescent="0.2">
      <c r="A108" s="23" t="s">
        <v>29</v>
      </c>
      <c r="B108" s="24" t="s">
        <v>108</v>
      </c>
      <c r="C108" s="25"/>
      <c r="D108" s="25" t="s">
        <v>109</v>
      </c>
      <c r="E108" s="25"/>
      <c r="F108" s="26" t="s">
        <v>24</v>
      </c>
      <c r="G108" s="27"/>
      <c r="H108" s="28">
        <v>408</v>
      </c>
      <c r="I108" s="28">
        <f>SUM($H$108:$H$108)</f>
        <v>408</v>
      </c>
      <c r="J108" s="58">
        <f t="array" ref="J108">INDEX(М[Цена за ед., руб],MATCH(1,IF(($B108=М[Наим.])*($C108=М[Артикул, марка, произв.])*($D108=М[Хар-ка])*($L108=М[Прим.]),{1},($B108=М[Наим.])*($C108=М[Артикул, марка, произв.])*($D108=М[Хар-ка])*($L108=М[Прим.])),0))</f>
        <v>0</v>
      </c>
      <c r="K108" s="58">
        <f>ROUND($I$108*$J$108,2)</f>
        <v>0</v>
      </c>
      <c r="L108" s="25"/>
      <c r="M108" s="25">
        <f t="array" ref="M108">INDEX(М[Форма закупа],MATCH(1,IF(($B108=М[Наим.])*($C108=М[Артикул, марка, произв.])*($D108=М[Хар-ка])*($L108=М[Прим.]),{1},($B108=М[Наим.])*($C108=М[Артикул, марка, произв.])*($D108=М[Хар-ка])*($L108=М[Прим.])),0))</f>
        <v>0</v>
      </c>
    </row>
    <row r="109" spans="1:13" ht="11.1" customHeight="1" outlineLevel="4" x14ac:dyDescent="0.2">
      <c r="A109" s="20"/>
      <c r="B109" s="14" t="s">
        <v>22</v>
      </c>
      <c r="C109" s="21"/>
      <c r="D109" s="21"/>
      <c r="E109" s="21"/>
      <c r="F109" s="21"/>
      <c r="G109" s="21"/>
      <c r="H109" s="21"/>
      <c r="I109" s="21"/>
      <c r="J109" s="56"/>
      <c r="K109" s="57">
        <f>SUM($K$110)</f>
        <v>0</v>
      </c>
      <c r="L109" s="18"/>
      <c r="M109" s="22"/>
    </row>
    <row r="110" spans="1:13" ht="11.1" customHeight="1" outlineLevel="4" x14ac:dyDescent="0.2">
      <c r="A110" s="23"/>
      <c r="B110" s="24" t="s">
        <v>110</v>
      </c>
      <c r="C110" s="25"/>
      <c r="D110" s="25"/>
      <c r="E110" s="25"/>
      <c r="F110" s="26" t="s">
        <v>24</v>
      </c>
      <c r="G110" s="27"/>
      <c r="H110" s="28">
        <f>SUM(H114:H131)</f>
        <v>666</v>
      </c>
      <c r="I110" s="28">
        <f>SUM($H$110:$H$110)</f>
        <v>666</v>
      </c>
      <c r="J110" s="58">
        <f t="array" ref="J110">INDEX(Р[Цена за ед., руб],MATCH(1,IF(($B110=Р[Наименование])*($L110=Р[Примечание]),{1},($B110=Р[Наименование])*($L110=Р[Примечание])),0))</f>
        <v>0</v>
      </c>
      <c r="K110" s="58">
        <f>ROUND($I$110*$J$110,2)</f>
        <v>0</v>
      </c>
      <c r="L110" s="25"/>
      <c r="M110" s="25"/>
    </row>
    <row r="111" spans="1:13" ht="11.1" customHeight="1" outlineLevel="4" x14ac:dyDescent="0.2">
      <c r="A111" s="20"/>
      <c r="B111" s="14" t="s">
        <v>28</v>
      </c>
      <c r="C111" s="21"/>
      <c r="D111" s="21"/>
      <c r="E111" s="21"/>
      <c r="F111" s="21"/>
      <c r="G111" s="21"/>
      <c r="H111" s="21"/>
      <c r="I111" s="21"/>
      <c r="J111" s="56"/>
      <c r="K111" s="57">
        <f>SUM($K$112:$K$131)</f>
        <v>0</v>
      </c>
      <c r="L111" s="18"/>
      <c r="M111" s="22"/>
    </row>
    <row r="112" spans="1:13" ht="11.1" customHeight="1" outlineLevel="4" x14ac:dyDescent="0.2">
      <c r="A112" s="23" t="s">
        <v>29</v>
      </c>
      <c r="B112" s="24" t="s">
        <v>111</v>
      </c>
      <c r="C112" s="25"/>
      <c r="D112" s="25" t="s">
        <v>112</v>
      </c>
      <c r="E112" s="25"/>
      <c r="F112" s="26" t="s">
        <v>24</v>
      </c>
      <c r="G112" s="27"/>
      <c r="H112" s="28">
        <v>24</v>
      </c>
      <c r="I112" s="28">
        <f>SUM($H$112:$H$112)</f>
        <v>24</v>
      </c>
      <c r="J112" s="58">
        <f t="array" ref="J112">INDEX(М[Цена за ед., руб],MATCH(1,IF(($B112=М[Наим.])*($C112=М[Артикул,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0</v>
      </c>
      <c r="K112" s="58">
        <f>ROUND($I$112*$J$112,2)</f>
        <v>0</v>
      </c>
      <c r="L112" s="25"/>
      <c r="M112" s="25">
        <f t="array" ref="M112">INDEX(М[Форма закупа],MATCH(1,IF(($B112=М[Наим.])*($C112=М[Артикул, марка, произв.])*($D112=М[Хар-ка])*($L112=М[Прим.]),{1},($B112=М[Наим.])*($C112=М[Артикул, марка, произв.])*($D112=М[Хар-ка])*($L112=М[Прим.])),0))</f>
        <v>0</v>
      </c>
    </row>
    <row r="113" spans="1:13" ht="23.1" customHeight="1" outlineLevel="4" x14ac:dyDescent="0.2">
      <c r="A113" s="23" t="s">
        <v>35</v>
      </c>
      <c r="B113" s="24" t="s">
        <v>111</v>
      </c>
      <c r="C113" s="25"/>
      <c r="D113" s="25" t="s">
        <v>112</v>
      </c>
      <c r="E113" s="25"/>
      <c r="F113" s="26" t="s">
        <v>24</v>
      </c>
      <c r="G113" s="27"/>
      <c r="H113" s="28">
        <v>639</v>
      </c>
      <c r="I113" s="28">
        <f>SUM($H$113:$H$113)</f>
        <v>639</v>
      </c>
      <c r="J113" s="58">
        <f t="array" ref="J113">INDEX(М[Цена за ед., руб],MATCH(1,IF(($B113=М[Наим.])*($C113=М[Артикул,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0</v>
      </c>
      <c r="K113" s="58">
        <f>ROUND($I$113*$J$113,2)</f>
        <v>0</v>
      </c>
      <c r="L113" s="25" t="s">
        <v>113</v>
      </c>
      <c r="M113" s="25">
        <f t="array" ref="M113">INDEX(М[Форма закупа],MATCH(1,IF(($B113=М[Наим.])*($C113=М[Артикул, марка, произв.])*($D113=М[Хар-ка])*($L113=М[Прим.]),{1},($B113=М[Наим.])*($C113=М[Артикул, марка, произв.])*($D113=М[Хар-ка])*($L113=М[Прим.])),0))</f>
        <v>0</v>
      </c>
    </row>
    <row r="114" spans="1:13" ht="59.1" customHeight="1" outlineLevel="4" x14ac:dyDescent="0.2">
      <c r="A114" s="23" t="s">
        <v>37</v>
      </c>
      <c r="B114" s="24" t="s">
        <v>114</v>
      </c>
      <c r="C114" s="25"/>
      <c r="D114" s="25" t="s">
        <v>115</v>
      </c>
      <c r="E114" s="25"/>
      <c r="F114" s="26" t="s">
        <v>24</v>
      </c>
      <c r="G114" s="27"/>
      <c r="H114" s="28">
        <v>162</v>
      </c>
      <c r="I114" s="28">
        <f>SUM($H$114:$H$114)</f>
        <v>162</v>
      </c>
      <c r="J114" s="58">
        <f t="array" ref="J114">INDEX(М[Цена за ед., руб],MATCH(1,IF(($B114=М[Наим.])*($C114=М[Артикул,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  <c r="K114" s="58">
        <f>ROUND($I$114*$J$114,2)</f>
        <v>0</v>
      </c>
      <c r="L114" s="25"/>
      <c r="M114" s="25">
        <f t="array" ref="M114">INDEX(М[Форма закупа],MATCH(1,IF(($B114=М[Наим.])*($C114=М[Артикул, марка, произв.])*($D114=М[Хар-ка])*($L114=М[Прим.]),{1},($B114=М[Наим.])*($C114=М[Артикул, марка, произв.])*($D114=М[Хар-ка])*($L114=М[Прим.])),0))</f>
        <v>0</v>
      </c>
    </row>
    <row r="115" spans="1:13" ht="59.1" customHeight="1" outlineLevel="4" x14ac:dyDescent="0.2">
      <c r="A115" s="23" t="s">
        <v>61</v>
      </c>
      <c r="B115" s="24" t="s">
        <v>114</v>
      </c>
      <c r="C115" s="25"/>
      <c r="D115" s="25" t="s">
        <v>116</v>
      </c>
      <c r="E115" s="25"/>
      <c r="F115" s="26" t="s">
        <v>24</v>
      </c>
      <c r="G115" s="27"/>
      <c r="H115" s="28">
        <v>21</v>
      </c>
      <c r="I115" s="28">
        <f>SUM($H$115:$H$115)</f>
        <v>21</v>
      </c>
      <c r="J115" s="58">
        <f t="array" ref="J115">INDEX(М[Цена за ед., руб],MATCH(1,IF(($B115=М[Наим.])*($C115=М[Артикул,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0</v>
      </c>
      <c r="K115" s="58">
        <f>ROUND($I$115*$J$115,2)</f>
        <v>0</v>
      </c>
      <c r="L115" s="25"/>
      <c r="M115" s="25">
        <f t="array" ref="M115">INDEX(М[Форма закупа],MATCH(1,IF(($B115=М[Наим.])*($C115=М[Артикул, марка, произв.])*($D115=М[Хар-ка])*($L115=М[Прим.]),{1},($B115=М[Наим.])*($C115=М[Артикул, марка, произв.])*($D115=М[Хар-ка])*($L115=М[Прим.])),0))</f>
        <v>0</v>
      </c>
    </row>
    <row r="116" spans="1:13" ht="59.1" customHeight="1" outlineLevel="4" x14ac:dyDescent="0.2">
      <c r="A116" s="23" t="s">
        <v>63</v>
      </c>
      <c r="B116" s="24" t="s">
        <v>114</v>
      </c>
      <c r="C116" s="25"/>
      <c r="D116" s="25" t="s">
        <v>117</v>
      </c>
      <c r="E116" s="25"/>
      <c r="F116" s="26" t="s">
        <v>24</v>
      </c>
      <c r="G116" s="27"/>
      <c r="H116" s="28">
        <v>156</v>
      </c>
      <c r="I116" s="28">
        <f>SUM($H$116:$H$116)</f>
        <v>156</v>
      </c>
      <c r="J116" s="58">
        <f t="array" ref="J116">INDEX(М[Цена за ед., руб],MATCH(1,IF(($B116=М[Наим.])*($C116=М[Артикул,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0</v>
      </c>
      <c r="K116" s="58">
        <f>ROUND($I$116*$J$116,2)</f>
        <v>0</v>
      </c>
      <c r="L116" s="25"/>
      <c r="M116" s="25">
        <f t="array" ref="M116">INDEX(М[Форма закупа],MATCH(1,IF(($B116=М[Наим.])*($C116=М[Артикул, марка, произв.])*($D116=М[Хар-ка])*($L116=М[Прим.]),{1},($B116=М[Наим.])*($C116=М[Артикул, марка, произв.])*($D116=М[Хар-ка])*($L116=М[Прим.])),0))</f>
        <v>0</v>
      </c>
    </row>
    <row r="117" spans="1:13" ht="59.1" customHeight="1" outlineLevel="4" x14ac:dyDescent="0.2">
      <c r="A117" s="23" t="s">
        <v>73</v>
      </c>
      <c r="B117" s="24" t="s">
        <v>114</v>
      </c>
      <c r="C117" s="25"/>
      <c r="D117" s="25" t="s">
        <v>118</v>
      </c>
      <c r="E117" s="25"/>
      <c r="F117" s="26" t="s">
        <v>24</v>
      </c>
      <c r="G117" s="27"/>
      <c r="H117" s="28">
        <v>135</v>
      </c>
      <c r="I117" s="28">
        <f>SUM($H$117:$H$117)</f>
        <v>135</v>
      </c>
      <c r="J117" s="58">
        <f t="array" ref="J117">INDEX(М[Цена за ед., руб],MATCH(1,IF(($B117=М[Наим.])*($C117=М[Артикул,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0</v>
      </c>
      <c r="K117" s="58">
        <f>ROUND($I$117*$J$117,2)</f>
        <v>0</v>
      </c>
      <c r="L117" s="25"/>
      <c r="M117" s="25">
        <f t="array" ref="M117">INDEX(М[Форма закупа],MATCH(1,IF(($B117=М[Наим.])*($C117=М[Артикул, марка, произв.])*($D117=М[Хар-ка])*($L117=М[Прим.]),{1},($B117=М[Наим.])*($C117=М[Артикул, марка, произв.])*($D117=М[Хар-ка])*($L117=М[Прим.])),0))</f>
        <v>0</v>
      </c>
    </row>
    <row r="118" spans="1:13" ht="59.1" customHeight="1" outlineLevel="4" x14ac:dyDescent="0.2">
      <c r="A118" s="23" t="s">
        <v>75</v>
      </c>
      <c r="B118" s="24" t="s">
        <v>114</v>
      </c>
      <c r="C118" s="25"/>
      <c r="D118" s="25" t="s">
        <v>119</v>
      </c>
      <c r="E118" s="25"/>
      <c r="F118" s="26" t="s">
        <v>24</v>
      </c>
      <c r="G118" s="27"/>
      <c r="H118" s="28">
        <v>7</v>
      </c>
      <c r="I118" s="28">
        <f>SUM($H$118:$H$118)</f>
        <v>7</v>
      </c>
      <c r="J118" s="58">
        <f t="array" ref="J118">INDEX(М[Цена за ед., руб],MATCH(1,IF(($B118=М[Наим.])*($C118=М[Артикул,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0</v>
      </c>
      <c r="K118" s="58">
        <f>ROUND($I$118*$J$118,2)</f>
        <v>0</v>
      </c>
      <c r="L118" s="25"/>
      <c r="M118" s="25">
        <f t="array" ref="M118">INDEX(М[Форма закупа],MATCH(1,IF(($B118=М[Наим.])*($C118=М[Артикул, марка, произв.])*($D118=М[Хар-ка])*($L118=М[Прим.]),{1},($B118=М[Наим.])*($C118=М[Артикул, марка, произв.])*($D118=М[Хар-ка])*($L118=М[Прим.])),0))</f>
        <v>0</v>
      </c>
    </row>
    <row r="119" spans="1:13" ht="59.1" customHeight="1" outlineLevel="4" x14ac:dyDescent="0.2">
      <c r="A119" s="23" t="s">
        <v>120</v>
      </c>
      <c r="B119" s="24" t="s">
        <v>114</v>
      </c>
      <c r="C119" s="25"/>
      <c r="D119" s="25" t="s">
        <v>121</v>
      </c>
      <c r="E119" s="25"/>
      <c r="F119" s="26" t="s">
        <v>24</v>
      </c>
      <c r="G119" s="27"/>
      <c r="H119" s="28">
        <v>2</v>
      </c>
      <c r="I119" s="28">
        <f>SUM($H$119:$H$119)</f>
        <v>2</v>
      </c>
      <c r="J119" s="58">
        <f t="array" ref="J119">INDEX(М[Цена за ед., руб],MATCH(1,IF(($B119=М[Наим.])*($C119=М[Артикул, марка, произв.])*($D119=М[Хар-ка])*($L119=М[Прим.]),{1},($B119=М[Наим.])*($C119=М[Артикул, марка, произв.])*($D119=М[Хар-ка])*($L119=М[Прим.])),0))</f>
        <v>0</v>
      </c>
      <c r="K119" s="58">
        <f>ROUND($I$119*$J$119,2)</f>
        <v>0</v>
      </c>
      <c r="L119" s="25"/>
      <c r="M119" s="25">
        <f t="array" ref="M119">INDEX(М[Форма закупа],MATCH(1,IF(($B119=М[Наим.])*($C119=М[Артикул, марка, произв.])*($D119=М[Хар-ка])*($L119=М[Прим.]),{1},($B119=М[Наим.])*($C119=М[Артикул, марка, произв.])*($D119=М[Хар-ка])*($L119=М[Прим.])),0))</f>
        <v>0</v>
      </c>
    </row>
    <row r="120" spans="1:13" ht="59.1" customHeight="1" outlineLevel="4" x14ac:dyDescent="0.2">
      <c r="A120" s="23" t="s">
        <v>122</v>
      </c>
      <c r="B120" s="24" t="s">
        <v>114</v>
      </c>
      <c r="C120" s="25"/>
      <c r="D120" s="25" t="s">
        <v>123</v>
      </c>
      <c r="E120" s="25"/>
      <c r="F120" s="26" t="s">
        <v>24</v>
      </c>
      <c r="G120" s="27"/>
      <c r="H120" s="28">
        <v>21</v>
      </c>
      <c r="I120" s="28">
        <f>SUM($H$120:$H$120)</f>
        <v>21</v>
      </c>
      <c r="J120" s="58">
        <f t="array" ref="J120">INDEX(М[Цена за ед., руб],MATCH(1,IF(($B120=М[Наим.])*($C120=М[Артикул,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0</v>
      </c>
      <c r="K120" s="58">
        <f>ROUND($I$120*$J$120,2)</f>
        <v>0</v>
      </c>
      <c r="L120" s="25"/>
      <c r="M120" s="25">
        <f t="array" ref="M120">INDEX(М[Форма закупа],MATCH(1,IF(($B120=М[Наим.])*($C120=М[Артикул, марка, произв.])*($D120=М[Хар-ка])*($L120=М[Прим.]),{1},($B120=М[Наим.])*($C120=М[Артикул, марка, произв.])*($D120=М[Хар-ка])*($L120=М[Прим.])),0))</f>
        <v>0</v>
      </c>
    </row>
    <row r="121" spans="1:13" ht="59.1" customHeight="1" outlineLevel="4" x14ac:dyDescent="0.2">
      <c r="A121" s="23" t="s">
        <v>124</v>
      </c>
      <c r="B121" s="24" t="s">
        <v>114</v>
      </c>
      <c r="C121" s="25"/>
      <c r="D121" s="25" t="s">
        <v>125</v>
      </c>
      <c r="E121" s="25"/>
      <c r="F121" s="26" t="s">
        <v>24</v>
      </c>
      <c r="G121" s="27"/>
      <c r="H121" s="28">
        <v>10</v>
      </c>
      <c r="I121" s="28">
        <f>SUM($H$121:$H$121)</f>
        <v>10</v>
      </c>
      <c r="J121" s="58">
        <f t="array" ref="J121">INDEX(М[Цена за ед., руб],MATCH(1,IF(($B121=М[Наим.])*($C121=М[Артикул,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0</v>
      </c>
      <c r="K121" s="58">
        <f>ROUND($I$121*$J$121,2)</f>
        <v>0</v>
      </c>
      <c r="L121" s="25"/>
      <c r="M121" s="25">
        <f t="array" ref="M121">INDEX(М[Форма закупа],MATCH(1,IF(($B121=М[Наим.])*($C121=М[Артикул, марка, произв.])*($D121=М[Хар-ка])*($L121=М[Прим.]),{1},($B121=М[Наим.])*($C121=М[Артикул, марка, произв.])*($D121=М[Хар-ка])*($L121=М[Прим.])),0))</f>
        <v>0</v>
      </c>
    </row>
    <row r="122" spans="1:13" ht="59.1" customHeight="1" outlineLevel="4" x14ac:dyDescent="0.2">
      <c r="A122" s="23" t="s">
        <v>15</v>
      </c>
      <c r="B122" s="24" t="s">
        <v>114</v>
      </c>
      <c r="C122" s="25"/>
      <c r="D122" s="25" t="s">
        <v>126</v>
      </c>
      <c r="E122" s="25"/>
      <c r="F122" s="26" t="s">
        <v>24</v>
      </c>
      <c r="G122" s="27"/>
      <c r="H122" s="28">
        <v>1</v>
      </c>
      <c r="I122" s="28">
        <f>SUM($H$122:$H$122)</f>
        <v>1</v>
      </c>
      <c r="J122" s="58">
        <f t="array" ref="J122">INDEX(М[Цена за ед., руб],MATCH(1,IF(($B122=М[Наим.])*($C122=М[Артикул,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0</v>
      </c>
      <c r="K122" s="58">
        <f>ROUND($I$122*$J$122,2)</f>
        <v>0</v>
      </c>
      <c r="L122" s="25"/>
      <c r="M122" s="25">
        <f t="array" ref="M122">INDEX(М[Форма закупа],MATCH(1,IF(($B122=М[Наим.])*($C122=М[Артикул, марка, произв.])*($D122=М[Хар-ка])*($L122=М[Прим.]),{1},($B122=М[Наим.])*($C122=М[Артикул, марка, произв.])*($D122=М[Хар-ка])*($L122=М[Прим.])),0))</f>
        <v>0</v>
      </c>
    </row>
    <row r="123" spans="1:13" ht="59.1" customHeight="1" outlineLevel="4" x14ac:dyDescent="0.2">
      <c r="A123" s="23" t="s">
        <v>127</v>
      </c>
      <c r="B123" s="24" t="s">
        <v>114</v>
      </c>
      <c r="C123" s="25"/>
      <c r="D123" s="25" t="s">
        <v>128</v>
      </c>
      <c r="E123" s="25"/>
      <c r="F123" s="26" t="s">
        <v>24</v>
      </c>
      <c r="G123" s="27"/>
      <c r="H123" s="28">
        <v>1</v>
      </c>
      <c r="I123" s="28">
        <f>SUM($H$123:$H$123)</f>
        <v>1</v>
      </c>
      <c r="J123" s="58">
        <f t="array" ref="J123">INDEX(М[Цена за ед., руб],MATCH(1,IF(($B123=М[Наим.])*($C123=М[Артикул,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0</v>
      </c>
      <c r="K123" s="58">
        <f>ROUND($I$123*$J$123,2)</f>
        <v>0</v>
      </c>
      <c r="L123" s="25"/>
      <c r="M123" s="25">
        <f t="array" ref="M123">INDEX(М[Форма закупа],MATCH(1,IF(($B123=М[Наим.])*($C123=М[Артикул, марка, произв.])*($D123=М[Хар-ка])*($L123=М[Прим.]),{1},($B123=М[Наим.])*($C123=М[Артикул, марка, произв.])*($D123=М[Хар-ка])*($L123=М[Прим.])),0))</f>
        <v>0</v>
      </c>
    </row>
    <row r="124" spans="1:13" ht="59.1" customHeight="1" outlineLevel="4" x14ac:dyDescent="0.2">
      <c r="A124" s="23" t="s">
        <v>129</v>
      </c>
      <c r="B124" s="24" t="s">
        <v>114</v>
      </c>
      <c r="C124" s="25"/>
      <c r="D124" s="25" t="s">
        <v>130</v>
      </c>
      <c r="E124" s="25"/>
      <c r="F124" s="26" t="s">
        <v>24</v>
      </c>
      <c r="G124" s="27"/>
      <c r="H124" s="28">
        <v>92</v>
      </c>
      <c r="I124" s="28">
        <f>SUM($H$124:$H$124)</f>
        <v>92</v>
      </c>
      <c r="J124" s="58">
        <f t="array" ref="J124">INDEX(М[Цена за ед., руб],MATCH(1,IF(($B124=М[Наим.])*($C124=М[Артикул,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0</v>
      </c>
      <c r="K124" s="58">
        <f>ROUND($I$124*$J$124,2)</f>
        <v>0</v>
      </c>
      <c r="L124" s="25"/>
      <c r="M124" s="25">
        <f t="array" ref="M124">INDEX(М[Форма закупа],MATCH(1,IF(($B124=М[Наим.])*($C124=М[Артикул, марка, произв.])*($D124=М[Хар-ка])*($L124=М[Прим.]),{1},($B124=М[Наим.])*($C124=М[Артикул, марка, произв.])*($D124=М[Хар-ка])*($L124=М[Прим.])),0))</f>
        <v>0</v>
      </c>
    </row>
    <row r="125" spans="1:13" ht="59.1" customHeight="1" outlineLevel="4" x14ac:dyDescent="0.2">
      <c r="A125" s="23" t="s">
        <v>219</v>
      </c>
      <c r="B125" s="24" t="s">
        <v>114</v>
      </c>
      <c r="C125" s="25"/>
      <c r="D125" s="25" t="s">
        <v>132</v>
      </c>
      <c r="E125" s="25"/>
      <c r="F125" s="26" t="s">
        <v>24</v>
      </c>
      <c r="G125" s="27"/>
      <c r="H125" s="28">
        <v>22</v>
      </c>
      <c r="I125" s="28">
        <f>SUM($H$125:$H$125)</f>
        <v>22</v>
      </c>
      <c r="J125" s="58">
        <f t="array" ref="J125">INDEX(М[Цена за ед., руб],MATCH(1,IF(($B125=М[Наим.])*($C125=М[Артикул,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  <c r="K125" s="58">
        <f>ROUND($I$125*$J$125,2)</f>
        <v>0</v>
      </c>
      <c r="L125" s="25"/>
      <c r="M125" s="25">
        <f t="array" ref="M125">INDEX(М[Форма закупа],MATCH(1,IF(($B125=М[Наим.])*($C125=М[Артикул, марка, произв.])*($D125=М[Хар-ка])*($L125=М[Прим.]),{1},($B125=М[Наим.])*($C125=М[Артикул, марка, произв.])*($D125=М[Хар-ка])*($L125=М[Прим.])),0))</f>
        <v>0</v>
      </c>
    </row>
    <row r="126" spans="1:13" ht="59.1" customHeight="1" outlineLevel="4" x14ac:dyDescent="0.2">
      <c r="A126" s="23" t="s">
        <v>131</v>
      </c>
      <c r="B126" s="24" t="s">
        <v>114</v>
      </c>
      <c r="C126" s="25"/>
      <c r="D126" s="25" t="s">
        <v>134</v>
      </c>
      <c r="E126" s="25"/>
      <c r="F126" s="26" t="s">
        <v>24</v>
      </c>
      <c r="G126" s="27"/>
      <c r="H126" s="28">
        <v>21</v>
      </c>
      <c r="I126" s="28">
        <f>SUM($H$126:$H$126)</f>
        <v>21</v>
      </c>
      <c r="J126" s="58">
        <f t="array" ref="J126">INDEX(М[Цена за ед., руб],MATCH(1,IF(($B126=М[Наим.])*($C126=М[Артикул,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0</v>
      </c>
      <c r="K126" s="58">
        <f>ROUND($I$126*$J$126,2)</f>
        <v>0</v>
      </c>
      <c r="L126" s="25"/>
      <c r="M126" s="25">
        <f t="array" ref="M126">INDEX(М[Форма закупа],MATCH(1,IF(($B126=М[Наим.])*($C126=М[Артикул, марка, произв.])*($D126=М[Хар-ка])*($L126=М[Прим.]),{1},($B126=М[Наим.])*($C126=М[Артикул, марка, произв.])*($D126=М[Хар-ка])*($L126=М[Прим.])),0))</f>
        <v>0</v>
      </c>
    </row>
    <row r="127" spans="1:13" ht="59.1" customHeight="1" outlineLevel="4" x14ac:dyDescent="0.2">
      <c r="A127" s="23" t="s">
        <v>133</v>
      </c>
      <c r="B127" s="24" t="s">
        <v>114</v>
      </c>
      <c r="C127" s="25"/>
      <c r="D127" s="25" t="s">
        <v>136</v>
      </c>
      <c r="E127" s="25"/>
      <c r="F127" s="26" t="s">
        <v>24</v>
      </c>
      <c r="G127" s="27"/>
      <c r="H127" s="28">
        <v>1</v>
      </c>
      <c r="I127" s="28">
        <f>SUM($H$127:$H$127)</f>
        <v>1</v>
      </c>
      <c r="J127" s="58">
        <f t="array" ref="J127">INDEX(М[Цена за ед., руб],MATCH(1,IF(($B127=М[Наим.])*($C127=М[Артикул,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0</v>
      </c>
      <c r="K127" s="58">
        <f>ROUND($I$127*$J$127,2)</f>
        <v>0</v>
      </c>
      <c r="L127" s="25"/>
      <c r="M127" s="25">
        <f t="array" ref="M127">INDEX(М[Форма закупа],MATCH(1,IF(($B127=М[Наим.])*($C127=М[Артикул, марка, произв.])*($D127=М[Хар-ка])*($L127=М[Прим.]),{1},($B127=М[Наим.])*($C127=М[Артикул, марка, произв.])*($D127=М[Хар-ка])*($L127=М[Прим.])),0))</f>
        <v>0</v>
      </c>
    </row>
    <row r="128" spans="1:13" ht="59.1" customHeight="1" outlineLevel="4" x14ac:dyDescent="0.2">
      <c r="A128" s="23" t="s">
        <v>135</v>
      </c>
      <c r="B128" s="24" t="s">
        <v>114</v>
      </c>
      <c r="C128" s="25"/>
      <c r="D128" s="25" t="s">
        <v>138</v>
      </c>
      <c r="E128" s="25"/>
      <c r="F128" s="26" t="s">
        <v>24</v>
      </c>
      <c r="G128" s="27"/>
      <c r="H128" s="28">
        <v>1</v>
      </c>
      <c r="I128" s="28">
        <f>SUM($H$128:$H$128)</f>
        <v>1</v>
      </c>
      <c r="J128" s="58">
        <f t="array" ref="J128">INDEX(М[Цена за ед., руб],MATCH(1,IF(($B128=М[Наим.])*($C128=М[Артикул, марка, произв.])*($D128=М[Хар-ка])*($L128=М[Прим.]),{1},($B128=М[Наим.])*($C128=М[Артикул, марка, произв.])*($D128=М[Хар-ка])*($L128=М[Прим.])),0))</f>
        <v>0</v>
      </c>
      <c r="K128" s="58">
        <f>ROUND($I$128*$J$128,2)</f>
        <v>0</v>
      </c>
      <c r="L128" s="25"/>
      <c r="M128" s="25">
        <f t="array" ref="M128">INDEX(М[Форма закупа],MATCH(1,IF(($B128=М[Наим.])*($C128=М[Артикул, марка, произв.])*($D128=М[Хар-ка])*($L128=М[Прим.]),{1},($B128=М[Наим.])*($C128=М[Артикул, марка, произв.])*($D128=М[Хар-ка])*($L128=М[Прим.])),0))</f>
        <v>0</v>
      </c>
    </row>
    <row r="129" spans="1:13" ht="59.1" customHeight="1" outlineLevel="4" x14ac:dyDescent="0.2">
      <c r="A129" s="23" t="s">
        <v>137</v>
      </c>
      <c r="B129" s="24" t="s">
        <v>114</v>
      </c>
      <c r="C129" s="25"/>
      <c r="D129" s="25" t="s">
        <v>140</v>
      </c>
      <c r="E129" s="25"/>
      <c r="F129" s="26" t="s">
        <v>24</v>
      </c>
      <c r="G129" s="27"/>
      <c r="H129" s="28">
        <v>7</v>
      </c>
      <c r="I129" s="28">
        <f>SUM($H$129:$H$129)</f>
        <v>7</v>
      </c>
      <c r="J129" s="58">
        <f t="array" ref="J129">INDEX(М[Цена за ед., руб],MATCH(1,IF(($B129=М[Наим.])*($C129=М[Артикул, марка, произв.])*($D129=М[Хар-ка])*($L129=М[Прим.]),{1},($B129=М[Наим.])*($C129=М[Артикул, марка, произв.])*($D129=М[Хар-ка])*($L129=М[Прим.])),0))</f>
        <v>0</v>
      </c>
      <c r="K129" s="58">
        <f>ROUND($I$129*$J$129,2)</f>
        <v>0</v>
      </c>
      <c r="L129" s="25"/>
      <c r="M129" s="25">
        <f t="array" ref="M129">INDEX(М[Форма закупа],MATCH(1,IF(($B129=М[Наим.])*($C129=М[Артикул, марка, произв.])*($D129=М[Хар-ка])*($L129=М[Прим.]),{1},($B129=М[Наим.])*($C129=М[Артикул, марка, произв.])*($D129=М[Хар-ка])*($L129=М[Прим.])),0))</f>
        <v>0</v>
      </c>
    </row>
    <row r="130" spans="1:13" ht="59.1" customHeight="1" outlineLevel="4" x14ac:dyDescent="0.2">
      <c r="A130" s="23" t="s">
        <v>139</v>
      </c>
      <c r="B130" s="24" t="s">
        <v>114</v>
      </c>
      <c r="C130" s="25"/>
      <c r="D130" s="25" t="s">
        <v>142</v>
      </c>
      <c r="E130" s="25"/>
      <c r="F130" s="26" t="s">
        <v>24</v>
      </c>
      <c r="G130" s="27"/>
      <c r="H130" s="28">
        <v>5</v>
      </c>
      <c r="I130" s="28">
        <f>SUM($H$130:$H$130)</f>
        <v>5</v>
      </c>
      <c r="J130" s="58">
        <f t="array" ref="J130">INDEX(М[Цена за ед., руб],MATCH(1,IF(($B130=М[Наим.])*($C130=М[Артикул, марка, произв.])*($D130=М[Хар-ка])*($L130=М[Прим.]),{1},($B130=М[Наим.])*($C130=М[Артикул, марка, произв.])*($D130=М[Хар-ка])*($L130=М[Прим.])),0))</f>
        <v>0</v>
      </c>
      <c r="K130" s="58">
        <f>ROUND($I$130*$J$130,2)</f>
        <v>0</v>
      </c>
      <c r="L130" s="25"/>
      <c r="M130" s="25">
        <f t="array" ref="M130">INDEX(М[Форма закупа],MATCH(1,IF(($B130=М[Наим.])*($C130=М[Артикул, марка, произв.])*($D130=М[Хар-ка])*($L130=М[Прим.]),{1},($B130=М[Наим.])*($C130=М[Артикул, марка, произв.])*($D130=М[Хар-ка])*($L130=М[Прим.])),0))</f>
        <v>0</v>
      </c>
    </row>
    <row r="131" spans="1:13" ht="59.1" customHeight="1" outlineLevel="4" x14ac:dyDescent="0.2">
      <c r="A131" s="23" t="s">
        <v>141</v>
      </c>
      <c r="B131" s="24" t="s">
        <v>114</v>
      </c>
      <c r="C131" s="25"/>
      <c r="D131" s="25" t="s">
        <v>143</v>
      </c>
      <c r="E131" s="25"/>
      <c r="F131" s="26" t="s">
        <v>24</v>
      </c>
      <c r="G131" s="27"/>
      <c r="H131" s="28">
        <v>1</v>
      </c>
      <c r="I131" s="28">
        <f>SUM($H$131:$H$131)</f>
        <v>1</v>
      </c>
      <c r="J131" s="58">
        <f t="array" ref="J131">INDEX(М[Цена за ед., руб],MATCH(1,IF(($B131=М[Наим.])*($C131=М[Артикул,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  <c r="K131" s="58">
        <f>ROUND($I$131*$J$131,2)</f>
        <v>0</v>
      </c>
      <c r="L131" s="25"/>
      <c r="M131" s="25">
        <f t="array" ref="M131">INDEX(М[Форма закупа],MATCH(1,IF(($B131=М[Наим.])*($C131=М[Артикул, марка, произв.])*($D131=М[Хар-ка])*($L131=М[Прим.]),{1},($B131=М[Наим.])*($C131=М[Артикул, марка, произв.])*($D131=М[Хар-ка])*($L131=М[Прим.])),0))</f>
        <v>0</v>
      </c>
    </row>
    <row r="132" spans="1:13" ht="11.1" customHeight="1" outlineLevel="4" x14ac:dyDescent="0.2">
      <c r="A132" s="20"/>
      <c r="B132" s="14" t="s">
        <v>22</v>
      </c>
      <c r="C132" s="21"/>
      <c r="D132" s="21"/>
      <c r="E132" s="21"/>
      <c r="F132" s="21"/>
      <c r="G132" s="21"/>
      <c r="H132" s="21"/>
      <c r="I132" s="21"/>
      <c r="J132" s="56"/>
      <c r="K132" s="57">
        <f>SUM($K$133)</f>
        <v>0</v>
      </c>
      <c r="L132" s="18"/>
      <c r="M132" s="22"/>
    </row>
    <row r="133" spans="1:13" ht="11.1" customHeight="1" outlineLevel="4" x14ac:dyDescent="0.2">
      <c r="A133" s="23"/>
      <c r="B133" s="24" t="s">
        <v>54</v>
      </c>
      <c r="C133" s="25"/>
      <c r="D133" s="25"/>
      <c r="E133" s="25"/>
      <c r="F133" s="26" t="s">
        <v>55</v>
      </c>
      <c r="G133" s="27"/>
      <c r="H133" s="29">
        <v>11606</v>
      </c>
      <c r="I133" s="29">
        <f>SUM($H$133:$H$133)</f>
        <v>11606</v>
      </c>
      <c r="J133" s="58">
        <f t="array" ref="J133">INDEX(Р[Цена за ед., руб],MATCH(1,IF(($B133=Р[Наименование])*($L133=Р[Примечание]),{1},($B133=Р[Наименование])*($L133=Р[Примечание])),0))</f>
        <v>0</v>
      </c>
      <c r="K133" s="58">
        <f>ROUND($I$133*$J$133,2)</f>
        <v>0</v>
      </c>
      <c r="L133" s="25"/>
      <c r="M133" s="25"/>
    </row>
    <row r="134" spans="1:13" ht="11.1" customHeight="1" outlineLevel="4" x14ac:dyDescent="0.2">
      <c r="A134" s="20"/>
      <c r="B134" s="14" t="s">
        <v>28</v>
      </c>
      <c r="C134" s="21"/>
      <c r="D134" s="21"/>
      <c r="E134" s="21"/>
      <c r="F134" s="21"/>
      <c r="G134" s="21"/>
      <c r="H134" s="21"/>
      <c r="I134" s="21"/>
      <c r="J134" s="56"/>
      <c r="K134" s="57">
        <f>SUM($K$135:$K$140)</f>
        <v>0</v>
      </c>
      <c r="L134" s="18"/>
      <c r="M134" s="22"/>
    </row>
    <row r="135" spans="1:13" ht="35.1" customHeight="1" outlineLevel="4" x14ac:dyDescent="0.2">
      <c r="A135" s="23" t="s">
        <v>29</v>
      </c>
      <c r="B135" s="24" t="s">
        <v>56</v>
      </c>
      <c r="C135" s="25"/>
      <c r="D135" s="25" t="s">
        <v>57</v>
      </c>
      <c r="E135" s="25"/>
      <c r="F135" s="26" t="s">
        <v>58</v>
      </c>
      <c r="G135" s="27"/>
      <c r="H135" s="28">
        <v>94</v>
      </c>
      <c r="I135" s="28">
        <f>SUM($H$135:$H$135)</f>
        <v>94</v>
      </c>
      <c r="J135" s="58">
        <f t="array" ref="J135">INDEX(М[Цена за ед., руб],MATCH(1,IF(($B135=М[Наим.])*($C135=М[Артикул,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0</v>
      </c>
      <c r="K135" s="58">
        <f>ROUND($I$135*$J$135,2)</f>
        <v>0</v>
      </c>
      <c r="L135" s="25"/>
      <c r="M135" s="25">
        <f t="array" ref="M135">INDEX(М[Форма закупа],MATCH(1,IF(($B135=М[Наим.])*($C135=М[Артикул, марка, произв.])*($D135=М[Хар-ка])*($L135=М[Прим.]),{1},($B135=М[Наим.])*($C135=М[Артикул, марка, произв.])*($D135=М[Хар-ка])*($L135=М[Прим.])),0))</f>
        <v>0</v>
      </c>
    </row>
    <row r="136" spans="1:13" ht="35.1" customHeight="1" outlineLevel="4" x14ac:dyDescent="0.2">
      <c r="A136" s="23" t="s">
        <v>35</v>
      </c>
      <c r="B136" s="24" t="s">
        <v>56</v>
      </c>
      <c r="C136" s="25"/>
      <c r="D136" s="25" t="s">
        <v>144</v>
      </c>
      <c r="E136" s="25"/>
      <c r="F136" s="26" t="s">
        <v>58</v>
      </c>
      <c r="G136" s="27"/>
      <c r="H136" s="28">
        <v>15</v>
      </c>
      <c r="I136" s="28">
        <f>SUM($H$136:$H$136)</f>
        <v>15</v>
      </c>
      <c r="J136" s="58">
        <f t="array" ref="J136">INDEX(М[Цена за ед., руб],MATCH(1,IF(($B136=М[Наим.])*($C136=М[Артикул,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0</v>
      </c>
      <c r="K136" s="58">
        <f>ROUND($I$136*$J$136,2)</f>
        <v>0</v>
      </c>
      <c r="L136" s="25"/>
      <c r="M136" s="25">
        <f t="array" ref="M136">INDEX(М[Форма закупа],MATCH(1,IF(($B136=М[Наим.])*($C136=М[Артикул, марка, произв.])*($D136=М[Хар-ка])*($L136=М[Прим.]),{1},($B136=М[Наим.])*($C136=М[Артикул, марка, произв.])*($D136=М[Хар-ка])*($L136=М[Прим.])),0))</f>
        <v>0</v>
      </c>
    </row>
    <row r="137" spans="1:13" ht="35.1" customHeight="1" outlineLevel="4" x14ac:dyDescent="0.2">
      <c r="A137" s="23" t="s">
        <v>37</v>
      </c>
      <c r="B137" s="24" t="s">
        <v>56</v>
      </c>
      <c r="C137" s="25"/>
      <c r="D137" s="25" t="s">
        <v>145</v>
      </c>
      <c r="E137" s="25"/>
      <c r="F137" s="26" t="s">
        <v>58</v>
      </c>
      <c r="G137" s="27"/>
      <c r="H137" s="28">
        <v>26</v>
      </c>
      <c r="I137" s="28">
        <f>SUM($H$137:$H$137)</f>
        <v>26</v>
      </c>
      <c r="J137" s="58">
        <f t="array" ref="J137">INDEX(М[Цена за ед., руб],MATCH(1,IF(($B137=М[Наим.])*($C137=М[Артикул,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0</v>
      </c>
      <c r="K137" s="58">
        <f>ROUND($I$137*$J$137,2)</f>
        <v>0</v>
      </c>
      <c r="L137" s="25"/>
      <c r="M137" s="25">
        <f t="array" ref="M137">INDEX(М[Форма закупа],MATCH(1,IF(($B137=М[Наим.])*($C137=М[Артикул, марка, произв.])*($D137=М[Хар-ка])*($L137=М[Прим.]),{1},($B137=М[Наим.])*($C137=М[Артикул, марка, произв.])*($D137=М[Хар-ка])*($L137=М[Прим.])),0))</f>
        <v>0</v>
      </c>
    </row>
    <row r="138" spans="1:13" ht="35.1" customHeight="1" outlineLevel="4" x14ac:dyDescent="0.2">
      <c r="A138" s="23" t="s">
        <v>61</v>
      </c>
      <c r="B138" s="24" t="s">
        <v>56</v>
      </c>
      <c r="C138" s="25"/>
      <c r="D138" s="25" t="s">
        <v>146</v>
      </c>
      <c r="E138" s="25"/>
      <c r="F138" s="26" t="s">
        <v>58</v>
      </c>
      <c r="G138" s="27"/>
      <c r="H138" s="29">
        <v>5264</v>
      </c>
      <c r="I138" s="29">
        <f>SUM($H$138:$H$138)</f>
        <v>5264</v>
      </c>
      <c r="J138" s="58">
        <f t="array" ref="J138">INDEX(М[Цена за ед., руб],MATCH(1,IF(($B138=М[Наим.])*($C138=М[Артикул, марка, произв.])*($D138=М[Хар-ка])*($L138=М[Прим.]),{1},($B138=М[Наим.])*($C138=М[Артикул, марка, произв.])*($D138=М[Хар-ка])*($L138=М[Прим.])),0))</f>
        <v>0</v>
      </c>
      <c r="K138" s="58">
        <f>ROUND($I$138*$J$138,2)</f>
        <v>0</v>
      </c>
      <c r="L138" s="25"/>
      <c r="M138" s="25">
        <f t="array" ref="M138">INDEX(М[Форма закупа],MATCH(1,IF(($B138=М[Наим.])*($C138=М[Артикул, марка, произв.])*($D138=М[Хар-ка])*($L138=М[Прим.]),{1},($B138=М[Наим.])*($C138=М[Артикул, марка, произв.])*($D138=М[Хар-ка])*($L138=М[Прим.])),0))</f>
        <v>0</v>
      </c>
    </row>
    <row r="139" spans="1:13" ht="35.1" customHeight="1" outlineLevel="4" x14ac:dyDescent="0.2">
      <c r="A139" s="23" t="s">
        <v>63</v>
      </c>
      <c r="B139" s="24" t="s">
        <v>56</v>
      </c>
      <c r="C139" s="25"/>
      <c r="D139" s="25" t="s">
        <v>147</v>
      </c>
      <c r="E139" s="25"/>
      <c r="F139" s="26" t="s">
        <v>58</v>
      </c>
      <c r="G139" s="27"/>
      <c r="H139" s="29">
        <v>3437</v>
      </c>
      <c r="I139" s="29">
        <f>SUM($H$139:$H$139)</f>
        <v>3437</v>
      </c>
      <c r="J139" s="58">
        <f t="array" ref="J139">INDEX(М[Цена за ед., руб],MATCH(1,IF(($B139=М[Наим.])*($C139=М[Артикул, марка, произв.])*($D139=М[Хар-ка])*($L139=М[Прим.]),{1},($B139=М[Наим.])*($C139=М[Артикул, марка, произв.])*($D139=М[Хар-ка])*($L139=М[Прим.])),0))</f>
        <v>0</v>
      </c>
      <c r="K139" s="58">
        <f>ROUND($I$139*$J$139,2)</f>
        <v>0</v>
      </c>
      <c r="L139" s="25"/>
      <c r="M139" s="25">
        <f t="array" ref="M139">INDEX(М[Форма закупа],MATCH(1,IF(($B139=М[Наим.])*($C139=М[Артикул, марка, произв.])*($D139=М[Хар-ка])*($L139=М[Прим.]),{1},($B139=М[Наим.])*($C139=М[Артикул, марка, произв.])*($D139=М[Хар-ка])*($L139=М[Прим.])),0))</f>
        <v>0</v>
      </c>
    </row>
    <row r="140" spans="1:13" ht="35.1" customHeight="1" outlineLevel="4" x14ac:dyDescent="0.2">
      <c r="A140" s="23" t="s">
        <v>73</v>
      </c>
      <c r="B140" s="24" t="s">
        <v>56</v>
      </c>
      <c r="C140" s="25"/>
      <c r="D140" s="25" t="s">
        <v>148</v>
      </c>
      <c r="E140" s="25"/>
      <c r="F140" s="26" t="s">
        <v>58</v>
      </c>
      <c r="G140" s="27"/>
      <c r="H140" s="29">
        <v>2770</v>
      </c>
      <c r="I140" s="29">
        <f>SUM($H$140:$H$140)</f>
        <v>2770</v>
      </c>
      <c r="J140" s="58">
        <f t="array" ref="J140">INDEX(М[Цена за ед., руб],MATCH(1,IF(($B140=М[Наим.])*($C140=М[Артикул, марка, произв.])*($D140=М[Хар-ка])*($L140=М[Прим.]),{1},($B140=М[Наим.])*($C140=М[Артикул, марка, произв.])*($D140=М[Хар-ка])*($L140=М[Прим.])),0))</f>
        <v>0</v>
      </c>
      <c r="K140" s="58">
        <f>ROUND($I$140*$J$140,2)</f>
        <v>0</v>
      </c>
      <c r="L140" s="25"/>
      <c r="M140" s="25">
        <f t="array" ref="M140">INDEX(М[Форма закупа],MATCH(1,IF(($B140=М[Наим.])*($C140=М[Артикул, марка, произв.])*($D140=М[Хар-ка])*($L140=М[Прим.]),{1},($B140=М[Наим.])*($C140=М[Артикул, марка, произв.])*($D140=М[Хар-ка])*($L140=М[Прим.])),0))</f>
        <v>0</v>
      </c>
    </row>
    <row r="141" spans="1:13" ht="11.1" customHeight="1" outlineLevel="4" x14ac:dyDescent="0.2">
      <c r="A141" s="20"/>
      <c r="B141" s="14" t="s">
        <v>22</v>
      </c>
      <c r="C141" s="21"/>
      <c r="D141" s="21"/>
      <c r="E141" s="21"/>
      <c r="F141" s="21"/>
      <c r="G141" s="21"/>
      <c r="H141" s="21"/>
      <c r="I141" s="21"/>
      <c r="J141" s="56"/>
      <c r="K141" s="57">
        <f>SUM($K$142)</f>
        <v>0</v>
      </c>
      <c r="L141" s="18"/>
      <c r="M141" s="22"/>
    </row>
    <row r="142" spans="1:13" ht="11.1" customHeight="1" outlineLevel="4" x14ac:dyDescent="0.2">
      <c r="A142" s="23"/>
      <c r="B142" s="24" t="s">
        <v>149</v>
      </c>
      <c r="C142" s="25"/>
      <c r="D142" s="25"/>
      <c r="E142" s="25"/>
      <c r="F142" s="26" t="s">
        <v>55</v>
      </c>
      <c r="G142" s="27"/>
      <c r="H142" s="28">
        <v>690</v>
      </c>
      <c r="I142" s="28">
        <f>SUM($H$142:$H$142)</f>
        <v>690</v>
      </c>
      <c r="J142" s="58">
        <f t="array" ref="J142">INDEX(Р[Цена за ед., руб],MATCH(1,IF(($B142=Р[Наименование])*($L142=Р[Примечание]),{1},($B142=Р[Наименование])*($L142=Р[Примечание])),0))</f>
        <v>0</v>
      </c>
      <c r="K142" s="58">
        <f>ROUND($I$142*$J$142,2)</f>
        <v>0</v>
      </c>
      <c r="L142" s="25"/>
      <c r="M142" s="25"/>
    </row>
    <row r="143" spans="1:13" ht="11.1" customHeight="1" outlineLevel="4" x14ac:dyDescent="0.2">
      <c r="A143" s="20"/>
      <c r="B143" s="14" t="s">
        <v>28</v>
      </c>
      <c r="C143" s="21"/>
      <c r="D143" s="21"/>
      <c r="E143" s="21"/>
      <c r="F143" s="21"/>
      <c r="G143" s="21"/>
      <c r="H143" s="21"/>
      <c r="I143" s="21"/>
      <c r="J143" s="56"/>
      <c r="K143" s="57">
        <f>SUM($K$144:$K$146)</f>
        <v>0</v>
      </c>
      <c r="L143" s="18"/>
      <c r="M143" s="22"/>
    </row>
    <row r="144" spans="1:13" ht="11.1" customHeight="1" outlineLevel="4" x14ac:dyDescent="0.2">
      <c r="A144" s="23" t="s">
        <v>29</v>
      </c>
      <c r="B144" s="24" t="s">
        <v>150</v>
      </c>
      <c r="C144" s="25"/>
      <c r="D144" s="25" t="s">
        <v>151</v>
      </c>
      <c r="E144" s="25"/>
      <c r="F144" s="26" t="s">
        <v>58</v>
      </c>
      <c r="G144" s="27"/>
      <c r="H144" s="28">
        <v>455</v>
      </c>
      <c r="I144" s="28">
        <f>SUM($H$144:$H$144)</f>
        <v>455</v>
      </c>
      <c r="J144" s="58">
        <f t="array" ref="J144">INDEX(М[Цена за ед., руб],MATCH(1,IF(($B144=М[Наим.])*($C144=М[Артикул, марка, произв.])*($D144=М[Хар-ка])*($L144=М[Прим.]),{1},($B144=М[Наим.])*($C144=М[Артикул, марка, произв.])*($D144=М[Хар-ка])*($L144=М[Прим.])),0))</f>
        <v>0</v>
      </c>
      <c r="K144" s="58">
        <f>ROUND($I$144*$J$144,2)</f>
        <v>0</v>
      </c>
      <c r="L144" s="25"/>
      <c r="M144" s="25">
        <f t="array" ref="M144">INDEX(М[Форма закупа],MATCH(1,IF(($B144=М[Наим.])*($C144=М[Артикул, марка, произв.])*($D144=М[Хар-ка])*($L144=М[Прим.]),{1},($B144=М[Наим.])*($C144=М[Артикул, марка, произв.])*($D144=М[Хар-ка])*($L144=М[Прим.])),0))</f>
        <v>0</v>
      </c>
    </row>
    <row r="145" spans="1:13" ht="11.1" customHeight="1" outlineLevel="4" x14ac:dyDescent="0.2">
      <c r="A145" s="23" t="s">
        <v>35</v>
      </c>
      <c r="B145" s="24" t="s">
        <v>150</v>
      </c>
      <c r="C145" s="25"/>
      <c r="D145" s="25" t="s">
        <v>152</v>
      </c>
      <c r="E145" s="25"/>
      <c r="F145" s="26" t="s">
        <v>58</v>
      </c>
      <c r="G145" s="27"/>
      <c r="H145" s="28">
        <v>125</v>
      </c>
      <c r="I145" s="28">
        <f>SUM($H$145:$H$145)</f>
        <v>125</v>
      </c>
      <c r="J145" s="58">
        <f t="array" ref="J145">INDEX(М[Цена за ед., руб],MATCH(1,IF(($B145=М[Наим.])*($C145=М[Артикул, марка, произв.])*($D145=М[Хар-ка])*($L145=М[Прим.]),{1},($B145=М[Наим.])*($C145=М[Артикул, марка, произв.])*($D145=М[Хар-ка])*($L145=М[Прим.])),0))</f>
        <v>0</v>
      </c>
      <c r="K145" s="58">
        <f>ROUND($I$145*$J$145,2)</f>
        <v>0</v>
      </c>
      <c r="L145" s="25"/>
      <c r="M145" s="25">
        <f t="array" ref="M145">INDEX(М[Форма закупа],MATCH(1,IF(($B145=М[Наим.])*($C145=М[Артикул, марка, произв.])*($D145=М[Хар-ка])*($L145=М[Прим.]),{1},($B145=М[Наим.])*($C145=М[Артикул, марка, произв.])*($D145=М[Хар-ка])*($L145=М[Прим.])),0))</f>
        <v>0</v>
      </c>
    </row>
    <row r="146" spans="1:13" ht="11.1" customHeight="1" outlineLevel="4" x14ac:dyDescent="0.2">
      <c r="A146" s="23" t="s">
        <v>37</v>
      </c>
      <c r="B146" s="24" t="s">
        <v>150</v>
      </c>
      <c r="C146" s="25"/>
      <c r="D146" s="25" t="s">
        <v>153</v>
      </c>
      <c r="E146" s="25"/>
      <c r="F146" s="26" t="s">
        <v>58</v>
      </c>
      <c r="G146" s="27"/>
      <c r="H146" s="28">
        <v>110</v>
      </c>
      <c r="I146" s="28">
        <f>SUM($H$146:$H$146)</f>
        <v>110</v>
      </c>
      <c r="J146" s="58">
        <f t="array" ref="J146">INDEX(М[Цена за ед., руб],MATCH(1,IF(($B146=М[Наим.])*($C146=М[Артикул, марка, произв.])*($D146=М[Хар-ка])*($L146=М[Прим.]),{1},($B146=М[Наим.])*($C146=М[Артикул, марка, произв.])*($D146=М[Хар-ка])*($L146=М[Прим.])),0))</f>
        <v>0</v>
      </c>
      <c r="K146" s="58">
        <f>ROUND($I$146*$J$146,2)</f>
        <v>0</v>
      </c>
      <c r="L146" s="25"/>
      <c r="M146" s="25">
        <f t="array" ref="M146">INDEX(М[Форма закупа],MATCH(1,IF(($B146=М[Наим.])*($C146=М[Артикул, марка, произв.])*($D146=М[Хар-ка])*($L146=М[Прим.]),{1},($B146=М[Наим.])*($C146=М[Артикул, марка, произв.])*($D146=М[Хар-ка])*($L146=М[Прим.])),0))</f>
        <v>0</v>
      </c>
    </row>
    <row r="147" spans="1:13" ht="11.1" customHeight="1" outlineLevel="4" x14ac:dyDescent="0.2">
      <c r="A147" s="20"/>
      <c r="B147" s="14" t="s">
        <v>22</v>
      </c>
      <c r="C147" s="21"/>
      <c r="D147" s="21"/>
      <c r="E147" s="21"/>
      <c r="F147" s="21"/>
      <c r="G147" s="21"/>
      <c r="H147" s="21"/>
      <c r="I147" s="21"/>
      <c r="J147" s="56"/>
      <c r="K147" s="57">
        <f>SUM($K$148)</f>
        <v>0</v>
      </c>
      <c r="L147" s="18"/>
      <c r="M147" s="22"/>
    </row>
    <row r="148" spans="1:13" ht="11.1" customHeight="1" outlineLevel="4" x14ac:dyDescent="0.2">
      <c r="A148" s="23"/>
      <c r="B148" s="24" t="s">
        <v>154</v>
      </c>
      <c r="C148" s="25"/>
      <c r="D148" s="25"/>
      <c r="E148" s="25"/>
      <c r="F148" s="26" t="s">
        <v>55</v>
      </c>
      <c r="G148" s="27"/>
      <c r="H148" s="29">
        <v>12312</v>
      </c>
      <c r="I148" s="29">
        <f>SUM($H$148:$H$148)</f>
        <v>12312</v>
      </c>
      <c r="J148" s="58">
        <f t="array" ref="J148">INDEX(Р[Цена за ед., руб],MATCH(1,IF(($B148=Р[Наименование])*($L148=Р[Примечание]),{1},($B148=Р[Наименование])*($L148=Р[Примечание])),0))</f>
        <v>0</v>
      </c>
      <c r="K148" s="58">
        <f>ROUND($I$148*$J$148,2)</f>
        <v>0</v>
      </c>
      <c r="L148" s="25"/>
      <c r="M148" s="25"/>
    </row>
    <row r="149" spans="1:13" ht="11.1" customHeight="1" outlineLevel="4" x14ac:dyDescent="0.2">
      <c r="A149" s="20"/>
      <c r="B149" s="14" t="s">
        <v>28</v>
      </c>
      <c r="C149" s="21"/>
      <c r="D149" s="21"/>
      <c r="E149" s="21"/>
      <c r="F149" s="21"/>
      <c r="G149" s="21"/>
      <c r="H149" s="21"/>
      <c r="I149" s="21"/>
      <c r="J149" s="56"/>
      <c r="K149" s="57">
        <f>SUM($K$150:$K$152)</f>
        <v>0</v>
      </c>
      <c r="L149" s="18"/>
      <c r="M149" s="22"/>
    </row>
    <row r="150" spans="1:13" ht="11.1" customHeight="1" outlineLevel="4" x14ac:dyDescent="0.2">
      <c r="A150" s="100" t="s">
        <v>29</v>
      </c>
      <c r="B150" s="24" t="s">
        <v>155</v>
      </c>
      <c r="C150" s="25"/>
      <c r="D150" s="25" t="s">
        <v>156</v>
      </c>
      <c r="E150" s="25"/>
      <c r="F150" s="26" t="s">
        <v>58</v>
      </c>
      <c r="G150" s="27"/>
      <c r="H150" s="29">
        <v>5957</v>
      </c>
      <c r="I150" s="29">
        <f>SUM($H$150:$H$150)</f>
        <v>5957</v>
      </c>
      <c r="J150" s="58">
        <f t="array" ref="J150">INDEX(М[Цена за ед., руб],MATCH(1,IF(($B150=М[Наим.])*($C150=М[Артикул, марка, произв.])*($D150=М[Хар-ка])*($L150=М[Прим.]),{1},($B150=М[Наим.])*($C150=М[Артикул, марка, произв.])*($D150=М[Хар-ка])*($L150=М[Прим.])),0))</f>
        <v>0</v>
      </c>
      <c r="K150" s="58">
        <f>ROUND($I$150*$J$150,2)</f>
        <v>0</v>
      </c>
      <c r="L150" s="25"/>
      <c r="M150" s="25">
        <f t="array" ref="M150">INDEX(М[Форма закупа],MATCH(1,IF(($B150=М[Наим.])*($C150=М[Артикул, марка, произв.])*($D150=М[Хар-ка])*($L150=М[Прим.]),{1},($B150=М[Наим.])*($C150=М[Артикул, марка, произв.])*($D150=М[Хар-ка])*($L150=М[Прим.])),0))</f>
        <v>0</v>
      </c>
    </row>
    <row r="151" spans="1:13" ht="11.1" customHeight="1" outlineLevel="4" x14ac:dyDescent="0.2">
      <c r="A151" s="100" t="s">
        <v>35</v>
      </c>
      <c r="B151" s="24" t="s">
        <v>155</v>
      </c>
      <c r="C151" s="25"/>
      <c r="D151" s="25" t="s">
        <v>157</v>
      </c>
      <c r="E151" s="25"/>
      <c r="F151" s="26" t="s">
        <v>58</v>
      </c>
      <c r="G151" s="27"/>
      <c r="H151" s="29">
        <v>3475</v>
      </c>
      <c r="I151" s="29">
        <f>SUM($H$151:$H$151)</f>
        <v>3475</v>
      </c>
      <c r="J151" s="58">
        <f t="array" ref="J151">INDEX(М[Цена за ед., руб],MATCH(1,IF(($B151=М[Наим.])*($C151=М[Артикул,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0</v>
      </c>
      <c r="K151" s="58">
        <f>ROUND($I$151*$J$151,2)</f>
        <v>0</v>
      </c>
      <c r="L151" s="25"/>
      <c r="M151" s="25">
        <f t="array" ref="M151">INDEX(М[Форма закупа],MATCH(1,IF(($B151=М[Наим.])*($C151=М[Артикул, марка, произв.])*($D151=М[Хар-ка])*($L151=М[Прим.]),{1},($B151=М[Наим.])*($C151=М[Артикул, марка, произв.])*($D151=М[Хар-ка])*($L151=М[Прим.])),0))</f>
        <v>0</v>
      </c>
    </row>
    <row r="152" spans="1:13" ht="11.1" customHeight="1" outlineLevel="4" x14ac:dyDescent="0.2">
      <c r="A152" s="100" t="s">
        <v>37</v>
      </c>
      <c r="B152" s="24" t="s">
        <v>155</v>
      </c>
      <c r="C152" s="25"/>
      <c r="D152" s="25" t="s">
        <v>158</v>
      </c>
      <c r="E152" s="25"/>
      <c r="F152" s="26" t="s">
        <v>58</v>
      </c>
      <c r="G152" s="27"/>
      <c r="H152" s="29">
        <v>2880</v>
      </c>
      <c r="I152" s="29">
        <f>SUM($H$152:$H$152)</f>
        <v>2880</v>
      </c>
      <c r="J152" s="58">
        <f t="array" ref="J152">INDEX(М[Цена за ед., руб],MATCH(1,IF(($B152=М[Наим.])*($C152=М[Артикул, марка, произв.])*($D152=М[Хар-ка])*($L152=М[Прим.]),{1},($B152=М[Наим.])*($C152=М[Артикул, марка, произв.])*($D152=М[Хар-ка])*($L152=М[Прим.])),0))</f>
        <v>0</v>
      </c>
      <c r="K152" s="58">
        <f>ROUND($I$152*$J$152,2)</f>
        <v>0</v>
      </c>
      <c r="L152" s="25"/>
      <c r="M152" s="25">
        <f t="array" ref="M152">INDEX(М[Форма закупа],MATCH(1,IF(($B152=М[Наим.])*($C152=М[Артикул, марка, произв.])*($D152=М[Хар-ка])*($L152=М[Прим.]),{1},($B152=М[Наим.])*($C152=М[Артикул, марка, произв.])*($D152=М[Хар-ка])*($L152=М[Прим.])),0))</f>
        <v>0</v>
      </c>
    </row>
    <row r="153" spans="1:13" ht="11.1" customHeight="1" outlineLevel="4" x14ac:dyDescent="0.2">
      <c r="A153" s="20"/>
      <c r="B153" s="14" t="s">
        <v>22</v>
      </c>
      <c r="C153" s="21"/>
      <c r="D153" s="21"/>
      <c r="E153" s="21"/>
      <c r="F153" s="21"/>
      <c r="G153" s="21"/>
      <c r="H153" s="21"/>
      <c r="I153" s="21"/>
      <c r="J153" s="56"/>
      <c r="K153" s="57">
        <f>SUM($K$154)</f>
        <v>0</v>
      </c>
      <c r="L153" s="18"/>
      <c r="M153" s="22"/>
    </row>
    <row r="154" spans="1:13" ht="23.1" customHeight="1" outlineLevel="4" x14ac:dyDescent="0.2">
      <c r="A154" s="23"/>
      <c r="B154" s="24" t="s">
        <v>159</v>
      </c>
      <c r="C154" s="25"/>
      <c r="D154" s="25"/>
      <c r="E154" s="25"/>
      <c r="F154" s="26" t="s">
        <v>55</v>
      </c>
      <c r="G154" s="27"/>
      <c r="H154" s="28">
        <v>350</v>
      </c>
      <c r="I154" s="28">
        <f>SUM($H$154:$H$154)</f>
        <v>350</v>
      </c>
      <c r="J154" s="58">
        <f t="array" ref="J154">INDEX(Р[Цена за ед., руб],MATCH(1,IF(($B154=Р[Наименование])*($L154=Р[Примечание]),{1},($B154=Р[Наименование])*($L154=Р[Примечание])),0))</f>
        <v>0</v>
      </c>
      <c r="K154" s="58">
        <f>ROUND($I$154*$J$154,2)</f>
        <v>0</v>
      </c>
      <c r="L154" s="25"/>
      <c r="M154" s="25"/>
    </row>
    <row r="155" spans="1:13" ht="11.1" customHeight="1" outlineLevel="4" x14ac:dyDescent="0.2">
      <c r="A155" s="20"/>
      <c r="B155" s="14" t="s">
        <v>28</v>
      </c>
      <c r="C155" s="21"/>
      <c r="D155" s="21"/>
      <c r="E155" s="21"/>
      <c r="F155" s="21"/>
      <c r="G155" s="21"/>
      <c r="H155" s="21"/>
      <c r="I155" s="21"/>
      <c r="J155" s="56"/>
      <c r="K155" s="57">
        <f>SUM($K$156:$K$157)</f>
        <v>0</v>
      </c>
      <c r="L155" s="18"/>
      <c r="M155" s="22"/>
    </row>
    <row r="156" spans="1:13" ht="23.1" customHeight="1" outlineLevel="4" x14ac:dyDescent="0.2">
      <c r="A156" s="23" t="s">
        <v>29</v>
      </c>
      <c r="B156" s="24" t="s">
        <v>160</v>
      </c>
      <c r="C156" s="25"/>
      <c r="D156" s="25"/>
      <c r="E156" s="25"/>
      <c r="F156" s="26" t="s">
        <v>161</v>
      </c>
      <c r="G156" s="27"/>
      <c r="H156" s="28">
        <v>50</v>
      </c>
      <c r="I156" s="28">
        <f>SUM($H$156:$H$156)</f>
        <v>50</v>
      </c>
      <c r="J156" s="58">
        <f t="array" ref="J156">INDEX(М[Цена за ед., руб],MATCH(1,IF(($B156=М[Наим.])*($C156=М[Артикул, марка, произв.])*($D156=М[Хар-ка])*($L156=М[Прим.]),{1},($B156=М[Наим.])*($C156=М[Артикул, марка, произв.])*($D156=М[Хар-ка])*($L156=М[Прим.])),0))</f>
        <v>0</v>
      </c>
      <c r="K156" s="58">
        <f>ROUND($I$156*$J$156,2)</f>
        <v>0</v>
      </c>
      <c r="L156" s="25"/>
      <c r="M156" s="25">
        <f t="array" ref="M156">INDEX(М[Форма закупа],MATCH(1,IF(($B156=М[Наим.])*($C156=М[Артикул, марка, произв.])*($D156=М[Хар-ка])*($L156=М[Прим.]),{1},($B156=М[Наим.])*($C156=М[Артикул, марка, произв.])*($D156=М[Хар-ка])*($L156=М[Прим.])),0))</f>
        <v>0</v>
      </c>
    </row>
    <row r="157" spans="1:13" ht="11.1" customHeight="1" outlineLevel="4" x14ac:dyDescent="0.2">
      <c r="A157" s="100" t="s">
        <v>35</v>
      </c>
      <c r="B157" s="24" t="s">
        <v>155</v>
      </c>
      <c r="C157" s="25"/>
      <c r="D157" s="25" t="s">
        <v>156</v>
      </c>
      <c r="E157" s="25"/>
      <c r="F157" s="26" t="s">
        <v>58</v>
      </c>
      <c r="G157" s="27"/>
      <c r="H157" s="28">
        <v>350</v>
      </c>
      <c r="I157" s="28">
        <f>SUM($H$157:$H$157)</f>
        <v>350</v>
      </c>
      <c r="J157" s="58">
        <f t="array" ref="J157">INDEX(М[Цена за ед., руб],MATCH(1,IF(($B157=М[Наим.])*($C157=М[Артикул, марка, произв.])*($D157=М[Хар-ка])*($L157=М[Прим.]),{1},($B157=М[Наим.])*($C157=М[Артикул, марка, произв.])*($D157=М[Хар-ка])*($L157=М[Прим.])),0))</f>
        <v>0</v>
      </c>
      <c r="K157" s="58">
        <f>ROUND($I$157*$J$157,2)</f>
        <v>0</v>
      </c>
      <c r="L157" s="25"/>
      <c r="M157" s="25">
        <f t="array" ref="M157">INDEX(М[Форма закупа],MATCH(1,IF(($B157=М[Наим.])*($C157=М[Артикул, марка, произв.])*($D157=М[Хар-ка])*($L157=М[Прим.]),{1},($B157=М[Наим.])*($C157=М[Артикул, марка, произв.])*($D157=М[Хар-ка])*($L157=М[Прим.])),0))</f>
        <v>0</v>
      </c>
    </row>
    <row r="158" spans="1:13" ht="11.1" customHeight="1" outlineLevel="4" x14ac:dyDescent="0.2">
      <c r="A158" s="20"/>
      <c r="B158" s="14" t="s">
        <v>22</v>
      </c>
      <c r="C158" s="21"/>
      <c r="D158" s="21"/>
      <c r="E158" s="21"/>
      <c r="F158" s="21"/>
      <c r="G158" s="21"/>
      <c r="H158" s="21"/>
      <c r="I158" s="21"/>
      <c r="J158" s="56"/>
      <c r="K158" s="57">
        <f>SUM($K$159)</f>
        <v>0</v>
      </c>
      <c r="L158" s="18"/>
      <c r="M158" s="22"/>
    </row>
    <row r="159" spans="1:13" ht="23.1" customHeight="1" outlineLevel="4" x14ac:dyDescent="0.2">
      <c r="A159" s="23"/>
      <c r="B159" s="24" t="s">
        <v>162</v>
      </c>
      <c r="C159" s="25"/>
      <c r="D159" s="25"/>
      <c r="E159" s="25"/>
      <c r="F159" s="26" t="s">
        <v>24</v>
      </c>
      <c r="G159" s="27"/>
      <c r="H159" s="28">
        <v>1</v>
      </c>
      <c r="I159" s="28">
        <f>SUM($H$159:$H$159)</f>
        <v>1</v>
      </c>
      <c r="J159" s="58">
        <f t="array" ref="J159">INDEX(Р[Цена за ед., руб],MATCH(1,IF(($B159=Р[Наименование])*($L159=Р[Примечание]),{1},($B159=Р[Наименование])*($L159=Р[Примечание])),0))</f>
        <v>0</v>
      </c>
      <c r="K159" s="58">
        <f>ROUND($I$159*$J$159,2)</f>
        <v>0</v>
      </c>
      <c r="L159" s="25"/>
      <c r="M159" s="25"/>
    </row>
    <row r="160" spans="1:13" ht="11.1" customHeight="1" outlineLevel="4" x14ac:dyDescent="0.2">
      <c r="A160" s="20"/>
      <c r="B160" s="14" t="s">
        <v>28</v>
      </c>
      <c r="C160" s="21"/>
      <c r="D160" s="21"/>
      <c r="E160" s="21"/>
      <c r="F160" s="21"/>
      <c r="G160" s="21"/>
      <c r="H160" s="21"/>
      <c r="I160" s="21"/>
      <c r="J160" s="56"/>
      <c r="K160" s="57">
        <f>SUM($K$161)</f>
        <v>0</v>
      </c>
      <c r="L160" s="18"/>
      <c r="M160" s="22"/>
    </row>
    <row r="161" spans="1:13" ht="23.1" customHeight="1" outlineLevel="4" x14ac:dyDescent="0.2">
      <c r="A161" s="23" t="s">
        <v>29</v>
      </c>
      <c r="B161" s="24" t="s">
        <v>163</v>
      </c>
      <c r="C161" s="25"/>
      <c r="D161" s="25" t="s">
        <v>164</v>
      </c>
      <c r="E161" s="25"/>
      <c r="F161" s="26" t="s">
        <v>24</v>
      </c>
      <c r="G161" s="30">
        <v>1</v>
      </c>
      <c r="H161" s="28">
        <v>1</v>
      </c>
      <c r="I161" s="28">
        <f>SUM($H$161:$H$161)</f>
        <v>1</v>
      </c>
      <c r="J161" s="58">
        <f t="array" ref="J161">INDEX(М[Цена за ед., руб],MATCH(1,IF(($B161=М[Наим.])*($C161=М[Артикул, марка, произв.])*($D161=М[Хар-ка])*($L161=М[Прим.]),{1},($B161=М[Наим.])*($C161=М[Артикул, марка, произв.])*($D161=М[Хар-ка])*($L161=М[Прим.])),0))</f>
        <v>0</v>
      </c>
      <c r="K161" s="58">
        <f>ROUND($I$161*$J$161,2)</f>
        <v>0</v>
      </c>
      <c r="L161" s="25" t="s">
        <v>165</v>
      </c>
      <c r="M161" s="25">
        <f t="array" ref="M161">INDEX(М[Форма закупа],MATCH(1,IF(($B161=М[Наим.])*($C161=М[Артикул, марка, произв.])*($D161=М[Хар-ка])*($L161=М[Прим.]),{1},($B161=М[Наим.])*($C161=М[Артикул, марка, произв.])*($D161=М[Хар-ка])*($L161=М[Прим.])),0))</f>
        <v>0</v>
      </c>
    </row>
    <row r="162" spans="1:13" ht="11.1" customHeight="1" outlineLevel="4" x14ac:dyDescent="0.2">
      <c r="A162" s="20"/>
      <c r="B162" s="14" t="s">
        <v>22</v>
      </c>
      <c r="C162" s="21"/>
      <c r="D162" s="21"/>
      <c r="E162" s="21"/>
      <c r="F162" s="21"/>
      <c r="G162" s="21"/>
      <c r="H162" s="21"/>
      <c r="I162" s="21"/>
      <c r="J162" s="56"/>
      <c r="K162" s="57">
        <f>SUM($K$163)</f>
        <v>0</v>
      </c>
      <c r="L162" s="18"/>
      <c r="M162" s="22"/>
    </row>
    <row r="163" spans="1:13" ht="11.1" customHeight="1" outlineLevel="4" x14ac:dyDescent="0.2">
      <c r="A163" s="23"/>
      <c r="B163" s="24" t="s">
        <v>166</v>
      </c>
      <c r="C163" s="25"/>
      <c r="D163" s="25"/>
      <c r="E163" s="25"/>
      <c r="F163" s="26" t="s">
        <v>24</v>
      </c>
      <c r="G163" s="27"/>
      <c r="H163" s="28">
        <v>5</v>
      </c>
      <c r="I163" s="28">
        <f>SUM($H$163:$H$163)</f>
        <v>5</v>
      </c>
      <c r="J163" s="58">
        <f t="array" ref="J163">INDEX(Р[Цена за ед., руб],MATCH(1,IF(($B163=Р[Наименование])*($L163=Р[Примечание]),{1},($B163=Р[Наименование])*($L163=Р[Примечание])),0))</f>
        <v>0</v>
      </c>
      <c r="K163" s="58">
        <f>ROUND($I$163*$J$163,2)</f>
        <v>0</v>
      </c>
      <c r="L163" s="25"/>
      <c r="M163" s="25"/>
    </row>
    <row r="164" spans="1:13" ht="11.1" customHeight="1" outlineLevel="4" x14ac:dyDescent="0.2">
      <c r="A164" s="20"/>
      <c r="B164" s="14" t="s">
        <v>28</v>
      </c>
      <c r="C164" s="21"/>
      <c r="D164" s="21"/>
      <c r="E164" s="21"/>
      <c r="F164" s="21"/>
      <c r="G164" s="21"/>
      <c r="H164" s="21"/>
      <c r="I164" s="21"/>
      <c r="J164" s="56"/>
      <c r="K164" s="57">
        <f>SUM($K$165)</f>
        <v>0</v>
      </c>
      <c r="L164" s="18"/>
      <c r="M164" s="22"/>
    </row>
    <row r="165" spans="1:13" ht="11.1" customHeight="1" outlineLevel="4" x14ac:dyDescent="0.2">
      <c r="A165" s="23" t="s">
        <v>29</v>
      </c>
      <c r="B165" s="24" t="s">
        <v>167</v>
      </c>
      <c r="C165" s="25"/>
      <c r="D165" s="25" t="s">
        <v>168</v>
      </c>
      <c r="E165" s="25"/>
      <c r="F165" s="26" t="s">
        <v>24</v>
      </c>
      <c r="G165" s="27"/>
      <c r="H165" s="28">
        <v>5</v>
      </c>
      <c r="I165" s="28">
        <f>SUM($H$165:$H$165)</f>
        <v>5</v>
      </c>
      <c r="J165" s="58">
        <f t="array" ref="J165">INDEX(М[Цена за ед., руб],MATCH(1,IF(($B165=М[Наим.])*($C165=М[Артикул, марка, произв.])*($D165=М[Хар-ка])*($L165=М[Прим.]),{1},($B165=М[Наим.])*($C165=М[Артикул, марка, произв.])*($D165=М[Хар-ка])*($L165=М[Прим.])),0))</f>
        <v>0</v>
      </c>
      <c r="K165" s="58">
        <f>ROUND($I$165*$J$165,2)</f>
        <v>0</v>
      </c>
      <c r="L165" s="25"/>
      <c r="M165" s="25">
        <f t="array" ref="M165">INDEX(М[Форма закупа],MATCH(1,IF(($B165=М[Наим.])*($C165=М[Артикул, марка, произв.])*($D165=М[Хар-ка])*($L165=М[Прим.]),{1},($B165=М[Наим.])*($C165=М[Артикул, марка, произв.])*($D165=М[Хар-ка])*($L165=М[Прим.])),0))</f>
        <v>0</v>
      </c>
    </row>
    <row r="166" spans="1:13" ht="11.1" customHeight="1" outlineLevel="4" x14ac:dyDescent="0.2">
      <c r="A166" s="20"/>
      <c r="B166" s="14" t="s">
        <v>22</v>
      </c>
      <c r="C166" s="21"/>
      <c r="D166" s="21"/>
      <c r="E166" s="21"/>
      <c r="F166" s="21"/>
      <c r="G166" s="21"/>
      <c r="H166" s="21"/>
      <c r="I166" s="21"/>
      <c r="J166" s="56"/>
      <c r="K166" s="57">
        <f>SUM($K$167)</f>
        <v>0</v>
      </c>
      <c r="L166" s="18"/>
      <c r="M166" s="22"/>
    </row>
    <row r="167" spans="1:13" ht="11.1" customHeight="1" outlineLevel="4" x14ac:dyDescent="0.2">
      <c r="A167" s="23"/>
      <c r="B167" s="24" t="s">
        <v>66</v>
      </c>
      <c r="C167" s="25"/>
      <c r="D167" s="25"/>
      <c r="E167" s="25"/>
      <c r="F167" s="26" t="s">
        <v>58</v>
      </c>
      <c r="G167" s="27"/>
      <c r="H167" s="28">
        <v>119</v>
      </c>
      <c r="I167" s="28">
        <f>SUM($H$167:$H$167)</f>
        <v>119</v>
      </c>
      <c r="J167" s="58">
        <f t="array" ref="J167">INDEX(Р[Цена за ед., руб],MATCH(1,IF(($B167=Р[Наименование])*($L167=Р[Примечание]),{1},($B167=Р[Наименование])*($L167=Р[Примечание])),0))</f>
        <v>0</v>
      </c>
      <c r="K167" s="58">
        <f>ROUND($I$167*$J$167,2)</f>
        <v>0</v>
      </c>
      <c r="L167" s="25"/>
      <c r="M167" s="25"/>
    </row>
    <row r="168" spans="1:13" ht="11.1" customHeight="1" outlineLevel="4" x14ac:dyDescent="0.2">
      <c r="A168" s="20"/>
      <c r="B168" s="14" t="s">
        <v>28</v>
      </c>
      <c r="C168" s="21"/>
      <c r="D168" s="21"/>
      <c r="E168" s="21"/>
      <c r="F168" s="21"/>
      <c r="G168" s="21"/>
      <c r="H168" s="21"/>
      <c r="I168" s="21"/>
      <c r="J168" s="56"/>
      <c r="K168" s="57">
        <f>SUM($K$169:$K$170)</f>
        <v>0</v>
      </c>
      <c r="L168" s="18"/>
      <c r="M168" s="22"/>
    </row>
    <row r="169" spans="1:13" ht="23.1" customHeight="1" outlineLevel="4" x14ac:dyDescent="0.2">
      <c r="A169" s="100" t="s">
        <v>29</v>
      </c>
      <c r="B169" s="24" t="s">
        <v>67</v>
      </c>
      <c r="C169" s="25"/>
      <c r="D169" s="25" t="s">
        <v>71</v>
      </c>
      <c r="E169" s="25"/>
      <c r="F169" s="26" t="s">
        <v>58</v>
      </c>
      <c r="G169" s="27"/>
      <c r="H169" s="28">
        <v>32</v>
      </c>
      <c r="I169" s="28">
        <f>SUM($H$169:$H$169)</f>
        <v>32</v>
      </c>
      <c r="J169" s="58">
        <f t="array" ref="J169">INDEX(М[Цена за ед., руб],MATCH(1,IF(($B169=М[Наим.])*($C169=М[Артикул, марка, произв.])*($D169=М[Хар-ка])*($L169=М[Прим.]),{1},($B169=М[Наим.])*($C169=М[Артикул, марка, произв.])*($D169=М[Хар-ка])*($L169=М[Прим.])),0))</f>
        <v>0</v>
      </c>
      <c r="K169" s="58">
        <f>ROUND($I$169*$J$169,2)</f>
        <v>0</v>
      </c>
      <c r="L169" s="25"/>
      <c r="M169" s="25">
        <f t="array" ref="M169">INDEX(М[Форма закупа],MATCH(1,IF(($B169=М[Наим.])*($C169=М[Артикул, марка, произв.])*($D169=М[Хар-ка])*($L169=М[Прим.]),{1},($B169=М[Наим.])*($C169=М[Артикул, марка, произв.])*($D169=М[Хар-ка])*($L169=М[Прим.])),0))</f>
        <v>0</v>
      </c>
    </row>
    <row r="170" spans="1:13" ht="23.1" customHeight="1" outlineLevel="4" x14ac:dyDescent="0.2">
      <c r="A170" s="100" t="s">
        <v>35</v>
      </c>
      <c r="B170" s="24" t="s">
        <v>67</v>
      </c>
      <c r="C170" s="25"/>
      <c r="D170" s="25" t="s">
        <v>169</v>
      </c>
      <c r="E170" s="25"/>
      <c r="F170" s="26" t="s">
        <v>58</v>
      </c>
      <c r="G170" s="27"/>
      <c r="H170" s="28">
        <v>87</v>
      </c>
      <c r="I170" s="28">
        <f>SUM($H$170:$H$170)</f>
        <v>87</v>
      </c>
      <c r="J170" s="58">
        <f t="array" ref="J170">INDEX(М[Цена за ед., руб],MATCH(1,IF(($B170=М[Наим.])*($C170=М[Артикул, марка, произв.])*($D170=М[Хар-ка])*($L170=М[Прим.]),{1},($B170=М[Наим.])*($C170=М[Артикул, марка, произв.])*($D170=М[Хар-ка])*($L170=М[Прим.])),0))</f>
        <v>0</v>
      </c>
      <c r="K170" s="58">
        <f>ROUND($I$170*$J$170,2)</f>
        <v>0</v>
      </c>
      <c r="L170" s="25"/>
      <c r="M170" s="25">
        <f t="array" ref="M170">INDEX(М[Форма закупа],MATCH(1,IF(($B170=М[Наим.])*($C170=М[Артикул, марка, произв.])*($D170=М[Хар-ка])*($L170=М[Прим.]),{1},($B170=М[Наим.])*($C170=М[Артикул, марка, произв.])*($D170=М[Хар-ка])*($L170=М[Прим.])),0))</f>
        <v>0</v>
      </c>
    </row>
    <row r="171" spans="1:13" ht="11.1" customHeight="1" outlineLevel="4" x14ac:dyDescent="0.2">
      <c r="A171" s="20"/>
      <c r="B171" s="14" t="s">
        <v>22</v>
      </c>
      <c r="C171" s="21"/>
      <c r="D171" s="21"/>
      <c r="E171" s="21"/>
      <c r="F171" s="21"/>
      <c r="G171" s="21"/>
      <c r="H171" s="21"/>
      <c r="I171" s="21"/>
      <c r="J171" s="56"/>
      <c r="K171" s="57">
        <f>SUM($K$172)</f>
        <v>0</v>
      </c>
      <c r="L171" s="18"/>
      <c r="M171" s="22"/>
    </row>
    <row r="172" spans="1:13" ht="11.1" customHeight="1" outlineLevel="4" x14ac:dyDescent="0.2">
      <c r="A172" s="23"/>
      <c r="B172" s="24" t="s">
        <v>77</v>
      </c>
      <c r="C172" s="25"/>
      <c r="D172" s="25"/>
      <c r="E172" s="25"/>
      <c r="F172" s="26" t="s">
        <v>58</v>
      </c>
      <c r="G172" s="27"/>
      <c r="H172" s="28">
        <v>135</v>
      </c>
      <c r="I172" s="28">
        <f>SUM($H$172:$H$172)</f>
        <v>135</v>
      </c>
      <c r="J172" s="58">
        <f t="array" ref="J172">INDEX(Р[Цена за ед., руб],MATCH(1,IF(($B172=Р[Наименование])*($L172=Р[Примечание]),{1},($B172=Р[Наименование])*($L172=Р[Примечание])),0))</f>
        <v>0</v>
      </c>
      <c r="K172" s="58">
        <f>ROUND($I$172*$J$172,2)</f>
        <v>0</v>
      </c>
      <c r="L172" s="25"/>
      <c r="M172" s="25"/>
    </row>
    <row r="173" spans="1:13" ht="11.1" customHeight="1" outlineLevel="4" x14ac:dyDescent="0.2">
      <c r="A173" s="20"/>
      <c r="B173" s="14" t="s">
        <v>28</v>
      </c>
      <c r="C173" s="21"/>
      <c r="D173" s="21"/>
      <c r="E173" s="21"/>
      <c r="F173" s="21"/>
      <c r="G173" s="21"/>
      <c r="H173" s="21"/>
      <c r="I173" s="21"/>
      <c r="J173" s="56"/>
      <c r="K173" s="57">
        <f>SUM($K$174:$K$176)</f>
        <v>0</v>
      </c>
      <c r="L173" s="18"/>
      <c r="M173" s="22"/>
    </row>
    <row r="174" spans="1:13" ht="11.1" customHeight="1" outlineLevel="4" x14ac:dyDescent="0.2">
      <c r="A174" s="100" t="s">
        <v>29</v>
      </c>
      <c r="B174" s="24" t="s">
        <v>78</v>
      </c>
      <c r="C174" s="25"/>
      <c r="D174" s="25" t="s">
        <v>170</v>
      </c>
      <c r="E174" s="25"/>
      <c r="F174" s="26" t="s">
        <v>58</v>
      </c>
      <c r="G174" s="27"/>
      <c r="H174" s="28">
        <v>15</v>
      </c>
      <c r="I174" s="28">
        <f>SUM($H$174:$H$174)</f>
        <v>15</v>
      </c>
      <c r="J174" s="58">
        <f t="array" ref="J174">INDEX(М[Цена за ед., руб],MATCH(1,IF(($B174=М[Наим.])*($C174=М[Артикул, марка, произв.])*($D174=М[Хар-ка])*($L174=М[Прим.]),{1},($B174=М[Наим.])*($C174=М[Артикул, марка, произв.])*($D174=М[Хар-ка])*($L174=М[Прим.])),0))</f>
        <v>0</v>
      </c>
      <c r="K174" s="58">
        <f>ROUND($I$174*$J$174,2)</f>
        <v>0</v>
      </c>
      <c r="L174" s="25"/>
      <c r="M174" s="25">
        <f t="array" ref="M174">INDEX(М[Форма закупа],MATCH(1,IF(($B174=М[Наим.])*($C174=М[Артикул, марка, произв.])*($D174=М[Хар-ка])*($L174=М[Прим.]),{1},($B174=М[Наим.])*($C174=М[Артикул, марка, произв.])*($D174=М[Хар-ка])*($L174=М[Прим.])),0))</f>
        <v>0</v>
      </c>
    </row>
    <row r="175" spans="1:13" ht="23.1" customHeight="1" outlineLevel="4" x14ac:dyDescent="0.2">
      <c r="A175" s="100" t="s">
        <v>35</v>
      </c>
      <c r="B175" s="24" t="s">
        <v>78</v>
      </c>
      <c r="C175" s="25"/>
      <c r="D175" s="25" t="s">
        <v>171</v>
      </c>
      <c r="E175" s="25"/>
      <c r="F175" s="26" t="s">
        <v>58</v>
      </c>
      <c r="G175" s="27"/>
      <c r="H175" s="28">
        <v>26</v>
      </c>
      <c r="I175" s="28">
        <f>SUM($H$175:$H$175)</f>
        <v>26</v>
      </c>
      <c r="J175" s="58">
        <f t="array" ref="J175">INDEX(М[Цена за ед., руб],MATCH(1,IF(($B175=М[Наим.])*($C175=М[Артикул, марка, произв.])*($D175=М[Хар-ка])*($L175=М[Прим.]),{1},($B175=М[Наим.])*($C175=М[Артикул, марка, произв.])*($D175=М[Хар-ка])*($L175=М[Прим.])),0))</f>
        <v>0</v>
      </c>
      <c r="K175" s="58">
        <f>ROUND($I$175*$J$175,2)</f>
        <v>0</v>
      </c>
      <c r="L175" s="25"/>
      <c r="M175" s="25">
        <f t="array" ref="M175">INDEX(М[Форма закупа],MATCH(1,IF(($B175=М[Наим.])*($C175=М[Артикул, марка, произв.])*($D175=М[Хар-ка])*($L175=М[Прим.]),{1},($B175=М[Наим.])*($C175=М[Артикул, марка, произв.])*($D175=М[Хар-ка])*($L175=М[Прим.])),0))</f>
        <v>0</v>
      </c>
    </row>
    <row r="176" spans="1:13" ht="11.1" customHeight="1" outlineLevel="4" x14ac:dyDescent="0.2">
      <c r="A176" s="100" t="s">
        <v>37</v>
      </c>
      <c r="B176" s="24" t="s">
        <v>78</v>
      </c>
      <c r="C176" s="25"/>
      <c r="D176" s="25" t="s">
        <v>80</v>
      </c>
      <c r="E176" s="25"/>
      <c r="F176" s="26" t="s">
        <v>58</v>
      </c>
      <c r="G176" s="27"/>
      <c r="H176" s="28">
        <v>94</v>
      </c>
      <c r="I176" s="28">
        <f>SUM($H$176:$H$176)</f>
        <v>94</v>
      </c>
      <c r="J176" s="58">
        <f t="array" ref="J176">INDEX(М[Цена за ед., руб],MATCH(1,IF(($B176=М[Наим.])*($C176=М[Артикул, марка, произв.])*($D176=М[Хар-ка])*($L176=М[Прим.]),{1},($B176=М[Наим.])*($C176=М[Артикул, марка, произв.])*($D176=М[Хар-ка])*($L176=М[Прим.])),0))</f>
        <v>0</v>
      </c>
      <c r="K176" s="58">
        <f>ROUND($I$176*$J$176,2)</f>
        <v>0</v>
      </c>
      <c r="L176" s="25"/>
      <c r="M176" s="25">
        <f t="array" ref="M176">INDEX(М[Форма закупа],MATCH(1,IF(($B176=М[Наим.])*($C176=М[Артикул, марка, произв.])*($D176=М[Хар-ка])*($L176=М[Прим.]),{1},($B176=М[Наим.])*($C176=М[Артикул, марка, произв.])*($D176=М[Хар-ка])*($L176=М[Прим.])),0))</f>
        <v>0</v>
      </c>
    </row>
    <row r="177" spans="1:13" ht="11.1" customHeight="1" outlineLevel="2" x14ac:dyDescent="0.2">
      <c r="A177" s="13" t="s">
        <v>176</v>
      </c>
      <c r="B177" s="14" t="s">
        <v>177</v>
      </c>
      <c r="C177" s="15"/>
      <c r="D177" s="15"/>
      <c r="E177" s="15"/>
      <c r="F177" s="16"/>
      <c r="G177" s="17"/>
      <c r="H177" s="18"/>
      <c r="I177" s="18"/>
      <c r="J177" s="55"/>
      <c r="K177" s="55">
        <f ca="1">SUM($K$178)</f>
        <v>0</v>
      </c>
      <c r="L177" s="19"/>
      <c r="M177" s="19"/>
    </row>
    <row r="178" spans="1:13" ht="11.1" customHeight="1" outlineLevel="3" x14ac:dyDescent="0.2">
      <c r="A178" s="13" t="s">
        <v>178</v>
      </c>
      <c r="B178" s="14" t="s">
        <v>177</v>
      </c>
      <c r="C178" s="15"/>
      <c r="D178" s="15"/>
      <c r="E178" s="15"/>
      <c r="F178" s="16"/>
      <c r="G178" s="17"/>
      <c r="H178" s="18"/>
      <c r="I178" s="18"/>
      <c r="J178" s="55"/>
      <c r="K178" s="55">
        <f ca="1">SUM($K$181,$K$179,K183)</f>
        <v>0</v>
      </c>
      <c r="L178" s="19"/>
      <c r="M178" s="19"/>
    </row>
    <row r="179" spans="1:13" ht="11.1" customHeight="1" outlineLevel="4" x14ac:dyDescent="0.2">
      <c r="A179" s="20"/>
      <c r="B179" s="14" t="s">
        <v>22</v>
      </c>
      <c r="C179" s="21"/>
      <c r="D179" s="21"/>
      <c r="E179" s="21"/>
      <c r="F179" s="21"/>
      <c r="G179" s="21"/>
      <c r="H179" s="21"/>
      <c r="I179" s="21"/>
      <c r="J179" s="56"/>
      <c r="K179" s="57">
        <f>SUM($K$180)</f>
        <v>0</v>
      </c>
      <c r="L179" s="18"/>
      <c r="M179" s="22"/>
    </row>
    <row r="180" spans="1:13" ht="11.1" customHeight="1" outlineLevel="4" x14ac:dyDescent="0.2">
      <c r="A180" s="23"/>
      <c r="B180" s="99" t="s">
        <v>218</v>
      </c>
      <c r="C180" s="25"/>
      <c r="D180" s="25"/>
      <c r="E180" s="25"/>
      <c r="F180" s="26" t="s">
        <v>49</v>
      </c>
      <c r="G180" s="27"/>
      <c r="H180" s="28">
        <v>1</v>
      </c>
      <c r="I180" s="28">
        <f>SUM($H$180:$H$180)</f>
        <v>1</v>
      </c>
      <c r="J180" s="58">
        <f t="array" ref="J180">INDEX(Р[Цена за ед., руб],MATCH(1,IF(($B180=Р[Наименование])*($L180=Р[Примечание]),{1},($B180=Р[Наименование])*($L180=Р[Примечание])),0))</f>
        <v>0</v>
      </c>
      <c r="K180" s="58">
        <f>ROUND($I$180*$J$180,2)</f>
        <v>0</v>
      </c>
      <c r="L180" s="25"/>
      <c r="M180" s="25"/>
    </row>
    <row r="181" spans="1:13" ht="11.1" customHeight="1" outlineLevel="4" x14ac:dyDescent="0.2">
      <c r="A181" s="20"/>
      <c r="B181" s="14" t="s">
        <v>28</v>
      </c>
      <c r="C181" s="21"/>
      <c r="D181" s="21"/>
      <c r="E181" s="21"/>
      <c r="F181" s="21"/>
      <c r="G181" s="21"/>
      <c r="H181" s="21"/>
      <c r="I181" s="21"/>
      <c r="J181" s="56"/>
      <c r="K181" s="57">
        <f>SUM($K$182)</f>
        <v>0</v>
      </c>
      <c r="L181" s="18"/>
      <c r="M181" s="22"/>
    </row>
    <row r="182" spans="1:13" ht="11.1" customHeight="1" outlineLevel="4" x14ac:dyDescent="0.2">
      <c r="A182" s="23" t="s">
        <v>29</v>
      </c>
      <c r="B182" s="24" t="s">
        <v>179</v>
      </c>
      <c r="C182" s="25"/>
      <c r="D182" s="25" t="s">
        <v>180</v>
      </c>
      <c r="E182" s="25"/>
      <c r="F182" s="26" t="s">
        <v>181</v>
      </c>
      <c r="G182" s="27"/>
      <c r="H182" s="28">
        <v>210</v>
      </c>
      <c r="I182" s="28">
        <f>SUM($H$182:$H$182)</f>
        <v>210</v>
      </c>
      <c r="J182" s="58">
        <f t="array" ref="J182">INDEX(М[Цена за ед., руб],MATCH(1,IF(($B182=М[Наим.])*($C182=М[Артикул, марка, произв.])*($D182=М[Хар-ка])*($L182=М[Прим.]),{1},($B182=М[Наим.])*($C182=М[Артикул, марка, произв.])*($D182=М[Хар-ка])*($L182=М[Прим.])),0))</f>
        <v>0</v>
      </c>
      <c r="K182" s="58">
        <f>ROUND($I$182*$J$182,2)</f>
        <v>0</v>
      </c>
      <c r="L182" s="25" t="s">
        <v>182</v>
      </c>
      <c r="M182" s="25">
        <f t="array" ref="M182">INDEX(М[Форма закупа],MATCH(1,IF(($B182=М[Наим.])*($C182=М[Артикул, марка, произв.])*($D182=М[Хар-ка])*($L182=М[Прим.]),{1},($B182=М[Наим.])*($C182=М[Артикул, марка, произв.])*($D182=М[Хар-ка])*($L182=М[Прим.])),0))</f>
        <v>0</v>
      </c>
    </row>
    <row r="183" spans="1:13" ht="11.1" customHeight="1" outlineLevel="4" x14ac:dyDescent="0.2">
      <c r="A183" s="69"/>
      <c r="B183" s="70" t="s">
        <v>28</v>
      </c>
      <c r="C183" s="71"/>
      <c r="D183" s="71"/>
      <c r="E183" s="71"/>
      <c r="F183" s="71"/>
      <c r="G183" s="71"/>
      <c r="H183" s="71"/>
      <c r="I183" s="71"/>
      <c r="J183" s="72"/>
      <c r="K183" s="73">
        <f ca="1">SUM(K184:K186)</f>
        <v>0</v>
      </c>
      <c r="L183" s="18"/>
      <c r="M183" s="22"/>
    </row>
    <row r="184" spans="1:13" ht="22.5" outlineLevel="4" x14ac:dyDescent="0.2">
      <c r="A184" s="101">
        <v>1</v>
      </c>
      <c r="B184" s="74" t="s">
        <v>202</v>
      </c>
      <c r="C184" s="75"/>
      <c r="D184" s="75"/>
      <c r="E184" s="75"/>
      <c r="F184" s="76" t="s">
        <v>84</v>
      </c>
      <c r="G184" s="77"/>
      <c r="H184" s="78"/>
      <c r="I184" s="81">
        <f ca="1">SUMIF(М[[Наим.]:[Сумма, руб]],B184,М[Количество])</f>
        <v>0</v>
      </c>
      <c r="J184" s="58"/>
      <c r="K184" s="79">
        <f ca="1">ROUND(SUM(K150:K152,K157)*I184%,3)</f>
        <v>0</v>
      </c>
      <c r="L184" s="60" t="s">
        <v>216</v>
      </c>
      <c r="M184" s="75">
        <f t="array" ref="M184">INDEX(М[Форма закупа],MATCH(1,IF(($B184=М[Наим.])*($C184=М[Артикул, марка, произв.])*($D184=М[Хар-ка])*($L184=М[Прим.]),{1},($B184=М[Наим.])*($C184=М[Артикул, марка, произв.])*($D184=М[Хар-ка])*($L184=М[Прим.])),0))</f>
        <v>0</v>
      </c>
    </row>
    <row r="185" spans="1:13" ht="22.5" outlineLevel="4" x14ac:dyDescent="0.2">
      <c r="A185" s="101">
        <v>2</v>
      </c>
      <c r="B185" s="74" t="s">
        <v>203</v>
      </c>
      <c r="C185" s="75"/>
      <c r="D185" s="75"/>
      <c r="E185" s="75"/>
      <c r="F185" s="76" t="s">
        <v>84</v>
      </c>
      <c r="G185" s="77"/>
      <c r="H185" s="78"/>
      <c r="I185" s="81">
        <f ca="1">SUMIF(М[[Наим.]:[Сумма, руб]],B185,М[Количество])</f>
        <v>0</v>
      </c>
      <c r="J185" s="58"/>
      <c r="K185" s="79">
        <f ca="1">ROUND(SUM(K61:K65,K69:K73,K169:K170,K174:K176)*I185%,3)</f>
        <v>0</v>
      </c>
      <c r="L185" s="60" t="s">
        <v>216</v>
      </c>
      <c r="M185" s="75">
        <f t="array" ref="M185">INDEX(М[Форма закупа],MATCH(1,IF(($B185=М[Наим.])*($C185=М[Артикул, марка, произв.])*($D185=М[Хар-ка])*($L185=М[Прим.]),{1},($B185=М[Наим.])*($C185=М[Артикул, марка, произв.])*($D185=М[Хар-ка])*($L185=М[Прим.])),0))</f>
        <v>0</v>
      </c>
    </row>
    <row r="186" spans="1:13" ht="22.5" outlineLevel="4" x14ac:dyDescent="0.2">
      <c r="A186" s="80">
        <v>3</v>
      </c>
      <c r="B186" s="74" t="s">
        <v>204</v>
      </c>
      <c r="C186" s="75"/>
      <c r="D186" s="75"/>
      <c r="E186" s="75"/>
      <c r="F186" s="76" t="s">
        <v>84</v>
      </c>
      <c r="G186" s="77"/>
      <c r="H186" s="78"/>
      <c r="I186" s="81">
        <f ca="1">SUMIF(М[[Наим.]:[Сумма, руб]],B186,М[Количество])</f>
        <v>0</v>
      </c>
      <c r="J186" s="58"/>
      <c r="K186" s="79">
        <f ca="1">ROUND(SUM(K21,K25:K27,K31,K35:K37,K41:K43,K47:K51,K55,K61:K65,K69:K73,K79,K83,K87:K90,K94,K98:K99,K103:K104,K108,K112:K131,K135:K140,K144:K146,K150:K152,K156:K157,K161,K165,K169:K170,K174:K176,K182)*I186%,3)</f>
        <v>0</v>
      </c>
      <c r="L186" s="60" t="s">
        <v>216</v>
      </c>
      <c r="M186" s="75">
        <f t="array" ref="M186">INDEX(М[Форма закупа],MATCH(1,IF(($B186=М[Наим.])*($C186=М[Артикул, марка, произв.])*($D186=М[Хар-ка])*($L186=М[Прим.]),{1},($B186=М[Наим.])*($C186=М[Артикул, марка, произв.])*($D186=М[Хар-ка])*($L186=М[Прим.])),0))</f>
        <v>0</v>
      </c>
    </row>
    <row r="187" spans="1:13" ht="11.1" customHeight="1" outlineLevel="2" x14ac:dyDescent="0.2">
      <c r="A187" s="13" t="s">
        <v>172</v>
      </c>
      <c r="B187" s="14" t="s">
        <v>173</v>
      </c>
      <c r="C187" s="15"/>
      <c r="D187" s="15"/>
      <c r="E187" s="15"/>
      <c r="F187" s="16"/>
      <c r="G187" s="17"/>
      <c r="H187" s="18"/>
      <c r="I187" s="18"/>
      <c r="J187" s="55"/>
      <c r="K187" s="55">
        <f>SUM($K$188)</f>
        <v>0</v>
      </c>
      <c r="L187" s="19"/>
      <c r="M187" s="19"/>
    </row>
    <row r="188" spans="1:13" ht="11.1" customHeight="1" outlineLevel="3" x14ac:dyDescent="0.2">
      <c r="A188" s="13" t="s">
        <v>174</v>
      </c>
      <c r="B188" s="14" t="s">
        <v>173</v>
      </c>
      <c r="C188" s="15"/>
      <c r="D188" s="15"/>
      <c r="E188" s="15"/>
      <c r="F188" s="16"/>
      <c r="G188" s="17"/>
      <c r="H188" s="18"/>
      <c r="I188" s="18"/>
      <c r="J188" s="55"/>
      <c r="K188" s="55">
        <f>SUM($K$189)</f>
        <v>0</v>
      </c>
      <c r="L188" s="19"/>
      <c r="M188" s="19"/>
    </row>
    <row r="189" spans="1:13" ht="11.1" customHeight="1" outlineLevel="4" x14ac:dyDescent="0.2">
      <c r="A189" s="20"/>
      <c r="B189" s="14" t="s">
        <v>22</v>
      </c>
      <c r="C189" s="21"/>
      <c r="D189" s="21"/>
      <c r="E189" s="21"/>
      <c r="F189" s="21"/>
      <c r="G189" s="21"/>
      <c r="H189" s="21"/>
      <c r="I189" s="21"/>
      <c r="J189" s="56"/>
      <c r="K189" s="57">
        <f>SUM($K$190)</f>
        <v>0</v>
      </c>
      <c r="L189" s="18"/>
      <c r="M189" s="22"/>
    </row>
    <row r="190" spans="1:13" ht="35.1" customHeight="1" outlineLevel="4" x14ac:dyDescent="0.2">
      <c r="A190" s="23"/>
      <c r="B190" s="24" t="s">
        <v>175</v>
      </c>
      <c r="C190" s="25"/>
      <c r="D190" s="25"/>
      <c r="E190" s="25"/>
      <c r="F190" s="26" t="s">
        <v>49</v>
      </c>
      <c r="G190" s="27"/>
      <c r="H190" s="28">
        <v>1</v>
      </c>
      <c r="I190" s="28">
        <f>SUM($H$190:$H$190)</f>
        <v>1</v>
      </c>
      <c r="J190" s="58">
        <f t="array" ref="J190">INDEX(Р[Цена за ед., руб],MATCH(1,IF(($B190=Р[Наименование])*($L190=Р[Примечание]),{1},($B190=Р[Наименование])*($L190=Р[Примечание])),0))</f>
        <v>0</v>
      </c>
      <c r="K190" s="58">
        <f>ROUND($I$190*$J$190,2)</f>
        <v>0</v>
      </c>
      <c r="L190" s="25"/>
      <c r="M190" s="25"/>
    </row>
    <row r="191" spans="1:13" ht="11.1" customHeight="1" x14ac:dyDescent="0.2">
      <c r="A191" s="122" t="s">
        <v>205</v>
      </c>
      <c r="B191" s="123"/>
      <c r="C191" s="123"/>
      <c r="D191" s="123"/>
      <c r="E191" s="123"/>
      <c r="F191" s="123"/>
      <c r="G191" s="123"/>
      <c r="H191" s="123"/>
      <c r="I191" s="123"/>
      <c r="J191" s="124"/>
      <c r="K191" s="59">
        <f ca="1">$K$9</f>
        <v>0</v>
      </c>
      <c r="L191" s="31"/>
      <c r="M191" s="31"/>
    </row>
    <row r="192" spans="1:13" ht="11.1" customHeight="1" x14ac:dyDescent="0.2">
      <c r="A192" s="125" t="s">
        <v>183</v>
      </c>
      <c r="B192" s="126"/>
      <c r="C192" s="126"/>
      <c r="D192" s="126"/>
      <c r="E192" s="126"/>
      <c r="F192" s="126"/>
      <c r="G192" s="126"/>
      <c r="H192" s="126"/>
      <c r="I192" s="126"/>
      <c r="J192" s="127"/>
      <c r="K192" s="59">
        <f>SUM($K$179,$K$189,$K$171,$K$166,$K$162,$K$158,$K$153,$K$147,$K$141,$K$132,$K$109,$K$105,$K$100,$K$95,$K$91,$K$84,$K$80,$K$76,$K$66,$K$58,$K$56,$K$44,$K$38,$K$32,$K$28,$K$22,$K$18,$K$16,$K$14,$K$12,K52)</f>
        <v>0</v>
      </c>
      <c r="L192" s="31"/>
      <c r="M192" s="31"/>
    </row>
    <row r="193" spans="1:130" ht="11.1" customHeight="1" x14ac:dyDescent="0.2">
      <c r="A193" s="125" t="s">
        <v>184</v>
      </c>
      <c r="B193" s="126"/>
      <c r="C193" s="126"/>
      <c r="D193" s="126"/>
      <c r="E193" s="126"/>
      <c r="F193" s="126"/>
      <c r="G193" s="126"/>
      <c r="H193" s="126"/>
      <c r="I193" s="126"/>
      <c r="J193" s="127"/>
      <c r="K193" s="59">
        <f ca="1">SUM($K$181,$K$173,$K$168,$K$164,$K$160,$K$155,$K$149,$K$143,$K$134,$K$111,$K$107,$K$102,$K$97,$K$93,$K$86,$K$82,$K$78,$K$68,$K$60,$K$46,$K$40,$K$34,$K$30,$K$24,$K$20,K183,K54)</f>
        <v>0</v>
      </c>
      <c r="L193" s="31"/>
      <c r="M193" s="31"/>
    </row>
    <row r="194" spans="1:130" ht="11.1" customHeight="1" x14ac:dyDescent="0.2">
      <c r="A194" s="128" t="s">
        <v>206</v>
      </c>
      <c r="B194" s="129"/>
      <c r="C194" s="129"/>
      <c r="D194" s="129"/>
      <c r="E194" s="129"/>
      <c r="F194" s="129"/>
      <c r="G194" s="129"/>
      <c r="H194" s="129"/>
      <c r="I194" s="129"/>
      <c r="J194" s="130"/>
      <c r="K194" s="82"/>
      <c r="L194" s="83" t="s">
        <v>207</v>
      </c>
      <c r="M194" s="31"/>
    </row>
    <row r="195" spans="1:130" ht="11.1" customHeight="1" x14ac:dyDescent="0.2">
      <c r="A195" s="32"/>
      <c r="B195" s="118" t="s">
        <v>185</v>
      </c>
      <c r="C195" s="118"/>
      <c r="D195" s="118"/>
      <c r="E195" s="118"/>
      <c r="F195" s="118"/>
      <c r="G195" s="118"/>
      <c r="H195" s="118"/>
      <c r="I195" s="118"/>
      <c r="J195" s="119"/>
      <c r="K195" s="119"/>
      <c r="L195" s="118"/>
      <c r="M195" s="32"/>
    </row>
    <row r="196" spans="1:130" ht="11.1" customHeight="1" x14ac:dyDescent="0.2">
      <c r="B196" s="120"/>
      <c r="C196" s="120"/>
      <c r="D196" s="120"/>
      <c r="E196" s="120"/>
      <c r="F196" s="120"/>
      <c r="G196" s="120"/>
      <c r="H196" s="120"/>
      <c r="I196" s="120"/>
      <c r="J196" s="121"/>
      <c r="K196" s="121"/>
      <c r="L196" s="120"/>
    </row>
    <row r="197" spans="1:130" s="90" customFormat="1" ht="23.25" customHeight="1" x14ac:dyDescent="0.2">
      <c r="A197" s="84"/>
      <c r="B197" s="85" t="s">
        <v>208</v>
      </c>
      <c r="C197" s="86"/>
      <c r="D197" s="86"/>
      <c r="E197" s="87"/>
      <c r="F197" s="87"/>
      <c r="G197" s="87"/>
      <c r="H197" s="87"/>
      <c r="I197" s="87"/>
      <c r="J197" s="87"/>
      <c r="K197" s="88"/>
      <c r="L197" s="88"/>
      <c r="M197" s="86"/>
      <c r="N197" s="86"/>
      <c r="O197" s="86"/>
      <c r="P197" s="86"/>
      <c r="Q197" s="89"/>
      <c r="Y197" s="91"/>
      <c r="AG197" s="92"/>
      <c r="AH197" s="92"/>
      <c r="AI197" s="92"/>
      <c r="AJ197" s="92"/>
      <c r="AK197" s="92"/>
      <c r="AL197" s="92"/>
      <c r="AM197" s="92"/>
      <c r="AN197" s="92"/>
      <c r="AO197" s="92"/>
      <c r="AP197" s="92"/>
      <c r="AQ197" s="92"/>
      <c r="AR197" s="92"/>
      <c r="AS197" s="92"/>
      <c r="AT197" s="92"/>
      <c r="AU197" s="92"/>
      <c r="AV197" s="92"/>
      <c r="AW197" s="92"/>
      <c r="AX197" s="92"/>
      <c r="AY197" s="92"/>
      <c r="AZ197" s="92"/>
      <c r="BA197" s="92"/>
      <c r="BB197" s="92"/>
      <c r="BC197" s="92"/>
      <c r="BD197" s="92"/>
      <c r="BE197" s="92"/>
      <c r="BF197" s="92"/>
      <c r="BG197" s="92"/>
      <c r="BH197" s="92"/>
      <c r="BI197" s="92"/>
      <c r="BJ197" s="92"/>
      <c r="BK197" s="92"/>
      <c r="BL197" s="92"/>
      <c r="BM197" s="92"/>
      <c r="BN197" s="92"/>
      <c r="BO197" s="92"/>
      <c r="BP197" s="92"/>
      <c r="BQ197" s="92"/>
      <c r="BR197" s="92"/>
      <c r="BS197" s="92"/>
      <c r="BT197" s="92"/>
      <c r="BU197" s="92"/>
      <c r="BV197" s="92"/>
      <c r="BW197" s="92"/>
      <c r="BX197" s="92"/>
      <c r="BY197" s="92"/>
      <c r="BZ197" s="92"/>
      <c r="CA197" s="92"/>
      <c r="CB197" s="92"/>
      <c r="CC197" s="92"/>
      <c r="CD197" s="92"/>
      <c r="CE197" s="92"/>
      <c r="CF197" s="92"/>
      <c r="CG197" s="92"/>
      <c r="CH197" s="92"/>
      <c r="CI197" s="92"/>
      <c r="CJ197" s="92"/>
      <c r="CK197" s="92"/>
      <c r="CL197" s="92"/>
      <c r="CM197" s="92"/>
      <c r="CN197" s="92"/>
      <c r="CO197" s="92"/>
      <c r="CP197" s="92"/>
      <c r="CQ197" s="92"/>
      <c r="CR197" s="92"/>
      <c r="CS197" s="92"/>
      <c r="CT197" s="92"/>
      <c r="CU197" s="92"/>
      <c r="CV197" s="92"/>
      <c r="CW197" s="92"/>
      <c r="CX197" s="92"/>
      <c r="CY197" s="92"/>
      <c r="CZ197" s="92"/>
      <c r="DA197" s="92"/>
      <c r="DB197" s="92"/>
      <c r="DC197" s="92"/>
      <c r="DD197" s="92"/>
      <c r="DE197" s="92"/>
      <c r="DF197" s="92"/>
      <c r="DG197" s="92"/>
      <c r="DH197" s="92"/>
      <c r="DI197" s="92"/>
      <c r="DZ197" s="91"/>
    </row>
    <row r="198" spans="1:130" s="90" customFormat="1" ht="32.25" customHeight="1" x14ac:dyDescent="0.2">
      <c r="A198" s="84" t="s">
        <v>209</v>
      </c>
      <c r="B198" s="103" t="s">
        <v>210</v>
      </c>
      <c r="C198" s="103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93"/>
      <c r="Q198" s="94"/>
      <c r="Y198" s="91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  <c r="BB198" s="92"/>
      <c r="BC198" s="92"/>
      <c r="BD198" s="92"/>
      <c r="BE198" s="92"/>
      <c r="BF198" s="92"/>
      <c r="BG198" s="92"/>
      <c r="BH198" s="92"/>
      <c r="BI198" s="92"/>
      <c r="BJ198" s="92"/>
      <c r="BK198" s="92"/>
      <c r="BL198" s="92"/>
      <c r="BM198" s="92"/>
      <c r="BN198" s="92"/>
      <c r="BO198" s="92"/>
      <c r="BP198" s="92"/>
      <c r="BQ198" s="92"/>
      <c r="BR198" s="92"/>
      <c r="BS198" s="92"/>
      <c r="BT198" s="92"/>
      <c r="BU198" s="92"/>
      <c r="BV198" s="92"/>
      <c r="BW198" s="92"/>
      <c r="BX198" s="92"/>
      <c r="BY198" s="92"/>
      <c r="BZ198" s="92"/>
      <c r="CA198" s="92"/>
      <c r="CB198" s="92"/>
      <c r="CC198" s="92"/>
      <c r="CD198" s="92"/>
      <c r="CE198" s="92"/>
      <c r="CF198" s="92"/>
      <c r="CG198" s="92"/>
      <c r="CH198" s="92"/>
      <c r="CI198" s="92"/>
      <c r="CJ198" s="92"/>
      <c r="CK198" s="92"/>
      <c r="CL198" s="92"/>
      <c r="CM198" s="92"/>
      <c r="CN198" s="92"/>
      <c r="CO198" s="92"/>
      <c r="CP198" s="92"/>
      <c r="CQ198" s="92"/>
      <c r="CR198" s="92"/>
      <c r="CS198" s="92"/>
      <c r="CT198" s="92"/>
      <c r="CU198" s="92"/>
      <c r="CV198" s="92"/>
      <c r="CW198" s="92"/>
      <c r="CX198" s="92"/>
      <c r="CY198" s="92"/>
      <c r="CZ198" s="92"/>
      <c r="DA198" s="92"/>
      <c r="DB198" s="92"/>
      <c r="DC198" s="92"/>
      <c r="DD198" s="92"/>
      <c r="DE198" s="92"/>
      <c r="DF198" s="92"/>
      <c r="DG198" s="92"/>
      <c r="DH198" s="92"/>
      <c r="DI198" s="92"/>
      <c r="DZ198" s="91"/>
    </row>
    <row r="199" spans="1:130" s="90" customFormat="1" ht="39.75" customHeight="1" x14ac:dyDescent="0.2">
      <c r="A199" s="95" t="s">
        <v>209</v>
      </c>
      <c r="B199" s="103" t="s">
        <v>211</v>
      </c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89"/>
      <c r="Y199" s="91"/>
      <c r="AG199" s="92"/>
      <c r="AH199" s="92"/>
      <c r="AI199" s="92"/>
      <c r="AJ199" s="92"/>
      <c r="AK199" s="92"/>
      <c r="AL199" s="92"/>
      <c r="AM199" s="92"/>
      <c r="AN199" s="92"/>
      <c r="AO199" s="92"/>
      <c r="AP199" s="92"/>
      <c r="AQ199" s="92"/>
      <c r="AR199" s="92"/>
      <c r="AS199" s="92"/>
      <c r="AT199" s="92"/>
      <c r="AU199" s="92"/>
      <c r="AV199" s="92"/>
      <c r="AW199" s="92"/>
      <c r="AX199" s="92"/>
      <c r="AY199" s="92"/>
      <c r="AZ199" s="92"/>
      <c r="BA199" s="92"/>
      <c r="BB199" s="92"/>
      <c r="BC199" s="92"/>
      <c r="BD199" s="92"/>
      <c r="BE199" s="92"/>
      <c r="BF199" s="92"/>
      <c r="BG199" s="92"/>
      <c r="BH199" s="92"/>
      <c r="BI199" s="92"/>
      <c r="BJ199" s="92"/>
      <c r="BK199" s="92"/>
      <c r="BL199" s="92"/>
      <c r="BM199" s="92"/>
      <c r="BN199" s="92"/>
      <c r="BO199" s="92"/>
      <c r="BP199" s="92"/>
      <c r="BQ199" s="92"/>
      <c r="BR199" s="92"/>
      <c r="BS199" s="92"/>
      <c r="BT199" s="92"/>
      <c r="BU199" s="92"/>
      <c r="BV199" s="92"/>
      <c r="BW199" s="92"/>
      <c r="BX199" s="92"/>
      <c r="BY199" s="92"/>
      <c r="BZ199" s="92"/>
      <c r="CA199" s="92"/>
      <c r="CB199" s="92"/>
      <c r="CC199" s="92"/>
      <c r="CD199" s="92"/>
      <c r="CE199" s="92"/>
      <c r="CF199" s="92"/>
      <c r="CG199" s="92"/>
      <c r="CH199" s="92"/>
      <c r="CI199" s="92"/>
      <c r="CJ199" s="92"/>
      <c r="CK199" s="92"/>
      <c r="CL199" s="92"/>
      <c r="CM199" s="92"/>
      <c r="CN199" s="92"/>
      <c r="CO199" s="92"/>
      <c r="CP199" s="92"/>
      <c r="CQ199" s="92"/>
      <c r="CR199" s="92"/>
      <c r="CS199" s="92"/>
      <c r="CT199" s="92"/>
      <c r="CU199" s="92"/>
      <c r="CV199" s="92"/>
      <c r="CW199" s="92"/>
      <c r="CX199" s="92"/>
      <c r="CY199" s="92"/>
      <c r="CZ199" s="92"/>
      <c r="DA199" s="92"/>
      <c r="DB199" s="92"/>
      <c r="DC199" s="92"/>
      <c r="DD199" s="92"/>
      <c r="DE199" s="92"/>
      <c r="DF199" s="92"/>
      <c r="DG199" s="92"/>
      <c r="DH199" s="92"/>
      <c r="DI199" s="92"/>
      <c r="DZ199" s="91"/>
    </row>
    <row r="200" spans="1:130" s="90" customFormat="1" ht="39.75" customHeight="1" x14ac:dyDescent="0.2">
      <c r="A200" s="95" t="s">
        <v>209</v>
      </c>
      <c r="B200" s="103" t="s">
        <v>212</v>
      </c>
      <c r="C200" s="103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89"/>
      <c r="Y200" s="91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92"/>
      <c r="AX200" s="92"/>
      <c r="AY200" s="92"/>
      <c r="AZ200" s="92"/>
      <c r="BA200" s="92"/>
      <c r="BB200" s="92"/>
      <c r="BC200" s="92"/>
      <c r="BD200" s="92"/>
      <c r="BE200" s="92"/>
      <c r="BF200" s="92"/>
      <c r="BG200" s="92"/>
      <c r="BH200" s="92"/>
      <c r="BI200" s="92"/>
      <c r="BJ200" s="92"/>
      <c r="BK200" s="92"/>
      <c r="BL200" s="92"/>
      <c r="BM200" s="92"/>
      <c r="BN200" s="92"/>
      <c r="BO200" s="92"/>
      <c r="BP200" s="92"/>
      <c r="BQ200" s="92"/>
      <c r="BR200" s="92"/>
      <c r="BS200" s="92"/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2"/>
      <c r="CE200" s="92"/>
      <c r="CF200" s="92"/>
      <c r="CG200" s="92"/>
      <c r="CH200" s="92"/>
      <c r="CI200" s="92"/>
      <c r="CJ200" s="92"/>
      <c r="CK200" s="92"/>
      <c r="CL200" s="92"/>
      <c r="CM200" s="92"/>
      <c r="CN200" s="92"/>
      <c r="CO200" s="92"/>
      <c r="CP200" s="92"/>
      <c r="CQ200" s="92"/>
      <c r="CR200" s="92"/>
      <c r="CS200" s="92"/>
      <c r="CT200" s="92"/>
      <c r="CU200" s="92"/>
      <c r="CV200" s="92"/>
      <c r="CW200" s="92"/>
      <c r="CX200" s="92"/>
      <c r="CY200" s="92"/>
      <c r="CZ200" s="92"/>
      <c r="DA200" s="92"/>
      <c r="DB200" s="92"/>
      <c r="DC200" s="92"/>
      <c r="DD200" s="92"/>
      <c r="DE200" s="92"/>
      <c r="DF200" s="92"/>
      <c r="DG200" s="92"/>
      <c r="DH200" s="92"/>
      <c r="DI200" s="92"/>
      <c r="DZ200" s="91"/>
    </row>
    <row r="201" spans="1:130" s="90" customFormat="1" ht="24.75" customHeight="1" x14ac:dyDescent="0.2">
      <c r="A201" s="84" t="s">
        <v>209</v>
      </c>
      <c r="B201" s="104" t="s">
        <v>213</v>
      </c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Y201" s="91"/>
      <c r="AG201" s="92"/>
      <c r="AH201" s="92"/>
      <c r="AI201" s="92"/>
      <c r="AJ201" s="92"/>
      <c r="AK201" s="92"/>
      <c r="AL201" s="92"/>
      <c r="AM201" s="92"/>
      <c r="AN201" s="92"/>
      <c r="AO201" s="92"/>
      <c r="AP201" s="92"/>
      <c r="AQ201" s="92"/>
      <c r="AR201" s="92"/>
      <c r="AS201" s="92"/>
      <c r="AT201" s="92"/>
      <c r="AU201" s="92"/>
      <c r="AV201" s="92"/>
      <c r="AW201" s="92"/>
      <c r="AX201" s="92"/>
      <c r="AY201" s="92"/>
      <c r="AZ201" s="92"/>
      <c r="BA201" s="92"/>
      <c r="BB201" s="92"/>
      <c r="BC201" s="92"/>
      <c r="BD201" s="92"/>
      <c r="BE201" s="92"/>
      <c r="BF201" s="92"/>
      <c r="BG201" s="92"/>
      <c r="BH201" s="92"/>
      <c r="BI201" s="92"/>
      <c r="BJ201" s="92"/>
      <c r="BK201" s="92"/>
      <c r="BL201" s="92"/>
      <c r="BM201" s="92"/>
      <c r="BN201" s="92"/>
      <c r="BO201" s="92"/>
      <c r="BP201" s="92"/>
      <c r="BQ201" s="92"/>
      <c r="BR201" s="92"/>
      <c r="BS201" s="92"/>
      <c r="BT201" s="92"/>
      <c r="BU201" s="92"/>
      <c r="BV201" s="92"/>
      <c r="BW201" s="92"/>
      <c r="BX201" s="92"/>
      <c r="BY201" s="92"/>
      <c r="BZ201" s="92"/>
      <c r="CA201" s="92"/>
      <c r="CB201" s="92"/>
      <c r="CC201" s="92"/>
      <c r="CD201" s="92"/>
      <c r="CE201" s="92"/>
      <c r="CF201" s="92"/>
      <c r="CG201" s="92"/>
      <c r="CH201" s="92"/>
      <c r="CI201" s="92"/>
      <c r="CJ201" s="92"/>
      <c r="CK201" s="92"/>
      <c r="CL201" s="92"/>
      <c r="CM201" s="92"/>
      <c r="CN201" s="92"/>
      <c r="CO201" s="92"/>
      <c r="CP201" s="92"/>
      <c r="CQ201" s="92"/>
      <c r="CR201" s="92"/>
      <c r="CS201" s="92"/>
      <c r="CT201" s="92"/>
      <c r="CU201" s="92"/>
      <c r="CV201" s="92"/>
      <c r="CW201" s="92"/>
      <c r="CX201" s="92"/>
      <c r="CY201" s="92"/>
      <c r="CZ201" s="92"/>
      <c r="DA201" s="92"/>
      <c r="DB201" s="92"/>
      <c r="DC201" s="92"/>
      <c r="DD201" s="92"/>
      <c r="DE201" s="92"/>
      <c r="DF201" s="92"/>
      <c r="DG201" s="92"/>
      <c r="DH201" s="92"/>
      <c r="DI201" s="92"/>
      <c r="DZ201" s="91"/>
    </row>
    <row r="202" spans="1:130" ht="20.25" customHeight="1" x14ac:dyDescent="0.2">
      <c r="B202" s="105" t="s">
        <v>214</v>
      </c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</row>
    <row r="203" spans="1:130" ht="31.5" customHeight="1" x14ac:dyDescent="0.2">
      <c r="B203" s="102" t="s">
        <v>215</v>
      </c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</row>
  </sheetData>
  <autoFilter ref="A7:M195" xr:uid="{00000000-0001-0000-0000-000000000000}"/>
  <mergeCells count="27">
    <mergeCell ref="B195:L195"/>
    <mergeCell ref="B196:L196"/>
    <mergeCell ref="L6:L7"/>
    <mergeCell ref="M6:M7"/>
    <mergeCell ref="A191:J191"/>
    <mergeCell ref="A192:J192"/>
    <mergeCell ref="A193:J193"/>
    <mergeCell ref="A194:J194"/>
    <mergeCell ref="B2:K2"/>
    <mergeCell ref="B3:K3"/>
    <mergeCell ref="B4:K4"/>
    <mergeCell ref="A6:A7"/>
    <mergeCell ref="B6:B7"/>
    <mergeCell ref="C6:C7"/>
    <mergeCell ref="D6:D7"/>
    <mergeCell ref="F6:F7"/>
    <mergeCell ref="G6:G7"/>
    <mergeCell ref="H6:H7"/>
    <mergeCell ref="I6:I7"/>
    <mergeCell ref="J6:J7"/>
    <mergeCell ref="K6:K7"/>
    <mergeCell ref="B203:S203"/>
    <mergeCell ref="B198:O198"/>
    <mergeCell ref="B199:P199"/>
    <mergeCell ref="B200:P200"/>
    <mergeCell ref="B201:Q201"/>
    <mergeCell ref="B202:O202"/>
  </mergeCells>
  <phoneticPr fontId="0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3"/>
  <sheetViews>
    <sheetView workbookViewId="0">
      <pane ySplit="3" topLeftCell="A4" activePane="bottomLeft" state="frozen"/>
      <selection pane="bottomLeft" activeCell="D4" sqref="D4:D3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31" t="s">
        <v>186</v>
      </c>
      <c r="B1" s="131"/>
      <c r="C1" s="131"/>
      <c r="D1" s="131"/>
      <c r="E1" s="131"/>
      <c r="F1" s="131"/>
    </row>
    <row r="3" spans="1:6" ht="11.1" customHeight="1" x14ac:dyDescent="0.2">
      <c r="A3" s="41" t="s">
        <v>4</v>
      </c>
      <c r="B3" s="2" t="s">
        <v>7</v>
      </c>
      <c r="C3" s="2" t="s">
        <v>10</v>
      </c>
      <c r="D3" s="48" t="s">
        <v>11</v>
      </c>
      <c r="E3" s="48" t="s">
        <v>12</v>
      </c>
      <c r="F3" s="42" t="s">
        <v>13</v>
      </c>
    </row>
    <row r="4" spans="1:6" ht="11.1" customHeight="1" x14ac:dyDescent="0.2">
      <c r="A4" s="39" t="s">
        <v>23</v>
      </c>
      <c r="B4" s="33" t="s">
        <v>24</v>
      </c>
      <c r="C4" s="34">
        <v>8</v>
      </c>
      <c r="D4" s="49"/>
      <c r="E4" s="49">
        <f>ROUND(Р[[#This Row],[Количество]]*Р[[#This Row],[Цена за ед., руб]],2)</f>
        <v>0</v>
      </c>
      <c r="F4" s="40"/>
    </row>
    <row r="5" spans="1:6" ht="11.1" customHeight="1" x14ac:dyDescent="0.2">
      <c r="A5" s="39" t="s">
        <v>25</v>
      </c>
      <c r="B5" s="33" t="s">
        <v>24</v>
      </c>
      <c r="C5" s="34">
        <v>140</v>
      </c>
      <c r="D5" s="49"/>
      <c r="E5" s="49">
        <f>ROUND(Р[[#This Row],[Количество]]*Р[[#This Row],[Цена за ед., руб]],2)</f>
        <v>0</v>
      </c>
      <c r="F5" s="40"/>
    </row>
    <row r="6" spans="1:6" ht="11.1" customHeight="1" x14ac:dyDescent="0.2">
      <c r="A6" s="39" t="s">
        <v>26</v>
      </c>
      <c r="B6" s="33" t="s">
        <v>24</v>
      </c>
      <c r="C6" s="34">
        <v>24</v>
      </c>
      <c r="D6" s="49"/>
      <c r="E6" s="49">
        <f>ROUND(Р[[#This Row],[Количество]]*Р[[#This Row],[Цена за ед., руб]],2)</f>
        <v>0</v>
      </c>
      <c r="F6" s="40"/>
    </row>
    <row r="7" spans="1:6" ht="11.1" customHeight="1" x14ac:dyDescent="0.2">
      <c r="A7" s="39" t="s">
        <v>27</v>
      </c>
      <c r="B7" s="33" t="s">
        <v>24</v>
      </c>
      <c r="C7" s="34">
        <v>8</v>
      </c>
      <c r="D7" s="49"/>
      <c r="E7" s="49">
        <f>ROUND(Р[[#This Row],[Количество]]*Р[[#This Row],[Цена за ед., руб]],2)</f>
        <v>0</v>
      </c>
      <c r="F7" s="40"/>
    </row>
    <row r="8" spans="1:6" ht="11.1" customHeight="1" x14ac:dyDescent="0.2">
      <c r="A8" s="39" t="s">
        <v>32</v>
      </c>
      <c r="B8" s="33" t="s">
        <v>24</v>
      </c>
      <c r="C8" s="34">
        <v>28</v>
      </c>
      <c r="D8" s="49"/>
      <c r="E8" s="49">
        <f>ROUND(Р[[#This Row],[Количество]]*Р[[#This Row],[Цена за ед., руб]],2)</f>
        <v>0</v>
      </c>
      <c r="F8" s="40"/>
    </row>
    <row r="9" spans="1:6" ht="11.1" customHeight="1" x14ac:dyDescent="0.2">
      <c r="A9" s="39" t="s">
        <v>39</v>
      </c>
      <c r="B9" s="33" t="s">
        <v>24</v>
      </c>
      <c r="C9" s="34">
        <v>30</v>
      </c>
      <c r="D9" s="49"/>
      <c r="E9" s="49">
        <f>ROUND(Р[[#This Row],[Количество]]*Р[[#This Row],[Цена за ед., руб]],2)</f>
        <v>0</v>
      </c>
      <c r="F9" s="40"/>
    </row>
    <row r="10" spans="1:6" ht="11.1" customHeight="1" x14ac:dyDescent="0.2">
      <c r="A10" s="39" t="s">
        <v>42</v>
      </c>
      <c r="B10" s="33" t="s">
        <v>24</v>
      </c>
      <c r="C10" s="34">
        <v>36</v>
      </c>
      <c r="D10" s="49"/>
      <c r="E10" s="49">
        <f>ROUND(Р[[#This Row],[Количество]]*Р[[#This Row],[Цена за ед., руб]],2)</f>
        <v>0</v>
      </c>
      <c r="F10" s="40"/>
    </row>
    <row r="11" spans="1:6" ht="11.1" customHeight="1" x14ac:dyDescent="0.2">
      <c r="A11" s="39" t="s">
        <v>47</v>
      </c>
      <c r="B11" s="33" t="s">
        <v>24</v>
      </c>
      <c r="C11" s="34">
        <v>182</v>
      </c>
      <c r="D11" s="49"/>
      <c r="E11" s="49">
        <f>ROUND(Р[[#This Row],[Количество]]*Р[[#This Row],[Цена за ед., руб]],2)</f>
        <v>0</v>
      </c>
      <c r="F11" s="40"/>
    </row>
    <row r="12" spans="1:6" ht="11.1" customHeight="1" x14ac:dyDescent="0.2">
      <c r="A12" s="39" t="s">
        <v>54</v>
      </c>
      <c r="B12" s="33" t="s">
        <v>55</v>
      </c>
      <c r="C12" s="36">
        <v>12102</v>
      </c>
      <c r="D12" s="49"/>
      <c r="E12" s="49">
        <f>ROUND(Р[[#This Row],[Количество]]*Р[[#This Row],[Цена за ед., руб]],2)</f>
        <v>0</v>
      </c>
      <c r="F12" s="40"/>
    </row>
    <row r="13" spans="1:6" ht="11.1" customHeight="1" x14ac:dyDescent="0.2">
      <c r="A13" s="39" t="s">
        <v>65</v>
      </c>
      <c r="B13" s="33" t="s">
        <v>24</v>
      </c>
      <c r="C13" s="34">
        <v>342</v>
      </c>
      <c r="D13" s="49"/>
      <c r="E13" s="49">
        <f>ROUND(Р[[#This Row],[Количество]]*Р[[#This Row],[Цена за ед., руб]],2)</f>
        <v>0</v>
      </c>
      <c r="F13" s="40"/>
    </row>
    <row r="14" spans="1:6" ht="11.1" customHeight="1" x14ac:dyDescent="0.2">
      <c r="A14" s="39" t="s">
        <v>66</v>
      </c>
      <c r="B14" s="33" t="s">
        <v>58</v>
      </c>
      <c r="C14" s="34">
        <v>197</v>
      </c>
      <c r="D14" s="49"/>
      <c r="E14" s="49">
        <f>ROUND(Р[[#This Row],[Количество]]*Р[[#This Row],[Цена за ед., руб]],2)</f>
        <v>0</v>
      </c>
      <c r="F14" s="40"/>
    </row>
    <row r="15" spans="1:6" ht="11.1" customHeight="1" x14ac:dyDescent="0.2">
      <c r="A15" s="39" t="s">
        <v>77</v>
      </c>
      <c r="B15" s="33" t="s">
        <v>58</v>
      </c>
      <c r="C15" s="34">
        <v>608</v>
      </c>
      <c r="D15" s="49"/>
      <c r="E15" s="49">
        <f>ROUND(Р[[#This Row],[Количество]]*Р[[#This Row],[Цена за ед., руб]],2)</f>
        <v>0</v>
      </c>
      <c r="F15" s="40"/>
    </row>
    <row r="16" spans="1:6" ht="11.1" customHeight="1" x14ac:dyDescent="0.2">
      <c r="A16" s="39" t="s">
        <v>88</v>
      </c>
      <c r="B16" s="33" t="s">
        <v>24</v>
      </c>
      <c r="C16" s="34">
        <v>663</v>
      </c>
      <c r="D16" s="49"/>
      <c r="E16" s="49">
        <f>ROUND(Р[[#This Row],[Количество]]*Р[[#This Row],[Цена за ед., руб]],2)</f>
        <v>0</v>
      </c>
      <c r="F16" s="40"/>
    </row>
    <row r="17" spans="1:6" ht="11.1" customHeight="1" x14ac:dyDescent="0.2">
      <c r="A17" s="39" t="s">
        <v>91</v>
      </c>
      <c r="B17" s="33" t="s">
        <v>24</v>
      </c>
      <c r="C17" s="34">
        <v>3</v>
      </c>
      <c r="D17" s="49"/>
      <c r="E17" s="49">
        <f>ROUND(Р[[#This Row],[Количество]]*Р[[#This Row],[Цена за ед., руб]],2)</f>
        <v>0</v>
      </c>
      <c r="F17" s="40"/>
    </row>
    <row r="18" spans="1:6" ht="11.1" customHeight="1" x14ac:dyDescent="0.2">
      <c r="A18" s="39" t="s">
        <v>94</v>
      </c>
      <c r="B18" s="33" t="s">
        <v>24</v>
      </c>
      <c r="C18" s="34">
        <v>51</v>
      </c>
      <c r="D18" s="49"/>
      <c r="E18" s="49">
        <f>ROUND(Р[[#This Row],[Количество]]*Р[[#This Row],[Цена за ед., руб]],2)</f>
        <v>0</v>
      </c>
      <c r="F18" s="40"/>
    </row>
    <row r="19" spans="1:6" ht="11.1" customHeight="1" x14ac:dyDescent="0.2">
      <c r="A19" s="39" t="s">
        <v>101</v>
      </c>
      <c r="B19" s="33" t="s">
        <v>24</v>
      </c>
      <c r="C19" s="34">
        <v>1</v>
      </c>
      <c r="D19" s="49"/>
      <c r="E19" s="49">
        <f>ROUND(Р[[#This Row],[Количество]]*Р[[#This Row],[Цена за ед., руб]],2)</f>
        <v>0</v>
      </c>
      <c r="F19" s="40"/>
    </row>
    <row r="20" spans="1:6" ht="11.1" customHeight="1" x14ac:dyDescent="0.2">
      <c r="A20" s="39" t="s">
        <v>104</v>
      </c>
      <c r="B20" s="33" t="s">
        <v>24</v>
      </c>
      <c r="C20" s="34">
        <v>8</v>
      </c>
      <c r="D20" s="49"/>
      <c r="E20" s="49">
        <f>ROUND(Р[[#This Row],[Количество]]*Р[[#This Row],[Цена за ед., руб]],2)</f>
        <v>0</v>
      </c>
      <c r="F20" s="40"/>
    </row>
    <row r="21" spans="1:6" ht="11.1" customHeight="1" x14ac:dyDescent="0.2">
      <c r="A21" s="39" t="s">
        <v>107</v>
      </c>
      <c r="B21" s="33" t="s">
        <v>24</v>
      </c>
      <c r="C21" s="34">
        <v>408</v>
      </c>
      <c r="D21" s="49"/>
      <c r="E21" s="49">
        <f>ROUND(Р[[#This Row],[Количество]]*Р[[#This Row],[Цена за ед., руб]],2)</f>
        <v>0</v>
      </c>
      <c r="F21" s="40"/>
    </row>
    <row r="22" spans="1:6" ht="11.1" customHeight="1" x14ac:dyDescent="0.2">
      <c r="A22" s="39" t="s">
        <v>110</v>
      </c>
      <c r="B22" s="33" t="s">
        <v>24</v>
      </c>
      <c r="C22" s="34">
        <v>666</v>
      </c>
      <c r="D22" s="49"/>
      <c r="E22" s="49">
        <f>ROUND(Р[[#This Row],[Количество]]*Р[[#This Row],[Цена за ед., руб]],2)</f>
        <v>0</v>
      </c>
      <c r="F22" s="40"/>
    </row>
    <row r="23" spans="1:6" ht="11.1" customHeight="1" x14ac:dyDescent="0.2">
      <c r="A23" s="39" t="s">
        <v>149</v>
      </c>
      <c r="B23" s="33" t="s">
        <v>55</v>
      </c>
      <c r="C23" s="34">
        <v>690</v>
      </c>
      <c r="D23" s="49"/>
      <c r="E23" s="49">
        <f>ROUND(Р[[#This Row],[Количество]]*Р[[#This Row],[Цена за ед., руб]],2)</f>
        <v>0</v>
      </c>
      <c r="F23" s="40"/>
    </row>
    <row r="24" spans="1:6" ht="11.1" customHeight="1" x14ac:dyDescent="0.2">
      <c r="A24" s="39" t="s">
        <v>154</v>
      </c>
      <c r="B24" s="33" t="s">
        <v>55</v>
      </c>
      <c r="C24" s="36">
        <v>12312</v>
      </c>
      <c r="D24" s="49"/>
      <c r="E24" s="49">
        <f>ROUND(Р[[#This Row],[Количество]]*Р[[#This Row],[Цена за ед., руб]],2)</f>
        <v>0</v>
      </c>
      <c r="F24" s="40"/>
    </row>
    <row r="25" spans="1:6" ht="11.1" customHeight="1" x14ac:dyDescent="0.2">
      <c r="A25" s="39" t="s">
        <v>159</v>
      </c>
      <c r="B25" s="33" t="s">
        <v>55</v>
      </c>
      <c r="C25" s="34">
        <v>350</v>
      </c>
      <c r="D25" s="49"/>
      <c r="E25" s="49">
        <f>ROUND(Р[[#This Row],[Количество]]*Р[[#This Row],[Цена за ед., руб]],2)</f>
        <v>0</v>
      </c>
      <c r="F25" s="40"/>
    </row>
    <row r="26" spans="1:6" ht="11.1" customHeight="1" x14ac:dyDescent="0.2">
      <c r="A26" s="68" t="s">
        <v>198</v>
      </c>
      <c r="B26" s="33" t="s">
        <v>24</v>
      </c>
      <c r="C26" s="34">
        <v>2</v>
      </c>
      <c r="D26" s="49"/>
      <c r="E26" s="49">
        <f>ROUND(Р[[#This Row],[Количество]]*Р[[#This Row],[Цена за ед., руб]],2)</f>
        <v>0</v>
      </c>
      <c r="F26" s="40"/>
    </row>
    <row r="27" spans="1:6" ht="11.1" customHeight="1" x14ac:dyDescent="0.2">
      <c r="A27" s="39" t="s">
        <v>162</v>
      </c>
      <c r="B27" s="33" t="s">
        <v>24</v>
      </c>
      <c r="C27" s="34">
        <v>1</v>
      </c>
      <c r="D27" s="49"/>
      <c r="E27" s="49">
        <f>ROUND(Р[[#This Row],[Количество]]*Р[[#This Row],[Цена за ед., руб]],2)</f>
        <v>0</v>
      </c>
      <c r="F27" s="40"/>
    </row>
    <row r="28" spans="1:6" ht="11.1" customHeight="1" x14ac:dyDescent="0.2">
      <c r="A28" s="39" t="s">
        <v>166</v>
      </c>
      <c r="B28" s="33" t="s">
        <v>24</v>
      </c>
      <c r="C28" s="34">
        <v>5</v>
      </c>
      <c r="D28" s="49"/>
      <c r="E28" s="49">
        <f>ROUND(Р[[#This Row],[Количество]]*Р[[#This Row],[Цена за ед., руб]],2)</f>
        <v>0</v>
      </c>
      <c r="F28" s="40"/>
    </row>
    <row r="29" spans="1:6" ht="23.1" customHeight="1" x14ac:dyDescent="0.2">
      <c r="A29" s="39" t="s">
        <v>175</v>
      </c>
      <c r="B29" s="33" t="s">
        <v>49</v>
      </c>
      <c r="C29" s="34">
        <v>1</v>
      </c>
      <c r="D29" s="49"/>
      <c r="E29" s="49">
        <f>ROUND(Р[[#This Row],[Количество]]*Р[[#This Row],[Цена за ед., руб]],2)</f>
        <v>0</v>
      </c>
      <c r="F29" s="40"/>
    </row>
    <row r="30" spans="1:6" ht="11.1" customHeight="1" x14ac:dyDescent="0.2">
      <c r="A30" s="43" t="s">
        <v>218</v>
      </c>
      <c r="B30" s="33" t="s">
        <v>49</v>
      </c>
      <c r="C30" s="45">
        <v>1</v>
      </c>
      <c r="D30" s="49"/>
      <c r="E30" s="50">
        <f>ROUND(Р[[#This Row],[Количество]]*Р[[#This Row],[Цена за ед., руб]],2)</f>
        <v>0</v>
      </c>
      <c r="F30" s="47"/>
    </row>
    <row r="31" spans="1:6" ht="11.45" customHeight="1" x14ac:dyDescent="0.2">
      <c r="A31" s="43" t="s">
        <v>197</v>
      </c>
      <c r="B31" s="44"/>
      <c r="C31" s="46"/>
      <c r="D31" s="50"/>
      <c r="E31" s="50">
        <f>SUBTOTAL(109,Р[Сумма, руб])</f>
        <v>0</v>
      </c>
      <c r="F31" s="47"/>
    </row>
    <row r="33" spans="4:5" ht="11.45" customHeight="1" x14ac:dyDescent="0.2">
      <c r="D33" s="97" t="s">
        <v>217</v>
      </c>
      <c r="E33" s="98">
        <f>ЛСР!K192-Р[[#Totals],[Сумма,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86"/>
  <sheetViews>
    <sheetView workbookViewId="0">
      <pane ySplit="3" topLeftCell="A70" activePane="bottomLeft" state="frozen"/>
      <selection pane="bottomLeft" activeCell="I83" sqref="I4:I83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31" t="s">
        <v>187</v>
      </c>
      <c r="B1" s="131"/>
      <c r="C1" s="131"/>
      <c r="D1" s="131"/>
      <c r="E1" s="131"/>
      <c r="F1" s="131"/>
      <c r="G1" s="131"/>
      <c r="H1" s="131"/>
    </row>
    <row r="2" spans="1:9" ht="11.1" customHeight="1" x14ac:dyDescent="0.2"/>
    <row r="3" spans="1:9" ht="23.1" customHeight="1" x14ac:dyDescent="0.2">
      <c r="A3" s="41" t="s">
        <v>188</v>
      </c>
      <c r="B3" s="51" t="s">
        <v>189</v>
      </c>
      <c r="C3" s="42" t="s">
        <v>190</v>
      </c>
      <c r="D3" s="2" t="s">
        <v>7</v>
      </c>
      <c r="E3" s="2" t="s">
        <v>10</v>
      </c>
      <c r="F3" s="48" t="s">
        <v>11</v>
      </c>
      <c r="G3" s="48" t="s">
        <v>12</v>
      </c>
      <c r="H3" s="2" t="s">
        <v>191</v>
      </c>
      <c r="I3" s="42" t="s">
        <v>192</v>
      </c>
    </row>
    <row r="4" spans="1:9" ht="23.1" customHeight="1" x14ac:dyDescent="0.2">
      <c r="A4" s="39" t="s">
        <v>89</v>
      </c>
      <c r="B4" s="35"/>
      <c r="C4" s="35" t="s">
        <v>90</v>
      </c>
      <c r="D4" s="33" t="s">
        <v>24</v>
      </c>
      <c r="E4" s="34">
        <v>663</v>
      </c>
      <c r="F4" s="49"/>
      <c r="G4" s="49">
        <f>ROUND(М[[#This Row],[Количество]]*М[[#This Row],[Цена за ед., руб]],2)</f>
        <v>0</v>
      </c>
      <c r="H4" s="35"/>
      <c r="I4" s="40"/>
    </row>
    <row r="5" spans="1:9" ht="11.1" customHeight="1" x14ac:dyDescent="0.2">
      <c r="A5" s="39" t="s">
        <v>111</v>
      </c>
      <c r="B5" s="35"/>
      <c r="C5" s="35" t="s">
        <v>112</v>
      </c>
      <c r="D5" s="33" t="s">
        <v>24</v>
      </c>
      <c r="E5" s="34">
        <v>24</v>
      </c>
      <c r="F5" s="49"/>
      <c r="G5" s="49">
        <f>ROUND(М[[#This Row],[Количество]]*М[[#This Row],[Цена за ед., руб]],2)</f>
        <v>0</v>
      </c>
      <c r="H5" s="35"/>
      <c r="I5" s="40"/>
    </row>
    <row r="6" spans="1:9" ht="23.1" customHeight="1" x14ac:dyDescent="0.2">
      <c r="A6" s="39" t="s">
        <v>111</v>
      </c>
      <c r="B6" s="35"/>
      <c r="C6" s="35" t="s">
        <v>112</v>
      </c>
      <c r="D6" s="33" t="s">
        <v>24</v>
      </c>
      <c r="E6" s="34">
        <v>639</v>
      </c>
      <c r="F6" s="49"/>
      <c r="G6" s="49">
        <f>ROUND(М[[#This Row],[Количество]]*М[[#This Row],[Цена за ед., руб]],2)</f>
        <v>0</v>
      </c>
      <c r="H6" s="35" t="s">
        <v>113</v>
      </c>
      <c r="I6" s="40"/>
    </row>
    <row r="7" spans="1:9" ht="11.1" customHeight="1" x14ac:dyDescent="0.2">
      <c r="A7" s="39" t="s">
        <v>150</v>
      </c>
      <c r="B7" s="35"/>
      <c r="C7" s="35" t="s">
        <v>151</v>
      </c>
      <c r="D7" s="33" t="s">
        <v>58</v>
      </c>
      <c r="E7" s="34">
        <v>455</v>
      </c>
      <c r="F7" s="49"/>
      <c r="G7" s="49">
        <f>ROUND(М[[#This Row],[Количество]]*М[[#This Row],[Цена за ед., руб]],2)</f>
        <v>0</v>
      </c>
      <c r="H7" s="35"/>
      <c r="I7" s="40"/>
    </row>
    <row r="8" spans="1:9" ht="11.1" customHeight="1" x14ac:dyDescent="0.2">
      <c r="A8" s="39" t="s">
        <v>150</v>
      </c>
      <c r="B8" s="35"/>
      <c r="C8" s="35" t="s">
        <v>152</v>
      </c>
      <c r="D8" s="33" t="s">
        <v>58</v>
      </c>
      <c r="E8" s="34">
        <v>125</v>
      </c>
      <c r="F8" s="49"/>
      <c r="G8" s="49">
        <f>ROUND(М[[#This Row],[Количество]]*М[[#This Row],[Цена за ед., руб]],2)</f>
        <v>0</v>
      </c>
      <c r="H8" s="35"/>
      <c r="I8" s="40"/>
    </row>
    <row r="9" spans="1:9" ht="11.1" customHeight="1" x14ac:dyDescent="0.2">
      <c r="A9" s="39" t="s">
        <v>150</v>
      </c>
      <c r="B9" s="35"/>
      <c r="C9" s="35" t="s">
        <v>153</v>
      </c>
      <c r="D9" s="33" t="s">
        <v>58</v>
      </c>
      <c r="E9" s="34">
        <v>110</v>
      </c>
      <c r="F9" s="49"/>
      <c r="G9" s="49">
        <f>ROUND(М[[#This Row],[Количество]]*М[[#This Row],[Цена за ед., руб]],2)</f>
        <v>0</v>
      </c>
      <c r="H9" s="35"/>
      <c r="I9" s="40"/>
    </row>
    <row r="10" spans="1:9" ht="11.1" customHeight="1" x14ac:dyDescent="0.2">
      <c r="A10" s="39" t="s">
        <v>48</v>
      </c>
      <c r="B10" s="35"/>
      <c r="C10" s="35"/>
      <c r="D10" s="33" t="s">
        <v>49</v>
      </c>
      <c r="E10" s="34">
        <v>182</v>
      </c>
      <c r="F10" s="49"/>
      <c r="G10" s="49">
        <f>ROUND(М[[#This Row],[Количество]]*М[[#This Row],[Цена за ед., руб]],2)</f>
        <v>0</v>
      </c>
      <c r="H10" s="35"/>
      <c r="I10" s="40"/>
    </row>
    <row r="11" spans="1:9" ht="11.1" customHeight="1" x14ac:dyDescent="0.2">
      <c r="A11" s="39" t="s">
        <v>160</v>
      </c>
      <c r="B11" s="35"/>
      <c r="C11" s="35"/>
      <c r="D11" s="33" t="s">
        <v>161</v>
      </c>
      <c r="E11" s="34">
        <v>50</v>
      </c>
      <c r="F11" s="49"/>
      <c r="G11" s="49">
        <f>ROUND(М[[#This Row],[Количество]]*М[[#This Row],[Цена за ед., руб]],2)</f>
        <v>0</v>
      </c>
      <c r="H11" s="35"/>
      <c r="I11" s="40"/>
    </row>
    <row r="12" spans="1:9" ht="11.1" customHeight="1" x14ac:dyDescent="0.2">
      <c r="A12" s="39" t="s">
        <v>50</v>
      </c>
      <c r="B12" s="35"/>
      <c r="C12" s="35" t="s">
        <v>51</v>
      </c>
      <c r="D12" s="33" t="s">
        <v>24</v>
      </c>
      <c r="E12" s="34">
        <v>182</v>
      </c>
      <c r="F12" s="49"/>
      <c r="G12" s="49">
        <f>ROUND(М[[#This Row],[Количество]]*М[[#This Row],[Цена за ед., руб]],2)</f>
        <v>0</v>
      </c>
      <c r="H12" s="35"/>
      <c r="I12" s="40"/>
    </row>
    <row r="13" spans="1:9" ht="11.1" customHeight="1" x14ac:dyDescent="0.2">
      <c r="A13" s="39" t="s">
        <v>167</v>
      </c>
      <c r="B13" s="35"/>
      <c r="C13" s="35" t="s">
        <v>168</v>
      </c>
      <c r="D13" s="33" t="s">
        <v>24</v>
      </c>
      <c r="E13" s="34">
        <v>5</v>
      </c>
      <c r="F13" s="49"/>
      <c r="G13" s="49">
        <f>ROUND(М[[#This Row],[Количество]]*М[[#This Row],[Цена за ед., руб]],2)</f>
        <v>0</v>
      </c>
      <c r="H13" s="35"/>
      <c r="I13" s="40"/>
    </row>
    <row r="14" spans="1:9" ht="23.1" customHeight="1" x14ac:dyDescent="0.2">
      <c r="A14" s="39" t="s">
        <v>114</v>
      </c>
      <c r="B14" s="35"/>
      <c r="C14" s="35" t="s">
        <v>115</v>
      </c>
      <c r="D14" s="33" t="s">
        <v>24</v>
      </c>
      <c r="E14" s="34">
        <v>162</v>
      </c>
      <c r="F14" s="49"/>
      <c r="G14" s="49">
        <f>ROUND(М[[#This Row],[Количество]]*М[[#This Row],[Цена за ед., руб]],2)</f>
        <v>0</v>
      </c>
      <c r="H14" s="35"/>
      <c r="I14" s="40"/>
    </row>
    <row r="15" spans="1:9" ht="23.1" customHeight="1" x14ac:dyDescent="0.2">
      <c r="A15" s="39" t="s">
        <v>114</v>
      </c>
      <c r="B15" s="35"/>
      <c r="C15" s="35" t="s">
        <v>116</v>
      </c>
      <c r="D15" s="33" t="s">
        <v>24</v>
      </c>
      <c r="E15" s="34">
        <v>21</v>
      </c>
      <c r="F15" s="49"/>
      <c r="G15" s="49">
        <f>ROUND(М[[#This Row],[Количество]]*М[[#This Row],[Цена за ед., руб]],2)</f>
        <v>0</v>
      </c>
      <c r="H15" s="35"/>
      <c r="I15" s="40"/>
    </row>
    <row r="16" spans="1:9" ht="23.1" customHeight="1" x14ac:dyDescent="0.2">
      <c r="A16" s="39" t="s">
        <v>114</v>
      </c>
      <c r="B16" s="35"/>
      <c r="C16" s="35" t="s">
        <v>117</v>
      </c>
      <c r="D16" s="33" t="s">
        <v>24</v>
      </c>
      <c r="E16" s="34">
        <v>156</v>
      </c>
      <c r="F16" s="49"/>
      <c r="G16" s="49">
        <f>ROUND(М[[#This Row],[Количество]]*М[[#This Row],[Цена за ед., руб]],2)</f>
        <v>0</v>
      </c>
      <c r="H16" s="35"/>
      <c r="I16" s="40"/>
    </row>
    <row r="17" spans="1:9" ht="23.1" customHeight="1" x14ac:dyDescent="0.2">
      <c r="A17" s="39" t="s">
        <v>114</v>
      </c>
      <c r="B17" s="35"/>
      <c r="C17" s="35" t="s">
        <v>118</v>
      </c>
      <c r="D17" s="33" t="s">
        <v>24</v>
      </c>
      <c r="E17" s="34">
        <v>135</v>
      </c>
      <c r="F17" s="49"/>
      <c r="G17" s="49">
        <f>ROUND(М[[#This Row],[Количество]]*М[[#This Row],[Цена за ед., руб]],2)</f>
        <v>0</v>
      </c>
      <c r="H17" s="35"/>
      <c r="I17" s="40"/>
    </row>
    <row r="18" spans="1:9" ht="23.1" customHeight="1" x14ac:dyDescent="0.2">
      <c r="A18" s="39" t="s">
        <v>114</v>
      </c>
      <c r="B18" s="35"/>
      <c r="C18" s="35" t="s">
        <v>119</v>
      </c>
      <c r="D18" s="33" t="s">
        <v>24</v>
      </c>
      <c r="E18" s="34">
        <v>7</v>
      </c>
      <c r="F18" s="49"/>
      <c r="G18" s="49">
        <f>ROUND(М[[#This Row],[Количество]]*М[[#This Row],[Цена за ед., руб]],2)</f>
        <v>0</v>
      </c>
      <c r="H18" s="35"/>
      <c r="I18" s="40"/>
    </row>
    <row r="19" spans="1:9" ht="23.1" customHeight="1" x14ac:dyDescent="0.2">
      <c r="A19" s="39" t="s">
        <v>114</v>
      </c>
      <c r="B19" s="35"/>
      <c r="C19" s="35" t="s">
        <v>121</v>
      </c>
      <c r="D19" s="33" t="s">
        <v>24</v>
      </c>
      <c r="E19" s="34">
        <v>2</v>
      </c>
      <c r="F19" s="49"/>
      <c r="G19" s="49">
        <f>ROUND(М[[#This Row],[Количество]]*М[[#This Row],[Цена за ед., руб]],2)</f>
        <v>0</v>
      </c>
      <c r="H19" s="35"/>
      <c r="I19" s="40"/>
    </row>
    <row r="20" spans="1:9" ht="23.1" customHeight="1" x14ac:dyDescent="0.2">
      <c r="A20" s="39" t="s">
        <v>114</v>
      </c>
      <c r="B20" s="35"/>
      <c r="C20" s="35" t="s">
        <v>123</v>
      </c>
      <c r="D20" s="33" t="s">
        <v>24</v>
      </c>
      <c r="E20" s="34">
        <v>21</v>
      </c>
      <c r="F20" s="49"/>
      <c r="G20" s="49">
        <f>ROUND(М[[#This Row],[Количество]]*М[[#This Row],[Цена за ед., руб]],2)</f>
        <v>0</v>
      </c>
      <c r="H20" s="35"/>
      <c r="I20" s="40"/>
    </row>
    <row r="21" spans="1:9" ht="23.1" customHeight="1" x14ac:dyDescent="0.2">
      <c r="A21" s="39" t="s">
        <v>114</v>
      </c>
      <c r="B21" s="35"/>
      <c r="C21" s="35" t="s">
        <v>125</v>
      </c>
      <c r="D21" s="33" t="s">
        <v>24</v>
      </c>
      <c r="E21" s="34">
        <v>10</v>
      </c>
      <c r="F21" s="49"/>
      <c r="G21" s="49">
        <f>ROUND(М[[#This Row],[Количество]]*М[[#This Row],[Цена за ед., руб]],2)</f>
        <v>0</v>
      </c>
      <c r="H21" s="35"/>
      <c r="I21" s="40"/>
    </row>
    <row r="22" spans="1:9" ht="23.1" customHeight="1" x14ac:dyDescent="0.2">
      <c r="A22" s="39" t="s">
        <v>114</v>
      </c>
      <c r="B22" s="35"/>
      <c r="C22" s="35" t="s">
        <v>126</v>
      </c>
      <c r="D22" s="33" t="s">
        <v>24</v>
      </c>
      <c r="E22" s="34">
        <v>1</v>
      </c>
      <c r="F22" s="49"/>
      <c r="G22" s="49">
        <f>ROUND(М[[#This Row],[Количество]]*М[[#This Row],[Цена за ед., руб]],2)</f>
        <v>0</v>
      </c>
      <c r="H22" s="35"/>
      <c r="I22" s="40"/>
    </row>
    <row r="23" spans="1:9" ht="23.1" customHeight="1" x14ac:dyDescent="0.2">
      <c r="A23" s="39" t="s">
        <v>114</v>
      </c>
      <c r="B23" s="35"/>
      <c r="C23" s="35" t="s">
        <v>128</v>
      </c>
      <c r="D23" s="33" t="s">
        <v>24</v>
      </c>
      <c r="E23" s="34">
        <v>1</v>
      </c>
      <c r="F23" s="49"/>
      <c r="G23" s="49">
        <f>ROUND(М[[#This Row],[Количество]]*М[[#This Row],[Цена за ед., руб]],2)</f>
        <v>0</v>
      </c>
      <c r="H23" s="35"/>
      <c r="I23" s="40"/>
    </row>
    <row r="24" spans="1:9" ht="23.1" customHeight="1" x14ac:dyDescent="0.2">
      <c r="A24" s="39" t="s">
        <v>114</v>
      </c>
      <c r="B24" s="35"/>
      <c r="C24" s="35" t="s">
        <v>130</v>
      </c>
      <c r="D24" s="33" t="s">
        <v>24</v>
      </c>
      <c r="E24" s="34">
        <v>92</v>
      </c>
      <c r="F24" s="49"/>
      <c r="G24" s="49">
        <f>ROUND(М[[#This Row],[Количество]]*М[[#This Row],[Цена за ед., руб]],2)</f>
        <v>0</v>
      </c>
      <c r="H24" s="35"/>
      <c r="I24" s="40"/>
    </row>
    <row r="25" spans="1:9" ht="23.1" customHeight="1" x14ac:dyDescent="0.2">
      <c r="A25" s="39" t="s">
        <v>114</v>
      </c>
      <c r="B25" s="35"/>
      <c r="C25" s="35" t="s">
        <v>132</v>
      </c>
      <c r="D25" s="33" t="s">
        <v>24</v>
      </c>
      <c r="E25" s="34">
        <v>22</v>
      </c>
      <c r="F25" s="49"/>
      <c r="G25" s="49">
        <f>ROUND(М[[#This Row],[Количество]]*М[[#This Row],[Цена за ед., руб]],2)</f>
        <v>0</v>
      </c>
      <c r="H25" s="35"/>
      <c r="I25" s="40"/>
    </row>
    <row r="26" spans="1:9" ht="23.1" customHeight="1" x14ac:dyDescent="0.2">
      <c r="A26" s="39" t="s">
        <v>114</v>
      </c>
      <c r="B26" s="35"/>
      <c r="C26" s="35" t="s">
        <v>134</v>
      </c>
      <c r="D26" s="33" t="s">
        <v>24</v>
      </c>
      <c r="E26" s="34">
        <v>21</v>
      </c>
      <c r="F26" s="49"/>
      <c r="G26" s="49">
        <f>ROUND(М[[#This Row],[Количество]]*М[[#This Row],[Цена за ед., руб]],2)</f>
        <v>0</v>
      </c>
      <c r="H26" s="35"/>
      <c r="I26" s="40"/>
    </row>
    <row r="27" spans="1:9" ht="23.1" customHeight="1" x14ac:dyDescent="0.2">
      <c r="A27" s="39" t="s">
        <v>114</v>
      </c>
      <c r="B27" s="35"/>
      <c r="C27" s="35" t="s">
        <v>136</v>
      </c>
      <c r="D27" s="33" t="s">
        <v>24</v>
      </c>
      <c r="E27" s="34">
        <v>1</v>
      </c>
      <c r="F27" s="49"/>
      <c r="G27" s="49">
        <f>ROUND(М[[#This Row],[Количество]]*М[[#This Row],[Цена за ед., руб]],2)</f>
        <v>0</v>
      </c>
      <c r="H27" s="35"/>
      <c r="I27" s="40"/>
    </row>
    <row r="28" spans="1:9" ht="23.1" customHeight="1" x14ac:dyDescent="0.2">
      <c r="A28" s="39" t="s">
        <v>114</v>
      </c>
      <c r="B28" s="35"/>
      <c r="C28" s="35" t="s">
        <v>138</v>
      </c>
      <c r="D28" s="33" t="s">
        <v>24</v>
      </c>
      <c r="E28" s="34">
        <v>1</v>
      </c>
      <c r="F28" s="49"/>
      <c r="G28" s="49">
        <f>ROUND(М[[#This Row],[Количество]]*М[[#This Row],[Цена за ед., руб]],2)</f>
        <v>0</v>
      </c>
      <c r="H28" s="35"/>
      <c r="I28" s="40"/>
    </row>
    <row r="29" spans="1:9" ht="23.1" customHeight="1" x14ac:dyDescent="0.2">
      <c r="A29" s="39" t="s">
        <v>114</v>
      </c>
      <c r="B29" s="35"/>
      <c r="C29" s="35" t="s">
        <v>140</v>
      </c>
      <c r="D29" s="33" t="s">
        <v>24</v>
      </c>
      <c r="E29" s="34">
        <v>7</v>
      </c>
      <c r="F29" s="49"/>
      <c r="G29" s="49">
        <f>ROUND(М[[#This Row],[Количество]]*М[[#This Row],[Цена за ед., руб]],2)</f>
        <v>0</v>
      </c>
      <c r="H29" s="35"/>
      <c r="I29" s="40"/>
    </row>
    <row r="30" spans="1:9" ht="23.1" customHeight="1" x14ac:dyDescent="0.2">
      <c r="A30" s="39" t="s">
        <v>114</v>
      </c>
      <c r="B30" s="35"/>
      <c r="C30" s="35" t="s">
        <v>142</v>
      </c>
      <c r="D30" s="33" t="s">
        <v>24</v>
      </c>
      <c r="E30" s="34">
        <v>5</v>
      </c>
      <c r="F30" s="49"/>
      <c r="G30" s="49">
        <f>ROUND(М[[#This Row],[Количество]]*М[[#This Row],[Цена за ед., руб]],2)</f>
        <v>0</v>
      </c>
      <c r="H30" s="35"/>
      <c r="I30" s="40"/>
    </row>
    <row r="31" spans="1:9" ht="23.1" customHeight="1" x14ac:dyDescent="0.2">
      <c r="A31" s="39" t="s">
        <v>114</v>
      </c>
      <c r="B31" s="35"/>
      <c r="C31" s="35" t="s">
        <v>143</v>
      </c>
      <c r="D31" s="33" t="s">
        <v>24</v>
      </c>
      <c r="E31" s="34">
        <v>1</v>
      </c>
      <c r="F31" s="49"/>
      <c r="G31" s="49">
        <f>ROUND(М[[#This Row],[Количество]]*М[[#This Row],[Цена за ед., руб]],2)</f>
        <v>0</v>
      </c>
      <c r="H31" s="35"/>
      <c r="I31" s="40"/>
    </row>
    <row r="32" spans="1:9" ht="11.1" customHeight="1" x14ac:dyDescent="0.2">
      <c r="A32" s="39" t="s">
        <v>67</v>
      </c>
      <c r="B32" s="35"/>
      <c r="C32" s="35" t="s">
        <v>68</v>
      </c>
      <c r="D32" s="33" t="s">
        <v>58</v>
      </c>
      <c r="E32" s="34">
        <v>3</v>
      </c>
      <c r="F32" s="49"/>
      <c r="G32" s="49">
        <f>ROUND(М[[#This Row],[Количество]]*М[[#This Row],[Цена за ед., руб]],2)</f>
        <v>0</v>
      </c>
      <c r="H32" s="35" t="s">
        <v>69</v>
      </c>
      <c r="I32" s="40"/>
    </row>
    <row r="33" spans="1:9" ht="11.1" customHeight="1" x14ac:dyDescent="0.2">
      <c r="A33" s="39" t="s">
        <v>67</v>
      </c>
      <c r="B33" s="35"/>
      <c r="C33" s="35" t="s">
        <v>70</v>
      </c>
      <c r="D33" s="33" t="s">
        <v>58</v>
      </c>
      <c r="E33" s="34">
        <v>3</v>
      </c>
      <c r="F33" s="49"/>
      <c r="G33" s="49">
        <f>ROUND(М[[#This Row],[Количество]]*М[[#This Row],[Цена за ед., руб]],2)</f>
        <v>0</v>
      </c>
      <c r="H33" s="35" t="s">
        <v>69</v>
      </c>
      <c r="I33" s="40"/>
    </row>
    <row r="34" spans="1:9" ht="11.1" customHeight="1" x14ac:dyDescent="0.2">
      <c r="A34" s="39" t="s">
        <v>67</v>
      </c>
      <c r="B34" s="35"/>
      <c r="C34" s="35" t="s">
        <v>71</v>
      </c>
      <c r="D34" s="33" t="s">
        <v>58</v>
      </c>
      <c r="E34" s="34">
        <v>32</v>
      </c>
      <c r="F34" s="49"/>
      <c r="G34" s="49">
        <f>ROUND(М[[#This Row],[Количество]]*М[[#This Row],[Цена за ед., руб]],2)</f>
        <v>0</v>
      </c>
      <c r="H34" s="35"/>
      <c r="I34" s="40"/>
    </row>
    <row r="35" spans="1:9" ht="11.1" customHeight="1" x14ac:dyDescent="0.2">
      <c r="A35" s="39" t="s">
        <v>67</v>
      </c>
      <c r="B35" s="35"/>
      <c r="C35" s="35" t="s">
        <v>169</v>
      </c>
      <c r="D35" s="33" t="s">
        <v>58</v>
      </c>
      <c r="E35" s="34">
        <v>87</v>
      </c>
      <c r="F35" s="49"/>
      <c r="G35" s="49">
        <f>ROUND(М[[#This Row],[Количество]]*М[[#This Row],[Цена за ед., руб]],2)</f>
        <v>0</v>
      </c>
      <c r="H35" s="35"/>
      <c r="I35" s="40"/>
    </row>
    <row r="36" spans="1:9" ht="11.1" customHeight="1" x14ac:dyDescent="0.2">
      <c r="A36" s="39" t="s">
        <v>67</v>
      </c>
      <c r="B36" s="35"/>
      <c r="C36" s="35" t="s">
        <v>72</v>
      </c>
      <c r="D36" s="33" t="s">
        <v>58</v>
      </c>
      <c r="E36" s="34">
        <v>24</v>
      </c>
      <c r="F36" s="49"/>
      <c r="G36" s="49">
        <f>ROUND(М[[#This Row],[Количество]]*М[[#This Row],[Цена за ед., руб]],2)</f>
        <v>0</v>
      </c>
      <c r="H36" s="35"/>
      <c r="I36" s="40"/>
    </row>
    <row r="37" spans="1:9" ht="11.1" customHeight="1" x14ac:dyDescent="0.2">
      <c r="A37" s="39" t="s">
        <v>67</v>
      </c>
      <c r="B37" s="35"/>
      <c r="C37" s="35" t="s">
        <v>74</v>
      </c>
      <c r="D37" s="33" t="s">
        <v>58</v>
      </c>
      <c r="E37" s="34">
        <v>24</v>
      </c>
      <c r="F37" s="49"/>
      <c r="G37" s="49">
        <f>ROUND(М[[#This Row],[Количество]]*М[[#This Row],[Цена за ед., руб]],2)</f>
        <v>0</v>
      </c>
      <c r="H37" s="35"/>
      <c r="I37" s="40"/>
    </row>
    <row r="38" spans="1:9" ht="11.1" customHeight="1" x14ac:dyDescent="0.2">
      <c r="A38" s="39" t="s">
        <v>67</v>
      </c>
      <c r="B38" s="35"/>
      <c r="C38" s="35" t="s">
        <v>76</v>
      </c>
      <c r="D38" s="33" t="s">
        <v>58</v>
      </c>
      <c r="E38" s="34">
        <v>24</v>
      </c>
      <c r="F38" s="49"/>
      <c r="G38" s="49">
        <f>ROUND(М[[#This Row],[Количество]]*М[[#This Row],[Цена за ед., руб]],2)</f>
        <v>0</v>
      </c>
      <c r="H38" s="35"/>
      <c r="I38" s="40"/>
    </row>
    <row r="39" spans="1:9" ht="11.1" customHeight="1" x14ac:dyDescent="0.2">
      <c r="A39" s="39" t="s">
        <v>78</v>
      </c>
      <c r="B39" s="35"/>
      <c r="C39" s="35" t="s">
        <v>170</v>
      </c>
      <c r="D39" s="33" t="s">
        <v>58</v>
      </c>
      <c r="E39" s="34">
        <v>15</v>
      </c>
      <c r="F39" s="49"/>
      <c r="G39" s="49">
        <f>ROUND(М[[#This Row],[Количество]]*М[[#This Row],[Цена за ед., руб]],2)</f>
        <v>0</v>
      </c>
      <c r="H39" s="35"/>
      <c r="I39" s="40"/>
    </row>
    <row r="40" spans="1:9" ht="11.1" customHeight="1" x14ac:dyDescent="0.2">
      <c r="A40" s="39" t="s">
        <v>78</v>
      </c>
      <c r="B40" s="35"/>
      <c r="C40" s="35" t="s">
        <v>171</v>
      </c>
      <c r="D40" s="33" t="s">
        <v>58</v>
      </c>
      <c r="E40" s="34">
        <v>26</v>
      </c>
      <c r="F40" s="49"/>
      <c r="G40" s="49">
        <f>ROUND(М[[#This Row],[Количество]]*М[[#This Row],[Цена за ед., руб]],2)</f>
        <v>0</v>
      </c>
      <c r="H40" s="35"/>
      <c r="I40" s="40"/>
    </row>
    <row r="41" spans="1:9" ht="11.1" customHeight="1" x14ac:dyDescent="0.2">
      <c r="A41" s="39" t="s">
        <v>78</v>
      </c>
      <c r="B41" s="35"/>
      <c r="C41" s="35" t="s">
        <v>79</v>
      </c>
      <c r="D41" s="33" t="s">
        <v>58</v>
      </c>
      <c r="E41" s="34">
        <v>3</v>
      </c>
      <c r="F41" s="49"/>
      <c r="G41" s="49">
        <f>ROUND(М[[#This Row],[Количество]]*М[[#This Row],[Цена за ед., руб]],2)</f>
        <v>0</v>
      </c>
      <c r="H41" s="35" t="s">
        <v>69</v>
      </c>
      <c r="I41" s="40"/>
    </row>
    <row r="42" spans="1:9" ht="11.1" customHeight="1" x14ac:dyDescent="0.2">
      <c r="A42" s="39" t="s">
        <v>78</v>
      </c>
      <c r="B42" s="35"/>
      <c r="C42" s="35" t="s">
        <v>80</v>
      </c>
      <c r="D42" s="33" t="s">
        <v>58</v>
      </c>
      <c r="E42" s="34">
        <v>446</v>
      </c>
      <c r="F42" s="49"/>
      <c r="G42" s="49">
        <f>ROUND(М[[#This Row],[Количество]]*М[[#This Row],[Цена за ед., руб]],2)</f>
        <v>0</v>
      </c>
      <c r="H42" s="35"/>
      <c r="I42" s="40"/>
    </row>
    <row r="43" spans="1:9" ht="11.1" customHeight="1" x14ac:dyDescent="0.2">
      <c r="A43" s="39" t="s">
        <v>78</v>
      </c>
      <c r="B43" s="35"/>
      <c r="C43" s="35" t="s">
        <v>81</v>
      </c>
      <c r="D43" s="33" t="s">
        <v>58</v>
      </c>
      <c r="E43" s="34">
        <v>38</v>
      </c>
      <c r="F43" s="49"/>
      <c r="G43" s="49">
        <f>ROUND(М[[#This Row],[Количество]]*М[[#This Row],[Цена за ед., руб]],2)</f>
        <v>0</v>
      </c>
      <c r="H43" s="35" t="s">
        <v>69</v>
      </c>
      <c r="I43" s="40"/>
    </row>
    <row r="44" spans="1:9" ht="11.1" customHeight="1" x14ac:dyDescent="0.2">
      <c r="A44" s="39" t="s">
        <v>78</v>
      </c>
      <c r="B44" s="35"/>
      <c r="C44" s="35" t="s">
        <v>82</v>
      </c>
      <c r="D44" s="33" t="s">
        <v>58</v>
      </c>
      <c r="E44" s="34">
        <v>72</v>
      </c>
      <c r="F44" s="49"/>
      <c r="G44" s="49">
        <f>ROUND(М[[#This Row],[Количество]]*М[[#This Row],[Цена за ед., руб]],2)</f>
        <v>0</v>
      </c>
      <c r="H44" s="35"/>
      <c r="I44" s="40"/>
    </row>
    <row r="45" spans="1:9" ht="11.1" customHeight="1" x14ac:dyDescent="0.2">
      <c r="A45" s="39" t="s">
        <v>78</v>
      </c>
      <c r="B45" s="35"/>
      <c r="C45" s="35" t="s">
        <v>83</v>
      </c>
      <c r="D45" s="33" t="s">
        <v>58</v>
      </c>
      <c r="E45" s="34">
        <v>8</v>
      </c>
      <c r="F45" s="49"/>
      <c r="G45" s="49">
        <f>ROUND(М[[#This Row],[Количество]]*М[[#This Row],[Цена за ед., руб]],2)</f>
        <v>0</v>
      </c>
      <c r="H45" s="35" t="s">
        <v>69</v>
      </c>
      <c r="I45" s="40"/>
    </row>
    <row r="46" spans="1:9" ht="35.1" customHeight="1" x14ac:dyDescent="0.2">
      <c r="A46" s="39" t="s">
        <v>33</v>
      </c>
      <c r="B46" s="35"/>
      <c r="C46" s="35" t="s">
        <v>34</v>
      </c>
      <c r="D46" s="33" t="s">
        <v>24</v>
      </c>
      <c r="E46" s="34">
        <v>4</v>
      </c>
      <c r="F46" s="49"/>
      <c r="G46" s="49">
        <f>ROUND(М[[#This Row],[Количество]]*М[[#This Row],[Цена за ед., руб]],2)</f>
        <v>0</v>
      </c>
      <c r="H46" s="35"/>
      <c r="I46" s="40"/>
    </row>
    <row r="47" spans="1:9" ht="35.1" customHeight="1" x14ac:dyDescent="0.2">
      <c r="A47" s="39" t="s">
        <v>33</v>
      </c>
      <c r="B47" s="35"/>
      <c r="C47" s="35" t="s">
        <v>36</v>
      </c>
      <c r="D47" s="33" t="s">
        <v>24</v>
      </c>
      <c r="E47" s="34">
        <v>20</v>
      </c>
      <c r="F47" s="49"/>
      <c r="G47" s="49">
        <f>ROUND(М[[#This Row],[Количество]]*М[[#This Row],[Цена за ед., руб]],2)</f>
        <v>0</v>
      </c>
      <c r="H47" s="35"/>
      <c r="I47" s="40"/>
    </row>
    <row r="48" spans="1:9" ht="35.1" customHeight="1" x14ac:dyDescent="0.2">
      <c r="A48" s="39" t="s">
        <v>33</v>
      </c>
      <c r="B48" s="35"/>
      <c r="C48" s="35" t="s">
        <v>38</v>
      </c>
      <c r="D48" s="33" t="s">
        <v>24</v>
      </c>
      <c r="E48" s="34">
        <v>4</v>
      </c>
      <c r="F48" s="49"/>
      <c r="G48" s="49">
        <f>ROUND(М[[#This Row],[Количество]]*М[[#This Row],[Цена за ед., руб]],2)</f>
        <v>0</v>
      </c>
      <c r="H48" s="35"/>
      <c r="I48" s="40"/>
    </row>
    <row r="49" spans="1:9" ht="23.1" customHeight="1" x14ac:dyDescent="0.2">
      <c r="A49" s="39" t="s">
        <v>43</v>
      </c>
      <c r="B49" s="35"/>
      <c r="C49" s="35" t="s">
        <v>44</v>
      </c>
      <c r="D49" s="33" t="s">
        <v>24</v>
      </c>
      <c r="E49" s="34">
        <v>28</v>
      </c>
      <c r="F49" s="49"/>
      <c r="G49" s="49">
        <f>ROUND(М[[#This Row],[Количество]]*М[[#This Row],[Цена за ед., руб]],2)</f>
        <v>0</v>
      </c>
      <c r="H49" s="35"/>
      <c r="I49" s="40"/>
    </row>
    <row r="50" spans="1:9" ht="23.1" customHeight="1" x14ac:dyDescent="0.2">
      <c r="A50" s="39" t="s">
        <v>43</v>
      </c>
      <c r="B50" s="35"/>
      <c r="C50" s="35" t="s">
        <v>45</v>
      </c>
      <c r="D50" s="33" t="s">
        <v>24</v>
      </c>
      <c r="E50" s="34">
        <v>4</v>
      </c>
      <c r="F50" s="49"/>
      <c r="G50" s="49">
        <f>ROUND(М[[#This Row],[Количество]]*М[[#This Row],[Цена за ед., руб]],2)</f>
        <v>0</v>
      </c>
      <c r="H50" s="35"/>
      <c r="I50" s="40"/>
    </row>
    <row r="51" spans="1:9" ht="23.1" customHeight="1" x14ac:dyDescent="0.2">
      <c r="A51" s="39" t="s">
        <v>43</v>
      </c>
      <c r="B51" s="35"/>
      <c r="C51" s="35" t="s">
        <v>46</v>
      </c>
      <c r="D51" s="33" t="s">
        <v>24</v>
      </c>
      <c r="E51" s="34">
        <v>4</v>
      </c>
      <c r="F51" s="49"/>
      <c r="G51" s="49">
        <f>ROUND(М[[#This Row],[Количество]]*М[[#This Row],[Цена за ед., руб]],2)</f>
        <v>0</v>
      </c>
      <c r="H51" s="35"/>
      <c r="I51" s="40"/>
    </row>
    <row r="52" spans="1:9" ht="11.1" customHeight="1" x14ac:dyDescent="0.2">
      <c r="A52" s="39" t="s">
        <v>40</v>
      </c>
      <c r="B52" s="35"/>
      <c r="C52" s="35" t="s">
        <v>41</v>
      </c>
      <c r="D52" s="33" t="s">
        <v>24</v>
      </c>
      <c r="E52" s="34">
        <v>14</v>
      </c>
      <c r="F52" s="49"/>
      <c r="G52" s="49">
        <f>ROUND(М[[#This Row],[Количество]]*М[[#This Row],[Цена за ед., руб]],2)</f>
        <v>0</v>
      </c>
      <c r="H52" s="35"/>
      <c r="I52" s="40"/>
    </row>
    <row r="53" spans="1:9" ht="11.1" customHeight="1" x14ac:dyDescent="0.2">
      <c r="A53" s="39" t="s">
        <v>40</v>
      </c>
      <c r="B53" s="35"/>
      <c r="C53" s="35" t="s">
        <v>103</v>
      </c>
      <c r="D53" s="33" t="s">
        <v>24</v>
      </c>
      <c r="E53" s="34">
        <v>16</v>
      </c>
      <c r="F53" s="49"/>
      <c r="G53" s="49">
        <f>ROUND(М[[#This Row],[Количество]]*М[[#This Row],[Цена за ед., руб]],2)</f>
        <v>0</v>
      </c>
      <c r="H53" s="35"/>
      <c r="I53" s="40"/>
    </row>
    <row r="54" spans="1:9" ht="11.1" customHeight="1" x14ac:dyDescent="0.2">
      <c r="A54" s="39" t="s">
        <v>40</v>
      </c>
      <c r="B54" s="35"/>
      <c r="C54" s="35" t="s">
        <v>105</v>
      </c>
      <c r="D54" s="33" t="s">
        <v>24</v>
      </c>
      <c r="E54" s="34">
        <v>4</v>
      </c>
      <c r="F54" s="49"/>
      <c r="G54" s="49">
        <f>ROUND(М[[#This Row],[Количество]]*М[[#This Row],[Цена за ед., руб]],2)</f>
        <v>0</v>
      </c>
      <c r="H54" s="35"/>
      <c r="I54" s="40"/>
    </row>
    <row r="55" spans="1:9" ht="11.1" customHeight="1" x14ac:dyDescent="0.2">
      <c r="A55" s="39" t="s">
        <v>40</v>
      </c>
      <c r="B55" s="35"/>
      <c r="C55" s="35" t="s">
        <v>106</v>
      </c>
      <c r="D55" s="33" t="s">
        <v>24</v>
      </c>
      <c r="E55" s="34">
        <v>4</v>
      </c>
      <c r="F55" s="49"/>
      <c r="G55" s="49">
        <f>ROUND(М[[#This Row],[Количество]]*М[[#This Row],[Цена за ед., руб]],2)</f>
        <v>0</v>
      </c>
      <c r="H55" s="35"/>
      <c r="I55" s="40"/>
    </row>
    <row r="56" spans="1:9" ht="11.1" customHeight="1" x14ac:dyDescent="0.2">
      <c r="A56" s="39" t="s">
        <v>30</v>
      </c>
      <c r="B56" s="35"/>
      <c r="C56" s="35" t="s">
        <v>31</v>
      </c>
      <c r="D56" s="33" t="s">
        <v>24</v>
      </c>
      <c r="E56" s="34">
        <v>8</v>
      </c>
      <c r="F56" s="49"/>
      <c r="G56" s="49">
        <f>ROUND(М[[#This Row],[Количество]]*М[[#This Row],[Цена за ед., руб]],2)</f>
        <v>0</v>
      </c>
      <c r="H56" s="35"/>
      <c r="I56" s="40"/>
    </row>
    <row r="57" spans="1:9" ht="11.1" customHeight="1" x14ac:dyDescent="0.2">
      <c r="A57" s="39" t="s">
        <v>155</v>
      </c>
      <c r="B57" s="35"/>
      <c r="C57" s="35" t="s">
        <v>156</v>
      </c>
      <c r="D57" s="33" t="s">
        <v>58</v>
      </c>
      <c r="E57" s="36">
        <v>6307</v>
      </c>
      <c r="F57" s="49"/>
      <c r="G57" s="49">
        <f>ROUND(М[[#This Row],[Количество]]*М[[#This Row],[Цена за ед., руб]],2)</f>
        <v>0</v>
      </c>
      <c r="H57" s="35"/>
      <c r="I57" s="40"/>
    </row>
    <row r="58" spans="1:9" ht="11.1" customHeight="1" x14ac:dyDescent="0.2">
      <c r="A58" s="39" t="s">
        <v>155</v>
      </c>
      <c r="B58" s="35"/>
      <c r="C58" s="35" t="s">
        <v>157</v>
      </c>
      <c r="D58" s="33" t="s">
        <v>58</v>
      </c>
      <c r="E58" s="36">
        <v>3475</v>
      </c>
      <c r="F58" s="49"/>
      <c r="G58" s="49">
        <f>ROUND(М[[#This Row],[Количество]]*М[[#This Row],[Цена за ед., руб]],2)</f>
        <v>0</v>
      </c>
      <c r="H58" s="35"/>
      <c r="I58" s="40"/>
    </row>
    <row r="59" spans="1:9" ht="11.1" customHeight="1" x14ac:dyDescent="0.2">
      <c r="A59" s="39" t="s">
        <v>155</v>
      </c>
      <c r="B59" s="35"/>
      <c r="C59" s="35" t="s">
        <v>158</v>
      </c>
      <c r="D59" s="33" t="s">
        <v>58</v>
      </c>
      <c r="E59" s="36">
        <v>2880</v>
      </c>
      <c r="F59" s="49"/>
      <c r="G59" s="49">
        <f>ROUND(М[[#This Row],[Количество]]*М[[#This Row],[Цена за ед., руб]],2)</f>
        <v>0</v>
      </c>
      <c r="H59" s="35"/>
      <c r="I59" s="40"/>
    </row>
    <row r="60" spans="1:9" ht="11.1" customHeight="1" x14ac:dyDescent="0.2">
      <c r="A60" s="68" t="s">
        <v>199</v>
      </c>
      <c r="B60" s="35" t="s">
        <v>200</v>
      </c>
      <c r="C60" s="35" t="s">
        <v>201</v>
      </c>
      <c r="D60" s="33" t="s">
        <v>24</v>
      </c>
      <c r="E60" s="36">
        <v>2</v>
      </c>
      <c r="F60" s="49"/>
      <c r="G60" s="49">
        <f>ROUND(М[[#This Row],[Количество]]*М[[#This Row],[Цена за ед., руб]],2)</f>
        <v>0</v>
      </c>
      <c r="H60" s="35"/>
      <c r="I60" s="40"/>
    </row>
    <row r="61" spans="1:9" ht="11.1" customHeight="1" x14ac:dyDescent="0.2">
      <c r="A61" s="39" t="s">
        <v>163</v>
      </c>
      <c r="B61" s="35"/>
      <c r="C61" s="35" t="s">
        <v>164</v>
      </c>
      <c r="D61" s="33" t="s">
        <v>24</v>
      </c>
      <c r="E61" s="34">
        <v>1</v>
      </c>
      <c r="F61" s="49"/>
      <c r="G61" s="49">
        <f>ROUND(М[[#This Row],[Количество]]*М[[#This Row],[Цена за ед., руб]],2)</f>
        <v>0</v>
      </c>
      <c r="H61" s="35" t="s">
        <v>165</v>
      </c>
      <c r="I61" s="40"/>
    </row>
    <row r="62" spans="1:9" ht="23.1" customHeight="1" x14ac:dyDescent="0.2">
      <c r="A62" s="39" t="s">
        <v>95</v>
      </c>
      <c r="B62" s="35"/>
      <c r="C62" s="35" t="s">
        <v>96</v>
      </c>
      <c r="D62" s="33" t="s">
        <v>24</v>
      </c>
      <c r="E62" s="34">
        <v>43</v>
      </c>
      <c r="F62" s="49"/>
      <c r="G62" s="49">
        <f>ROUND(М[[#This Row],[Количество]]*М[[#This Row],[Цена за ед., руб]],2)</f>
        <v>0</v>
      </c>
      <c r="H62" s="35"/>
      <c r="I62" s="40"/>
    </row>
    <row r="63" spans="1:9" ht="23.1" customHeight="1" x14ac:dyDescent="0.2">
      <c r="A63" s="39" t="s">
        <v>95</v>
      </c>
      <c r="B63" s="35"/>
      <c r="C63" s="35" t="s">
        <v>97</v>
      </c>
      <c r="D63" s="33" t="s">
        <v>24</v>
      </c>
      <c r="E63" s="34">
        <v>4</v>
      </c>
      <c r="F63" s="49"/>
      <c r="G63" s="49">
        <f>ROUND(М[[#This Row],[Количество]]*М[[#This Row],[Цена за ед., руб]],2)</f>
        <v>0</v>
      </c>
      <c r="H63" s="35" t="s">
        <v>98</v>
      </c>
      <c r="I63" s="40"/>
    </row>
    <row r="64" spans="1:9" ht="23.1" customHeight="1" x14ac:dyDescent="0.2">
      <c r="A64" s="39" t="s">
        <v>95</v>
      </c>
      <c r="B64" s="35"/>
      <c r="C64" s="35" t="s">
        <v>99</v>
      </c>
      <c r="D64" s="33" t="s">
        <v>24</v>
      </c>
      <c r="E64" s="34">
        <v>3</v>
      </c>
      <c r="F64" s="49"/>
      <c r="G64" s="49">
        <f>ROUND(М[[#This Row],[Количество]]*М[[#This Row],[Цена за ед., руб]],2)</f>
        <v>0</v>
      </c>
      <c r="H64" s="35"/>
      <c r="I64" s="40"/>
    </row>
    <row r="65" spans="1:9" ht="23.1" customHeight="1" x14ac:dyDescent="0.2">
      <c r="A65" s="39" t="s">
        <v>95</v>
      </c>
      <c r="B65" s="35"/>
      <c r="C65" s="35" t="s">
        <v>100</v>
      </c>
      <c r="D65" s="33" t="s">
        <v>24</v>
      </c>
      <c r="E65" s="34">
        <v>1</v>
      </c>
      <c r="F65" s="49"/>
      <c r="G65" s="49">
        <f>ROUND(М[[#This Row],[Количество]]*М[[#This Row],[Цена за ед., руб]],2)</f>
        <v>0</v>
      </c>
      <c r="H65" s="35"/>
      <c r="I65" s="40"/>
    </row>
    <row r="66" spans="1:9" ht="59.1" customHeight="1" x14ac:dyDescent="0.2">
      <c r="A66" s="39" t="s">
        <v>95</v>
      </c>
      <c r="B66" s="35"/>
      <c r="C66" s="35" t="s">
        <v>102</v>
      </c>
      <c r="D66" s="33" t="s">
        <v>24</v>
      </c>
      <c r="E66" s="34">
        <v>1</v>
      </c>
      <c r="F66" s="49"/>
      <c r="G66" s="49">
        <f>ROUND(М[[#This Row],[Количество]]*М[[#This Row],[Цена за ед., руб]],2)</f>
        <v>0</v>
      </c>
      <c r="H66" s="35"/>
      <c r="I66" s="40"/>
    </row>
    <row r="67" spans="1:9" ht="11.1" customHeight="1" x14ac:dyDescent="0.2">
      <c r="A67" s="39" t="s">
        <v>179</v>
      </c>
      <c r="B67" s="35"/>
      <c r="C67" s="35" t="s">
        <v>180</v>
      </c>
      <c r="D67" s="33" t="s">
        <v>181</v>
      </c>
      <c r="E67" s="34">
        <v>210</v>
      </c>
      <c r="F67" s="49"/>
      <c r="G67" s="49">
        <f>ROUND(М[[#This Row],[Количество]]*М[[#This Row],[Цена за ед., руб]],2)</f>
        <v>0</v>
      </c>
      <c r="H67" s="35" t="s">
        <v>182</v>
      </c>
      <c r="I67" s="40"/>
    </row>
    <row r="68" spans="1:9" ht="11.1" customHeight="1" x14ac:dyDescent="0.2">
      <c r="A68" s="39" t="s">
        <v>108</v>
      </c>
      <c r="B68" s="35"/>
      <c r="C68" s="35" t="s">
        <v>109</v>
      </c>
      <c r="D68" s="33" t="s">
        <v>24</v>
      </c>
      <c r="E68" s="34">
        <v>408</v>
      </c>
      <c r="F68" s="49"/>
      <c r="G68" s="49">
        <f>ROUND(М[[#This Row],[Количество]]*М[[#This Row],[Цена за ед., руб]],2)</f>
        <v>0</v>
      </c>
      <c r="H68" s="35"/>
      <c r="I68" s="40"/>
    </row>
    <row r="69" spans="1:9" ht="11.1" customHeight="1" x14ac:dyDescent="0.2">
      <c r="A69" s="39" t="s">
        <v>52</v>
      </c>
      <c r="B69" s="35"/>
      <c r="C69" s="35" t="s">
        <v>53</v>
      </c>
      <c r="D69" s="33" t="s">
        <v>24</v>
      </c>
      <c r="E69" s="34">
        <v>182</v>
      </c>
      <c r="F69" s="49"/>
      <c r="G69" s="49">
        <f>ROUND(М[[#This Row],[Количество]]*М[[#This Row],[Цена за ед., руб]],2)</f>
        <v>0</v>
      </c>
      <c r="H69" s="35"/>
      <c r="I69" s="40"/>
    </row>
    <row r="70" spans="1:9" ht="35.1" customHeight="1" x14ac:dyDescent="0.2">
      <c r="A70" s="39" t="s">
        <v>92</v>
      </c>
      <c r="B70" s="35"/>
      <c r="C70" s="35" t="s">
        <v>93</v>
      </c>
      <c r="D70" s="33" t="s">
        <v>24</v>
      </c>
      <c r="E70" s="34">
        <v>3</v>
      </c>
      <c r="F70" s="49"/>
      <c r="G70" s="49">
        <f>ROUND(М[[#This Row],[Количество]]*М[[#This Row],[Цена за ед., руб]],2)</f>
        <v>0</v>
      </c>
      <c r="H70" s="35"/>
      <c r="I70" s="40"/>
    </row>
    <row r="71" spans="1:9" ht="23.1" customHeight="1" x14ac:dyDescent="0.2">
      <c r="A71" s="39" t="s">
        <v>56</v>
      </c>
      <c r="B71" s="35"/>
      <c r="C71" s="35" t="s">
        <v>57</v>
      </c>
      <c r="D71" s="33" t="s">
        <v>58</v>
      </c>
      <c r="E71" s="34">
        <v>446</v>
      </c>
      <c r="F71" s="49"/>
      <c r="G71" s="49">
        <f>ROUND(М[[#This Row],[Количество]]*М[[#This Row],[Цена за ед., руб]],2)</f>
        <v>0</v>
      </c>
      <c r="H71" s="35"/>
      <c r="I71" s="40"/>
    </row>
    <row r="72" spans="1:9" ht="23.1" customHeight="1" x14ac:dyDescent="0.2">
      <c r="A72" s="39" t="s">
        <v>56</v>
      </c>
      <c r="B72" s="35"/>
      <c r="C72" s="35" t="s">
        <v>144</v>
      </c>
      <c r="D72" s="33" t="s">
        <v>58</v>
      </c>
      <c r="E72" s="34">
        <v>15</v>
      </c>
      <c r="F72" s="49"/>
      <c r="G72" s="49">
        <f>ROUND(М[[#This Row],[Количество]]*М[[#This Row],[Цена за ед., руб]],2)</f>
        <v>0</v>
      </c>
      <c r="H72" s="35"/>
      <c r="I72" s="40"/>
    </row>
    <row r="73" spans="1:9" ht="23.1" customHeight="1" x14ac:dyDescent="0.2">
      <c r="A73" s="39" t="s">
        <v>56</v>
      </c>
      <c r="B73" s="35"/>
      <c r="C73" s="35" t="s">
        <v>59</v>
      </c>
      <c r="D73" s="33" t="s">
        <v>58</v>
      </c>
      <c r="E73" s="34">
        <v>24</v>
      </c>
      <c r="F73" s="49"/>
      <c r="G73" s="49">
        <f>ROUND(М[[#This Row],[Количество]]*М[[#This Row],[Цена за ед., руб]],2)</f>
        <v>0</v>
      </c>
      <c r="H73" s="35"/>
      <c r="I73" s="40"/>
    </row>
    <row r="74" spans="1:9" ht="23.1" customHeight="1" x14ac:dyDescent="0.2">
      <c r="A74" s="39" t="s">
        <v>56</v>
      </c>
      <c r="B74" s="35"/>
      <c r="C74" s="35" t="s">
        <v>60</v>
      </c>
      <c r="D74" s="33" t="s">
        <v>58</v>
      </c>
      <c r="E74" s="34">
        <v>72</v>
      </c>
      <c r="F74" s="49"/>
      <c r="G74" s="49">
        <f>ROUND(М[[#This Row],[Количество]]*М[[#This Row],[Цена за ед., руб]],2)</f>
        <v>0</v>
      </c>
      <c r="H74" s="35"/>
      <c r="I74" s="40"/>
    </row>
    <row r="75" spans="1:9" ht="23.1" customHeight="1" x14ac:dyDescent="0.2">
      <c r="A75" s="39" t="s">
        <v>56</v>
      </c>
      <c r="B75" s="35"/>
      <c r="C75" s="35" t="s">
        <v>145</v>
      </c>
      <c r="D75" s="33" t="s">
        <v>58</v>
      </c>
      <c r="E75" s="34">
        <v>26</v>
      </c>
      <c r="F75" s="49"/>
      <c r="G75" s="49">
        <f>ROUND(М[[#This Row],[Количество]]*М[[#This Row],[Цена за ед., руб]],2)</f>
        <v>0</v>
      </c>
      <c r="H75" s="35"/>
      <c r="I75" s="40"/>
    </row>
    <row r="76" spans="1:9" ht="23.1" customHeight="1" x14ac:dyDescent="0.2">
      <c r="A76" s="39" t="s">
        <v>56</v>
      </c>
      <c r="B76" s="35"/>
      <c r="C76" s="35" t="s">
        <v>146</v>
      </c>
      <c r="D76" s="33" t="s">
        <v>58</v>
      </c>
      <c r="E76" s="36">
        <v>5264</v>
      </c>
      <c r="F76" s="49"/>
      <c r="G76" s="49">
        <f>ROUND(М[[#This Row],[Количество]]*М[[#This Row],[Цена за ед., руб]],2)</f>
        <v>0</v>
      </c>
      <c r="H76" s="35"/>
      <c r="I76" s="40"/>
    </row>
    <row r="77" spans="1:9" ht="23.1" customHeight="1" x14ac:dyDescent="0.2">
      <c r="A77" s="39" t="s">
        <v>56</v>
      </c>
      <c r="B77" s="35"/>
      <c r="C77" s="35" t="s">
        <v>147</v>
      </c>
      <c r="D77" s="33" t="s">
        <v>58</v>
      </c>
      <c r="E77" s="36">
        <v>3437</v>
      </c>
      <c r="F77" s="49"/>
      <c r="G77" s="49">
        <f>ROUND(М[[#This Row],[Количество]]*М[[#This Row],[Цена за ед., руб]],2)</f>
        <v>0</v>
      </c>
      <c r="H77" s="35"/>
      <c r="I77" s="40"/>
    </row>
    <row r="78" spans="1:9" ht="23.1" customHeight="1" x14ac:dyDescent="0.2">
      <c r="A78" s="39" t="s">
        <v>56</v>
      </c>
      <c r="B78" s="35"/>
      <c r="C78" s="35" t="s">
        <v>148</v>
      </c>
      <c r="D78" s="33" t="s">
        <v>58</v>
      </c>
      <c r="E78" s="36">
        <v>2770</v>
      </c>
      <c r="F78" s="49"/>
      <c r="G78" s="49">
        <f>ROUND(М[[#This Row],[Количество]]*М[[#This Row],[Цена за ед., руб]],2)</f>
        <v>0</v>
      </c>
      <c r="H78" s="35"/>
      <c r="I78" s="40"/>
    </row>
    <row r="79" spans="1:9" ht="23.1" customHeight="1" x14ac:dyDescent="0.2">
      <c r="A79" s="39" t="s">
        <v>56</v>
      </c>
      <c r="B79" s="35"/>
      <c r="C79" s="35" t="s">
        <v>62</v>
      </c>
      <c r="D79" s="33" t="s">
        <v>58</v>
      </c>
      <c r="E79" s="34">
        <v>24</v>
      </c>
      <c r="F79" s="49"/>
      <c r="G79" s="49">
        <f>ROUND(М[[#This Row],[Количество]]*М[[#This Row],[Цена за ед., руб]],2)</f>
        <v>0</v>
      </c>
      <c r="H79" s="35"/>
      <c r="I79" s="40"/>
    </row>
    <row r="80" spans="1:9" ht="23.1" customHeight="1" x14ac:dyDescent="0.2">
      <c r="A80" s="43" t="s">
        <v>56</v>
      </c>
      <c r="B80" s="52"/>
      <c r="C80" s="52" t="s">
        <v>64</v>
      </c>
      <c r="D80" s="44" t="s">
        <v>58</v>
      </c>
      <c r="E80" s="45">
        <v>24</v>
      </c>
      <c r="F80" s="49"/>
      <c r="G80" s="50">
        <f>ROUND(М[[#This Row],[Количество]]*М[[#This Row],[Цена за ед., руб]],2)</f>
        <v>0</v>
      </c>
      <c r="H80" s="52"/>
      <c r="I80" s="47"/>
    </row>
    <row r="81" spans="1:9" ht="23.1" customHeight="1" x14ac:dyDescent="0.2">
      <c r="A81" s="43" t="s">
        <v>202</v>
      </c>
      <c r="B81" s="52"/>
      <c r="C81" s="52"/>
      <c r="D81" s="44" t="s">
        <v>84</v>
      </c>
      <c r="E81" s="96"/>
      <c r="F81" s="50"/>
      <c r="G81" s="50">
        <f ca="1">SUMIF(ЛСР!$B$6:$L$190,М[[#This Row],[Наим.]],ЛСР!$K$6:$K$190)</f>
        <v>0</v>
      </c>
      <c r="H81" s="52" t="s">
        <v>216</v>
      </c>
      <c r="I81" s="47"/>
    </row>
    <row r="82" spans="1:9" ht="23.1" customHeight="1" x14ac:dyDescent="0.2">
      <c r="A82" s="43" t="s">
        <v>203</v>
      </c>
      <c r="B82" s="52"/>
      <c r="C82" s="52"/>
      <c r="D82" s="44" t="s">
        <v>84</v>
      </c>
      <c r="E82" s="96"/>
      <c r="F82" s="50"/>
      <c r="G82" s="50">
        <f ca="1">SUMIF(ЛСР!$B$6:$L$190,М[[#This Row],[Наим.]],ЛСР!$K$6:$K$190)</f>
        <v>0</v>
      </c>
      <c r="H82" s="52" t="s">
        <v>216</v>
      </c>
      <c r="I82" s="47"/>
    </row>
    <row r="83" spans="1:9" ht="23.1" customHeight="1" x14ac:dyDescent="0.2">
      <c r="A83" s="43" t="s">
        <v>204</v>
      </c>
      <c r="B83" s="52"/>
      <c r="C83" s="52"/>
      <c r="D83" s="44" t="s">
        <v>84</v>
      </c>
      <c r="E83" s="96"/>
      <c r="F83" s="50"/>
      <c r="G83" s="50">
        <f ca="1">SUMIF(ЛСР!$B$6:$L$190,М[[#This Row],[Наим.]],ЛСР!$K$6:$K$190)</f>
        <v>0</v>
      </c>
      <c r="H83" s="52" t="s">
        <v>216</v>
      </c>
      <c r="I83" s="47"/>
    </row>
    <row r="84" spans="1:9" ht="11.45" customHeight="1" x14ac:dyDescent="0.2">
      <c r="A84" s="43" t="s">
        <v>197</v>
      </c>
      <c r="B84" s="52"/>
      <c r="C84" s="52"/>
      <c r="D84" s="44"/>
      <c r="E84" s="46"/>
      <c r="F84" s="50"/>
      <c r="G84" s="50">
        <f ca="1">SUBTOTAL(109,М[Сумма, руб])</f>
        <v>0</v>
      </c>
      <c r="H84" s="52"/>
      <c r="I84" s="47"/>
    </row>
    <row r="86" spans="1:9" ht="11.45" customHeight="1" x14ac:dyDescent="0.2">
      <c r="F86" s="97" t="s">
        <v>217</v>
      </c>
      <c r="G86" s="98">
        <f ca="1">ЛСР!K193-М[[#Totals],[Сумма,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83" xr:uid="{979AF574-66D0-464B-896E-CA0A23F6BFB0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193</v>
      </c>
      <c r="B1" s="1" t="s">
        <v>194</v>
      </c>
    </row>
    <row r="2" spans="1:2" ht="11.1" customHeight="1" x14ac:dyDescent="0.2">
      <c r="A2" s="1" t="s">
        <v>195</v>
      </c>
      <c r="B2" s="1" t="s">
        <v>196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2026-07-22T08:45:16Z</dcterms:modified>
</cp:coreProperties>
</file>