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I:\_Сметный отдел\2. ТЕНДЕРЫ\МЫС - ЖК Мириады\2 Очередь (ГП-105, 106, 107)\11 Внутренние сети\11.02-11.04, 11.07 ОВиК\На отправку в тендер\"/>
    </mc:Choice>
  </mc:AlternateContent>
  <xr:revisionPtr revIDLastSave="0" documentId="13_ncr:1_{3EDC9D02-78E8-42C0-9306-AFF1C73BC0E5}" xr6:coauthVersionLast="47" xr6:coauthVersionMax="47" xr10:uidLastSave="{00000000-0000-0000-0000-000000000000}"/>
  <bookViews>
    <workbookView xWindow="285" yWindow="855" windowWidth="29430" windowHeight="18435" xr2:uid="{00000000-000D-0000-FFFF-FFFF00000000}"/>
  </bookViews>
  <sheets>
    <sheet name="ЛСР" sheetId="1" r:id="rId1"/>
    <sheet name="Работы" sheetId="2" r:id="rId2"/>
    <sheet name="Материалы" sheetId="3" r:id="rId3"/>
    <sheet name="ПараметрыЗагрузки" sheetId="4" state="veryHidden" r:id="rId4"/>
  </sheets>
  <definedNames>
    <definedName name="_xlnm._FilterDatabase" localSheetId="0" hidden="1">ЛСР!$A$7:$L$66</definedName>
  </definedNames>
  <calcPr calcId="191029"/>
</workbook>
</file>

<file path=xl/calcChain.xml><?xml version="1.0" encoding="utf-8"?>
<calcChain xmlns="http://schemas.openxmlformats.org/spreadsheetml/2006/main">
  <c r="L57" i="1" l="1" a="1"/>
  <c r="L57" i="1" s="1"/>
  <c r="L56" i="1" a="1"/>
  <c r="L56" i="1" s="1"/>
  <c r="H57" i="1"/>
  <c r="H56" i="1"/>
  <c r="H13" i="1"/>
  <c r="I13" i="1" a="1"/>
  <c r="I13" i="1" s="1"/>
  <c r="J13" i="1" s="1"/>
  <c r="J12" i="1" s="1"/>
  <c r="H15" i="1"/>
  <c r="I15" i="1" a="1"/>
  <c r="I15" i="1" s="1"/>
  <c r="H17" i="1"/>
  <c r="L17" i="1" a="1"/>
  <c r="L17" i="1" s="1"/>
  <c r="I17" i="1" a="1"/>
  <c r="I17" i="1" s="1"/>
  <c r="J17" i="1" s="1"/>
  <c r="J16" i="1" s="1"/>
  <c r="H19" i="1"/>
  <c r="I19" i="1" a="1"/>
  <c r="I19" i="1" s="1"/>
  <c r="H21" i="1"/>
  <c r="L21" i="1" a="1"/>
  <c r="L21" i="1" s="1"/>
  <c r="I21" i="1" a="1"/>
  <c r="I21" i="1" s="1"/>
  <c r="J21" i="1" s="1"/>
  <c r="H22" i="1"/>
  <c r="L22" i="1" a="1"/>
  <c r="L22" i="1" s="1"/>
  <c r="I22" i="1" a="1"/>
  <c r="I22" i="1" s="1"/>
  <c r="J22" i="1" s="1"/>
  <c r="H24" i="1"/>
  <c r="I24" i="1" a="1"/>
  <c r="I24" i="1" s="1"/>
  <c r="J24" i="1" s="1"/>
  <c r="J23" i="1" s="1"/>
  <c r="H26" i="1"/>
  <c r="L26" i="1" a="1"/>
  <c r="L26" i="1" s="1"/>
  <c r="I26" i="1" a="1"/>
  <c r="I26" i="1" s="1"/>
  <c r="J26" i="1" s="1"/>
  <c r="H27" i="1"/>
  <c r="L27" i="1" a="1"/>
  <c r="L27" i="1" s="1"/>
  <c r="I27" i="1" a="1"/>
  <c r="I27" i="1" s="1"/>
  <c r="J27" i="1" s="1"/>
  <c r="H28" i="1"/>
  <c r="L28" i="1" a="1"/>
  <c r="L28" i="1" s="1"/>
  <c r="I28" i="1" a="1"/>
  <c r="I28" i="1" s="1"/>
  <c r="H30" i="1"/>
  <c r="I30" i="1" a="1"/>
  <c r="I30" i="1" s="1"/>
  <c r="J30" i="1" s="1"/>
  <c r="J29" i="1" s="1"/>
  <c r="H32" i="1"/>
  <c r="L32" i="1" a="1"/>
  <c r="L32" i="1" s="1"/>
  <c r="I32" i="1" a="1"/>
  <c r="I32" i="1" s="1"/>
  <c r="H34" i="1"/>
  <c r="I34" i="1" a="1"/>
  <c r="I34" i="1" s="1"/>
  <c r="H36" i="1"/>
  <c r="L36" i="1" a="1"/>
  <c r="L36" i="1" s="1"/>
  <c r="I36" i="1" a="1"/>
  <c r="I36" i="1" s="1"/>
  <c r="H37" i="1"/>
  <c r="L37" i="1" a="1"/>
  <c r="L37" i="1" s="1"/>
  <c r="I37" i="1" a="1"/>
  <c r="I37" i="1" s="1"/>
  <c r="J37" i="1" s="1"/>
  <c r="H39" i="1"/>
  <c r="I39" i="1" a="1"/>
  <c r="I39" i="1" s="1"/>
  <c r="H41" i="1"/>
  <c r="L41" i="1" a="1"/>
  <c r="L41" i="1" s="1"/>
  <c r="I41" i="1" a="1"/>
  <c r="I41" i="1" s="1"/>
  <c r="J41" i="1" s="1"/>
  <c r="H42" i="1"/>
  <c r="L42" i="1" a="1"/>
  <c r="L42" i="1" s="1"/>
  <c r="I42" i="1" a="1"/>
  <c r="I42" i="1" s="1"/>
  <c r="H44" i="1"/>
  <c r="I44" i="1" a="1"/>
  <c r="I44" i="1" s="1"/>
  <c r="H46" i="1"/>
  <c r="L46" i="1" a="1"/>
  <c r="L46" i="1" s="1"/>
  <c r="I46" i="1" a="1"/>
  <c r="I46" i="1" s="1"/>
  <c r="J46" i="1" s="1"/>
  <c r="H47" i="1"/>
  <c r="L47" i="1" a="1"/>
  <c r="L47" i="1" s="1"/>
  <c r="I47" i="1" a="1"/>
  <c r="I47" i="1" s="1"/>
  <c r="H48" i="1"/>
  <c r="L48" i="1" a="1"/>
  <c r="L48" i="1" s="1"/>
  <c r="I48" i="1" a="1"/>
  <c r="I48" i="1" s="1"/>
  <c r="H50" i="1"/>
  <c r="I50" i="1" a="1"/>
  <c r="I50" i="1" s="1"/>
  <c r="J50" i="1" s="1"/>
  <c r="J49" i="1" s="1"/>
  <c r="H52" i="1"/>
  <c r="L52" i="1" a="1"/>
  <c r="L52" i="1" s="1"/>
  <c r="I52" i="1" a="1"/>
  <c r="I52" i="1" s="1"/>
  <c r="H53" i="1"/>
  <c r="L53" i="1" a="1"/>
  <c r="L53" i="1" s="1"/>
  <c r="I53" i="1" a="1"/>
  <c r="I53" i="1" s="1"/>
  <c r="H54" i="1"/>
  <c r="L54" i="1" a="1"/>
  <c r="L54" i="1" s="1"/>
  <c r="I54" i="1" a="1"/>
  <c r="I54" i="1" s="1"/>
  <c r="J54" i="1" s="1"/>
  <c r="H61" i="1"/>
  <c r="I61" i="1" a="1"/>
  <c r="I61" i="1" s="1"/>
  <c r="J61" i="1" s="1"/>
  <c r="J60" i="1" s="1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G5" i="3"/>
  <c r="G4" i="3"/>
  <c r="E13" i="2"/>
  <c r="E12" i="2"/>
  <c r="E11" i="2"/>
  <c r="E10" i="2"/>
  <c r="E9" i="2"/>
  <c r="E8" i="2"/>
  <c r="E7" i="2"/>
  <c r="E6" i="2"/>
  <c r="E5" i="2"/>
  <c r="E4" i="2"/>
  <c r="E14" i="2"/>
  <c r="J19" i="1" l="1"/>
  <c r="J18" i="1" s="1"/>
  <c r="J28" i="1"/>
  <c r="J25" i="1" s="1"/>
  <c r="J36" i="1"/>
  <c r="J53" i="1"/>
  <c r="J52" i="1"/>
  <c r="J32" i="1"/>
  <c r="J31" i="1" s="1"/>
  <c r="J42" i="1"/>
  <c r="J40" i="1" s="1"/>
  <c r="J48" i="1"/>
  <c r="J35" i="1"/>
  <c r="J59" i="1"/>
  <c r="J58" i="1" s="1"/>
  <c r="J15" i="1"/>
  <c r="J14" i="1" s="1"/>
  <c r="J20" i="1"/>
  <c r="J34" i="1"/>
  <c r="J33" i="1" s="1"/>
  <c r="J47" i="1"/>
  <c r="J39" i="1"/>
  <c r="J38" i="1" s="1"/>
  <c r="J44" i="1"/>
  <c r="J43" i="1" s="1"/>
  <c r="J57" i="1" l="1"/>
  <c r="J51" i="1"/>
  <c r="J56" i="1"/>
  <c r="J63" i="1"/>
  <c r="E16" i="2" s="1"/>
  <c r="J45" i="1"/>
  <c r="J55" i="1" l="1"/>
  <c r="J64" i="1" l="1"/>
  <c r="J11" i="1"/>
  <c r="J10" i="1" s="1"/>
  <c r="J9" i="1" s="1"/>
  <c r="G22" i="3" s="1"/>
  <c r="G21" i="3" l="1"/>
  <c r="G23" i="3" s="1"/>
  <c r="G25" i="3" s="1"/>
  <c r="J62" i="1"/>
</calcChain>
</file>

<file path=xl/sharedStrings.xml><?xml version="1.0" encoding="utf-8"?>
<sst xmlns="http://schemas.openxmlformats.org/spreadsheetml/2006/main" count="262" uniqueCount="106">
  <si>
    <t>Локальный сметный расчет (ЛСР) №10</t>
  </si>
  <si>
    <t>Объект: «Комплексная застройка территории, расположенной в границах улиц: Тобольский тракт - Обход города Тюмени (мкр. Губернаторский). Второй этап». Многоэтажный жилой дом со встроенными и пристроенными помещениями общественного назначения и дошкольным образовательным учреждением на 110 мест ГП-72.110 Секция 1</t>
  </si>
  <si>
    <t>Ведомость объемов работ и расхода материалов по работе: Устройство системы пожаротушения и сопутствующим работам (согласно проекту шифр ПТ, стадия Р)</t>
  </si>
  <si>
    <t>№</t>
  </si>
  <si>
    <t>Наименование</t>
  </si>
  <si>
    <t>Артикул, марка, производитель</t>
  </si>
  <si>
    <t>Характеристика</t>
  </si>
  <si>
    <t>Ед. изм.</t>
  </si>
  <si>
    <t>Норма расхода</t>
  </si>
  <si>
    <t>Секция 1</t>
  </si>
  <si>
    <t>Количество</t>
  </si>
  <si>
    <t>Цена за ед., руб</t>
  </si>
  <si>
    <t>Сумма, руб</t>
  </si>
  <si>
    <t>Примечание</t>
  </si>
  <si>
    <t>Форма закупа материала</t>
  </si>
  <si>
    <t>11</t>
  </si>
  <si>
    <t>Внутренние инженерные сети</t>
  </si>
  <si>
    <t>11.07</t>
  </si>
  <si>
    <t>Устройство системы пожаротушения</t>
  </si>
  <si>
    <t>11.07.01</t>
  </si>
  <si>
    <t>Устройство водопровода В2</t>
  </si>
  <si>
    <t>11.07.01.00</t>
  </si>
  <si>
    <t>Работы:</t>
  </si>
  <si>
    <t>Бурение отверстий до 130мм</t>
  </si>
  <si>
    <t>шт</t>
  </si>
  <si>
    <t>Монтаж автоматического воздухоотводчика</t>
  </si>
  <si>
    <t>Материалы:</t>
  </si>
  <si>
    <t>1</t>
  </si>
  <si>
    <t>Воздухоотводчик</t>
  </si>
  <si>
    <t>автоматический Ду-15 10bar</t>
  </si>
  <si>
    <t>Монтаж затвора</t>
  </si>
  <si>
    <t>Затвор поворотный дисковый</t>
  </si>
  <si>
    <t>межфланцевый Ду-80 Py-16bar ручной с контролем положения</t>
  </si>
  <si>
    <t>2</t>
  </si>
  <si>
    <t>межфланцевый Ду-50 Py-16bar ручной с контролем положения</t>
  </si>
  <si>
    <t>Монтаж клапана (с учетом пожарного рукава и ствола)</t>
  </si>
  <si>
    <t>Рукав пожарный</t>
  </si>
  <si>
    <t>Ду-50мм L-20м с головкой ГР-50</t>
  </si>
  <si>
    <t>Диафрагмы см. проект</t>
  </si>
  <si>
    <t>Ствол пожарный</t>
  </si>
  <si>
    <t>РС-50А</t>
  </si>
  <si>
    <t>3</t>
  </si>
  <si>
    <t>Вентиль пожарный</t>
  </si>
  <si>
    <t>латунный прямой Ду-50 муфта-цапка</t>
  </si>
  <si>
    <t>Монтаж клапана (фланцевые, резьбовые) от 40 мм</t>
  </si>
  <si>
    <t>Клапан обратный</t>
  </si>
  <si>
    <t>Межфланцевый Ду-80 Ру-16бар</t>
  </si>
  <si>
    <t>Монтаж кранов (фланцевые, резьбовые) до 32 мм</t>
  </si>
  <si>
    <t>Кран шаровой</t>
  </si>
  <si>
    <t>ВР-ВР Ду-15 полнопроходной</t>
  </si>
  <si>
    <t>Кран трехходовой для манометра</t>
  </si>
  <si>
    <t>Ду-15 Ру-16 G1/2-М20х1,5 латунь</t>
  </si>
  <si>
    <t>Монтаж насосной установки повышения давления</t>
  </si>
  <si>
    <t>Насосная станция пожаротушения</t>
  </si>
  <si>
    <t>Q=18.72 м3/час Н=60 м</t>
  </si>
  <si>
    <t xml:space="preserve"> Насосная установка ANTARUS 2
MLV22-4/01/DS1-GPRS (Q=18,72м3/ч; Н=0,6МПа)</t>
  </si>
  <si>
    <t>Q=18.72 м3/час Н=89 м</t>
  </si>
  <si>
    <t xml:space="preserve"> Насосная установка ANTARUS 2
MLV22-6/01/DS1-GPRS (Q=18,72м3/ч; Н=0,89МПа)</t>
  </si>
  <si>
    <t>Монтаж пожарного шкафа</t>
  </si>
  <si>
    <t>Шкаф пожарный</t>
  </si>
  <si>
    <t>ШПК-320-12-НЗБ</t>
  </si>
  <si>
    <t>ШПК-320-21 ВЗБ</t>
  </si>
  <si>
    <t>Огнетушитель</t>
  </si>
  <si>
    <t>порошковый ОП-8(з) АВСЕ</t>
  </si>
  <si>
    <t>Прокладка трубы стальной от 57 мм</t>
  </si>
  <si>
    <t>пог. м</t>
  </si>
  <si>
    <t>Труба электросварная (пог.м.)</t>
  </si>
  <si>
    <t>стальная D-89х4,0</t>
  </si>
  <si>
    <t>стальная D-76х3,5</t>
  </si>
  <si>
    <t>стальная D-57х3,5</t>
  </si>
  <si>
    <t>%</t>
  </si>
  <si>
    <t>11.07.03</t>
  </si>
  <si>
    <t>ПНР</t>
  </si>
  <si>
    <t>11.07.03.00</t>
  </si>
  <si>
    <t>Пусконаладочные работы системы пожаротушения: испытание пожарного крана, манометрические испытания</t>
  </si>
  <si>
    <t>компл.</t>
  </si>
  <si>
    <t>Всего стоимость работ</t>
  </si>
  <si>
    <t>Всего стоимость материалов</t>
  </si>
  <si>
    <t>Расценки на работы включают:</t>
  </si>
  <si>
    <t>Сводная ведомость объемов работ</t>
  </si>
  <si>
    <t>Сводная ведомость объемов материала</t>
  </si>
  <si>
    <t>Наим.</t>
  </si>
  <si>
    <t>Артикул, марка, произв.</t>
  </si>
  <si>
    <t>Хар-ка</t>
  </si>
  <si>
    <t>Прим.</t>
  </si>
  <si>
    <t>Форма закупа</t>
  </si>
  <si>
    <t>ЛСР</t>
  </si>
  <si>
    <t>ЛСРГуид</t>
  </si>
  <si>
    <t>ГП-72.110.01.11.07 Секция 1_Устройство системы пожаротушения №1</t>
  </si>
  <si>
    <t>7a2f4ee0-0b16-11f1-9615-c3a03c77643a</t>
  </si>
  <si>
    <t>Итог</t>
  </si>
  <si>
    <t>Фитинги для стальной трубы</t>
  </si>
  <si>
    <t>Прочие материалы</t>
  </si>
  <si>
    <t>для всех разделов, расчитывается от стоимости материалов</t>
  </si>
  <si>
    <t>в тч НДС ____%</t>
  </si>
  <si>
    <t>ИТОГО по сметному расчету, в тч НДС:</t>
  </si>
  <si>
    <t>указать %</t>
  </si>
  <si>
    <t>Примечание:</t>
  </si>
  <si>
    <t>В стоимость пусконоладочных работ входит: ПНР насосной станции пожаротушения, Атоматизация насосов системы пожаротушения (кабельно проводниковая продукция, лотки итд) с учетом материалов</t>
  </si>
  <si>
    <t>Учитывать, что подрядчику необходимо предоставить Акт на инструментальный контроль противопожарного водопровода</t>
  </si>
  <si>
    <t>В случае, если один из перечисленных прочих/фасонных материалов не был использован по факту при производстве работ, заказчик вправе откорректировать процент расходных материалов в актах выполненных работ (формы КС-2, КС-3), уменьшив на сумму исключенного материала.</t>
  </si>
  <si>
    <t>Стоимость СМР учитывает - затраты на все второстепенные материалы и работы необходимые для осуществления полного комплекса работ, включая затраты: обеспечение технической водой для производства работ и бытовых целей; на мобилизацию, аренду и эксплуатацию всех необходимых механизмов, оборудования и инструментов, бытовых помещений и биотуалетов; на подъем материалов и разноску по этажам к местам производства работ; выполнение сопутствующих работ;  вывоз мусора; накладные расходы, прибыль организации, налоги и иные издержки Подрядчика. Обеспечение безопасного производства работ на участке.</t>
  </si>
  <si>
    <t>Стоимость материалов учитывает стоимость доставки.</t>
  </si>
  <si>
    <t>В случае изменения системы налогообложения, риски увеличения стоимости договора относятся на сторону, чья система налогообложения изменяется</t>
  </si>
  <si>
    <t>Стоимость Работ по настоящему Договору является твердой и включает в себя все виды работ, необходимые для выполнения полного комплекса работ (в случае необходимости закрытия объема больше, чем предусмотрено ЛСР, расценки на работы подлежат корректировке в меньшую сторону с сохранением твердой стоимости работ)</t>
  </si>
  <si>
    <t>Проверка: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</si>
</sst>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4" x14ac:knownFonts="1">
    <font>
      <sz val="8"/>
      <name val="Arial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b/>
      <sz val="8"/>
      <name val="Arial"/>
      <family val="2"/>
    </font>
    <font>
      <b/>
      <i/>
      <sz val="8"/>
      <name val="Arial"/>
      <family val="2"/>
    </font>
    <font>
      <sz val="8"/>
      <name val="Arial"/>
      <family val="2"/>
      <charset val="204"/>
    </font>
    <font>
      <sz val="8"/>
      <color rgb="FFFF0000"/>
      <name val="Arial"/>
      <family val="2"/>
      <charset val="204"/>
    </font>
    <font>
      <b/>
      <sz val="8"/>
      <color rgb="FFFF0000"/>
      <name val="Arial"/>
      <family val="2"/>
      <charset val="204"/>
    </font>
    <font>
      <sz val="11"/>
      <color theme="1"/>
      <name val="Times New Roman"/>
      <family val="2"/>
      <charset val="204"/>
    </font>
    <font>
      <b/>
      <i/>
      <u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rgb="FFC00000"/>
      <name val="Times New Roman"/>
      <family val="1"/>
      <charset val="204"/>
    </font>
  </fonts>
  <fills count="10">
    <fill>
      <patternFill patternType="none"/>
    </fill>
    <fill>
      <patternFill patternType="gray125"/>
    </fill>
    <fill>
      <patternFill patternType="solid">
        <fgColor rgb="FFE5B8B7"/>
        <bgColor auto="1"/>
      </patternFill>
    </fill>
    <fill>
      <patternFill patternType="solid">
        <fgColor rgb="FFFFFF00"/>
        <bgColor auto="1"/>
      </patternFill>
    </fill>
    <fill>
      <patternFill patternType="solid">
        <fgColor rgb="FFB4C6E7"/>
        <bgColor auto="1"/>
      </patternFill>
    </fill>
    <fill>
      <patternFill patternType="solid">
        <fgColor rgb="FFFFFFFF"/>
        <bgColor auto="1"/>
      </patternFill>
    </fill>
    <fill>
      <patternFill patternType="solid">
        <fgColor rgb="FF8EAADB"/>
        <bgColor auto="1"/>
      </patternFill>
    </fill>
    <fill>
      <patternFill patternType="solid">
        <fgColor rgb="FFFF0000"/>
        <bgColor auto="1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5">
    <xf numFmtId="0" fontId="0" fillId="0" borderId="0"/>
    <xf numFmtId="0" fontId="5" fillId="0" borderId="0"/>
    <xf numFmtId="0" fontId="8" fillId="0" borderId="0"/>
    <xf numFmtId="0" fontId="11" fillId="0" borderId="0"/>
    <xf numFmtId="0" fontId="1" fillId="0" borderId="0"/>
  </cellStyleXfs>
  <cellXfs count="116">
    <xf numFmtId="0" fontId="0" fillId="0" borderId="0" xfId="0"/>
    <xf numFmtId="0" fontId="0" fillId="0" borderId="0" xfId="0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2" borderId="5" xfId="0" applyFill="1" applyBorder="1" applyAlignment="1">
      <alignment horizontal="left" wrapText="1"/>
    </xf>
    <xf numFmtId="0" fontId="0" fillId="2" borderId="5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0" fillId="2" borderId="5" xfId="0" applyFill="1" applyBorder="1" applyAlignment="1">
      <alignment horizontal="right" vertical="center"/>
    </xf>
    <xf numFmtId="0" fontId="0" fillId="3" borderId="5" xfId="0" applyFill="1" applyBorder="1" applyAlignment="1">
      <alignment horizontal="center"/>
    </xf>
    <xf numFmtId="0" fontId="0" fillId="3" borderId="5" xfId="0" applyFill="1" applyBorder="1" applyAlignment="1">
      <alignment horizontal="left" wrapText="1"/>
    </xf>
    <xf numFmtId="0" fontId="0" fillId="3" borderId="5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right" vertical="center"/>
    </xf>
    <xf numFmtId="0" fontId="3" fillId="4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left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right" vertical="center"/>
    </xf>
    <xf numFmtId="0" fontId="0" fillId="4" borderId="5" xfId="0" applyFill="1" applyBorder="1" applyAlignment="1">
      <alignment horizontal="right" vertical="center"/>
    </xf>
    <xf numFmtId="0" fontId="0" fillId="4" borderId="5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left"/>
    </xf>
    <xf numFmtId="0" fontId="0" fillId="4" borderId="5" xfId="0" applyFill="1" applyBorder="1" applyAlignment="1">
      <alignment horizontal="center" vertical="center"/>
    </xf>
    <xf numFmtId="0" fontId="0" fillId="4" borderId="5" xfId="0" applyFill="1" applyBorder="1" applyAlignment="1">
      <alignment horizontal="right"/>
    </xf>
    <xf numFmtId="0" fontId="0" fillId="5" borderId="5" xfId="0" applyFill="1" applyBorder="1" applyAlignment="1">
      <alignment horizontal="center"/>
    </xf>
    <xf numFmtId="0" fontId="0" fillId="5" borderId="5" xfId="0" applyFill="1" applyBorder="1" applyAlignment="1">
      <alignment horizontal="left" wrapText="1"/>
    </xf>
    <xf numFmtId="0" fontId="0" fillId="5" borderId="5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/>
    </xf>
    <xf numFmtId="0" fontId="0" fillId="5" borderId="5" xfId="0" applyFill="1" applyBorder="1" applyAlignment="1">
      <alignment horizontal="right" vertical="center"/>
    </xf>
    <xf numFmtId="1" fontId="0" fillId="5" borderId="5" xfId="0" applyNumberFormat="1" applyFill="1" applyBorder="1" applyAlignment="1">
      <alignment horizontal="right" vertical="center"/>
    </xf>
    <xf numFmtId="164" fontId="0" fillId="5" borderId="5" xfId="0" applyNumberFormat="1" applyFill="1" applyBorder="1" applyAlignment="1">
      <alignment horizontal="right" vertical="center"/>
    </xf>
    <xf numFmtId="0" fontId="0" fillId="6" borderId="5" xfId="0" applyFill="1" applyBorder="1" applyAlignment="1">
      <alignment horizontal="right"/>
    </xf>
    <xf numFmtId="0" fontId="0" fillId="7" borderId="5" xfId="0" applyFill="1" applyBorder="1" applyAlignment="1">
      <alignment horizontal="left"/>
    </xf>
    <xf numFmtId="0" fontId="0" fillId="0" borderId="5" xfId="0" applyBorder="1" applyAlignment="1">
      <alignment horizontal="center" vertical="center"/>
    </xf>
    <xf numFmtId="1" fontId="0" fillId="0" borderId="5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164" fontId="0" fillId="0" borderId="5" xfId="0" applyNumberFormat="1" applyBorder="1" applyAlignment="1">
      <alignment horizontal="right" vertical="center"/>
    </xf>
    <xf numFmtId="0" fontId="0" fillId="0" borderId="7" xfId="0" applyBorder="1" applyAlignment="1">
      <alignment horizontal="left" wrapText="1"/>
    </xf>
    <xf numFmtId="0" fontId="0" fillId="0" borderId="9" xfId="0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 wrapText="1"/>
    </xf>
    <xf numFmtId="0" fontId="0" fillId="0" borderId="2" xfId="0" applyBorder="1" applyAlignment="1">
      <alignment horizontal="center" vertical="center"/>
    </xf>
    <xf numFmtId="1" fontId="0" fillId="0" borderId="2" xfId="0" applyNumberFormat="1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4" xfId="0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0" fillId="0" borderId="5" xfId="0" applyNumberFormat="1" applyBorder="1" applyAlignment="1">
      <alignment horizontal="right" vertical="center"/>
    </xf>
    <xf numFmtId="4" fontId="0" fillId="0" borderId="2" xfId="0" applyNumberFormat="1" applyBorder="1" applyAlignment="1">
      <alignment horizontal="right" vertical="center"/>
    </xf>
    <xf numFmtId="0" fontId="3" fillId="0" borderId="1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" fontId="0" fillId="2" borderId="5" xfId="0" applyNumberFormat="1" applyFill="1" applyBorder="1" applyAlignment="1">
      <alignment horizontal="right" vertical="center"/>
    </xf>
    <xf numFmtId="4" fontId="0" fillId="3" borderId="5" xfId="0" applyNumberFormat="1" applyFill="1" applyBorder="1" applyAlignment="1">
      <alignment horizontal="right" vertical="center"/>
    </xf>
    <xf numFmtId="4" fontId="0" fillId="4" borderId="5" xfId="0" applyNumberFormat="1" applyFill="1" applyBorder="1" applyAlignment="1">
      <alignment horizontal="right" vertical="center"/>
    </xf>
    <xf numFmtId="4" fontId="0" fillId="4" borderId="5" xfId="0" applyNumberFormat="1" applyFill="1" applyBorder="1" applyAlignment="1">
      <alignment horizontal="center" vertical="center"/>
    </xf>
    <xf numFmtId="4" fontId="3" fillId="4" borderId="0" xfId="0" applyNumberFormat="1" applyFont="1" applyFill="1" applyAlignment="1">
      <alignment horizontal="right" vertical="center"/>
    </xf>
    <xf numFmtId="4" fontId="0" fillId="5" borderId="5" xfId="0" applyNumberFormat="1" applyFill="1" applyBorder="1" applyAlignment="1">
      <alignment horizontal="right" vertical="center"/>
    </xf>
    <xf numFmtId="4" fontId="3" fillId="6" borderId="5" xfId="0" applyNumberFormat="1" applyFont="1" applyFill="1" applyBorder="1" applyAlignment="1">
      <alignment horizontal="right" vertical="center"/>
    </xf>
    <xf numFmtId="0" fontId="6" fillId="4" borderId="5" xfId="0" applyFont="1" applyFill="1" applyBorder="1" applyAlignment="1">
      <alignment horizontal="left"/>
    </xf>
    <xf numFmtId="0" fontId="7" fillId="4" borderId="5" xfId="0" applyFont="1" applyFill="1" applyBorder="1" applyAlignment="1">
      <alignment horizontal="left" wrapText="1"/>
    </xf>
    <xf numFmtId="0" fontId="6" fillId="5" borderId="5" xfId="0" applyFont="1" applyFill="1" applyBorder="1" applyAlignment="1">
      <alignment horizontal="center"/>
    </xf>
    <xf numFmtId="0" fontId="6" fillId="5" borderId="5" xfId="0" applyFont="1" applyFill="1" applyBorder="1" applyAlignment="1">
      <alignment horizontal="left" wrapText="1"/>
    </xf>
    <xf numFmtId="4" fontId="3" fillId="6" borderId="7" xfId="0" applyNumberFormat="1" applyFont="1" applyFill="1" applyBorder="1" applyAlignment="1">
      <alignment horizontal="right" vertical="center"/>
    </xf>
    <xf numFmtId="0" fontId="6" fillId="4" borderId="5" xfId="0" applyFont="1" applyFill="1" applyBorder="1" applyAlignment="1">
      <alignment horizontal="center" vertical="center"/>
    </xf>
    <xf numFmtId="4" fontId="6" fillId="4" borderId="5" xfId="0" applyNumberFormat="1" applyFont="1" applyFill="1" applyBorder="1" applyAlignment="1">
      <alignment horizontal="center" vertical="center"/>
    </xf>
    <xf numFmtId="4" fontId="7" fillId="4" borderId="0" xfId="0" applyNumberFormat="1" applyFont="1" applyFill="1" applyAlignment="1">
      <alignment horizontal="right" vertical="center"/>
    </xf>
    <xf numFmtId="0" fontId="6" fillId="4" borderId="5" xfId="0" applyFont="1" applyFill="1" applyBorder="1" applyAlignment="1">
      <alignment horizontal="right" vertical="center"/>
    </xf>
    <xf numFmtId="0" fontId="6" fillId="4" borderId="5" xfId="0" applyFont="1" applyFill="1" applyBorder="1" applyAlignment="1">
      <alignment horizontal="right"/>
    </xf>
    <xf numFmtId="0" fontId="6" fillId="0" borderId="0" xfId="0" applyFont="1"/>
    <xf numFmtId="1" fontId="6" fillId="8" borderId="5" xfId="0" applyNumberFormat="1" applyFont="1" applyFill="1" applyBorder="1" applyAlignment="1">
      <alignment horizontal="right" vertical="center"/>
    </xf>
    <xf numFmtId="4" fontId="6" fillId="5" borderId="5" xfId="0" applyNumberFormat="1" applyFont="1" applyFill="1" applyBorder="1" applyAlignment="1">
      <alignment horizontal="right" vertical="center"/>
    </xf>
    <xf numFmtId="0" fontId="6" fillId="5" borderId="5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6" fillId="6" borderId="7" xfId="0" applyFont="1" applyFill="1" applyBorder="1" applyAlignment="1">
      <alignment horizontal="center"/>
    </xf>
    <xf numFmtId="0" fontId="5" fillId="0" borderId="0" xfId="1"/>
    <xf numFmtId="0" fontId="9" fillId="0" borderId="0" xfId="2" applyFont="1" applyAlignment="1">
      <alignment vertical="center" wrapText="1"/>
    </xf>
    <xf numFmtId="0" fontId="10" fillId="0" borderId="0" xfId="2" applyFont="1" applyAlignment="1">
      <alignment horizontal="center" vertical="center" wrapText="1"/>
    </xf>
    <xf numFmtId="4" fontId="10" fillId="0" borderId="0" xfId="2" applyNumberFormat="1" applyFont="1" applyAlignment="1">
      <alignment horizontal="center" vertical="center" wrapText="1"/>
    </xf>
    <xf numFmtId="0" fontId="11" fillId="0" borderId="0" xfId="3"/>
    <xf numFmtId="1" fontId="0" fillId="8" borderId="2" xfId="0" applyNumberFormat="1" applyFill="1" applyBorder="1" applyAlignment="1">
      <alignment horizontal="right" vertical="center"/>
    </xf>
    <xf numFmtId="0" fontId="5" fillId="0" borderId="0" xfId="0" applyFont="1" applyAlignment="1">
      <alignment horizontal="left"/>
    </xf>
    <xf numFmtId="4" fontId="0" fillId="0" borderId="0" xfId="0" applyNumberFormat="1" applyAlignment="1">
      <alignment horizontal="left"/>
    </xf>
    <xf numFmtId="0" fontId="0" fillId="0" borderId="5" xfId="0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3" fillId="7" borderId="7" xfId="0" applyFont="1" applyFill="1" applyBorder="1" applyAlignment="1">
      <alignment horizontal="center" vertical="center" wrapText="1"/>
    </xf>
    <xf numFmtId="4" fontId="3" fillId="7" borderId="7" xfId="0" applyNumberFormat="1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top" wrapText="1"/>
    </xf>
    <xf numFmtId="4" fontId="3" fillId="0" borderId="8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6" borderId="9" xfId="0" applyFont="1" applyFill="1" applyBorder="1" applyAlignment="1">
      <alignment horizontal="right"/>
    </xf>
    <xf numFmtId="0" fontId="3" fillId="6" borderId="6" xfId="0" applyFont="1" applyFill="1" applyBorder="1" applyAlignment="1">
      <alignment horizontal="right"/>
    </xf>
    <xf numFmtId="0" fontId="3" fillId="6" borderId="7" xfId="0" applyFont="1" applyFill="1" applyBorder="1" applyAlignment="1">
      <alignment horizontal="right"/>
    </xf>
    <xf numFmtId="0" fontId="4" fillId="6" borderId="9" xfId="0" applyFont="1" applyFill="1" applyBorder="1" applyAlignment="1">
      <alignment horizontal="right"/>
    </xf>
    <xf numFmtId="0" fontId="4" fillId="6" borderId="6" xfId="0" applyFont="1" applyFill="1" applyBorder="1" applyAlignment="1">
      <alignment horizontal="right"/>
    </xf>
    <xf numFmtId="0" fontId="4" fillId="6" borderId="7" xfId="0" applyFont="1" applyFill="1" applyBorder="1" applyAlignment="1">
      <alignment horizontal="right"/>
    </xf>
    <xf numFmtId="4" fontId="4" fillId="6" borderId="9" xfId="0" applyNumberFormat="1" applyFont="1" applyFill="1" applyBorder="1" applyAlignment="1">
      <alignment horizontal="right"/>
    </xf>
    <xf numFmtId="4" fontId="4" fillId="6" borderId="6" xfId="0" applyNumberFormat="1" applyFont="1" applyFill="1" applyBorder="1" applyAlignment="1">
      <alignment horizontal="right"/>
    </xf>
    <xf numFmtId="4" fontId="4" fillId="6" borderId="7" xfId="0" applyNumberFormat="1" applyFont="1" applyFill="1" applyBorder="1" applyAlignment="1">
      <alignment horizontal="right"/>
    </xf>
    <xf numFmtId="0" fontId="3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2" fillId="0" borderId="0" xfId="1" applyFont="1" applyAlignment="1">
      <alignment horizontal="left" vertical="center" wrapText="1"/>
    </xf>
    <xf numFmtId="0" fontId="13" fillId="9" borderId="0" xfId="1" applyFont="1" applyFill="1" applyAlignment="1">
      <alignment horizontal="left" vertical="center" wrapText="1"/>
    </xf>
    <xf numFmtId="0" fontId="10" fillId="0" borderId="0" xfId="4" applyFont="1" applyAlignment="1">
      <alignment horizontal="left" vertical="center" wrapText="1"/>
    </xf>
    <xf numFmtId="0" fontId="10" fillId="0" borderId="0" xfId="2" applyFont="1" applyAlignment="1">
      <alignment horizontal="left" vertical="center" wrapText="1"/>
    </xf>
    <xf numFmtId="0" fontId="10" fillId="0" borderId="0" xfId="3" applyFont="1" applyAlignment="1">
      <alignment horizontal="left" vertical="center" wrapText="1"/>
    </xf>
    <xf numFmtId="0" fontId="10" fillId="0" borderId="0" xfId="3" applyFont="1" applyAlignment="1">
      <alignment horizontal="left" vertical="center"/>
    </xf>
    <xf numFmtId="0" fontId="3" fillId="0" borderId="0" xfId="0" applyFont="1" applyAlignment="1">
      <alignment horizontal="center"/>
    </xf>
  </cellXfs>
  <cellStyles count="5">
    <cellStyle name="Обычный" xfId="0" builtinId="0"/>
    <cellStyle name="Обычный 2" xfId="3" xr:uid="{11BA9319-2D57-4B00-841B-C6133CBCCC7A}"/>
    <cellStyle name="Обычный 3" xfId="1" xr:uid="{DE7BD0D7-2B9C-4218-A002-77E273B9ADC6}"/>
    <cellStyle name="Обычный 3 2 2 4 2" xfId="4" xr:uid="{4EDAA418-A99F-4AA5-980E-AAE1F93A2936}"/>
    <cellStyle name="Обычный 5" xfId="2" xr:uid="{C312C1EF-6088-4CF6-9D76-00832CF991E9}"/>
  </cellStyles>
  <dxfs count="38"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A6470EB-2B6A-4321-9BDB-BBA5E8416422}" name="Р" displayName="Р" ref="A3:F14" totalsRowCount="1" headerRowDxfId="37" headerRowBorderDxfId="36" tableBorderDxfId="35" totalsRowBorderDxfId="34">
  <autoFilter ref="A3:F13" xr:uid="{2A6470EB-2B6A-4321-9BDB-BBA5E8416422}"/>
  <tableColumns count="6">
    <tableColumn id="1" xr3:uid="{78AEEC01-8CDA-4124-8068-AE1FE74DAD8C}" name="Наименование" totalsRowLabel="Итог" dataDxfId="33" totalsRowDxfId="32"/>
    <tableColumn id="2" xr3:uid="{B30581E5-7E2B-4BA5-B4D3-47344880B9A2}" name="Ед. изм." dataDxfId="31" totalsRowDxfId="30"/>
    <tableColumn id="3" xr3:uid="{C62C6E38-0CF1-4B48-8B35-5C4417F668D7}" name="Количество" dataDxfId="29" totalsRowDxfId="28"/>
    <tableColumn id="4" xr3:uid="{A20EB150-5AB6-4C46-9517-1F99B34D387F}" name="Цена за ед., руб" dataDxfId="27" totalsRowDxfId="26"/>
    <tableColumn id="5" xr3:uid="{F2262818-ED8F-44F3-97B6-9EEFE8CA8688}" name="Сумма, руб" totalsRowFunction="sum" dataDxfId="25" totalsRowDxfId="24">
      <calculatedColumnFormula>ROUND(Р[[#This Row],[Количество]]*Р[[#This Row],[Цена за ед., руб]],2)</calculatedColumnFormula>
    </tableColumn>
    <tableColumn id="6" xr3:uid="{7A9A3BD7-877B-4DF1-AF7B-96AACAE79288}" name="Примечание" dataDxfId="23" totalsRowDxfId="22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A6AE485-2BC3-4CC4-963E-49B83BB4916A}" name="М" displayName="М" ref="A3:I23" totalsRowCount="1" headerRowDxfId="21" headerRowBorderDxfId="20" tableBorderDxfId="19" totalsRowBorderDxfId="18">
  <autoFilter ref="A3:I22" xr:uid="{BA6AE485-2BC3-4CC4-963E-49B83BB4916A}"/>
  <tableColumns count="9">
    <tableColumn id="1" xr3:uid="{D1179B94-0176-4B23-825D-F9CA364A6523}" name="Наим." totalsRowLabel="Итог" dataDxfId="17" totalsRowDxfId="8"/>
    <tableColumn id="2" xr3:uid="{17DD0B92-9319-47AE-A631-58878534D5CB}" name="Артикул, марка, произв." dataDxfId="16" totalsRowDxfId="7"/>
    <tableColumn id="3" xr3:uid="{FA61A7CC-CFD4-474C-B85F-B55D25AFBEE5}" name="Хар-ка" dataDxfId="15" totalsRowDxfId="6"/>
    <tableColumn id="4" xr3:uid="{94B42E09-3F61-4AC5-B698-B0D2F8E71AFD}" name="Ед. изм." dataDxfId="14" totalsRowDxfId="5"/>
    <tableColumn id="5" xr3:uid="{0236317B-4EB1-4029-8B37-5219227ED992}" name="Количество" dataDxfId="13" totalsRowDxfId="4"/>
    <tableColumn id="6" xr3:uid="{3D424BD4-53CD-409A-B7F5-EB09FD94288A}" name="Цена за ед., руб" dataDxfId="12" totalsRowDxfId="3"/>
    <tableColumn id="7" xr3:uid="{763F915B-8EA3-4BBA-89FF-2B12582807C2}" name="Сумма, руб" totalsRowFunction="sum" dataDxfId="11" totalsRowDxfId="2">
      <calculatedColumnFormula>ROUND(М[[#This Row],[Количество]]*М[[#This Row],[Цена за ед., руб]],2)</calculatedColumnFormula>
    </tableColumn>
    <tableColumn id="8" xr3:uid="{223AB2BC-28C0-4AFA-BE68-B186B717175D}" name="Прим." dataDxfId="10" totalsRowDxfId="1"/>
    <tableColumn id="9" xr3:uid="{C628DEF3-9814-49DA-A19A-E16217CBA448}" name="Форма закупа" dataDxfId="9" totalsRow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2:T75"/>
  <sheetViews>
    <sheetView tabSelected="1" workbookViewId="0">
      <pane ySplit="7" topLeftCell="A44" activePane="bottomLeft" state="frozen"/>
      <selection pane="bottomLeft" activeCell="L56" sqref="L56:L57"/>
    </sheetView>
  </sheetViews>
  <sheetFormatPr defaultColWidth="10.5" defaultRowHeight="11.25" outlineLevelRow="4" x14ac:dyDescent="0.2"/>
  <cols>
    <col min="1" max="1" width="9.83203125" style="1" customWidth="1"/>
    <col min="2" max="2" width="36" style="1" customWidth="1"/>
    <col min="3" max="3" width="15.83203125" style="1" customWidth="1"/>
    <col min="4" max="4" width="17" style="1" customWidth="1"/>
    <col min="5" max="5" width="10" style="1" customWidth="1"/>
    <col min="6" max="6" width="9.6640625" style="1" customWidth="1"/>
    <col min="7" max="7" width="10.5" style="1" customWidth="1"/>
    <col min="8" max="8" width="14.6640625" style="1" customWidth="1"/>
    <col min="9" max="9" width="16" style="1" customWidth="1"/>
    <col min="10" max="10" width="17" style="1" customWidth="1"/>
    <col min="11" max="11" width="35" style="1" customWidth="1"/>
    <col min="12" max="12" width="23.33203125" style="1" customWidth="1"/>
  </cols>
  <sheetData>
    <row r="2" spans="1:12" x14ac:dyDescent="0.2">
      <c r="B2" s="101" t="s">
        <v>0</v>
      </c>
      <c r="C2" s="101"/>
      <c r="D2" s="101"/>
      <c r="E2" s="101"/>
      <c r="F2" s="101"/>
      <c r="G2" s="101"/>
      <c r="H2" s="101"/>
      <c r="I2" s="101"/>
      <c r="J2" s="101"/>
    </row>
    <row r="3" spans="1:12" x14ac:dyDescent="0.2">
      <c r="B3" s="102" t="s">
        <v>1</v>
      </c>
      <c r="C3" s="102"/>
      <c r="D3" s="102"/>
      <c r="E3" s="102"/>
      <c r="F3" s="102"/>
      <c r="G3" s="102"/>
      <c r="H3" s="102"/>
      <c r="I3" s="102"/>
      <c r="J3" s="102"/>
    </row>
    <row r="4" spans="1:12" x14ac:dyDescent="0.2">
      <c r="B4" s="102" t="s">
        <v>2</v>
      </c>
      <c r="C4" s="102"/>
      <c r="D4" s="102"/>
      <c r="E4" s="102"/>
      <c r="F4" s="102"/>
      <c r="G4" s="102"/>
      <c r="H4" s="102"/>
      <c r="I4" s="102"/>
      <c r="J4" s="102"/>
    </row>
    <row r="6" spans="1:12" x14ac:dyDescent="0.2">
      <c r="A6" s="88" t="s">
        <v>3</v>
      </c>
      <c r="B6" s="88" t="s">
        <v>4</v>
      </c>
      <c r="C6" s="103" t="s">
        <v>5</v>
      </c>
      <c r="D6" s="105" t="s">
        <v>6</v>
      </c>
      <c r="E6" s="88" t="s">
        <v>7</v>
      </c>
      <c r="F6" s="90" t="s">
        <v>8</v>
      </c>
      <c r="G6" s="107" t="s">
        <v>9</v>
      </c>
      <c r="H6" s="88" t="s">
        <v>10</v>
      </c>
      <c r="I6" s="90" t="s">
        <v>11</v>
      </c>
      <c r="J6" s="90" t="s">
        <v>12</v>
      </c>
      <c r="K6" s="88" t="s">
        <v>13</v>
      </c>
      <c r="L6" s="90" t="s">
        <v>14</v>
      </c>
    </row>
    <row r="7" spans="1:12" x14ac:dyDescent="0.2">
      <c r="A7" s="89"/>
      <c r="B7" s="89"/>
      <c r="C7" s="104"/>
      <c r="D7" s="106"/>
      <c r="E7" s="89"/>
      <c r="F7" s="91"/>
      <c r="G7" s="108"/>
      <c r="H7" s="89"/>
      <c r="I7" s="91"/>
      <c r="J7" s="91"/>
      <c r="K7" s="89"/>
      <c r="L7" s="91"/>
    </row>
    <row r="8" spans="1:12" x14ac:dyDescent="0.2">
      <c r="A8" s="3" t="s">
        <v>15</v>
      </c>
      <c r="B8" s="4" t="s">
        <v>16</v>
      </c>
      <c r="C8" s="5"/>
      <c r="D8" s="5"/>
      <c r="E8" s="6"/>
      <c r="F8" s="7"/>
      <c r="G8" s="7"/>
      <c r="H8" s="7"/>
      <c r="I8" s="50"/>
      <c r="J8" s="50"/>
      <c r="K8" s="5"/>
      <c r="L8" s="5"/>
    </row>
    <row r="9" spans="1:12" outlineLevel="1" x14ac:dyDescent="0.2">
      <c r="A9" s="8" t="s">
        <v>17</v>
      </c>
      <c r="B9" s="9" t="s">
        <v>18</v>
      </c>
      <c r="C9" s="10"/>
      <c r="D9" s="10"/>
      <c r="E9" s="11"/>
      <c r="F9" s="12"/>
      <c r="G9" s="12"/>
      <c r="H9" s="12"/>
      <c r="I9" s="51"/>
      <c r="J9" s="51">
        <f ca="1">SUM($J$58,$J$10)</f>
        <v>0</v>
      </c>
      <c r="K9" s="10"/>
      <c r="L9" s="10"/>
    </row>
    <row r="10" spans="1:12" outlineLevel="2" x14ac:dyDescent="0.2">
      <c r="A10" s="13" t="s">
        <v>19</v>
      </c>
      <c r="B10" s="14" t="s">
        <v>20</v>
      </c>
      <c r="C10" s="15"/>
      <c r="D10" s="15"/>
      <c r="E10" s="16"/>
      <c r="F10" s="17"/>
      <c r="G10" s="18"/>
      <c r="H10" s="18"/>
      <c r="I10" s="52"/>
      <c r="J10" s="52">
        <f ca="1">SUM($J$11)</f>
        <v>0</v>
      </c>
      <c r="K10" s="19"/>
      <c r="L10" s="19"/>
    </row>
    <row r="11" spans="1:12" outlineLevel="3" x14ac:dyDescent="0.2">
      <c r="A11" s="13" t="s">
        <v>21</v>
      </c>
      <c r="B11" s="14" t="s">
        <v>20</v>
      </c>
      <c r="C11" s="15"/>
      <c r="D11" s="15"/>
      <c r="E11" s="16"/>
      <c r="F11" s="17"/>
      <c r="G11" s="18"/>
      <c r="H11" s="18"/>
      <c r="I11" s="52"/>
      <c r="J11" s="52">
        <f ca="1">SUM($J$51,$J$49,$J$45,$J$43,$J$40,$J$38,$J$35,$J$33,$J$31,$J$29,$J$25,$J$23,$J$20,$J$18,$J$16,$J$14,$J$12,J55)</f>
        <v>0</v>
      </c>
      <c r="K11" s="19"/>
      <c r="L11" s="19"/>
    </row>
    <row r="12" spans="1:12" outlineLevel="4" x14ac:dyDescent="0.2">
      <c r="A12" s="20"/>
      <c r="B12" s="14" t="s">
        <v>22</v>
      </c>
      <c r="C12" s="21"/>
      <c r="D12" s="21"/>
      <c r="E12" s="21"/>
      <c r="F12" s="21"/>
      <c r="G12" s="21"/>
      <c r="H12" s="21"/>
      <c r="I12" s="53"/>
      <c r="J12" s="54">
        <f>SUM($J$13)</f>
        <v>0</v>
      </c>
      <c r="K12" s="18"/>
      <c r="L12" s="22"/>
    </row>
    <row r="13" spans="1:12" outlineLevel="4" x14ac:dyDescent="0.2">
      <c r="A13" s="23"/>
      <c r="B13" s="24" t="s">
        <v>23</v>
      </c>
      <c r="C13" s="25"/>
      <c r="D13" s="25"/>
      <c r="E13" s="26" t="s">
        <v>24</v>
      </c>
      <c r="F13" s="27"/>
      <c r="G13" s="28">
        <v>104</v>
      </c>
      <c r="H13" s="28">
        <f>SUM($G$13:$G$13)</f>
        <v>104</v>
      </c>
      <c r="I13" s="55">
        <f t="array" ref="I13">INDEX(Р[Цена за ед., руб],MATCH(1,IF(($B13=Р[Наименование])*($K13=Р[Примечание]),{1},($B13=Р[Наименование])*($K13=Р[Примечание])),0))</f>
        <v>0</v>
      </c>
      <c r="J13" s="55">
        <f>ROUND($H$13*$I$13,2)</f>
        <v>0</v>
      </c>
      <c r="K13" s="25"/>
      <c r="L13" s="25"/>
    </row>
    <row r="14" spans="1:12" outlineLevel="4" x14ac:dyDescent="0.2">
      <c r="A14" s="20"/>
      <c r="B14" s="14" t="s">
        <v>22</v>
      </c>
      <c r="C14" s="21"/>
      <c r="D14" s="21"/>
      <c r="E14" s="21"/>
      <c r="F14" s="21"/>
      <c r="G14" s="21"/>
      <c r="H14" s="21"/>
      <c r="I14" s="53"/>
      <c r="J14" s="54">
        <f>SUM($J$15)</f>
        <v>0</v>
      </c>
      <c r="K14" s="18"/>
      <c r="L14" s="22"/>
    </row>
    <row r="15" spans="1:12" ht="22.5" outlineLevel="4" x14ac:dyDescent="0.2">
      <c r="A15" s="23"/>
      <c r="B15" s="24" t="s">
        <v>25</v>
      </c>
      <c r="C15" s="25"/>
      <c r="D15" s="25"/>
      <c r="E15" s="26" t="s">
        <v>24</v>
      </c>
      <c r="F15" s="27"/>
      <c r="G15" s="28">
        <v>4</v>
      </c>
      <c r="H15" s="28">
        <f>SUM($G$15:$G$15)</f>
        <v>4</v>
      </c>
      <c r="I15" s="55">
        <f t="array" ref="I15">INDEX(Р[Цена за ед., руб],MATCH(1,IF(($B15=Р[Наименование])*($K15=Р[Примечание]),{1},($B15=Р[Наименование])*($K15=Р[Примечание])),0))</f>
        <v>0</v>
      </c>
      <c r="J15" s="55">
        <f>ROUND($H$15*$I$15,2)</f>
        <v>0</v>
      </c>
      <c r="K15" s="25"/>
      <c r="L15" s="25"/>
    </row>
    <row r="16" spans="1:12" outlineLevel="4" x14ac:dyDescent="0.2">
      <c r="A16" s="20"/>
      <c r="B16" s="14" t="s">
        <v>26</v>
      </c>
      <c r="C16" s="21"/>
      <c r="D16" s="21"/>
      <c r="E16" s="21"/>
      <c r="F16" s="21"/>
      <c r="G16" s="21"/>
      <c r="H16" s="21"/>
      <c r="I16" s="53"/>
      <c r="J16" s="54">
        <f>SUM($J$17)</f>
        <v>0</v>
      </c>
      <c r="K16" s="18"/>
      <c r="L16" s="22"/>
    </row>
    <row r="17" spans="1:12" ht="22.5" outlineLevel="4" x14ac:dyDescent="0.2">
      <c r="A17" s="23" t="s">
        <v>27</v>
      </c>
      <c r="B17" s="24" t="s">
        <v>28</v>
      </c>
      <c r="C17" s="25"/>
      <c r="D17" s="25" t="s">
        <v>29</v>
      </c>
      <c r="E17" s="26" t="s">
        <v>24</v>
      </c>
      <c r="F17" s="27"/>
      <c r="G17" s="28">
        <v>4</v>
      </c>
      <c r="H17" s="28">
        <f>SUM($G$17:$G$17)</f>
        <v>4</v>
      </c>
      <c r="I17" s="55">
        <f t="array" ref="I17">INDEX(М[Цена за ед., руб],MATCH(1,IF(($B17=М[Наим.])*($C17=М[Артикул, марка, произв.])*($D17=М[Хар-ка])*($K17=М[Прим.]),{1},($B17=М[Наим.])*($C17=М[Артикул, марка, произв.])*($D17=М[Хар-ка])*($K17=М[Прим.])),0))</f>
        <v>0</v>
      </c>
      <c r="J17" s="55">
        <f>ROUND($H$17*$I$17,2)</f>
        <v>0</v>
      </c>
      <c r="K17" s="25"/>
      <c r="L17" s="25">
        <f t="array" ref="L17">INDEX(М[Форма закупа],MATCH(1,IF(($B17=М[Наим.])*($C17=М[Артикул, марка, произв.])*($D17=М[Хар-ка])*($K17=М[Прим.]),{1},($B17=М[Наим.])*($C17=М[Артикул, марка, произв.])*($D17=М[Хар-ка])*($K17=М[Прим.])),0))</f>
        <v>0</v>
      </c>
    </row>
    <row r="18" spans="1:12" outlineLevel="4" x14ac:dyDescent="0.2">
      <c r="A18" s="20"/>
      <c r="B18" s="14" t="s">
        <v>22</v>
      </c>
      <c r="C18" s="21"/>
      <c r="D18" s="21"/>
      <c r="E18" s="21"/>
      <c r="F18" s="21"/>
      <c r="G18" s="21"/>
      <c r="H18" s="21"/>
      <c r="I18" s="53"/>
      <c r="J18" s="54">
        <f>SUM($J$19)</f>
        <v>0</v>
      </c>
      <c r="K18" s="18"/>
      <c r="L18" s="22"/>
    </row>
    <row r="19" spans="1:12" outlineLevel="4" x14ac:dyDescent="0.2">
      <c r="A19" s="23"/>
      <c r="B19" s="24" t="s">
        <v>30</v>
      </c>
      <c r="C19" s="25"/>
      <c r="D19" s="25"/>
      <c r="E19" s="26" t="s">
        <v>24</v>
      </c>
      <c r="F19" s="27"/>
      <c r="G19" s="28">
        <v>23</v>
      </c>
      <c r="H19" s="28">
        <f>SUM($G$19:$G$19)</f>
        <v>23</v>
      </c>
      <c r="I19" s="55">
        <f t="array" ref="I19">INDEX(Р[Цена за ед., руб],MATCH(1,IF(($B19=Р[Наименование])*($K19=Р[Примечание]),{1},($B19=Р[Наименование])*($K19=Р[Примечание])),0))</f>
        <v>0</v>
      </c>
      <c r="J19" s="55">
        <f>ROUND($H$19*$I$19,2)</f>
        <v>0</v>
      </c>
      <c r="K19" s="25"/>
      <c r="L19" s="25"/>
    </row>
    <row r="20" spans="1:12" outlineLevel="4" x14ac:dyDescent="0.2">
      <c r="A20" s="20"/>
      <c r="B20" s="14" t="s">
        <v>26</v>
      </c>
      <c r="C20" s="21"/>
      <c r="D20" s="21"/>
      <c r="E20" s="21"/>
      <c r="F20" s="21"/>
      <c r="G20" s="21"/>
      <c r="H20" s="21"/>
      <c r="I20" s="53"/>
      <c r="J20" s="54">
        <f>SUM($J$21:$J$22)</f>
        <v>0</v>
      </c>
      <c r="K20" s="18"/>
      <c r="L20" s="22"/>
    </row>
    <row r="21" spans="1:12" ht="56.25" outlineLevel="4" x14ac:dyDescent="0.2">
      <c r="A21" s="23" t="s">
        <v>27</v>
      </c>
      <c r="B21" s="24" t="s">
        <v>31</v>
      </c>
      <c r="C21" s="25"/>
      <c r="D21" s="25" t="s">
        <v>32</v>
      </c>
      <c r="E21" s="26" t="s">
        <v>24</v>
      </c>
      <c r="F21" s="27"/>
      <c r="G21" s="28">
        <v>10</v>
      </c>
      <c r="H21" s="28">
        <f>SUM($G$21:$G$21)</f>
        <v>10</v>
      </c>
      <c r="I21" s="55">
        <f t="array" ref="I21">INDEX(М[Цена за ед., руб],MATCH(1,IF(($B21=М[Наим.])*($C21=М[Артикул, марка, произв.])*($D21=М[Хар-ка])*($K21=М[Прим.]),{1},($B21=М[Наим.])*($C21=М[Артикул, марка, произв.])*($D21=М[Хар-ка])*($K21=М[Прим.])),0))</f>
        <v>0</v>
      </c>
      <c r="J21" s="55">
        <f>ROUND($H$21*$I$21,2)</f>
        <v>0</v>
      </c>
      <c r="K21" s="25"/>
      <c r="L21" s="25">
        <f t="array" ref="L21">INDEX(М[Форма закупа],MATCH(1,IF(($B21=М[Наим.])*($C21=М[Артикул, марка, произв.])*($D21=М[Хар-ка])*($K21=М[Прим.]),{1},($B21=М[Наим.])*($C21=М[Артикул, марка, произв.])*($D21=М[Хар-ка])*($K21=М[Прим.])),0))</f>
        <v>0</v>
      </c>
    </row>
    <row r="22" spans="1:12" ht="56.25" outlineLevel="4" x14ac:dyDescent="0.2">
      <c r="A22" s="23" t="s">
        <v>33</v>
      </c>
      <c r="B22" s="24" t="s">
        <v>31</v>
      </c>
      <c r="C22" s="25"/>
      <c r="D22" s="25" t="s">
        <v>34</v>
      </c>
      <c r="E22" s="26" t="s">
        <v>24</v>
      </c>
      <c r="F22" s="27"/>
      <c r="G22" s="28">
        <v>13</v>
      </c>
      <c r="H22" s="28">
        <f>SUM($G$22:$G$22)</f>
        <v>13</v>
      </c>
      <c r="I22" s="55">
        <f t="array" ref="I22">INDEX(М[Цена за ед., руб],MATCH(1,IF(($B22=М[Наим.])*($C22=М[Артикул, марка, произв.])*($D22=М[Хар-ка])*($K22=М[Прим.]),{1},($B22=М[Наим.])*($C22=М[Артикул, марка, произв.])*($D22=М[Хар-ка])*($K22=М[Прим.])),0))</f>
        <v>0</v>
      </c>
      <c r="J22" s="55">
        <f>ROUND($H$22*$I$22,2)</f>
        <v>0</v>
      </c>
      <c r="K22" s="25"/>
      <c r="L22" s="25">
        <f t="array" ref="L22">INDEX(М[Форма закупа],MATCH(1,IF(($B22=М[Наим.])*($C22=М[Артикул, марка, произв.])*($D22=М[Хар-ка])*($K22=М[Прим.]),{1},($B22=М[Наим.])*($C22=М[Артикул, марка, произв.])*($D22=М[Хар-ка])*($K22=М[Прим.])),0))</f>
        <v>0</v>
      </c>
    </row>
    <row r="23" spans="1:12" outlineLevel="4" x14ac:dyDescent="0.2">
      <c r="A23" s="20"/>
      <c r="B23" s="14" t="s">
        <v>22</v>
      </c>
      <c r="C23" s="21"/>
      <c r="D23" s="21"/>
      <c r="E23" s="21"/>
      <c r="F23" s="21"/>
      <c r="G23" s="21"/>
      <c r="H23" s="21"/>
      <c r="I23" s="53"/>
      <c r="J23" s="54">
        <f>SUM($J$24)</f>
        <v>0</v>
      </c>
      <c r="K23" s="18"/>
      <c r="L23" s="22"/>
    </row>
    <row r="24" spans="1:12" ht="22.5" outlineLevel="4" x14ac:dyDescent="0.2">
      <c r="A24" s="23"/>
      <c r="B24" s="24" t="s">
        <v>35</v>
      </c>
      <c r="C24" s="25"/>
      <c r="D24" s="25"/>
      <c r="E24" s="26" t="s">
        <v>24</v>
      </c>
      <c r="F24" s="27"/>
      <c r="G24" s="28">
        <v>100</v>
      </c>
      <c r="H24" s="28">
        <f>SUM($G$24:$G$24)</f>
        <v>100</v>
      </c>
      <c r="I24" s="55">
        <f t="array" ref="I24">INDEX(Р[Цена за ед., руб],MATCH(1,IF(($B24=Р[Наименование])*($K24=Р[Примечание]),{1},($B24=Р[Наименование])*($K24=Р[Примечание])),0))</f>
        <v>0</v>
      </c>
      <c r="J24" s="55">
        <f>ROUND($H$24*$I$24,2)</f>
        <v>0</v>
      </c>
      <c r="K24" s="25"/>
      <c r="L24" s="25"/>
    </row>
    <row r="25" spans="1:12" outlineLevel="4" x14ac:dyDescent="0.2">
      <c r="A25" s="20"/>
      <c r="B25" s="14" t="s">
        <v>26</v>
      </c>
      <c r="C25" s="21"/>
      <c r="D25" s="21"/>
      <c r="E25" s="21"/>
      <c r="F25" s="21"/>
      <c r="G25" s="21"/>
      <c r="H25" s="21"/>
      <c r="I25" s="53"/>
      <c r="J25" s="54">
        <f>SUM($J$26:$J$28)</f>
        <v>0</v>
      </c>
      <c r="K25" s="18"/>
      <c r="L25" s="22"/>
    </row>
    <row r="26" spans="1:12" ht="22.5" outlineLevel="4" x14ac:dyDescent="0.2">
      <c r="A26" s="23" t="s">
        <v>27</v>
      </c>
      <c r="B26" s="24" t="s">
        <v>36</v>
      </c>
      <c r="C26" s="25"/>
      <c r="D26" s="25" t="s">
        <v>37</v>
      </c>
      <c r="E26" s="26" t="s">
        <v>24</v>
      </c>
      <c r="F26" s="27"/>
      <c r="G26" s="28">
        <v>100</v>
      </c>
      <c r="H26" s="28">
        <f>SUM($G$26:$G$26)</f>
        <v>100</v>
      </c>
      <c r="I26" s="55">
        <f t="array" ref="I26">INDEX(М[Цена за ед., руб],MATCH(1,IF(($B26=М[Наим.])*($C26=М[Артикул, марка, произв.])*($D26=М[Хар-ка])*($K26=М[Прим.]),{1},($B26=М[Наим.])*($C26=М[Артикул, марка, произв.])*($D26=М[Хар-ка])*($K26=М[Прим.])),0))</f>
        <v>0</v>
      </c>
      <c r="J26" s="55">
        <f>ROUND($H$26*$I$26,2)</f>
        <v>0</v>
      </c>
      <c r="K26" s="25" t="s">
        <v>38</v>
      </c>
      <c r="L26" s="25">
        <f t="array" ref="L26">INDEX(М[Форма закупа],MATCH(1,IF(($B26=М[Наим.])*($C26=М[Артикул, марка, произв.])*($D26=М[Хар-ка])*($K26=М[Прим.]),{1},($B26=М[Наим.])*($C26=М[Артикул, марка, произв.])*($D26=М[Хар-ка])*($K26=М[Прим.])),0))</f>
        <v>0</v>
      </c>
    </row>
    <row r="27" spans="1:12" outlineLevel="4" x14ac:dyDescent="0.2">
      <c r="A27" s="23" t="s">
        <v>33</v>
      </c>
      <c r="B27" s="24" t="s">
        <v>39</v>
      </c>
      <c r="C27" s="25"/>
      <c r="D27" s="25" t="s">
        <v>40</v>
      </c>
      <c r="E27" s="26" t="s">
        <v>24</v>
      </c>
      <c r="F27" s="27"/>
      <c r="G27" s="28">
        <v>100</v>
      </c>
      <c r="H27" s="28">
        <f>SUM($G$27:$G$27)</f>
        <v>100</v>
      </c>
      <c r="I27" s="55">
        <f t="array" ref="I27">INDEX(М[Цена за ед., руб],MATCH(1,IF(($B27=М[Наим.])*($C27=М[Артикул, марка, произв.])*($D27=М[Хар-ка])*($K27=М[Прим.]),{1},($B27=М[Наим.])*($C27=М[Артикул, марка, произв.])*($D27=М[Хар-ка])*($K27=М[Прим.])),0))</f>
        <v>0</v>
      </c>
      <c r="J27" s="55">
        <f>ROUND($H$27*$I$27,2)</f>
        <v>0</v>
      </c>
      <c r="K27" s="25"/>
      <c r="L27" s="25">
        <f t="array" ref="L27">INDEX(М[Форма закупа],MATCH(1,IF(($B27=М[Наим.])*($C27=М[Артикул, марка, произв.])*($D27=М[Хар-ка])*($K27=М[Прим.]),{1},($B27=М[Наим.])*($C27=М[Артикул, марка, произв.])*($D27=М[Хар-ка])*($K27=М[Прим.])),0))</f>
        <v>0</v>
      </c>
    </row>
    <row r="28" spans="1:12" ht="33.75" outlineLevel="4" x14ac:dyDescent="0.2">
      <c r="A28" s="23" t="s">
        <v>41</v>
      </c>
      <c r="B28" s="24" t="s">
        <v>42</v>
      </c>
      <c r="C28" s="25"/>
      <c r="D28" s="25" t="s">
        <v>43</v>
      </c>
      <c r="E28" s="26" t="s">
        <v>24</v>
      </c>
      <c r="F28" s="27"/>
      <c r="G28" s="28">
        <v>100</v>
      </c>
      <c r="H28" s="28">
        <f>SUM($G$28:$G$28)</f>
        <v>100</v>
      </c>
      <c r="I28" s="55">
        <f t="array" ref="I28">INDEX(М[Цена за ед., руб],MATCH(1,IF(($B28=М[Наим.])*($C28=М[Артикул, марка, произв.])*($D28=М[Хар-ка])*($K28=М[Прим.]),{1},($B28=М[Наим.])*($C28=М[Артикул, марка, произв.])*($D28=М[Хар-ка])*($K28=М[Прим.])),0))</f>
        <v>0</v>
      </c>
      <c r="J28" s="55">
        <f>ROUND($H$28*$I$28,2)</f>
        <v>0</v>
      </c>
      <c r="K28" s="25"/>
      <c r="L28" s="25">
        <f t="array" ref="L28">INDEX(М[Форма закупа],MATCH(1,IF(($B28=М[Наим.])*($C28=М[Артикул, марка, произв.])*($D28=М[Хар-ка])*($K28=М[Прим.]),{1},($B28=М[Наим.])*($C28=М[Артикул, марка, произв.])*($D28=М[Хар-ка])*($K28=М[Прим.])),0))</f>
        <v>0</v>
      </c>
    </row>
    <row r="29" spans="1:12" outlineLevel="4" x14ac:dyDescent="0.2">
      <c r="A29" s="20"/>
      <c r="B29" s="14" t="s">
        <v>22</v>
      </c>
      <c r="C29" s="21"/>
      <c r="D29" s="21"/>
      <c r="E29" s="21"/>
      <c r="F29" s="21"/>
      <c r="G29" s="21"/>
      <c r="H29" s="21"/>
      <c r="I29" s="53"/>
      <c r="J29" s="54">
        <f>SUM($J$30)</f>
        <v>0</v>
      </c>
      <c r="K29" s="18"/>
      <c r="L29" s="22"/>
    </row>
    <row r="30" spans="1:12" ht="22.5" outlineLevel="4" x14ac:dyDescent="0.2">
      <c r="A30" s="23"/>
      <c r="B30" s="24" t="s">
        <v>44</v>
      </c>
      <c r="C30" s="25"/>
      <c r="D30" s="25"/>
      <c r="E30" s="26" t="s">
        <v>24</v>
      </c>
      <c r="F30" s="27"/>
      <c r="G30" s="28">
        <v>3</v>
      </c>
      <c r="H30" s="28">
        <f>SUM($G$30:$G$30)</f>
        <v>3</v>
      </c>
      <c r="I30" s="55">
        <f t="array" ref="I30">INDEX(Р[Цена за ед., руб],MATCH(1,IF(($B30=Р[Наименование])*($K30=Р[Примечание]),{1},($B30=Р[Наименование])*($K30=Р[Примечание])),0))</f>
        <v>0</v>
      </c>
      <c r="J30" s="55">
        <f>ROUND($H$30*$I$30,2)</f>
        <v>0</v>
      </c>
      <c r="K30" s="25"/>
      <c r="L30" s="25"/>
    </row>
    <row r="31" spans="1:12" outlineLevel="4" x14ac:dyDescent="0.2">
      <c r="A31" s="20"/>
      <c r="B31" s="14" t="s">
        <v>26</v>
      </c>
      <c r="C31" s="21"/>
      <c r="D31" s="21"/>
      <c r="E31" s="21"/>
      <c r="F31" s="21"/>
      <c r="G31" s="21"/>
      <c r="H31" s="21"/>
      <c r="I31" s="53"/>
      <c r="J31" s="54">
        <f>SUM($J$32)</f>
        <v>0</v>
      </c>
      <c r="K31" s="18"/>
      <c r="L31" s="22"/>
    </row>
    <row r="32" spans="1:12" ht="22.5" outlineLevel="4" x14ac:dyDescent="0.2">
      <c r="A32" s="23" t="s">
        <v>27</v>
      </c>
      <c r="B32" s="24" t="s">
        <v>45</v>
      </c>
      <c r="C32" s="25"/>
      <c r="D32" s="25" t="s">
        <v>46</v>
      </c>
      <c r="E32" s="26" t="s">
        <v>24</v>
      </c>
      <c r="F32" s="27"/>
      <c r="G32" s="28">
        <v>3</v>
      </c>
      <c r="H32" s="28">
        <f>SUM($G$32:$G$32)</f>
        <v>3</v>
      </c>
      <c r="I32" s="55">
        <f t="array" ref="I32">INDEX(М[Цена за ед., руб],MATCH(1,IF(($B32=М[Наим.])*($C32=М[Артикул, марка, произв.])*($D32=М[Хар-ка])*($K32=М[Прим.]),{1},($B32=М[Наим.])*($C32=М[Артикул, марка, произв.])*($D32=М[Хар-ка])*($K32=М[Прим.])),0))</f>
        <v>0</v>
      </c>
      <c r="J32" s="55">
        <f>ROUND($H$32*$I$32,2)</f>
        <v>0</v>
      </c>
      <c r="K32" s="25"/>
      <c r="L32" s="25">
        <f t="array" ref="L32">INDEX(М[Форма закупа],MATCH(1,IF(($B32=М[Наим.])*($C32=М[Артикул, марка, произв.])*($D32=М[Хар-ка])*($K32=М[Прим.]),{1},($B32=М[Наим.])*($C32=М[Артикул, марка, произв.])*($D32=М[Хар-ка])*($K32=М[Прим.])),0))</f>
        <v>0</v>
      </c>
    </row>
    <row r="33" spans="1:12" outlineLevel="4" x14ac:dyDescent="0.2">
      <c r="A33" s="20"/>
      <c r="B33" s="14" t="s">
        <v>22</v>
      </c>
      <c r="C33" s="21"/>
      <c r="D33" s="21"/>
      <c r="E33" s="21"/>
      <c r="F33" s="21"/>
      <c r="G33" s="21"/>
      <c r="H33" s="21"/>
      <c r="I33" s="53"/>
      <c r="J33" s="54">
        <f>SUM($J$34)</f>
        <v>0</v>
      </c>
      <c r="K33" s="18"/>
      <c r="L33" s="22"/>
    </row>
    <row r="34" spans="1:12" ht="22.5" outlineLevel="4" x14ac:dyDescent="0.2">
      <c r="A34" s="23"/>
      <c r="B34" s="24" t="s">
        <v>47</v>
      </c>
      <c r="C34" s="25"/>
      <c r="D34" s="25"/>
      <c r="E34" s="26" t="s">
        <v>24</v>
      </c>
      <c r="F34" s="27"/>
      <c r="G34" s="28">
        <v>8</v>
      </c>
      <c r="H34" s="28">
        <f>SUM($G$34:$G$34)</f>
        <v>8</v>
      </c>
      <c r="I34" s="55">
        <f t="array" ref="I34">INDEX(Р[Цена за ед., руб],MATCH(1,IF(($B34=Р[Наименование])*($K34=Р[Примечание]),{1},($B34=Р[Наименование])*($K34=Р[Примечание])),0))</f>
        <v>0</v>
      </c>
      <c r="J34" s="55">
        <f>ROUND($H$34*$I$34,2)</f>
        <v>0</v>
      </c>
      <c r="K34" s="25"/>
      <c r="L34" s="25"/>
    </row>
    <row r="35" spans="1:12" outlineLevel="4" x14ac:dyDescent="0.2">
      <c r="A35" s="20"/>
      <c r="B35" s="14" t="s">
        <v>26</v>
      </c>
      <c r="C35" s="21"/>
      <c r="D35" s="21"/>
      <c r="E35" s="21"/>
      <c r="F35" s="21"/>
      <c r="G35" s="21"/>
      <c r="H35" s="21"/>
      <c r="I35" s="53"/>
      <c r="J35" s="54">
        <f>SUM($J$36:$J$37)</f>
        <v>0</v>
      </c>
      <c r="K35" s="18"/>
      <c r="L35" s="22"/>
    </row>
    <row r="36" spans="1:12" ht="22.5" outlineLevel="4" x14ac:dyDescent="0.2">
      <c r="A36" s="23" t="s">
        <v>27</v>
      </c>
      <c r="B36" s="24" t="s">
        <v>48</v>
      </c>
      <c r="C36" s="25"/>
      <c r="D36" s="25" t="s">
        <v>49</v>
      </c>
      <c r="E36" s="26" t="s">
        <v>24</v>
      </c>
      <c r="F36" s="27"/>
      <c r="G36" s="28">
        <v>4</v>
      </c>
      <c r="H36" s="28">
        <f>SUM($G$36:$G$36)</f>
        <v>4</v>
      </c>
      <c r="I36" s="55">
        <f t="array" ref="I36">INDEX(М[Цена за ед., руб],MATCH(1,IF(($B36=М[Наим.])*($C36=М[Артикул, марка, произв.])*($D36=М[Хар-ка])*($K36=М[Прим.]),{1},($B36=М[Наим.])*($C36=М[Артикул, марка, произв.])*($D36=М[Хар-ка])*($K36=М[Прим.])),0))</f>
        <v>0</v>
      </c>
      <c r="J36" s="55">
        <f>ROUND($H$36*$I$36,2)</f>
        <v>0</v>
      </c>
      <c r="K36" s="25"/>
      <c r="L36" s="25">
        <f t="array" ref="L36">INDEX(М[Форма закупа],MATCH(1,IF(($B36=М[Наим.])*($C36=М[Артикул, марка, произв.])*($D36=М[Хар-ка])*($K36=М[Прим.]),{1},($B36=М[Наим.])*($C36=М[Артикул, марка, произв.])*($D36=М[Хар-ка])*($K36=М[Прим.])),0))</f>
        <v>0</v>
      </c>
    </row>
    <row r="37" spans="1:12" ht="22.5" outlineLevel="4" x14ac:dyDescent="0.2">
      <c r="A37" s="23" t="s">
        <v>33</v>
      </c>
      <c r="B37" s="24" t="s">
        <v>50</v>
      </c>
      <c r="C37" s="25"/>
      <c r="D37" s="25" t="s">
        <v>51</v>
      </c>
      <c r="E37" s="26" t="s">
        <v>24</v>
      </c>
      <c r="F37" s="27"/>
      <c r="G37" s="28">
        <v>4</v>
      </c>
      <c r="H37" s="28">
        <f>SUM($G$37:$G$37)</f>
        <v>4</v>
      </c>
      <c r="I37" s="55">
        <f t="array" ref="I37">INDEX(М[Цена за ед., руб],MATCH(1,IF(($B37=М[Наим.])*($C37=М[Артикул, марка, произв.])*($D37=М[Хар-ка])*($K37=М[Прим.]),{1},($B37=М[Наим.])*($C37=М[Артикул, марка, произв.])*($D37=М[Хар-ка])*($K37=М[Прим.])),0))</f>
        <v>0</v>
      </c>
      <c r="J37" s="55">
        <f>ROUND($H$37*$I$37,2)</f>
        <v>0</v>
      </c>
      <c r="K37" s="25"/>
      <c r="L37" s="25">
        <f t="array" ref="L37">INDEX(М[Форма закупа],MATCH(1,IF(($B37=М[Наим.])*($C37=М[Артикул, марка, произв.])*($D37=М[Хар-ка])*($K37=М[Прим.]),{1},($B37=М[Наим.])*($C37=М[Артикул, марка, произв.])*($D37=М[Хар-ка])*($K37=М[Прим.])),0))</f>
        <v>0</v>
      </c>
    </row>
    <row r="38" spans="1:12" outlineLevel="4" x14ac:dyDescent="0.2">
      <c r="A38" s="20"/>
      <c r="B38" s="14" t="s">
        <v>22</v>
      </c>
      <c r="C38" s="21"/>
      <c r="D38" s="21"/>
      <c r="E38" s="21"/>
      <c r="F38" s="21"/>
      <c r="G38" s="21"/>
      <c r="H38" s="21"/>
      <c r="I38" s="53"/>
      <c r="J38" s="54">
        <f>SUM($J$39)</f>
        <v>0</v>
      </c>
      <c r="K38" s="18"/>
      <c r="L38" s="22"/>
    </row>
    <row r="39" spans="1:12" ht="22.5" outlineLevel="4" x14ac:dyDescent="0.2">
      <c r="A39" s="23"/>
      <c r="B39" s="24" t="s">
        <v>52</v>
      </c>
      <c r="C39" s="25"/>
      <c r="D39" s="25"/>
      <c r="E39" s="26" t="s">
        <v>24</v>
      </c>
      <c r="F39" s="27"/>
      <c r="G39" s="28">
        <v>2</v>
      </c>
      <c r="H39" s="28">
        <f>SUM($G$39:$G$39)</f>
        <v>2</v>
      </c>
      <c r="I39" s="55">
        <f t="array" ref="I39">INDEX(Р[Цена за ед., руб],MATCH(1,IF(($B39=Р[Наименование])*($K39=Р[Примечание]),{1},($B39=Р[Наименование])*($K39=Р[Примечание])),0))</f>
        <v>0</v>
      </c>
      <c r="J39" s="55">
        <f>ROUND($H$39*$I$39,2)</f>
        <v>0</v>
      </c>
      <c r="K39" s="25"/>
      <c r="L39" s="25"/>
    </row>
    <row r="40" spans="1:12" outlineLevel="4" x14ac:dyDescent="0.2">
      <c r="A40" s="20"/>
      <c r="B40" s="14" t="s">
        <v>26</v>
      </c>
      <c r="C40" s="21"/>
      <c r="D40" s="21"/>
      <c r="E40" s="21"/>
      <c r="F40" s="21"/>
      <c r="G40" s="21"/>
      <c r="H40" s="21"/>
      <c r="I40" s="53"/>
      <c r="J40" s="54">
        <f>SUM($J$41:$J$42)</f>
        <v>0</v>
      </c>
      <c r="K40" s="18"/>
      <c r="L40" s="22"/>
    </row>
    <row r="41" spans="1:12" ht="33.75" outlineLevel="4" x14ac:dyDescent="0.2">
      <c r="A41" s="23" t="s">
        <v>27</v>
      </c>
      <c r="B41" s="24" t="s">
        <v>53</v>
      </c>
      <c r="C41" s="25"/>
      <c r="D41" s="25" t="s">
        <v>54</v>
      </c>
      <c r="E41" s="26" t="s">
        <v>24</v>
      </c>
      <c r="F41" s="27"/>
      <c r="G41" s="28">
        <v>1</v>
      </c>
      <c r="H41" s="28">
        <f>SUM($G$41:$G$41)</f>
        <v>1</v>
      </c>
      <c r="I41" s="55">
        <f t="array" ref="I41">INDEX(М[Цена за ед., руб],MATCH(1,IF(($B41=М[Наим.])*($C41=М[Артикул, марка, произв.])*($D41=М[Хар-ка])*($K41=М[Прим.]),{1},($B41=М[Наим.])*($C41=М[Артикул, марка, произв.])*($D41=М[Хар-ка])*($K41=М[Прим.])),0))</f>
        <v>0</v>
      </c>
      <c r="J41" s="55">
        <f>ROUND($H$41*$I$41,2)</f>
        <v>0</v>
      </c>
      <c r="K41" s="25" t="s">
        <v>55</v>
      </c>
      <c r="L41" s="25">
        <f t="array" ref="L41">INDEX(М[Форма закупа],MATCH(1,IF(($B41=М[Наим.])*($C41=М[Артикул, марка, произв.])*($D41=М[Хар-ка])*($K41=М[Прим.]),{1},($B41=М[Наим.])*($C41=М[Артикул, марка, произв.])*($D41=М[Хар-ка])*($K41=М[Прим.])),0))</f>
        <v>0</v>
      </c>
    </row>
    <row r="42" spans="1:12" ht="33.75" outlineLevel="4" x14ac:dyDescent="0.2">
      <c r="A42" s="23" t="s">
        <v>33</v>
      </c>
      <c r="B42" s="24" t="s">
        <v>53</v>
      </c>
      <c r="C42" s="25"/>
      <c r="D42" s="25" t="s">
        <v>56</v>
      </c>
      <c r="E42" s="26" t="s">
        <v>24</v>
      </c>
      <c r="F42" s="27"/>
      <c r="G42" s="28">
        <v>1</v>
      </c>
      <c r="H42" s="28">
        <f>SUM($G$42:$G$42)</f>
        <v>1</v>
      </c>
      <c r="I42" s="55">
        <f t="array" ref="I42">INDEX(М[Цена за ед., руб],MATCH(1,IF(($B42=М[Наим.])*($C42=М[Артикул, марка, произв.])*($D42=М[Хар-ка])*($K42=М[Прим.]),{1},($B42=М[Наим.])*($C42=М[Артикул, марка, произв.])*($D42=М[Хар-ка])*($K42=М[Прим.])),0))</f>
        <v>0</v>
      </c>
      <c r="J42" s="55">
        <f>ROUND($H$42*$I$42,2)</f>
        <v>0</v>
      </c>
      <c r="K42" s="25" t="s">
        <v>57</v>
      </c>
      <c r="L42" s="25">
        <f t="array" ref="L42">INDEX(М[Форма закупа],MATCH(1,IF(($B42=М[Наим.])*($C42=М[Артикул, марка, произв.])*($D42=М[Хар-ка])*($K42=М[Прим.]),{1},($B42=М[Наим.])*($C42=М[Артикул, марка, произв.])*($D42=М[Хар-ка])*($K42=М[Прим.])),0))</f>
        <v>0</v>
      </c>
    </row>
    <row r="43" spans="1:12" outlineLevel="4" x14ac:dyDescent="0.2">
      <c r="A43" s="20"/>
      <c r="B43" s="14" t="s">
        <v>22</v>
      </c>
      <c r="C43" s="21"/>
      <c r="D43" s="21"/>
      <c r="E43" s="21"/>
      <c r="F43" s="21"/>
      <c r="G43" s="21"/>
      <c r="H43" s="21"/>
      <c r="I43" s="53"/>
      <c r="J43" s="54">
        <f>SUM($J$44)</f>
        <v>0</v>
      </c>
      <c r="K43" s="18"/>
      <c r="L43" s="22"/>
    </row>
    <row r="44" spans="1:12" outlineLevel="4" x14ac:dyDescent="0.2">
      <c r="A44" s="23"/>
      <c r="B44" s="24" t="s">
        <v>58</v>
      </c>
      <c r="C44" s="25"/>
      <c r="D44" s="25"/>
      <c r="E44" s="26" t="s">
        <v>24</v>
      </c>
      <c r="F44" s="27"/>
      <c r="G44" s="28">
        <v>52</v>
      </c>
      <c r="H44" s="28">
        <f>SUM($G$44:$G$44)</f>
        <v>52</v>
      </c>
      <c r="I44" s="55">
        <f t="array" ref="I44">INDEX(Р[Цена за ед., руб],MATCH(1,IF(($B44=Р[Наименование])*($K44=Р[Примечание]),{1},($B44=Р[Наименование])*($K44=Р[Примечание])),0))</f>
        <v>0</v>
      </c>
      <c r="J44" s="55">
        <f>ROUND($H$44*$I$44,2)</f>
        <v>0</v>
      </c>
      <c r="K44" s="25"/>
      <c r="L44" s="25"/>
    </row>
    <row r="45" spans="1:12" outlineLevel="4" x14ac:dyDescent="0.2">
      <c r="A45" s="20"/>
      <c r="B45" s="14" t="s">
        <v>26</v>
      </c>
      <c r="C45" s="21"/>
      <c r="D45" s="21"/>
      <c r="E45" s="21"/>
      <c r="F45" s="21"/>
      <c r="G45" s="21"/>
      <c r="H45" s="21"/>
      <c r="I45" s="53"/>
      <c r="J45" s="54">
        <f>SUM($J$46:$J$48)</f>
        <v>0</v>
      </c>
      <c r="K45" s="18"/>
      <c r="L45" s="22"/>
    </row>
    <row r="46" spans="1:12" outlineLevel="4" x14ac:dyDescent="0.2">
      <c r="A46" s="23" t="s">
        <v>27</v>
      </c>
      <c r="B46" s="24" t="s">
        <v>59</v>
      </c>
      <c r="C46" s="25"/>
      <c r="D46" s="25" t="s">
        <v>60</v>
      </c>
      <c r="E46" s="26" t="s">
        <v>24</v>
      </c>
      <c r="F46" s="27"/>
      <c r="G46" s="28">
        <v>4</v>
      </c>
      <c r="H46" s="28">
        <f>SUM($G$46:$G$46)</f>
        <v>4</v>
      </c>
      <c r="I46" s="55">
        <f t="array" ref="I46">INDEX(М[Цена за ед., руб],MATCH(1,IF(($B46=М[Наим.])*($C46=М[Артикул, марка, произв.])*($D46=М[Хар-ка])*($K46=М[Прим.]),{1},($B46=М[Наим.])*($C46=М[Артикул, марка, произв.])*($D46=М[Хар-ка])*($K46=М[Прим.])),0))</f>
        <v>0</v>
      </c>
      <c r="J46" s="55">
        <f>ROUND($H$46*$I$46,2)</f>
        <v>0</v>
      </c>
      <c r="K46" s="25"/>
      <c r="L46" s="25">
        <f t="array" ref="L46">INDEX(М[Форма закупа],MATCH(1,IF(($B46=М[Наим.])*($C46=М[Артикул, марка, произв.])*($D46=М[Хар-ка])*($K46=М[Прим.]),{1},($B46=М[Наим.])*($C46=М[Артикул, марка, произв.])*($D46=М[Хар-ка])*($K46=М[Прим.])),0))</f>
        <v>0</v>
      </c>
    </row>
    <row r="47" spans="1:12" outlineLevel="4" x14ac:dyDescent="0.2">
      <c r="A47" s="23" t="s">
        <v>33</v>
      </c>
      <c r="B47" s="24" t="s">
        <v>59</v>
      </c>
      <c r="C47" s="25"/>
      <c r="D47" s="25" t="s">
        <v>61</v>
      </c>
      <c r="E47" s="26" t="s">
        <v>24</v>
      </c>
      <c r="F47" s="27"/>
      <c r="G47" s="28">
        <v>48</v>
      </c>
      <c r="H47" s="28">
        <f>SUM($G$47:$G$47)</f>
        <v>48</v>
      </c>
      <c r="I47" s="55">
        <f t="array" ref="I47">INDEX(М[Цена за ед., руб],MATCH(1,IF(($B47=М[Наим.])*($C47=М[Артикул, марка, произв.])*($D47=М[Хар-ка])*($K47=М[Прим.]),{1},($B47=М[Наим.])*($C47=М[Артикул, марка, произв.])*($D47=М[Хар-ка])*($K47=М[Прим.])),0))</f>
        <v>0</v>
      </c>
      <c r="J47" s="55">
        <f>ROUND($H$47*$I$47,2)</f>
        <v>0</v>
      </c>
      <c r="K47" s="25"/>
      <c r="L47" s="25">
        <f t="array" ref="L47">INDEX(М[Форма закупа],MATCH(1,IF(($B47=М[Наим.])*($C47=М[Артикул, марка, произв.])*($D47=М[Хар-ка])*($K47=М[Прим.]),{1},($B47=М[Наим.])*($C47=М[Артикул, марка, произв.])*($D47=М[Хар-ка])*($K47=М[Прим.])),0))</f>
        <v>0</v>
      </c>
    </row>
    <row r="48" spans="1:12" ht="22.5" outlineLevel="4" x14ac:dyDescent="0.2">
      <c r="A48" s="23" t="s">
        <v>41</v>
      </c>
      <c r="B48" s="24" t="s">
        <v>62</v>
      </c>
      <c r="C48" s="25"/>
      <c r="D48" s="25" t="s">
        <v>63</v>
      </c>
      <c r="E48" s="26" t="s">
        <v>24</v>
      </c>
      <c r="F48" s="27"/>
      <c r="G48" s="28">
        <v>4</v>
      </c>
      <c r="H48" s="28">
        <f>SUM($G$48:$G$48)</f>
        <v>4</v>
      </c>
      <c r="I48" s="55">
        <f t="array" ref="I48">INDEX(М[Цена за ед., руб],MATCH(1,IF(($B48=М[Наим.])*($C48=М[Артикул, марка, произв.])*($D48=М[Хар-ка])*($K48=М[Прим.]),{1},($B48=М[Наим.])*($C48=М[Артикул, марка, произв.])*($D48=М[Хар-ка])*($K48=М[Прим.])),0))</f>
        <v>0</v>
      </c>
      <c r="J48" s="55">
        <f>ROUND($H$48*$I$48,2)</f>
        <v>0</v>
      </c>
      <c r="K48" s="25"/>
      <c r="L48" s="25">
        <f t="array" ref="L48">INDEX(М[Форма закупа],MATCH(1,IF(($B48=М[Наим.])*($C48=М[Артикул, марка, произв.])*($D48=М[Хар-ка])*($K48=М[Прим.]),{1},($B48=М[Наим.])*($C48=М[Артикул, марка, произв.])*($D48=М[Хар-ка])*($K48=М[Прим.])),0))</f>
        <v>0</v>
      </c>
    </row>
    <row r="49" spans="1:12" outlineLevel="4" x14ac:dyDescent="0.2">
      <c r="A49" s="20"/>
      <c r="B49" s="14" t="s">
        <v>22</v>
      </c>
      <c r="C49" s="21"/>
      <c r="D49" s="21"/>
      <c r="E49" s="21"/>
      <c r="F49" s="21"/>
      <c r="G49" s="21"/>
      <c r="H49" s="21"/>
      <c r="I49" s="53"/>
      <c r="J49" s="54">
        <f>SUM($J$50)</f>
        <v>0</v>
      </c>
      <c r="K49" s="18"/>
      <c r="L49" s="22"/>
    </row>
    <row r="50" spans="1:12" outlineLevel="4" x14ac:dyDescent="0.2">
      <c r="A50" s="23"/>
      <c r="B50" s="24" t="s">
        <v>64</v>
      </c>
      <c r="C50" s="25"/>
      <c r="D50" s="25"/>
      <c r="E50" s="26" t="s">
        <v>65</v>
      </c>
      <c r="F50" s="27"/>
      <c r="G50" s="29">
        <v>652.4</v>
      </c>
      <c r="H50" s="29">
        <f>SUM($G$50:$G$50)</f>
        <v>652.4</v>
      </c>
      <c r="I50" s="55">
        <f t="array" ref="I50">INDEX(Р[Цена за ед., руб],MATCH(1,IF(($B50=Р[Наименование])*($K50=Р[Примечание]),{1},($B50=Р[Наименование])*($K50=Р[Примечание])),0))</f>
        <v>0</v>
      </c>
      <c r="J50" s="55">
        <f>ROUND($H$50*$I$50,2)</f>
        <v>0</v>
      </c>
      <c r="K50" s="25"/>
      <c r="L50" s="25"/>
    </row>
    <row r="51" spans="1:12" outlineLevel="4" x14ac:dyDescent="0.2">
      <c r="A51" s="20"/>
      <c r="B51" s="14" t="s">
        <v>26</v>
      </c>
      <c r="C51" s="21"/>
      <c r="D51" s="21"/>
      <c r="E51" s="21"/>
      <c r="F51" s="21"/>
      <c r="G51" s="21"/>
      <c r="H51" s="21"/>
      <c r="I51" s="53"/>
      <c r="J51" s="54">
        <f>SUM($J$52:$J$54)</f>
        <v>0</v>
      </c>
      <c r="K51" s="18"/>
      <c r="L51" s="22"/>
    </row>
    <row r="52" spans="1:12" ht="22.5" outlineLevel="4" x14ac:dyDescent="0.2">
      <c r="A52" s="82" t="s">
        <v>27</v>
      </c>
      <c r="B52" s="24" t="s">
        <v>66</v>
      </c>
      <c r="C52" s="25"/>
      <c r="D52" s="25" t="s">
        <v>67</v>
      </c>
      <c r="E52" s="26" t="s">
        <v>65</v>
      </c>
      <c r="F52" s="27"/>
      <c r="G52" s="28">
        <v>80</v>
      </c>
      <c r="H52" s="28">
        <f>SUM($G$52:$G$52)</f>
        <v>80</v>
      </c>
      <c r="I52" s="55">
        <f t="array" ref="I52">INDEX(М[Цена за ед., руб],MATCH(1,IF(($B52=М[Наим.])*($C52=М[Артикул, марка, произв.])*($D52=М[Хар-ка])*($K52=М[Прим.]),{1},($B52=М[Наим.])*($C52=М[Артикул, марка, произв.])*($D52=М[Хар-ка])*($K52=М[Прим.])),0))</f>
        <v>0</v>
      </c>
      <c r="J52" s="55">
        <f>ROUND($H$52*$I$52,2)</f>
        <v>0</v>
      </c>
      <c r="K52" s="25"/>
      <c r="L52" s="25">
        <f t="array" ref="L52">INDEX(М[Форма закупа],MATCH(1,IF(($B52=М[Наим.])*($C52=М[Артикул, марка, произв.])*($D52=М[Хар-ка])*($K52=М[Прим.]),{1},($B52=М[Наим.])*($C52=М[Артикул, марка, произв.])*($D52=М[Хар-ка])*($K52=М[Прим.])),0))</f>
        <v>0</v>
      </c>
    </row>
    <row r="53" spans="1:12" ht="22.5" outlineLevel="4" x14ac:dyDescent="0.2">
      <c r="A53" s="82" t="s">
        <v>33</v>
      </c>
      <c r="B53" s="24" t="s">
        <v>66</v>
      </c>
      <c r="C53" s="25"/>
      <c r="D53" s="25" t="s">
        <v>68</v>
      </c>
      <c r="E53" s="26" t="s">
        <v>65</v>
      </c>
      <c r="F53" s="27"/>
      <c r="G53" s="29">
        <v>42.4</v>
      </c>
      <c r="H53" s="29">
        <f>SUM($G$53:$G$53)</f>
        <v>42.4</v>
      </c>
      <c r="I53" s="55">
        <f t="array" ref="I53">INDEX(М[Цена за ед., руб],MATCH(1,IF(($B53=М[Наим.])*($C53=М[Артикул, марка, произв.])*($D53=М[Хар-ка])*($K53=М[Прим.]),{1},($B53=М[Наим.])*($C53=М[Артикул, марка, произв.])*($D53=М[Хар-ка])*($K53=М[Прим.])),0))</f>
        <v>0</v>
      </c>
      <c r="J53" s="55">
        <f>ROUND($H$53*$I$53,2)</f>
        <v>0</v>
      </c>
      <c r="K53" s="25"/>
      <c r="L53" s="25">
        <f t="array" ref="L53">INDEX(М[Форма закупа],MATCH(1,IF(($B53=М[Наим.])*($C53=М[Артикул, марка, произв.])*($D53=М[Хар-ка])*($K53=М[Прим.]),{1},($B53=М[Наим.])*($C53=М[Артикул, марка, произв.])*($D53=М[Хар-ка])*($K53=М[Прим.])),0))</f>
        <v>0</v>
      </c>
    </row>
    <row r="54" spans="1:12" ht="22.5" outlineLevel="4" x14ac:dyDescent="0.2">
      <c r="A54" s="82" t="s">
        <v>41</v>
      </c>
      <c r="B54" s="24" t="s">
        <v>66</v>
      </c>
      <c r="C54" s="25"/>
      <c r="D54" s="25" t="s">
        <v>69</v>
      </c>
      <c r="E54" s="26" t="s">
        <v>65</v>
      </c>
      <c r="F54" s="27"/>
      <c r="G54" s="28">
        <v>530</v>
      </c>
      <c r="H54" s="28">
        <f>SUM($G$54:$G$54)</f>
        <v>530</v>
      </c>
      <c r="I54" s="55">
        <f t="array" ref="I54">INDEX(М[Цена за ед., руб],MATCH(1,IF(($B54=М[Наим.])*($C54=М[Артикул, марка, произв.])*($D54=М[Хар-ка])*($K54=М[Прим.]),{1},($B54=М[Наим.])*($C54=М[Артикул, марка, произв.])*($D54=М[Хар-ка])*($K54=М[Прим.])),0))</f>
        <v>0</v>
      </c>
      <c r="J54" s="55">
        <f>ROUND($H$54*$I$54,2)</f>
        <v>0</v>
      </c>
      <c r="K54" s="25"/>
      <c r="L54" s="25">
        <f t="array" ref="L54">INDEX(М[Форма закупа],MATCH(1,IF(($B54=М[Наим.])*($C54=М[Артикул, марка, произв.])*($D54=М[Хар-ка])*($K54=М[Прим.]),{1},($B54=М[Наим.])*($C54=М[Артикул, марка, произв.])*($D54=М[Хар-ка])*($K54=М[Прим.])),0))</f>
        <v>0</v>
      </c>
    </row>
    <row r="55" spans="1:12" s="67" customFormat="1" outlineLevel="4" x14ac:dyDescent="0.2">
      <c r="A55" s="57"/>
      <c r="B55" s="58" t="s">
        <v>26</v>
      </c>
      <c r="C55" s="62"/>
      <c r="D55" s="62"/>
      <c r="E55" s="62"/>
      <c r="F55" s="62"/>
      <c r="G55" s="62"/>
      <c r="H55" s="62"/>
      <c r="I55" s="63"/>
      <c r="J55" s="64">
        <f ca="1">SUM(J56:J57)</f>
        <v>0</v>
      </c>
      <c r="K55" s="65"/>
      <c r="L55" s="66"/>
    </row>
    <row r="56" spans="1:12" ht="22.5" outlineLevel="4" x14ac:dyDescent="0.2">
      <c r="A56" s="83">
        <v>1</v>
      </c>
      <c r="B56" s="60" t="s">
        <v>91</v>
      </c>
      <c r="C56" s="25"/>
      <c r="D56" s="25"/>
      <c r="E56" s="70" t="s">
        <v>70</v>
      </c>
      <c r="F56" s="27"/>
      <c r="G56" s="28"/>
      <c r="H56" s="68">
        <f ca="1">SUMIF(М[[Наим.]:[Сумма, руб]],B56,М[Количество])</f>
        <v>0</v>
      </c>
      <c r="I56" s="69"/>
      <c r="J56" s="69">
        <f ca="1">ROUND(SUM(J52:J54)*H56%,3)</f>
        <v>0</v>
      </c>
      <c r="K56" s="71" t="s">
        <v>93</v>
      </c>
      <c r="L56" s="72">
        <f t="array" ref="L56">INDEX(М[Форма закупа],MATCH(1,IF(($B56=М[Наим.])*($C56=М[Артикул, марка, произв.])*($D56=М[Хар-ка])*($K56=М[Прим.]),{1},($B56=М[Наим.])*($C56=М[Артикул, марка, произв.])*($D56=М[Хар-ка])*($K56=М[Прим.])),0))</f>
        <v>0</v>
      </c>
    </row>
    <row r="57" spans="1:12" ht="22.5" outlineLevel="4" x14ac:dyDescent="0.2">
      <c r="A57" s="59">
        <v>2</v>
      </c>
      <c r="B57" s="60" t="s">
        <v>92</v>
      </c>
      <c r="C57" s="25"/>
      <c r="D57" s="25"/>
      <c r="E57" s="70" t="s">
        <v>70</v>
      </c>
      <c r="F57" s="27"/>
      <c r="G57" s="28"/>
      <c r="H57" s="68">
        <f ca="1">SUMIF(М[[Наим.]:[Сумма, руб]],B57,М[Количество])</f>
        <v>0</v>
      </c>
      <c r="I57" s="69"/>
      <c r="J57" s="69">
        <f ca="1">ROUND(SUM(J17,J21:J22,J26:J28,J32,J36:J37,J41:J42,J46:J48,J52:J54)*H57%,3)</f>
        <v>0</v>
      </c>
      <c r="K57" s="71" t="s">
        <v>93</v>
      </c>
      <c r="L57" s="72">
        <f t="array" ref="L57">INDEX(М[Форма закупа],MATCH(1,IF(($B57=М[Наим.])*($C57=М[Артикул, марка, произв.])*($D57=М[Хар-ка])*($K57=М[Прим.]),{1},($B57=М[Наим.])*($C57=М[Артикул, марка, произв.])*($D57=М[Хар-ка])*($K57=М[Прим.])),0))</f>
        <v>0</v>
      </c>
    </row>
    <row r="58" spans="1:12" outlineLevel="2" x14ac:dyDescent="0.2">
      <c r="A58" s="13" t="s">
        <v>71</v>
      </c>
      <c r="B58" s="14" t="s">
        <v>72</v>
      </c>
      <c r="C58" s="15"/>
      <c r="D58" s="15"/>
      <c r="E58" s="16"/>
      <c r="F58" s="17"/>
      <c r="G58" s="18"/>
      <c r="H58" s="18"/>
      <c r="I58" s="52"/>
      <c r="J58" s="52">
        <f>SUM($J$59)</f>
        <v>0</v>
      </c>
      <c r="K58" s="19"/>
      <c r="L58" s="19"/>
    </row>
    <row r="59" spans="1:12" outlineLevel="3" x14ac:dyDescent="0.2">
      <c r="A59" s="13" t="s">
        <v>73</v>
      </c>
      <c r="B59" s="14" t="s">
        <v>72</v>
      </c>
      <c r="C59" s="15"/>
      <c r="D59" s="15"/>
      <c r="E59" s="16"/>
      <c r="F59" s="17"/>
      <c r="G59" s="18"/>
      <c r="H59" s="18"/>
      <c r="I59" s="52"/>
      <c r="J59" s="52">
        <f>SUM($J$60)</f>
        <v>0</v>
      </c>
      <c r="K59" s="19"/>
      <c r="L59" s="19"/>
    </row>
    <row r="60" spans="1:12" outlineLevel="4" x14ac:dyDescent="0.2">
      <c r="A60" s="20"/>
      <c r="B60" s="14" t="s">
        <v>22</v>
      </c>
      <c r="C60" s="21"/>
      <c r="D60" s="21"/>
      <c r="E60" s="21"/>
      <c r="F60" s="21"/>
      <c r="G60" s="21"/>
      <c r="H60" s="21"/>
      <c r="I60" s="53"/>
      <c r="J60" s="54">
        <f>SUM($J$61)</f>
        <v>0</v>
      </c>
      <c r="K60" s="18"/>
      <c r="L60" s="22"/>
    </row>
    <row r="61" spans="1:12" ht="33.75" outlineLevel="4" x14ac:dyDescent="0.2">
      <c r="A61" s="23"/>
      <c r="B61" s="24" t="s">
        <v>74</v>
      </c>
      <c r="C61" s="25"/>
      <c r="D61" s="25"/>
      <c r="E61" s="26" t="s">
        <v>75</v>
      </c>
      <c r="F61" s="27"/>
      <c r="G61" s="28">
        <v>1</v>
      </c>
      <c r="H61" s="28">
        <f>SUM($G$61:$G$61)</f>
        <v>1</v>
      </c>
      <c r="I61" s="55">
        <f t="array" ref="I61">INDEX(Р[Цена за ед., руб],MATCH(1,IF(($B61=Р[Наименование])*($K61=Р[Примечание]),{1},($B61=Р[Наименование])*($K61=Р[Примечание])),0))</f>
        <v>0</v>
      </c>
      <c r="J61" s="55">
        <f>ROUND($H$61*$I$61,2)</f>
        <v>0</v>
      </c>
      <c r="K61" s="25"/>
      <c r="L61" s="25"/>
    </row>
    <row r="62" spans="1:12" x14ac:dyDescent="0.2">
      <c r="A62" s="92" t="s">
        <v>95</v>
      </c>
      <c r="B62" s="93"/>
      <c r="C62" s="93"/>
      <c r="D62" s="93"/>
      <c r="E62" s="93"/>
      <c r="F62" s="93"/>
      <c r="G62" s="93"/>
      <c r="H62" s="93"/>
      <c r="I62" s="94"/>
      <c r="J62" s="56">
        <f ca="1">$J$9</f>
        <v>0</v>
      </c>
      <c r="K62" s="30"/>
      <c r="L62" s="30"/>
    </row>
    <row r="63" spans="1:12" x14ac:dyDescent="0.2">
      <c r="A63" s="95" t="s">
        <v>76</v>
      </c>
      <c r="B63" s="96"/>
      <c r="C63" s="96"/>
      <c r="D63" s="96"/>
      <c r="E63" s="96"/>
      <c r="F63" s="96"/>
      <c r="G63" s="96"/>
      <c r="H63" s="96"/>
      <c r="I63" s="97"/>
      <c r="J63" s="56">
        <f>SUM($J$60,$J$49,$J$43,$J$38,$J$33,$J$29,$J$23,$J$18,$J$14,$J$12)</f>
        <v>0</v>
      </c>
      <c r="K63" s="30"/>
      <c r="L63" s="30"/>
    </row>
    <row r="64" spans="1:12" x14ac:dyDescent="0.2">
      <c r="A64" s="95" t="s">
        <v>77</v>
      </c>
      <c r="B64" s="96"/>
      <c r="C64" s="96"/>
      <c r="D64" s="96"/>
      <c r="E64" s="96"/>
      <c r="F64" s="96"/>
      <c r="G64" s="96"/>
      <c r="H64" s="96"/>
      <c r="I64" s="97"/>
      <c r="J64" s="56">
        <f ca="1">SUM($J$51,$J$45,$J$40,$J$35,$J$31,$J$25,$J$20,$J$16,J55)</f>
        <v>0</v>
      </c>
      <c r="K64" s="30"/>
      <c r="L64" s="30"/>
    </row>
    <row r="65" spans="1:20" x14ac:dyDescent="0.2">
      <c r="A65" s="98" t="s">
        <v>94</v>
      </c>
      <c r="B65" s="99"/>
      <c r="C65" s="99"/>
      <c r="D65" s="99"/>
      <c r="E65" s="99"/>
      <c r="F65" s="99"/>
      <c r="G65" s="99"/>
      <c r="H65" s="99"/>
      <c r="I65" s="100"/>
      <c r="J65" s="61"/>
      <c r="K65" s="73" t="s">
        <v>96</v>
      </c>
      <c r="L65" s="30"/>
    </row>
    <row r="66" spans="1:20" x14ac:dyDescent="0.2">
      <c r="A66" s="31"/>
      <c r="B66" s="84" t="s">
        <v>78</v>
      </c>
      <c r="C66" s="84"/>
      <c r="D66" s="84"/>
      <c r="E66" s="84"/>
      <c r="F66" s="84"/>
      <c r="G66" s="84"/>
      <c r="H66" s="84"/>
      <c r="I66" s="85"/>
      <c r="J66" s="85"/>
      <c r="K66" s="84"/>
      <c r="L66" s="31"/>
    </row>
    <row r="67" spans="1:20" x14ac:dyDescent="0.2">
      <c r="B67" s="86"/>
      <c r="C67" s="86"/>
      <c r="D67" s="86"/>
      <c r="E67" s="86"/>
      <c r="F67" s="86"/>
      <c r="G67" s="86"/>
      <c r="H67" s="86"/>
      <c r="I67" s="87"/>
      <c r="J67" s="87"/>
      <c r="K67" s="86"/>
    </row>
    <row r="68" spans="1:20" ht="46.5" customHeight="1" x14ac:dyDescent="0.25">
      <c r="A68" s="74"/>
      <c r="B68" s="75" t="s">
        <v>97</v>
      </c>
      <c r="C68" s="76"/>
      <c r="D68" s="76"/>
      <c r="E68" s="76"/>
      <c r="F68" s="76"/>
      <c r="G68" s="76"/>
      <c r="H68" s="76"/>
      <c r="I68" s="76"/>
      <c r="J68" s="76"/>
      <c r="K68" s="76"/>
      <c r="L68" s="76"/>
      <c r="M68" s="76"/>
      <c r="N68" s="76"/>
      <c r="O68" s="77"/>
      <c r="P68" s="78"/>
    </row>
    <row r="69" spans="1:20" ht="15.75" x14ac:dyDescent="0.2">
      <c r="A69" s="74"/>
      <c r="B69" s="111" t="s">
        <v>98</v>
      </c>
      <c r="C69" s="111"/>
      <c r="D69" s="111"/>
      <c r="E69" s="111"/>
      <c r="F69" s="111"/>
      <c r="G69" s="111"/>
      <c r="H69" s="111"/>
      <c r="I69" s="111"/>
      <c r="J69" s="111"/>
      <c r="K69" s="111"/>
      <c r="L69" s="111"/>
      <c r="M69" s="111"/>
      <c r="N69" s="111"/>
      <c r="O69" s="111"/>
      <c r="P69" s="111"/>
    </row>
    <row r="70" spans="1:20" ht="15.75" x14ac:dyDescent="0.2">
      <c r="A70" s="74"/>
      <c r="B70" s="111" t="s">
        <v>99</v>
      </c>
      <c r="C70" s="111"/>
      <c r="D70" s="111"/>
      <c r="E70" s="111"/>
      <c r="F70" s="111"/>
      <c r="G70" s="111"/>
      <c r="H70" s="111"/>
      <c r="I70" s="111"/>
      <c r="J70" s="111"/>
      <c r="K70" s="111"/>
      <c r="L70" s="111"/>
      <c r="M70" s="111"/>
      <c r="N70" s="111"/>
      <c r="O70" s="111"/>
      <c r="P70" s="111"/>
    </row>
    <row r="71" spans="1:20" ht="46.5" customHeight="1" x14ac:dyDescent="0.2">
      <c r="A71" s="74"/>
      <c r="B71" s="112" t="s">
        <v>100</v>
      </c>
      <c r="C71" s="112"/>
      <c r="D71" s="112"/>
      <c r="E71" s="112"/>
      <c r="F71" s="112"/>
      <c r="G71" s="112"/>
      <c r="H71" s="112"/>
      <c r="I71" s="112"/>
      <c r="J71" s="112"/>
      <c r="K71" s="112"/>
      <c r="L71" s="112"/>
      <c r="M71" s="112"/>
      <c r="N71" s="112"/>
      <c r="O71" s="112"/>
      <c r="P71" s="112"/>
    </row>
    <row r="72" spans="1:20" ht="46.5" customHeight="1" x14ac:dyDescent="0.2">
      <c r="A72" s="74"/>
      <c r="B72" s="113" t="s">
        <v>101</v>
      </c>
      <c r="C72" s="113"/>
      <c r="D72" s="113"/>
      <c r="E72" s="113"/>
      <c r="F72" s="113"/>
      <c r="G72" s="113"/>
      <c r="H72" s="113"/>
      <c r="I72" s="113"/>
      <c r="J72" s="113"/>
      <c r="K72" s="113"/>
      <c r="L72" s="113"/>
      <c r="M72" s="113"/>
      <c r="N72" s="113"/>
      <c r="O72" s="113"/>
      <c r="P72" s="113"/>
    </row>
    <row r="73" spans="1:20" ht="15.75" x14ac:dyDescent="0.2">
      <c r="A73" s="74"/>
      <c r="B73" s="114" t="s">
        <v>102</v>
      </c>
      <c r="C73" s="114"/>
      <c r="D73" s="114"/>
      <c r="E73" s="114"/>
      <c r="F73" s="114"/>
      <c r="G73" s="114"/>
      <c r="H73" s="114"/>
      <c r="I73" s="114"/>
      <c r="J73" s="114"/>
      <c r="K73" s="114"/>
      <c r="L73" s="114"/>
      <c r="M73" s="114"/>
      <c r="N73" s="114"/>
      <c r="O73" s="114"/>
      <c r="P73" s="114"/>
    </row>
    <row r="74" spans="1:20" ht="15.75" x14ac:dyDescent="0.2">
      <c r="B74" s="109" t="s">
        <v>103</v>
      </c>
      <c r="C74" s="109"/>
      <c r="D74" s="109"/>
      <c r="E74" s="109"/>
      <c r="F74" s="109"/>
      <c r="G74" s="109"/>
      <c r="H74" s="109"/>
      <c r="I74" s="109"/>
      <c r="J74" s="109"/>
      <c r="K74" s="109"/>
      <c r="L74" s="109"/>
      <c r="M74" s="109"/>
      <c r="N74" s="109"/>
      <c r="O74" s="109"/>
      <c r="P74" s="109"/>
      <c r="Q74" s="74"/>
      <c r="R74" s="74"/>
      <c r="S74" s="74"/>
      <c r="T74" s="74"/>
    </row>
    <row r="75" spans="1:20" ht="46.5" customHeight="1" x14ac:dyDescent="0.2">
      <c r="B75" s="110" t="s">
        <v>104</v>
      </c>
      <c r="C75" s="110"/>
      <c r="D75" s="110"/>
      <c r="E75" s="110"/>
      <c r="F75" s="110"/>
      <c r="G75" s="110"/>
      <c r="H75" s="110"/>
      <c r="I75" s="110"/>
      <c r="J75" s="110"/>
      <c r="K75" s="110"/>
      <c r="L75" s="110"/>
      <c r="M75" s="110"/>
      <c r="N75" s="110"/>
      <c r="O75" s="110"/>
      <c r="P75" s="110"/>
      <c r="Q75" s="110"/>
      <c r="R75" s="110"/>
      <c r="S75" s="110"/>
      <c r="T75" s="110"/>
    </row>
  </sheetData>
  <autoFilter ref="A7:L66" xr:uid="{00000000-0001-0000-0000-000000000000}"/>
  <mergeCells count="28">
    <mergeCell ref="B74:P74"/>
    <mergeCell ref="B75:T75"/>
    <mergeCell ref="B69:P69"/>
    <mergeCell ref="B70:P70"/>
    <mergeCell ref="B71:P71"/>
    <mergeCell ref="B72:P72"/>
    <mergeCell ref="B73:P73"/>
    <mergeCell ref="B2:J2"/>
    <mergeCell ref="B3:J3"/>
    <mergeCell ref="B4:J4"/>
    <mergeCell ref="A6:A7"/>
    <mergeCell ref="B6:B7"/>
    <mergeCell ref="C6:C7"/>
    <mergeCell ref="D6:D7"/>
    <mergeCell ref="E6:E7"/>
    <mergeCell ref="F6:F7"/>
    <mergeCell ref="G6:G7"/>
    <mergeCell ref="H6:H7"/>
    <mergeCell ref="I6:I7"/>
    <mergeCell ref="J6:J7"/>
    <mergeCell ref="B66:K66"/>
    <mergeCell ref="B67:K67"/>
    <mergeCell ref="K6:K7"/>
    <mergeCell ref="L6:L7"/>
    <mergeCell ref="A62:I62"/>
    <mergeCell ref="A63:I63"/>
    <mergeCell ref="A64:I64"/>
    <mergeCell ref="A65:I65"/>
  </mergeCells>
  <pageMargins left="0.39370078740157483" right="0.39370078740157483" top="0.39370078740157483" bottom="0.39370078740157483" header="0" footer="0"/>
  <pageSetup paperSize="9" pageOrder="overThenDown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autoPageBreaks="0"/>
  </sheetPr>
  <dimension ref="A1:F16"/>
  <sheetViews>
    <sheetView workbookViewId="0">
      <pane ySplit="3" topLeftCell="A4" activePane="bottomLeft" state="frozen"/>
      <selection pane="bottomLeft" activeCell="D4" sqref="D4:D13"/>
    </sheetView>
  </sheetViews>
  <sheetFormatPr defaultColWidth="10.5" defaultRowHeight="11.45" customHeight="1" x14ac:dyDescent="0.2"/>
  <cols>
    <col min="1" max="1" width="57.33203125" style="1" customWidth="1"/>
    <col min="2" max="2" width="10.6640625" style="1" customWidth="1"/>
    <col min="3" max="3" width="14.6640625" style="1" customWidth="1"/>
    <col min="4" max="4" width="18.33203125" style="1" customWidth="1"/>
    <col min="5" max="5" width="17" style="1" customWidth="1"/>
    <col min="6" max="6" width="36.33203125" style="1" customWidth="1"/>
  </cols>
  <sheetData>
    <row r="1" spans="1:6" ht="11.1" customHeight="1" x14ac:dyDescent="0.2">
      <c r="A1" s="115" t="s">
        <v>79</v>
      </c>
      <c r="B1" s="115"/>
      <c r="C1" s="115"/>
      <c r="D1" s="115"/>
      <c r="E1" s="115"/>
      <c r="F1" s="115"/>
    </row>
    <row r="3" spans="1:6" ht="11.1" customHeight="1" x14ac:dyDescent="0.2">
      <c r="A3" s="38" t="s">
        <v>4</v>
      </c>
      <c r="B3" s="2" t="s">
        <v>7</v>
      </c>
      <c r="C3" s="2" t="s">
        <v>10</v>
      </c>
      <c r="D3" s="45" t="s">
        <v>11</v>
      </c>
      <c r="E3" s="45" t="s">
        <v>12</v>
      </c>
      <c r="F3" s="39" t="s">
        <v>13</v>
      </c>
    </row>
    <row r="4" spans="1:6" ht="11.1" customHeight="1" x14ac:dyDescent="0.2">
      <c r="A4" s="36" t="s">
        <v>23</v>
      </c>
      <c r="B4" s="32" t="s">
        <v>24</v>
      </c>
      <c r="C4" s="33">
        <v>104</v>
      </c>
      <c r="D4" s="46"/>
      <c r="E4" s="46">
        <f>ROUND(Р[[#This Row],[Количество]]*Р[[#This Row],[Цена за ед., руб]],2)</f>
        <v>0</v>
      </c>
      <c r="F4" s="37"/>
    </row>
    <row r="5" spans="1:6" ht="11.1" customHeight="1" x14ac:dyDescent="0.2">
      <c r="A5" s="36" t="s">
        <v>25</v>
      </c>
      <c r="B5" s="32" t="s">
        <v>24</v>
      </c>
      <c r="C5" s="33">
        <v>4</v>
      </c>
      <c r="D5" s="46"/>
      <c r="E5" s="46">
        <f>ROUND(Р[[#This Row],[Количество]]*Р[[#This Row],[Цена за ед., руб]],2)</f>
        <v>0</v>
      </c>
      <c r="F5" s="37"/>
    </row>
    <row r="6" spans="1:6" ht="11.1" customHeight="1" x14ac:dyDescent="0.2">
      <c r="A6" s="36" t="s">
        <v>30</v>
      </c>
      <c r="B6" s="32" t="s">
        <v>24</v>
      </c>
      <c r="C6" s="33">
        <v>23</v>
      </c>
      <c r="D6" s="46"/>
      <c r="E6" s="46">
        <f>ROUND(Р[[#This Row],[Количество]]*Р[[#This Row],[Цена за ед., руб]],2)</f>
        <v>0</v>
      </c>
      <c r="F6" s="37"/>
    </row>
    <row r="7" spans="1:6" ht="11.1" customHeight="1" x14ac:dyDescent="0.2">
      <c r="A7" s="36" t="s">
        <v>35</v>
      </c>
      <c r="B7" s="32" t="s">
        <v>24</v>
      </c>
      <c r="C7" s="33">
        <v>100</v>
      </c>
      <c r="D7" s="46"/>
      <c r="E7" s="46">
        <f>ROUND(Р[[#This Row],[Количество]]*Р[[#This Row],[Цена за ед., руб]],2)</f>
        <v>0</v>
      </c>
      <c r="F7" s="37"/>
    </row>
    <row r="8" spans="1:6" ht="11.1" customHeight="1" x14ac:dyDescent="0.2">
      <c r="A8" s="36" t="s">
        <v>44</v>
      </c>
      <c r="B8" s="32" t="s">
        <v>24</v>
      </c>
      <c r="C8" s="33">
        <v>3</v>
      </c>
      <c r="D8" s="46"/>
      <c r="E8" s="46">
        <f>ROUND(Р[[#This Row],[Количество]]*Р[[#This Row],[Цена за ед., руб]],2)</f>
        <v>0</v>
      </c>
      <c r="F8" s="37"/>
    </row>
    <row r="9" spans="1:6" ht="11.1" customHeight="1" x14ac:dyDescent="0.2">
      <c r="A9" s="36" t="s">
        <v>47</v>
      </c>
      <c r="B9" s="32" t="s">
        <v>24</v>
      </c>
      <c r="C9" s="33">
        <v>8</v>
      </c>
      <c r="D9" s="46"/>
      <c r="E9" s="46">
        <f>ROUND(Р[[#This Row],[Количество]]*Р[[#This Row],[Цена за ед., руб]],2)</f>
        <v>0</v>
      </c>
      <c r="F9" s="37"/>
    </row>
    <row r="10" spans="1:6" ht="11.1" customHeight="1" x14ac:dyDescent="0.2">
      <c r="A10" s="36" t="s">
        <v>52</v>
      </c>
      <c r="B10" s="32" t="s">
        <v>24</v>
      </c>
      <c r="C10" s="33">
        <v>2</v>
      </c>
      <c r="D10" s="46"/>
      <c r="E10" s="46">
        <f>ROUND(Р[[#This Row],[Количество]]*Р[[#This Row],[Цена за ед., руб]],2)</f>
        <v>0</v>
      </c>
      <c r="F10" s="37"/>
    </row>
    <row r="11" spans="1:6" ht="11.1" customHeight="1" x14ac:dyDescent="0.2">
      <c r="A11" s="36" t="s">
        <v>58</v>
      </c>
      <c r="B11" s="32" t="s">
        <v>24</v>
      </c>
      <c r="C11" s="33">
        <v>52</v>
      </c>
      <c r="D11" s="46"/>
      <c r="E11" s="46">
        <f>ROUND(Р[[#This Row],[Количество]]*Р[[#This Row],[Цена за ед., руб]],2)</f>
        <v>0</v>
      </c>
      <c r="F11" s="37"/>
    </row>
    <row r="12" spans="1:6" ht="11.1" customHeight="1" x14ac:dyDescent="0.2">
      <c r="A12" s="36" t="s">
        <v>64</v>
      </c>
      <c r="B12" s="32" t="s">
        <v>65</v>
      </c>
      <c r="C12" s="35">
        <v>652.4</v>
      </c>
      <c r="D12" s="46"/>
      <c r="E12" s="46">
        <f>ROUND(Р[[#This Row],[Количество]]*Р[[#This Row],[Цена за ед., руб]],2)</f>
        <v>0</v>
      </c>
      <c r="F12" s="37"/>
    </row>
    <row r="13" spans="1:6" ht="23.1" customHeight="1" x14ac:dyDescent="0.2">
      <c r="A13" s="40" t="s">
        <v>74</v>
      </c>
      <c r="B13" s="41" t="s">
        <v>75</v>
      </c>
      <c r="C13" s="42">
        <v>1</v>
      </c>
      <c r="D13" s="46"/>
      <c r="E13" s="47">
        <f>ROUND(Р[[#This Row],[Количество]]*Р[[#This Row],[Цена за ед., руб]],2)</f>
        <v>0</v>
      </c>
      <c r="F13" s="44"/>
    </row>
    <row r="14" spans="1:6" ht="11.45" customHeight="1" x14ac:dyDescent="0.2">
      <c r="A14" s="40" t="s">
        <v>90</v>
      </c>
      <c r="B14" s="41"/>
      <c r="C14" s="43"/>
      <c r="D14" s="47"/>
      <c r="E14" s="47">
        <f>SUBTOTAL(109,Р[Сумма, руб])</f>
        <v>0</v>
      </c>
      <c r="F14" s="44"/>
    </row>
    <row r="16" spans="1:6" ht="11.45" customHeight="1" x14ac:dyDescent="0.2">
      <c r="D16" s="80" t="s">
        <v>105</v>
      </c>
      <c r="E16" s="81">
        <f>ЛСР!J63-Р[[#Totals],[Сумма, руб]]</f>
        <v>0</v>
      </c>
    </row>
  </sheetData>
  <mergeCells count="1">
    <mergeCell ref="A1:F1"/>
  </mergeCell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  <pageSetUpPr autoPageBreaks="0"/>
  </sheetPr>
  <dimension ref="A1:I25"/>
  <sheetViews>
    <sheetView workbookViewId="0">
      <pane ySplit="3" topLeftCell="A4" activePane="bottomLeft" state="frozen"/>
      <selection pane="bottomLeft" activeCell="I4" sqref="I4:I22"/>
    </sheetView>
  </sheetViews>
  <sheetFormatPr defaultColWidth="10.5" defaultRowHeight="11.25" x14ac:dyDescent="0.2"/>
  <cols>
    <col min="1" max="1" width="51.6640625" style="1" customWidth="1"/>
    <col min="2" max="2" width="26" style="1" customWidth="1"/>
    <col min="3" max="3" width="28.5" style="1" customWidth="1"/>
    <col min="4" max="4" width="10.6640625" style="1" customWidth="1"/>
    <col min="5" max="5" width="14.6640625" style="1" customWidth="1"/>
    <col min="6" max="6" width="18.33203125" style="1" customWidth="1"/>
    <col min="7" max="7" width="17" style="1" customWidth="1"/>
    <col min="8" max="8" width="36.5" style="1" customWidth="1"/>
    <col min="9" max="9" width="23.33203125" style="1" customWidth="1"/>
  </cols>
  <sheetData>
    <row r="1" spans="1:9" x14ac:dyDescent="0.2">
      <c r="A1" s="115" t="s">
        <v>80</v>
      </c>
      <c r="B1" s="115"/>
      <c r="C1" s="115"/>
      <c r="D1" s="115"/>
      <c r="E1" s="115"/>
      <c r="F1" s="115"/>
      <c r="G1" s="115"/>
      <c r="H1" s="115"/>
    </row>
    <row r="3" spans="1:9" x14ac:dyDescent="0.2">
      <c r="A3" s="38" t="s">
        <v>81</v>
      </c>
      <c r="B3" s="48" t="s">
        <v>82</v>
      </c>
      <c r="C3" s="39" t="s">
        <v>83</v>
      </c>
      <c r="D3" s="2" t="s">
        <v>7</v>
      </c>
      <c r="E3" s="2" t="s">
        <v>10</v>
      </c>
      <c r="F3" s="45" t="s">
        <v>11</v>
      </c>
      <c r="G3" s="45" t="s">
        <v>12</v>
      </c>
      <c r="H3" s="2" t="s">
        <v>84</v>
      </c>
      <c r="I3" s="39" t="s">
        <v>85</v>
      </c>
    </row>
    <row r="4" spans="1:9" ht="33.75" x14ac:dyDescent="0.2">
      <c r="A4" s="36" t="s">
        <v>53</v>
      </c>
      <c r="B4" s="34"/>
      <c r="C4" s="34" t="s">
        <v>54</v>
      </c>
      <c r="D4" s="32" t="s">
        <v>24</v>
      </c>
      <c r="E4" s="33">
        <v>1</v>
      </c>
      <c r="F4" s="46"/>
      <c r="G4" s="46">
        <f>ROUND(М[[#This Row],[Количество]]*М[[#This Row],[Цена за ед., руб]],2)</f>
        <v>0</v>
      </c>
      <c r="H4" s="34" t="s">
        <v>55</v>
      </c>
      <c r="I4" s="37"/>
    </row>
    <row r="5" spans="1:9" ht="33.75" x14ac:dyDescent="0.2">
      <c r="A5" s="36" t="s">
        <v>53</v>
      </c>
      <c r="B5" s="34"/>
      <c r="C5" s="34" t="s">
        <v>56</v>
      </c>
      <c r="D5" s="32" t="s">
        <v>24</v>
      </c>
      <c r="E5" s="33">
        <v>1</v>
      </c>
      <c r="F5" s="46"/>
      <c r="G5" s="46">
        <f>ROUND(М[[#This Row],[Количество]]*М[[#This Row],[Цена за ед., руб]],2)</f>
        <v>0</v>
      </c>
      <c r="H5" s="34" t="s">
        <v>57</v>
      </c>
      <c r="I5" s="37"/>
    </row>
    <row r="6" spans="1:9" ht="33.75" x14ac:dyDescent="0.2">
      <c r="A6" s="36" t="s">
        <v>31</v>
      </c>
      <c r="B6" s="34"/>
      <c r="C6" s="34" t="s">
        <v>32</v>
      </c>
      <c r="D6" s="32" t="s">
        <v>24</v>
      </c>
      <c r="E6" s="33">
        <v>10</v>
      </c>
      <c r="F6" s="46"/>
      <c r="G6" s="46">
        <f>ROUND(М[[#This Row],[Количество]]*М[[#This Row],[Цена за ед., руб]],2)</f>
        <v>0</v>
      </c>
      <c r="H6" s="34"/>
      <c r="I6" s="37"/>
    </row>
    <row r="7" spans="1:9" ht="33.75" x14ac:dyDescent="0.2">
      <c r="A7" s="36" t="s">
        <v>31</v>
      </c>
      <c r="B7" s="34"/>
      <c r="C7" s="34" t="s">
        <v>34</v>
      </c>
      <c r="D7" s="32" t="s">
        <v>24</v>
      </c>
      <c r="E7" s="33">
        <v>13</v>
      </c>
      <c r="F7" s="46"/>
      <c r="G7" s="46">
        <f>ROUND(М[[#This Row],[Количество]]*М[[#This Row],[Цена за ед., руб]],2)</f>
        <v>0</v>
      </c>
      <c r="H7" s="34"/>
      <c r="I7" s="37"/>
    </row>
    <row r="8" spans="1:9" x14ac:dyDescent="0.2">
      <c r="A8" s="36" t="s">
        <v>66</v>
      </c>
      <c r="B8" s="34"/>
      <c r="C8" s="34" t="s">
        <v>67</v>
      </c>
      <c r="D8" s="32" t="s">
        <v>65</v>
      </c>
      <c r="E8" s="33">
        <v>80</v>
      </c>
      <c r="F8" s="46"/>
      <c r="G8" s="46">
        <f>ROUND(М[[#This Row],[Количество]]*М[[#This Row],[Цена за ед., руб]],2)</f>
        <v>0</v>
      </c>
      <c r="H8" s="34"/>
      <c r="I8" s="37"/>
    </row>
    <row r="9" spans="1:9" x14ac:dyDescent="0.2">
      <c r="A9" s="36" t="s">
        <v>66</v>
      </c>
      <c r="B9" s="34"/>
      <c r="C9" s="34" t="s">
        <v>68</v>
      </c>
      <c r="D9" s="32" t="s">
        <v>65</v>
      </c>
      <c r="E9" s="35">
        <v>42.4</v>
      </c>
      <c r="F9" s="46"/>
      <c r="G9" s="46">
        <f>ROUND(М[[#This Row],[Количество]]*М[[#This Row],[Цена за ед., руб]],2)</f>
        <v>0</v>
      </c>
      <c r="H9" s="34"/>
      <c r="I9" s="37"/>
    </row>
    <row r="10" spans="1:9" x14ac:dyDescent="0.2">
      <c r="A10" s="36" t="s">
        <v>66</v>
      </c>
      <c r="B10" s="34"/>
      <c r="C10" s="34" t="s">
        <v>69</v>
      </c>
      <c r="D10" s="32" t="s">
        <v>65</v>
      </c>
      <c r="E10" s="33">
        <v>530</v>
      </c>
      <c r="F10" s="46"/>
      <c r="G10" s="46">
        <f>ROUND(М[[#This Row],[Количество]]*М[[#This Row],[Цена за ед., руб]],2)</f>
        <v>0</v>
      </c>
      <c r="H10" s="34"/>
      <c r="I10" s="37"/>
    </row>
    <row r="11" spans="1:9" x14ac:dyDescent="0.2">
      <c r="A11" s="36" t="s">
        <v>48</v>
      </c>
      <c r="B11" s="34"/>
      <c r="C11" s="34" t="s">
        <v>49</v>
      </c>
      <c r="D11" s="32" t="s">
        <v>24</v>
      </c>
      <c r="E11" s="33">
        <v>4</v>
      </c>
      <c r="F11" s="46"/>
      <c r="G11" s="46">
        <f>ROUND(М[[#This Row],[Количество]]*М[[#This Row],[Цена за ед., руб]],2)</f>
        <v>0</v>
      </c>
      <c r="H11" s="34"/>
      <c r="I11" s="37"/>
    </row>
    <row r="12" spans="1:9" x14ac:dyDescent="0.2">
      <c r="A12" s="36" t="s">
        <v>28</v>
      </c>
      <c r="B12" s="34"/>
      <c r="C12" s="34" t="s">
        <v>29</v>
      </c>
      <c r="D12" s="32" t="s">
        <v>24</v>
      </c>
      <c r="E12" s="33">
        <v>4</v>
      </c>
      <c r="F12" s="46"/>
      <c r="G12" s="46">
        <f>ROUND(М[[#This Row],[Количество]]*М[[#This Row],[Цена за ед., руб]],2)</f>
        <v>0</v>
      </c>
      <c r="H12" s="34"/>
      <c r="I12" s="37"/>
    </row>
    <row r="13" spans="1:9" ht="22.5" x14ac:dyDescent="0.2">
      <c r="A13" s="36" t="s">
        <v>36</v>
      </c>
      <c r="B13" s="34"/>
      <c r="C13" s="34" t="s">
        <v>37</v>
      </c>
      <c r="D13" s="32" t="s">
        <v>24</v>
      </c>
      <c r="E13" s="33">
        <v>100</v>
      </c>
      <c r="F13" s="46"/>
      <c r="G13" s="46">
        <f>ROUND(М[[#This Row],[Количество]]*М[[#This Row],[Цена за ед., руб]],2)</f>
        <v>0</v>
      </c>
      <c r="H13" s="34" t="s">
        <v>38</v>
      </c>
      <c r="I13" s="37"/>
    </row>
    <row r="14" spans="1:9" x14ac:dyDescent="0.2">
      <c r="A14" s="36" t="s">
        <v>39</v>
      </c>
      <c r="B14" s="34"/>
      <c r="C14" s="34" t="s">
        <v>40</v>
      </c>
      <c r="D14" s="32" t="s">
        <v>24</v>
      </c>
      <c r="E14" s="33">
        <v>100</v>
      </c>
      <c r="F14" s="46"/>
      <c r="G14" s="46">
        <f>ROUND(М[[#This Row],[Количество]]*М[[#This Row],[Цена за ед., руб]],2)</f>
        <v>0</v>
      </c>
      <c r="H14" s="34"/>
      <c r="I14" s="37"/>
    </row>
    <row r="15" spans="1:9" ht="22.5" x14ac:dyDescent="0.2">
      <c r="A15" s="36" t="s">
        <v>50</v>
      </c>
      <c r="B15" s="34"/>
      <c r="C15" s="34" t="s">
        <v>51</v>
      </c>
      <c r="D15" s="32" t="s">
        <v>24</v>
      </c>
      <c r="E15" s="33">
        <v>4</v>
      </c>
      <c r="F15" s="46"/>
      <c r="G15" s="46">
        <f>ROUND(М[[#This Row],[Количество]]*М[[#This Row],[Цена за ед., руб]],2)</f>
        <v>0</v>
      </c>
      <c r="H15" s="34"/>
      <c r="I15" s="37"/>
    </row>
    <row r="16" spans="1:9" ht="22.5" x14ac:dyDescent="0.2">
      <c r="A16" s="36" t="s">
        <v>42</v>
      </c>
      <c r="B16" s="34"/>
      <c r="C16" s="34" t="s">
        <v>43</v>
      </c>
      <c r="D16" s="32" t="s">
        <v>24</v>
      </c>
      <c r="E16" s="33">
        <v>100</v>
      </c>
      <c r="F16" s="46"/>
      <c r="G16" s="46">
        <f>ROUND(М[[#This Row],[Количество]]*М[[#This Row],[Цена за ед., руб]],2)</f>
        <v>0</v>
      </c>
      <c r="H16" s="34"/>
      <c r="I16" s="37"/>
    </row>
    <row r="17" spans="1:9" x14ac:dyDescent="0.2">
      <c r="A17" s="36" t="s">
        <v>59</v>
      </c>
      <c r="B17" s="34"/>
      <c r="C17" s="34" t="s">
        <v>60</v>
      </c>
      <c r="D17" s="32" t="s">
        <v>24</v>
      </c>
      <c r="E17" s="33">
        <v>4</v>
      </c>
      <c r="F17" s="46"/>
      <c r="G17" s="46">
        <f>ROUND(М[[#This Row],[Количество]]*М[[#This Row],[Цена за ед., руб]],2)</f>
        <v>0</v>
      </c>
      <c r="H17" s="34"/>
      <c r="I17" s="37"/>
    </row>
    <row r="18" spans="1:9" x14ac:dyDescent="0.2">
      <c r="A18" s="36" t="s">
        <v>59</v>
      </c>
      <c r="B18" s="34"/>
      <c r="C18" s="34" t="s">
        <v>61</v>
      </c>
      <c r="D18" s="32" t="s">
        <v>24</v>
      </c>
      <c r="E18" s="33">
        <v>48</v>
      </c>
      <c r="F18" s="46"/>
      <c r="G18" s="46">
        <f>ROUND(М[[#This Row],[Количество]]*М[[#This Row],[Цена за ед., руб]],2)</f>
        <v>0</v>
      </c>
      <c r="H18" s="34"/>
      <c r="I18" s="37"/>
    </row>
    <row r="19" spans="1:9" x14ac:dyDescent="0.2">
      <c r="A19" s="36" t="s">
        <v>62</v>
      </c>
      <c r="B19" s="34"/>
      <c r="C19" s="34" t="s">
        <v>63</v>
      </c>
      <c r="D19" s="32" t="s">
        <v>24</v>
      </c>
      <c r="E19" s="33">
        <v>4</v>
      </c>
      <c r="F19" s="46"/>
      <c r="G19" s="46">
        <f>ROUND(М[[#This Row],[Количество]]*М[[#This Row],[Цена за ед., руб]],2)</f>
        <v>0</v>
      </c>
      <c r="H19" s="34"/>
      <c r="I19" s="37"/>
    </row>
    <row r="20" spans="1:9" ht="22.5" x14ac:dyDescent="0.2">
      <c r="A20" s="40" t="s">
        <v>45</v>
      </c>
      <c r="B20" s="49"/>
      <c r="C20" s="49" t="s">
        <v>46</v>
      </c>
      <c r="D20" s="41" t="s">
        <v>24</v>
      </c>
      <c r="E20" s="42">
        <v>3</v>
      </c>
      <c r="F20" s="46"/>
      <c r="G20" s="47">
        <f>ROUND(М[[#This Row],[Количество]]*М[[#This Row],[Цена за ед., руб]],2)</f>
        <v>0</v>
      </c>
      <c r="H20" s="49"/>
      <c r="I20" s="44"/>
    </row>
    <row r="21" spans="1:9" ht="22.5" x14ac:dyDescent="0.2">
      <c r="A21" s="40" t="s">
        <v>91</v>
      </c>
      <c r="B21" s="49"/>
      <c r="C21" s="49"/>
      <c r="D21" s="41" t="s">
        <v>70</v>
      </c>
      <c r="E21" s="79"/>
      <c r="F21" s="47"/>
      <c r="G21" s="47">
        <f ca="1">SUMIF(ЛСР!$B$6:$K$61,М[[#This Row],[Наим.]],ЛСР!$J$6:$J$61)</f>
        <v>0</v>
      </c>
      <c r="H21" s="49" t="s">
        <v>93</v>
      </c>
      <c r="I21" s="37"/>
    </row>
    <row r="22" spans="1:9" ht="22.5" x14ac:dyDescent="0.2">
      <c r="A22" s="40" t="s">
        <v>92</v>
      </c>
      <c r="B22" s="49"/>
      <c r="C22" s="49"/>
      <c r="D22" s="41" t="s">
        <v>70</v>
      </c>
      <c r="E22" s="79"/>
      <c r="F22" s="47"/>
      <c r="G22" s="47">
        <f ca="1">SUMIF(ЛСР!$B$6:$K$61,М[[#This Row],[Наим.]],ЛСР!$J$6:$J$61)</f>
        <v>0</v>
      </c>
      <c r="H22" s="49" t="s">
        <v>93</v>
      </c>
      <c r="I22" s="37"/>
    </row>
    <row r="23" spans="1:9" x14ac:dyDescent="0.2">
      <c r="A23" s="40" t="s">
        <v>90</v>
      </c>
      <c r="B23" s="49"/>
      <c r="C23" s="49"/>
      <c r="D23" s="41"/>
      <c r="E23" s="43"/>
      <c r="F23" s="47"/>
      <c r="G23" s="47">
        <f ca="1">SUBTOTAL(109,М[Сумма, руб])</f>
        <v>0</v>
      </c>
      <c r="H23" s="49"/>
      <c r="I23" s="44"/>
    </row>
    <row r="25" spans="1:9" x14ac:dyDescent="0.2">
      <c r="F25" s="80" t="s">
        <v>105</v>
      </c>
      <c r="G25" s="81">
        <f ca="1">ЛСР!J64-М[[#Totals],[Сумма, руб]]</f>
        <v>0</v>
      </c>
    </row>
  </sheetData>
  <mergeCells count="1">
    <mergeCell ref="A1:H1"/>
  </mergeCells>
  <dataValidations count="1">
    <dataValidation type="list" errorStyle="information" allowBlank="1" showInputMessage="1" showErrorMessage="1" sqref="I3:I22" xr:uid="{088D54C1-EC3B-4831-9C5E-00BA21454CC8}">
      <formula1>"Закупка подрядчик, Давальческая, Уступка"</formula1>
    </dataValidation>
  </dataValidation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  <pageSetUpPr autoPageBreaks="0"/>
  </sheetPr>
  <dimension ref="A1:B2"/>
  <sheetViews>
    <sheetView workbookViewId="0"/>
  </sheetViews>
  <sheetFormatPr defaultColWidth="10.5" defaultRowHeight="11.45" customHeight="1" x14ac:dyDescent="0.2"/>
  <cols>
    <col min="1" max="2" width="10.5" style="1" customWidth="1"/>
  </cols>
  <sheetData>
    <row r="1" spans="1:2" ht="11.1" customHeight="1" x14ac:dyDescent="0.2">
      <c r="A1" s="1" t="s">
        <v>86</v>
      </c>
      <c r="B1" s="1" t="s">
        <v>87</v>
      </c>
    </row>
    <row r="2" spans="1:2" ht="11.1" customHeight="1" x14ac:dyDescent="0.2">
      <c r="A2" s="1" t="s">
        <v>88</v>
      </c>
      <c r="B2" s="1" t="s">
        <v>89</v>
      </c>
    </row>
  </sheetData>
  <pageMargins left="0.39370078740157483" right="0.39370078740157483" top="0.39370078740157483" bottom="0.39370078740157483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ЛСР</vt:lpstr>
      <vt:lpstr>Работы</vt:lpstr>
      <vt:lpstr>Материалы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Калимуллина Карина Павловна</cp:lastModifiedBy>
  <dcterms:modified xsi:type="dcterms:W3CDTF">2026-07-22T08:45:29Z</dcterms:modified>
</cp:coreProperties>
</file>