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I:\_Сметный отдел\2. ТЕНДЕРЫ\ЕКБ\Амундсена\11 Внутренние инженерные сети\11.02 Водоснабжение\На отправку в тендер\"/>
    </mc:Choice>
  </mc:AlternateContent>
  <xr:revisionPtr revIDLastSave="0" documentId="13_ncr:1_{8FA1EFA7-6814-485F-A137-9DAF92947234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definedNames>
    <definedName name="_xlnm._FilterDatabase" localSheetId="0" hidden="1">ЛСР!$A$7:$Q$260</definedName>
  </definedNames>
  <calcPr calcId="191029" fullPrecision="0"/>
</workbook>
</file>

<file path=xl/calcChain.xml><?xml version="1.0" encoding="utf-8"?>
<calcChain xmlns="http://schemas.openxmlformats.org/spreadsheetml/2006/main">
  <c r="L246" i="1" l="1"/>
  <c r="L247" i="1"/>
  <c r="L248" i="1"/>
  <c r="L249" i="1"/>
  <c r="L245" i="1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G114" i="3"/>
  <c r="G115" i="3"/>
  <c r="P249" i="1" a="1"/>
  <c r="P249" i="1" s="1"/>
  <c r="P248" i="1" a="1"/>
  <c r="P248" i="1" s="1"/>
  <c r="P247" i="1" a="1"/>
  <c r="P247" i="1" s="1"/>
  <c r="P246" i="1" a="1"/>
  <c r="P246" i="1" s="1"/>
  <c r="P245" i="1" a="1"/>
  <c r="P245" i="1" s="1"/>
  <c r="L13" i="1"/>
  <c r="M13" i="1" a="1"/>
  <c r="M13" i="1" s="1"/>
  <c r="N13" i="1" s="1"/>
  <c r="N12" i="1" s="1"/>
  <c r="L15" i="1"/>
  <c r="P15" i="1" a="1"/>
  <c r="P15" i="1" s="1"/>
  <c r="M15" i="1" a="1"/>
  <c r="M15" i="1" s="1"/>
  <c r="N15" i="1" s="1"/>
  <c r="L16" i="1"/>
  <c r="P16" i="1" a="1"/>
  <c r="P16" i="1" s="1"/>
  <c r="M16" i="1" a="1"/>
  <c r="M16" i="1" s="1"/>
  <c r="N16" i="1" s="1"/>
  <c r="L17" i="1"/>
  <c r="P17" i="1" a="1"/>
  <c r="P17" i="1" s="1"/>
  <c r="M17" i="1" a="1"/>
  <c r="M17" i="1" s="1"/>
  <c r="N17" i="1" s="1"/>
  <c r="L18" i="1"/>
  <c r="P18" i="1" a="1"/>
  <c r="P18" i="1" s="1"/>
  <c r="M18" i="1" a="1"/>
  <c r="M18" i="1" s="1"/>
  <c r="N18" i="1" s="1"/>
  <c r="L19" i="1"/>
  <c r="P19" i="1" a="1"/>
  <c r="P19" i="1" s="1"/>
  <c r="M19" i="1" a="1"/>
  <c r="M19" i="1" s="1"/>
  <c r="N19" i="1" s="1"/>
  <c r="L20" i="1"/>
  <c r="P20" i="1" a="1"/>
  <c r="P20" i="1" s="1"/>
  <c r="M20" i="1" a="1"/>
  <c r="M20" i="1" s="1"/>
  <c r="N20" i="1" s="1"/>
  <c r="L21" i="1"/>
  <c r="P21" i="1" a="1"/>
  <c r="P21" i="1" s="1"/>
  <c r="M21" i="1" a="1"/>
  <c r="M21" i="1" s="1"/>
  <c r="N21" i="1" s="1"/>
  <c r="L22" i="1"/>
  <c r="P22" i="1" a="1"/>
  <c r="P22" i="1" s="1"/>
  <c r="M22" i="1" a="1"/>
  <c r="M22" i="1" s="1"/>
  <c r="N22" i="1" s="1"/>
  <c r="L23" i="1"/>
  <c r="P23" i="1" a="1"/>
  <c r="P23" i="1" s="1"/>
  <c r="M23" i="1" a="1"/>
  <c r="M23" i="1" s="1"/>
  <c r="N23" i="1" s="1"/>
  <c r="L24" i="1"/>
  <c r="P24" i="1" a="1"/>
  <c r="P24" i="1" s="1"/>
  <c r="M24" i="1" a="1"/>
  <c r="M24" i="1" s="1"/>
  <c r="N24" i="1" s="1"/>
  <c r="L25" i="1"/>
  <c r="P25" i="1" a="1"/>
  <c r="P25" i="1" s="1"/>
  <c r="M25" i="1" a="1"/>
  <c r="M25" i="1" s="1"/>
  <c r="N25" i="1" s="1"/>
  <c r="L26" i="1"/>
  <c r="P26" i="1" a="1"/>
  <c r="P26" i="1" s="1"/>
  <c r="M26" i="1" a="1"/>
  <c r="M26" i="1" s="1"/>
  <c r="N26" i="1" s="1"/>
  <c r="L27" i="1"/>
  <c r="P27" i="1" a="1"/>
  <c r="P27" i="1" s="1"/>
  <c r="M27" i="1" a="1"/>
  <c r="M27" i="1" s="1"/>
  <c r="N27" i="1" s="1"/>
  <c r="L28" i="1"/>
  <c r="P28" i="1" a="1"/>
  <c r="P28" i="1" s="1"/>
  <c r="M28" i="1" a="1"/>
  <c r="M28" i="1" s="1"/>
  <c r="N28" i="1" s="1"/>
  <c r="L29" i="1"/>
  <c r="P29" i="1" a="1"/>
  <c r="P29" i="1" s="1"/>
  <c r="M29" i="1" a="1"/>
  <c r="M29" i="1" s="1"/>
  <c r="N29" i="1" s="1"/>
  <c r="L30" i="1"/>
  <c r="P30" i="1" a="1"/>
  <c r="P30" i="1" s="1"/>
  <c r="M30" i="1" a="1"/>
  <c r="M30" i="1" s="1"/>
  <c r="L31" i="1"/>
  <c r="P31" i="1" a="1"/>
  <c r="P31" i="1" s="1"/>
  <c r="M31" i="1" a="1"/>
  <c r="M31" i="1" s="1"/>
  <c r="N31" i="1" s="1"/>
  <c r="L32" i="1"/>
  <c r="P32" i="1" a="1"/>
  <c r="P32" i="1" s="1"/>
  <c r="M32" i="1" a="1"/>
  <c r="M32" i="1" s="1"/>
  <c r="N32" i="1" s="1"/>
  <c r="L33" i="1"/>
  <c r="P33" i="1" a="1"/>
  <c r="P33" i="1" s="1"/>
  <c r="M33" i="1" a="1"/>
  <c r="M33" i="1" s="1"/>
  <c r="N33" i="1" s="1"/>
  <c r="L34" i="1"/>
  <c r="P34" i="1" a="1"/>
  <c r="P34" i="1" s="1"/>
  <c r="M34" i="1" a="1"/>
  <c r="M34" i="1" s="1"/>
  <c r="N34" i="1" s="1"/>
  <c r="L35" i="1"/>
  <c r="P35" i="1" a="1"/>
  <c r="P35" i="1" s="1"/>
  <c r="M35" i="1" a="1"/>
  <c r="M35" i="1" s="1"/>
  <c r="N35" i="1" s="1"/>
  <c r="L36" i="1"/>
  <c r="P36" i="1" a="1"/>
  <c r="P36" i="1" s="1"/>
  <c r="M36" i="1" a="1"/>
  <c r="M36" i="1" s="1"/>
  <c r="L37" i="1"/>
  <c r="P37" i="1" a="1"/>
  <c r="P37" i="1" s="1"/>
  <c r="M37" i="1" a="1"/>
  <c r="M37" i="1" s="1"/>
  <c r="N37" i="1" s="1"/>
  <c r="L38" i="1"/>
  <c r="P38" i="1" a="1"/>
  <c r="P38" i="1" s="1"/>
  <c r="M38" i="1" a="1"/>
  <c r="M38" i="1" s="1"/>
  <c r="L39" i="1"/>
  <c r="P39" i="1" a="1"/>
  <c r="P39" i="1" s="1"/>
  <c r="M39" i="1" a="1"/>
  <c r="M39" i="1" s="1"/>
  <c r="L40" i="1"/>
  <c r="P40" i="1" a="1"/>
  <c r="P40" i="1" s="1"/>
  <c r="M40" i="1" a="1"/>
  <c r="M40" i="1" s="1"/>
  <c r="L41" i="1"/>
  <c r="P41" i="1" a="1"/>
  <c r="P41" i="1" s="1"/>
  <c r="M41" i="1" a="1"/>
  <c r="M41" i="1" s="1"/>
  <c r="N41" i="1" s="1"/>
  <c r="L42" i="1"/>
  <c r="P42" i="1" a="1"/>
  <c r="P42" i="1" s="1"/>
  <c r="M42" i="1" a="1"/>
  <c r="M42" i="1" s="1"/>
  <c r="N42" i="1" s="1"/>
  <c r="L43" i="1"/>
  <c r="P43" i="1" a="1"/>
  <c r="P43" i="1" s="1"/>
  <c r="M43" i="1" a="1"/>
  <c r="M43" i="1" s="1"/>
  <c r="N43" i="1" s="1"/>
  <c r="L45" i="1"/>
  <c r="M45" i="1" a="1"/>
  <c r="M45" i="1" s="1"/>
  <c r="L47" i="1"/>
  <c r="P47" i="1" a="1"/>
  <c r="P47" i="1" s="1"/>
  <c r="M47" i="1" a="1"/>
  <c r="M47" i="1" s="1"/>
  <c r="N47" i="1" s="1"/>
  <c r="L49" i="1"/>
  <c r="M49" i="1" a="1"/>
  <c r="M49" i="1" s="1"/>
  <c r="N49" i="1" s="1"/>
  <c r="N48" i="1" s="1"/>
  <c r="L51" i="1"/>
  <c r="P51" i="1" a="1"/>
  <c r="P51" i="1" s="1"/>
  <c r="M51" i="1" a="1"/>
  <c r="M51" i="1" s="1"/>
  <c r="L52" i="1"/>
  <c r="P52" i="1" a="1"/>
  <c r="P52" i="1" s="1"/>
  <c r="M52" i="1" a="1"/>
  <c r="M52" i="1" s="1"/>
  <c r="L53" i="1"/>
  <c r="P53" i="1" a="1"/>
  <c r="P53" i="1" s="1"/>
  <c r="M53" i="1" a="1"/>
  <c r="M53" i="1" s="1"/>
  <c r="N53" i="1" s="1"/>
  <c r="L54" i="1"/>
  <c r="P54" i="1" a="1"/>
  <c r="P54" i="1" s="1"/>
  <c r="M54" i="1" a="1"/>
  <c r="M54" i="1" s="1"/>
  <c r="N54" i="1" s="1"/>
  <c r="L56" i="1"/>
  <c r="M56" i="1" a="1"/>
  <c r="M56" i="1" s="1"/>
  <c r="N56" i="1" s="1"/>
  <c r="N55" i="1" s="1"/>
  <c r="L58" i="1"/>
  <c r="P58" i="1" a="1"/>
  <c r="P58" i="1" s="1"/>
  <c r="M58" i="1" a="1"/>
  <c r="M58" i="1" s="1"/>
  <c r="L59" i="1"/>
  <c r="P59" i="1" a="1"/>
  <c r="P59" i="1" s="1"/>
  <c r="M59" i="1" a="1"/>
  <c r="M59" i="1" s="1"/>
  <c r="N59" i="1" s="1"/>
  <c r="L60" i="1"/>
  <c r="P60" i="1" a="1"/>
  <c r="P60" i="1" s="1"/>
  <c r="M60" i="1" a="1"/>
  <c r="M60" i="1" s="1"/>
  <c r="N60" i="1" s="1"/>
  <c r="L61" i="1"/>
  <c r="P61" i="1" a="1"/>
  <c r="P61" i="1" s="1"/>
  <c r="M61" i="1" a="1"/>
  <c r="M61" i="1" s="1"/>
  <c r="N61" i="1" s="1"/>
  <c r="L63" i="1"/>
  <c r="M63" i="1" a="1"/>
  <c r="M63" i="1" s="1"/>
  <c r="N63" i="1" s="1"/>
  <c r="N62" i="1" s="1"/>
  <c r="L65" i="1"/>
  <c r="P65" i="1" a="1"/>
  <c r="P65" i="1" s="1"/>
  <c r="M65" i="1" a="1"/>
  <c r="M65" i="1" s="1"/>
  <c r="L66" i="1"/>
  <c r="P66" i="1" a="1"/>
  <c r="P66" i="1" s="1"/>
  <c r="M66" i="1" a="1"/>
  <c r="M66" i="1" s="1"/>
  <c r="L67" i="1"/>
  <c r="P67" i="1" a="1"/>
  <c r="P67" i="1" s="1"/>
  <c r="M67" i="1" a="1"/>
  <c r="M67" i="1" s="1"/>
  <c r="L68" i="1"/>
  <c r="P68" i="1" a="1"/>
  <c r="P68" i="1" s="1"/>
  <c r="M68" i="1" a="1"/>
  <c r="M68" i="1" s="1"/>
  <c r="L69" i="1"/>
  <c r="P69" i="1" a="1"/>
  <c r="P69" i="1" s="1"/>
  <c r="M69" i="1" a="1"/>
  <c r="M69" i="1" s="1"/>
  <c r="L71" i="1"/>
  <c r="M71" i="1" a="1"/>
  <c r="M71" i="1" s="1"/>
  <c r="N71" i="1" s="1"/>
  <c r="N70" i="1" s="1"/>
  <c r="L73" i="1"/>
  <c r="P73" i="1" a="1"/>
  <c r="P73" i="1" s="1"/>
  <c r="M73" i="1" a="1"/>
  <c r="M73" i="1" s="1"/>
  <c r="N73" i="1" s="1"/>
  <c r="L74" i="1"/>
  <c r="P74" i="1" a="1"/>
  <c r="P74" i="1" s="1"/>
  <c r="M74" i="1" a="1"/>
  <c r="M74" i="1" s="1"/>
  <c r="N74" i="1" s="1"/>
  <c r="L76" i="1"/>
  <c r="M76" i="1" a="1"/>
  <c r="M76" i="1" s="1"/>
  <c r="N76" i="1" s="1"/>
  <c r="N75" i="1" s="1"/>
  <c r="L78" i="1"/>
  <c r="P78" i="1" a="1"/>
  <c r="P78" i="1" s="1"/>
  <c r="M78" i="1" a="1"/>
  <c r="M78" i="1" s="1"/>
  <c r="N78" i="1" s="1"/>
  <c r="L80" i="1"/>
  <c r="M80" i="1" a="1"/>
  <c r="M80" i="1" s="1"/>
  <c r="N80" i="1" s="1"/>
  <c r="N79" i="1" s="1"/>
  <c r="L82" i="1"/>
  <c r="P82" i="1" a="1"/>
  <c r="P82" i="1" s="1"/>
  <c r="M82" i="1" a="1"/>
  <c r="M82" i="1" s="1"/>
  <c r="L83" i="1"/>
  <c r="P83" i="1" a="1"/>
  <c r="P83" i="1" s="1"/>
  <c r="M83" i="1" a="1"/>
  <c r="M83" i="1" s="1"/>
  <c r="L84" i="1"/>
  <c r="P84" i="1" a="1"/>
  <c r="P84" i="1" s="1"/>
  <c r="M84" i="1" a="1"/>
  <c r="M84" i="1" s="1"/>
  <c r="L85" i="1"/>
  <c r="P85" i="1" a="1"/>
  <c r="P85" i="1" s="1"/>
  <c r="M85" i="1" a="1"/>
  <c r="M85" i="1" s="1"/>
  <c r="L86" i="1"/>
  <c r="P86" i="1" a="1"/>
  <c r="P86" i="1" s="1"/>
  <c r="M86" i="1" a="1"/>
  <c r="M86" i="1" s="1"/>
  <c r="N86" i="1" s="1"/>
  <c r="L87" i="1"/>
  <c r="P87" i="1" a="1"/>
  <c r="P87" i="1" s="1"/>
  <c r="M87" i="1" a="1"/>
  <c r="M87" i="1" s="1"/>
  <c r="L89" i="1"/>
  <c r="M89" i="1" a="1"/>
  <c r="M89" i="1" s="1"/>
  <c r="L91" i="1"/>
  <c r="P91" i="1" a="1"/>
  <c r="P91" i="1" s="1"/>
  <c r="M91" i="1" a="1"/>
  <c r="M91" i="1" s="1"/>
  <c r="L92" i="1"/>
  <c r="P92" i="1" a="1"/>
  <c r="P92" i="1" s="1"/>
  <c r="M92" i="1" a="1"/>
  <c r="M92" i="1" s="1"/>
  <c r="L93" i="1"/>
  <c r="P93" i="1" a="1"/>
  <c r="P93" i="1" s="1"/>
  <c r="M93" i="1" a="1"/>
  <c r="M93" i="1" s="1"/>
  <c r="N93" i="1" s="1"/>
  <c r="L94" i="1"/>
  <c r="P94" i="1" a="1"/>
  <c r="P94" i="1" s="1"/>
  <c r="M94" i="1" a="1"/>
  <c r="M94" i="1" s="1"/>
  <c r="N94" i="1" s="1"/>
  <c r="L95" i="1"/>
  <c r="P95" i="1" a="1"/>
  <c r="P95" i="1" s="1"/>
  <c r="M95" i="1" a="1"/>
  <c r="M95" i="1" s="1"/>
  <c r="N95" i="1" s="1"/>
  <c r="L96" i="1"/>
  <c r="P96" i="1" a="1"/>
  <c r="P96" i="1" s="1"/>
  <c r="M96" i="1" a="1"/>
  <c r="M96" i="1" s="1"/>
  <c r="N96" i="1" s="1"/>
  <c r="L98" i="1"/>
  <c r="M98" i="1" a="1"/>
  <c r="M98" i="1" s="1"/>
  <c r="N98" i="1" s="1"/>
  <c r="L100" i="1"/>
  <c r="P100" i="1" a="1"/>
  <c r="P100" i="1" s="1"/>
  <c r="M100" i="1" a="1"/>
  <c r="M100" i="1" s="1"/>
  <c r="L101" i="1"/>
  <c r="P101" i="1" a="1"/>
  <c r="P101" i="1" s="1"/>
  <c r="M101" i="1" a="1"/>
  <c r="M101" i="1" s="1"/>
  <c r="N101" i="1" s="1"/>
  <c r="L103" i="1"/>
  <c r="M103" i="1" a="1"/>
  <c r="M103" i="1" s="1"/>
  <c r="N103" i="1" s="1"/>
  <c r="N102" i="1" s="1"/>
  <c r="L105" i="1"/>
  <c r="P105" i="1" a="1"/>
  <c r="P105" i="1" s="1"/>
  <c r="M105" i="1" a="1"/>
  <c r="M105" i="1" s="1"/>
  <c r="L107" i="1"/>
  <c r="M107" i="1" a="1"/>
  <c r="M107" i="1" s="1"/>
  <c r="L109" i="1"/>
  <c r="P109" i="1" a="1"/>
  <c r="P109" i="1" s="1"/>
  <c r="M109" i="1" a="1"/>
  <c r="M109" i="1" s="1"/>
  <c r="N109" i="1" s="1"/>
  <c r="L111" i="1"/>
  <c r="M111" i="1" a="1"/>
  <c r="M111" i="1" s="1"/>
  <c r="N111" i="1" s="1"/>
  <c r="N110" i="1" s="1"/>
  <c r="L113" i="1"/>
  <c r="P113" i="1" a="1"/>
  <c r="P113" i="1" s="1"/>
  <c r="M113" i="1" a="1"/>
  <c r="M113" i="1" s="1"/>
  <c r="N113" i="1" s="1"/>
  <c r="L115" i="1"/>
  <c r="M115" i="1" a="1"/>
  <c r="M115" i="1" s="1"/>
  <c r="N115" i="1" s="1"/>
  <c r="N114" i="1" s="1"/>
  <c r="L117" i="1"/>
  <c r="P117" i="1" a="1"/>
  <c r="P117" i="1" s="1"/>
  <c r="M117" i="1" a="1"/>
  <c r="M117" i="1" s="1"/>
  <c r="N117" i="1" s="1"/>
  <c r="L119" i="1"/>
  <c r="M119" i="1" a="1"/>
  <c r="M119" i="1" s="1"/>
  <c r="L121" i="1"/>
  <c r="P121" i="1" a="1"/>
  <c r="P121" i="1" s="1"/>
  <c r="M121" i="1" a="1"/>
  <c r="M121" i="1" s="1"/>
  <c r="N121" i="1" s="1"/>
  <c r="L123" i="1"/>
  <c r="M123" i="1" a="1"/>
  <c r="M123" i="1" s="1"/>
  <c r="N123" i="1" s="1"/>
  <c r="N122" i="1" s="1"/>
  <c r="L125" i="1"/>
  <c r="P125" i="1" a="1"/>
  <c r="P125" i="1" s="1"/>
  <c r="M125" i="1" a="1"/>
  <c r="M125" i="1" s="1"/>
  <c r="N125" i="1" s="1"/>
  <c r="L126" i="1"/>
  <c r="P126" i="1" a="1"/>
  <c r="P126" i="1" s="1"/>
  <c r="M126" i="1" a="1"/>
  <c r="M126" i="1" s="1"/>
  <c r="N126" i="1" s="1"/>
  <c r="L162" i="1"/>
  <c r="M162" i="1" a="1"/>
  <c r="M162" i="1" s="1"/>
  <c r="N162" i="1" s="1"/>
  <c r="N161" i="1" s="1"/>
  <c r="L164" i="1"/>
  <c r="P164" i="1" a="1"/>
  <c r="P164" i="1" s="1"/>
  <c r="M164" i="1" a="1"/>
  <c r="M164" i="1" s="1"/>
  <c r="L165" i="1"/>
  <c r="P165" i="1" a="1"/>
  <c r="P165" i="1" s="1"/>
  <c r="M165" i="1" a="1"/>
  <c r="M165" i="1" s="1"/>
  <c r="N165" i="1" s="1"/>
  <c r="L166" i="1"/>
  <c r="P166" i="1" a="1"/>
  <c r="P166" i="1" s="1"/>
  <c r="M166" i="1" a="1"/>
  <c r="M166" i="1" s="1"/>
  <c r="L167" i="1"/>
  <c r="P167" i="1" a="1"/>
  <c r="P167" i="1" s="1"/>
  <c r="M167" i="1" a="1"/>
  <c r="M167" i="1" s="1"/>
  <c r="L168" i="1"/>
  <c r="P168" i="1" a="1"/>
  <c r="P168" i="1" s="1"/>
  <c r="M168" i="1" a="1"/>
  <c r="M168" i="1" s="1"/>
  <c r="L128" i="1"/>
  <c r="M128" i="1" a="1"/>
  <c r="M128" i="1" s="1"/>
  <c r="N128" i="1" s="1"/>
  <c r="N127" i="1" s="1"/>
  <c r="L130" i="1"/>
  <c r="P130" i="1" a="1"/>
  <c r="P130" i="1" s="1"/>
  <c r="M130" i="1" a="1"/>
  <c r="M130" i="1" s="1"/>
  <c r="L131" i="1"/>
  <c r="P131" i="1" a="1"/>
  <c r="P131" i="1" s="1"/>
  <c r="M131" i="1" a="1"/>
  <c r="M131" i="1" s="1"/>
  <c r="L132" i="1"/>
  <c r="P132" i="1" a="1"/>
  <c r="P132" i="1" s="1"/>
  <c r="M132" i="1" a="1"/>
  <c r="M132" i="1" s="1"/>
  <c r="L133" i="1"/>
  <c r="P133" i="1" a="1"/>
  <c r="P133" i="1" s="1"/>
  <c r="M133" i="1" a="1"/>
  <c r="M133" i="1" s="1"/>
  <c r="L134" i="1"/>
  <c r="P134" i="1" a="1"/>
  <c r="P134" i="1" s="1"/>
  <c r="M134" i="1" a="1"/>
  <c r="M134" i="1" s="1"/>
  <c r="L135" i="1"/>
  <c r="P135" i="1" a="1"/>
  <c r="P135" i="1" s="1"/>
  <c r="M135" i="1" a="1"/>
  <c r="M135" i="1" s="1"/>
  <c r="L136" i="1"/>
  <c r="P136" i="1" a="1"/>
  <c r="P136" i="1" s="1"/>
  <c r="M136" i="1" a="1"/>
  <c r="M136" i="1" s="1"/>
  <c r="L137" i="1"/>
  <c r="P137" i="1" a="1"/>
  <c r="P137" i="1" s="1"/>
  <c r="M137" i="1" a="1"/>
  <c r="M137" i="1" s="1"/>
  <c r="N137" i="1" s="1"/>
  <c r="L139" i="1"/>
  <c r="M139" i="1" a="1"/>
  <c r="M139" i="1" s="1"/>
  <c r="N139" i="1" s="1"/>
  <c r="N138" i="1" s="1"/>
  <c r="L141" i="1"/>
  <c r="P141" i="1" a="1"/>
  <c r="P141" i="1" s="1"/>
  <c r="M141" i="1" a="1"/>
  <c r="M141" i="1" s="1"/>
  <c r="N141" i="1" s="1"/>
  <c r="L143" i="1"/>
  <c r="M143" i="1" a="1"/>
  <c r="M143" i="1" s="1"/>
  <c r="N143" i="1" s="1"/>
  <c r="N142" i="1" s="1"/>
  <c r="L145" i="1"/>
  <c r="P145" i="1" a="1"/>
  <c r="P145" i="1" s="1"/>
  <c r="M145" i="1" a="1"/>
  <c r="M145" i="1" s="1"/>
  <c r="N145" i="1" s="1"/>
  <c r="L146" i="1"/>
  <c r="P146" i="1" a="1"/>
  <c r="P146" i="1" s="1"/>
  <c r="M146" i="1" a="1"/>
  <c r="M146" i="1" s="1"/>
  <c r="N146" i="1" s="1"/>
  <c r="L147" i="1"/>
  <c r="P147" i="1" a="1"/>
  <c r="P147" i="1" s="1"/>
  <c r="M147" i="1" a="1"/>
  <c r="M147" i="1" s="1"/>
  <c r="L148" i="1"/>
  <c r="P148" i="1" a="1"/>
  <c r="P148" i="1" s="1"/>
  <c r="M148" i="1" a="1"/>
  <c r="M148" i="1" s="1"/>
  <c r="L149" i="1"/>
  <c r="P149" i="1" a="1"/>
  <c r="P149" i="1" s="1"/>
  <c r="M149" i="1" a="1"/>
  <c r="M149" i="1" s="1"/>
  <c r="N149" i="1" s="1"/>
  <c r="L151" i="1"/>
  <c r="M151" i="1" a="1"/>
  <c r="M151" i="1" s="1"/>
  <c r="N151" i="1" s="1"/>
  <c r="N150" i="1" s="1"/>
  <c r="L153" i="1"/>
  <c r="P153" i="1" a="1"/>
  <c r="P153" i="1" s="1"/>
  <c r="M153" i="1" a="1"/>
  <c r="M153" i="1" s="1"/>
  <c r="L154" i="1"/>
  <c r="P154" i="1" a="1"/>
  <c r="P154" i="1" s="1"/>
  <c r="M154" i="1" a="1"/>
  <c r="M154" i="1" s="1"/>
  <c r="L155" i="1"/>
  <c r="P155" i="1" a="1"/>
  <c r="P155" i="1" s="1"/>
  <c r="M155" i="1" a="1"/>
  <c r="M155" i="1" s="1"/>
  <c r="L156" i="1"/>
  <c r="P156" i="1" a="1"/>
  <c r="P156" i="1" s="1"/>
  <c r="M156" i="1" a="1"/>
  <c r="M156" i="1" s="1"/>
  <c r="L157" i="1"/>
  <c r="P157" i="1" a="1"/>
  <c r="P157" i="1" s="1"/>
  <c r="M157" i="1" a="1"/>
  <c r="M157" i="1" s="1"/>
  <c r="N157" i="1" s="1"/>
  <c r="L158" i="1"/>
  <c r="P158" i="1" a="1"/>
  <c r="P158" i="1" s="1"/>
  <c r="M158" i="1" a="1"/>
  <c r="M158" i="1" s="1"/>
  <c r="L159" i="1"/>
  <c r="P159" i="1" a="1"/>
  <c r="P159" i="1" s="1"/>
  <c r="M159" i="1" a="1"/>
  <c r="M159" i="1" s="1"/>
  <c r="N159" i="1" s="1"/>
  <c r="L251" i="1"/>
  <c r="P251" i="1" a="1"/>
  <c r="P251" i="1" s="1"/>
  <c r="M251" i="1" a="1"/>
  <c r="M251" i="1" s="1"/>
  <c r="N251" i="1" s="1"/>
  <c r="L255" i="1"/>
  <c r="M255" i="1" a="1"/>
  <c r="M255" i="1" s="1"/>
  <c r="N255" i="1" s="1"/>
  <c r="N254" i="1" s="1"/>
  <c r="N253" i="1" s="1"/>
  <c r="N252" i="1" s="1"/>
  <c r="L172" i="1"/>
  <c r="M172" i="1" a="1"/>
  <c r="M172" i="1" s="1"/>
  <c r="N172" i="1" s="1"/>
  <c r="N171" i="1" s="1"/>
  <c r="L174" i="1"/>
  <c r="M174" i="1" a="1"/>
  <c r="M174" i="1" s="1"/>
  <c r="L176" i="1"/>
  <c r="M176" i="1" a="1"/>
  <c r="M176" i="1" s="1"/>
  <c r="L178" i="1"/>
  <c r="P178" i="1" a="1"/>
  <c r="P178" i="1" s="1"/>
  <c r="M178" i="1" a="1"/>
  <c r="M178" i="1" s="1"/>
  <c r="L180" i="1"/>
  <c r="M180" i="1" a="1"/>
  <c r="M180" i="1" s="1"/>
  <c r="N180" i="1" s="1"/>
  <c r="N179" i="1" s="1"/>
  <c r="L182" i="1"/>
  <c r="P182" i="1" a="1"/>
  <c r="P182" i="1" s="1"/>
  <c r="M182" i="1" a="1"/>
  <c r="M182" i="1" s="1"/>
  <c r="L183" i="1"/>
  <c r="P183" i="1" a="1"/>
  <c r="P183" i="1" s="1"/>
  <c r="M183" i="1" a="1"/>
  <c r="M183" i="1" s="1"/>
  <c r="N183" i="1" s="1"/>
  <c r="L184" i="1"/>
  <c r="P184" i="1" a="1"/>
  <c r="P184" i="1" s="1"/>
  <c r="M184" i="1" a="1"/>
  <c r="M184" i="1" s="1"/>
  <c r="N184" i="1" s="1"/>
  <c r="L186" i="1"/>
  <c r="M186" i="1" a="1"/>
  <c r="M186" i="1" s="1"/>
  <c r="L188" i="1"/>
  <c r="P188" i="1" a="1"/>
  <c r="P188" i="1" s="1"/>
  <c r="M188" i="1" a="1"/>
  <c r="M188" i="1" s="1"/>
  <c r="L189" i="1"/>
  <c r="P189" i="1" a="1"/>
  <c r="P189" i="1" s="1"/>
  <c r="M189" i="1" a="1"/>
  <c r="M189" i="1" s="1"/>
  <c r="N189" i="1" s="1"/>
  <c r="L190" i="1"/>
  <c r="P190" i="1" a="1"/>
  <c r="P190" i="1" s="1"/>
  <c r="M190" i="1" a="1"/>
  <c r="M190" i="1" s="1"/>
  <c r="N190" i="1" s="1"/>
  <c r="L191" i="1"/>
  <c r="P191" i="1" a="1"/>
  <c r="P191" i="1" s="1"/>
  <c r="M191" i="1" a="1"/>
  <c r="M191" i="1" s="1"/>
  <c r="N191" i="1" s="1"/>
  <c r="L193" i="1"/>
  <c r="M193" i="1" a="1"/>
  <c r="M193" i="1" s="1"/>
  <c r="N193" i="1" s="1"/>
  <c r="N192" i="1" s="1"/>
  <c r="L195" i="1"/>
  <c r="P195" i="1" a="1"/>
  <c r="P195" i="1" s="1"/>
  <c r="M195" i="1" a="1"/>
  <c r="M195" i="1" s="1"/>
  <c r="N195" i="1" s="1"/>
  <c r="L196" i="1"/>
  <c r="P196" i="1" a="1"/>
  <c r="P196" i="1" s="1"/>
  <c r="M196" i="1" a="1"/>
  <c r="M196" i="1" s="1"/>
  <c r="N196" i="1" s="1"/>
  <c r="L197" i="1"/>
  <c r="P197" i="1" a="1"/>
  <c r="P197" i="1" s="1"/>
  <c r="M197" i="1" a="1"/>
  <c r="M197" i="1" s="1"/>
  <c r="N197" i="1" s="1"/>
  <c r="L199" i="1"/>
  <c r="M199" i="1" a="1"/>
  <c r="M199" i="1" s="1"/>
  <c r="N199" i="1" s="1"/>
  <c r="N198" i="1" s="1"/>
  <c r="L201" i="1"/>
  <c r="P201" i="1" a="1"/>
  <c r="P201" i="1" s="1"/>
  <c r="M201" i="1" a="1"/>
  <c r="M201" i="1" s="1"/>
  <c r="N201" i="1" s="1"/>
  <c r="L202" i="1"/>
  <c r="P202" i="1" a="1"/>
  <c r="P202" i="1" s="1"/>
  <c r="M202" i="1" a="1"/>
  <c r="M202" i="1" s="1"/>
  <c r="N202" i="1" s="1"/>
  <c r="L203" i="1"/>
  <c r="P203" i="1" a="1"/>
  <c r="P203" i="1" s="1"/>
  <c r="M203" i="1" a="1"/>
  <c r="M203" i="1" s="1"/>
  <c r="L205" i="1"/>
  <c r="M205" i="1" a="1"/>
  <c r="M205" i="1" s="1"/>
  <c r="N205" i="1" s="1"/>
  <c r="N204" i="1" s="1"/>
  <c r="L207" i="1"/>
  <c r="P207" i="1" a="1"/>
  <c r="P207" i="1" s="1"/>
  <c r="M207" i="1" a="1"/>
  <c r="M207" i="1" s="1"/>
  <c r="L208" i="1"/>
  <c r="P208" i="1" a="1"/>
  <c r="P208" i="1" s="1"/>
  <c r="M208" i="1" a="1"/>
  <c r="M208" i="1" s="1"/>
  <c r="L209" i="1"/>
  <c r="P209" i="1" a="1"/>
  <c r="P209" i="1" s="1"/>
  <c r="M209" i="1" a="1"/>
  <c r="M209" i="1" s="1"/>
  <c r="L210" i="1"/>
  <c r="P210" i="1" a="1"/>
  <c r="P210" i="1" s="1"/>
  <c r="M210" i="1" a="1"/>
  <c r="M210" i="1" s="1"/>
  <c r="L211" i="1"/>
  <c r="P211" i="1" a="1"/>
  <c r="P211" i="1" s="1"/>
  <c r="M211" i="1" a="1"/>
  <c r="M211" i="1" s="1"/>
  <c r="N211" i="1" s="1"/>
  <c r="L212" i="1"/>
  <c r="P212" i="1" a="1"/>
  <c r="P212" i="1" s="1"/>
  <c r="M212" i="1" a="1"/>
  <c r="M212" i="1" s="1"/>
  <c r="N212" i="1" s="1"/>
  <c r="L213" i="1"/>
  <c r="P213" i="1" a="1"/>
  <c r="P213" i="1" s="1"/>
  <c r="M213" i="1" a="1"/>
  <c r="M213" i="1" s="1"/>
  <c r="N213" i="1" s="1"/>
  <c r="L214" i="1"/>
  <c r="P214" i="1" a="1"/>
  <c r="P214" i="1" s="1"/>
  <c r="M214" i="1" a="1"/>
  <c r="M214" i="1" s="1"/>
  <c r="N214" i="1" s="1"/>
  <c r="L216" i="1"/>
  <c r="M216" i="1" a="1"/>
  <c r="M216" i="1" s="1"/>
  <c r="N216" i="1" s="1"/>
  <c r="N215" i="1" s="1"/>
  <c r="L218" i="1"/>
  <c r="M218" i="1" a="1"/>
  <c r="M218" i="1" s="1"/>
  <c r="N218" i="1" s="1"/>
  <c r="N217" i="1" s="1"/>
  <c r="L220" i="1"/>
  <c r="P220" i="1" a="1"/>
  <c r="P220" i="1" s="1"/>
  <c r="M220" i="1" a="1"/>
  <c r="M220" i="1" s="1"/>
  <c r="L221" i="1"/>
  <c r="P221" i="1" a="1"/>
  <c r="P221" i="1" s="1"/>
  <c r="M221" i="1" a="1"/>
  <c r="M221" i="1" s="1"/>
  <c r="N221" i="1" s="1"/>
  <c r="L222" i="1"/>
  <c r="P222" i="1" a="1"/>
  <c r="P222" i="1" s="1"/>
  <c r="M222" i="1" a="1"/>
  <c r="M222" i="1" s="1"/>
  <c r="N222" i="1" s="1"/>
  <c r="L224" i="1"/>
  <c r="M224" i="1" a="1"/>
  <c r="M224" i="1" s="1"/>
  <c r="N224" i="1" s="1"/>
  <c r="N223" i="1" s="1"/>
  <c r="L226" i="1"/>
  <c r="P226" i="1" a="1"/>
  <c r="P226" i="1" s="1"/>
  <c r="M226" i="1" a="1"/>
  <c r="M226" i="1" s="1"/>
  <c r="L227" i="1"/>
  <c r="P227" i="1" a="1"/>
  <c r="P227" i="1" s="1"/>
  <c r="M227" i="1" a="1"/>
  <c r="M227" i="1" s="1"/>
  <c r="L228" i="1"/>
  <c r="P228" i="1" a="1"/>
  <c r="P228" i="1" s="1"/>
  <c r="M228" i="1" a="1"/>
  <c r="M228" i="1" s="1"/>
  <c r="L229" i="1"/>
  <c r="P229" i="1" a="1"/>
  <c r="P229" i="1" s="1"/>
  <c r="M229" i="1" a="1"/>
  <c r="M229" i="1" s="1"/>
  <c r="L230" i="1"/>
  <c r="P230" i="1" a="1"/>
  <c r="P230" i="1" s="1"/>
  <c r="M230" i="1" a="1"/>
  <c r="M230" i="1" s="1"/>
  <c r="L231" i="1"/>
  <c r="P231" i="1" a="1"/>
  <c r="P231" i="1" s="1"/>
  <c r="M231" i="1" a="1"/>
  <c r="M231" i="1" s="1"/>
  <c r="L233" i="1"/>
  <c r="M233" i="1" a="1"/>
  <c r="M233" i="1" s="1"/>
  <c r="N233" i="1" s="1"/>
  <c r="N232" i="1" s="1"/>
  <c r="L235" i="1"/>
  <c r="P235" i="1" a="1"/>
  <c r="P235" i="1" s="1"/>
  <c r="M235" i="1" a="1"/>
  <c r="M235" i="1" s="1"/>
  <c r="N235" i="1" s="1"/>
  <c r="L236" i="1"/>
  <c r="P236" i="1" a="1"/>
  <c r="P236" i="1" s="1"/>
  <c r="M236" i="1" a="1"/>
  <c r="M236" i="1" s="1"/>
  <c r="N236" i="1" s="1"/>
  <c r="L237" i="1"/>
  <c r="P237" i="1" a="1"/>
  <c r="P237" i="1" s="1"/>
  <c r="M237" i="1" a="1"/>
  <c r="M237" i="1" s="1"/>
  <c r="N237" i="1" s="1"/>
  <c r="L241" i="1"/>
  <c r="M241" i="1" a="1"/>
  <c r="M241" i="1" s="1"/>
  <c r="N241" i="1" s="1"/>
  <c r="N240" i="1" s="1"/>
  <c r="L243" i="1"/>
  <c r="P243" i="1" a="1"/>
  <c r="P243" i="1" s="1"/>
  <c r="M243" i="1" a="1"/>
  <c r="M243" i="1" s="1"/>
  <c r="N243" i="1" s="1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N36" i="1" l="1"/>
  <c r="N58" i="1"/>
  <c r="N57" i="1" s="1"/>
  <c r="N105" i="1"/>
  <c r="N104" i="1" s="1"/>
  <c r="N147" i="1"/>
  <c r="N203" i="1"/>
  <c r="N200" i="1" s="1"/>
  <c r="N168" i="1"/>
  <c r="N148" i="1"/>
  <c r="N182" i="1"/>
  <c r="N181" i="1" s="1"/>
  <c r="N30" i="1"/>
  <c r="N178" i="1"/>
  <c r="N177" i="1" s="1"/>
  <c r="N51" i="1"/>
  <c r="N87" i="1"/>
  <c r="N100" i="1"/>
  <c r="N99" i="1" s="1"/>
  <c r="N210" i="1"/>
  <c r="E33" i="2"/>
  <c r="N52" i="1"/>
  <c r="N89" i="1"/>
  <c r="N88" i="1" s="1"/>
  <c r="N158" i="1"/>
  <c r="N46" i="1"/>
  <c r="N77" i="1"/>
  <c r="N108" i="1"/>
  <c r="N112" i="1"/>
  <c r="N116" i="1"/>
  <c r="N250" i="1"/>
  <c r="N242" i="1"/>
  <c r="N140" i="1"/>
  <c r="N247" i="1"/>
  <c r="N97" i="1"/>
  <c r="N120" i="1"/>
  <c r="N245" i="1"/>
  <c r="N220" i="1"/>
  <c r="N219" i="1" s="1"/>
  <c r="N38" i="1"/>
  <c r="N166" i="1"/>
  <c r="N39" i="1"/>
  <c r="N167" i="1"/>
  <c r="N174" i="1"/>
  <c r="N173" i="1" s="1"/>
  <c r="N40" i="1"/>
  <c r="N85" i="1"/>
  <c r="N107" i="1"/>
  <c r="N106" i="1" s="1"/>
  <c r="N176" i="1"/>
  <c r="N175" i="1" s="1"/>
  <c r="N82" i="1"/>
  <c r="N83" i="1"/>
  <c r="N84" i="1"/>
  <c r="N164" i="1"/>
  <c r="N69" i="1"/>
  <c r="N136" i="1"/>
  <c r="N188" i="1"/>
  <c r="N187" i="1" s="1"/>
  <c r="N65" i="1"/>
  <c r="N72" i="1"/>
  <c r="N124" i="1"/>
  <c r="N130" i="1"/>
  <c r="N153" i="1"/>
  <c r="N186" i="1"/>
  <c r="N185" i="1" s="1"/>
  <c r="N194" i="1"/>
  <c r="N209" i="1"/>
  <c r="N226" i="1"/>
  <c r="N227" i="1"/>
  <c r="N234" i="1"/>
  <c r="N45" i="1"/>
  <c r="N44" i="1" s="1"/>
  <c r="N66" i="1"/>
  <c r="N67" i="1"/>
  <c r="N68" i="1"/>
  <c r="N92" i="1"/>
  <c r="N119" i="1"/>
  <c r="N118" i="1" s="1"/>
  <c r="N91" i="1"/>
  <c r="N131" i="1"/>
  <c r="N132" i="1"/>
  <c r="N133" i="1"/>
  <c r="N134" i="1"/>
  <c r="N207" i="1"/>
  <c r="N208" i="1"/>
  <c r="N229" i="1"/>
  <c r="N230" i="1"/>
  <c r="N231" i="1"/>
  <c r="N135" i="1"/>
  <c r="N154" i="1"/>
  <c r="N155" i="1"/>
  <c r="N156" i="1"/>
  <c r="N228" i="1"/>
  <c r="N144" i="1" l="1"/>
  <c r="N50" i="1"/>
  <c r="N14" i="1"/>
  <c r="N249" i="1"/>
  <c r="N248" i="1"/>
  <c r="N246" i="1"/>
  <c r="N163" i="1"/>
  <c r="N160" i="1" s="1"/>
  <c r="N257" i="1"/>
  <c r="E34" i="2" s="1"/>
  <c r="N90" i="1"/>
  <c r="N81" i="1"/>
  <c r="N64" i="1"/>
  <c r="N206" i="1"/>
  <c r="N225" i="1"/>
  <c r="N129" i="1"/>
  <c r="N152" i="1"/>
  <c r="N170" i="1" l="1"/>
  <c r="N169" i="1" s="1"/>
  <c r="N244" i="1"/>
  <c r="N11" i="1"/>
  <c r="N10" i="1" s="1"/>
  <c r="N239" i="1" l="1"/>
  <c r="N238" i="1" s="1"/>
  <c r="N9" i="1" s="1"/>
  <c r="N258" i="1"/>
  <c r="N256" i="1" l="1"/>
  <c r="G116" i="3"/>
  <c r="G118" i="3"/>
  <c r="G119" i="3"/>
  <c r="G120" i="3"/>
  <c r="G117" i="3"/>
  <c r="G121" i="3" l="1"/>
  <c r="G122" i="3" s="1"/>
</calcChain>
</file>

<file path=xl/sharedStrings.xml><?xml version="1.0" encoding="utf-8"?>
<sst xmlns="http://schemas.openxmlformats.org/spreadsheetml/2006/main" count="1208" uniqueCount="283">
  <si>
    <t>Локальный сметный расчет (ЛСР) №1</t>
  </si>
  <si>
    <t>Объект: «Пятисекционный многоквартирный жилой дом со встроенно-пристроенными нежилыми помещениями общественного назначения (№ 1.1, 1.2, 1.3, 2, 3 по ПЗУ) и встроенно-пристроенной подземной автостоянкой» Секция 1, 2, 3, 4, 5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</si>
  <si>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</si>
  <si>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</si>
  <si>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</si>
  <si>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</si>
  <si>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</si>
  <si>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</si>
  <si>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2</t>
  </si>
  <si>
    <t>Секция 3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</si>
  <si>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</si>
  <si>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</si>
  <si>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</si>
  <si>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</si>
  <si>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</si>
  <si>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11</t>
  </si>
  <si>
    <t>Внутренние инженерные сети</t>
  </si>
  <si>
    <t>11.02</t>
  </si>
  <si>
    <t>Устройство системы водоснабжения</t>
  </si>
  <si>
    <t>11.02.02</t>
  </si>
  <si>
    <t>Устройство водоснабжения (горизонтальная разводка)</t>
  </si>
  <si>
    <t>11.02.02.00</t>
  </si>
  <si>
    <t>Работы:</t>
  </si>
  <si>
    <t>Изоляция трубопровода</t>
  </si>
  <si>
    <t>м</t>
  </si>
  <si>
    <t>Материалы:</t>
  </si>
  <si>
    <t>1</t>
  </si>
  <si>
    <t>Теплоизоляция трубная</t>
  </si>
  <si>
    <t>64х13мм вспененный полиэтилен</t>
  </si>
  <si>
    <t>пог. м</t>
  </si>
  <si>
    <t>2</t>
  </si>
  <si>
    <t>76х13мм вспененный полиэтилен</t>
  </si>
  <si>
    <t>3</t>
  </si>
  <si>
    <t>89х13мм вспененный полиэтилен</t>
  </si>
  <si>
    <t>4</t>
  </si>
  <si>
    <t>48х13мм вспененный полиэтилен</t>
  </si>
  <si>
    <t>5</t>
  </si>
  <si>
    <t>57х13мм вспененный полиэтилен</t>
  </si>
  <si>
    <t>6</t>
  </si>
  <si>
    <t>22х9мм вспененный полиэтилен</t>
  </si>
  <si>
    <t>7</t>
  </si>
  <si>
    <t>76х20мм Навивные цилидры из каменной ваты фольгированные</t>
  </si>
  <si>
    <t>8</t>
  </si>
  <si>
    <t>89х20мм Навивные цилидры из каменной ваты фольгированные</t>
  </si>
  <si>
    <t>9</t>
  </si>
  <si>
    <t>108х20мм Навивные цилидры из каменной ваты фольгированные</t>
  </si>
  <si>
    <t>10</t>
  </si>
  <si>
    <t>133х20мм Навивные цилидры из каменной ваты фольгированные</t>
  </si>
  <si>
    <t>250х20мм Навивные цилидры из каменной ваты фольгированные</t>
  </si>
  <si>
    <t>12</t>
  </si>
  <si>
    <t>110х13мм вспененный полиэтилен</t>
  </si>
  <si>
    <t>13</t>
  </si>
  <si>
    <t>22х25мм вспененный полиэтилен</t>
  </si>
  <si>
    <t>14</t>
  </si>
  <si>
    <t>28х25мм вспененный полиэтилен</t>
  </si>
  <si>
    <t>15</t>
  </si>
  <si>
    <t>35х25мм вспененный полиэтилен</t>
  </si>
  <si>
    <t>16</t>
  </si>
  <si>
    <t>42х25мм вспененный полиэтилен</t>
  </si>
  <si>
    <t>17</t>
  </si>
  <si>
    <t>48х25мм вспененный полиэтилен</t>
  </si>
  <si>
    <t>18</t>
  </si>
  <si>
    <t>76х20мм навивные цилидры из каменной ваты</t>
  </si>
  <si>
    <t>19</t>
  </si>
  <si>
    <t>110х25мм вспененный полиэтилен</t>
  </si>
  <si>
    <t>20</t>
  </si>
  <si>
    <t>89х25мм вспененный полиэтилен</t>
  </si>
  <si>
    <t>21</t>
  </si>
  <si>
    <t>76х25мм вспененный полиэтилен</t>
  </si>
  <si>
    <t>22</t>
  </si>
  <si>
    <t>64х25мм вспененный полиэтилен</t>
  </si>
  <si>
    <t>23</t>
  </si>
  <si>
    <t>57х25мм вспененный полиэтилен</t>
  </si>
  <si>
    <t>24</t>
  </si>
  <si>
    <t>18х20мм навивные цилидры из каменной ваты</t>
  </si>
  <si>
    <t>25</t>
  </si>
  <si>
    <t>28х20мм навивные цилидры из каменной ваты</t>
  </si>
  <si>
    <t>26</t>
  </si>
  <si>
    <t>42х20мм навивные цилидры из каменной ваты</t>
  </si>
  <si>
    <t>27</t>
  </si>
  <si>
    <t>22х13мм вспененный полиэтилен</t>
  </si>
  <si>
    <t>28</t>
  </si>
  <si>
    <t>28х13мм вспененный полиэтилен</t>
  </si>
  <si>
    <t>29</t>
  </si>
  <si>
    <t>35х13мм вспененный полиэтилен</t>
  </si>
  <si>
    <t>Монтаж автоматического воздухоотводчика</t>
  </si>
  <si>
    <t>шт</t>
  </si>
  <si>
    <t>Воздухоотводчик</t>
  </si>
  <si>
    <t>автоматический Ду-15 10bar</t>
  </si>
  <si>
    <t>Монтаж затвора</t>
  </si>
  <si>
    <t>Затвор поворотный дисковый</t>
  </si>
  <si>
    <t>межфланцевый Ду-250 Py-16bar ручной с контролем положения</t>
  </si>
  <si>
    <t>межфланцевый Ду-125 Py-16bar ручной с контролем положения</t>
  </si>
  <si>
    <t>межфланцевый Ду-80 Py-16bar ручной</t>
  </si>
  <si>
    <t>межфланцевый Ду-100 Py-16bar ручной</t>
  </si>
  <si>
    <t>Монтаж клапана (фланцевые, резьбовые) до 32 мм</t>
  </si>
  <si>
    <t>Клапан балансировочный</t>
  </si>
  <si>
    <t>ручной MVT-R Ду-32 Ру-16бар</t>
  </si>
  <si>
    <t>ручной MVT-R Ду-25 Ру-16бар</t>
  </si>
  <si>
    <t>ручной MVT-R Ду-15 Ру-16бар</t>
  </si>
  <si>
    <t>Клапан регулирующий</t>
  </si>
  <si>
    <t>понижения давления резьбовой Ду-15Ру-10 бар</t>
  </si>
  <si>
    <t>Монтаж клапана (фланцевые, резьбовые) от 40 мм</t>
  </si>
  <si>
    <t>ручной MVT-R Ду-40 Ру-16бар</t>
  </si>
  <si>
    <t>Клапан обратный</t>
  </si>
  <si>
    <t>Межфланцевый Ду-100 Ру-16бар</t>
  </si>
  <si>
    <t>муфтовый Ду-40 Ру-16бар</t>
  </si>
  <si>
    <t>Межфланцевый Ду-80 Ру-16бар</t>
  </si>
  <si>
    <t>Межфланцевый Ду-125 Ру-16бар</t>
  </si>
  <si>
    <t>Монтаж коллектора</t>
  </si>
  <si>
    <t>Коллектор (в сборе) распределительный</t>
  </si>
  <si>
    <t>Д-50 с 5-ю выходами (диаметр подключения Ду25)</t>
  </si>
  <si>
    <t>Д-50 с 6-ю выходами (диаметр подключения Ду25)</t>
  </si>
  <si>
    <t>Монтаж крана с электроприводом</t>
  </si>
  <si>
    <t>Кран шаровой</t>
  </si>
  <si>
    <t>муфтовый с электроприводом В/В Ду-15 полнопроходной</t>
  </si>
  <si>
    <t>Монтаж кранов (фланцевые, резьбовые) до 32 мм</t>
  </si>
  <si>
    <t>Ду-15 полнопроходный с НГ</t>
  </si>
  <si>
    <t>Ду-20 полнопроходный с НГ</t>
  </si>
  <si>
    <t>Ду-25 полнопроходный с НГ</t>
  </si>
  <si>
    <t>Ду-32 полнопроходный с НГ</t>
  </si>
  <si>
    <t>ВР-ВР Ду-15 полнопроходной</t>
  </si>
  <si>
    <t>ВР-ВР Ду-25 полнопроходной</t>
  </si>
  <si>
    <t>Монтаж кранов (фланцевые, резьбовые) от 40 мм</t>
  </si>
  <si>
    <t>полнопроходной c НГ Ду-40</t>
  </si>
  <si>
    <t>c НГ Ду-50 полнопроходной</t>
  </si>
  <si>
    <t>фланцевый Ду-80</t>
  </si>
  <si>
    <t>ВР-ВР Ду-50 полнопроходной</t>
  </si>
  <si>
    <t>фланцевый Ду-65</t>
  </si>
  <si>
    <t>фланцевый Ду-50</t>
  </si>
  <si>
    <t>Монтаж насосной установки повышения давления</t>
  </si>
  <si>
    <t>Насосная установка повышения давления</t>
  </si>
  <si>
    <t>Q=7.08 л/с Н=72,0 м N=4х5,5 кВТ</t>
  </si>
  <si>
    <t>Q=4,08 л/с Н=109,5 м N=4х4,0 кВТ</t>
  </si>
  <si>
    <t>Монтаж НСПС</t>
  </si>
  <si>
    <t>Фланец</t>
  </si>
  <si>
    <t>соединительный для ПЭ Ду-250/250 Py16 сталь</t>
  </si>
  <si>
    <t>Монтаж оросителя</t>
  </si>
  <si>
    <t>Ороситель</t>
  </si>
  <si>
    <t>спринклерный универсальный t-57±3°С К-0,47</t>
  </si>
  <si>
    <t>Монтаж сигнализатора потока жидкости в систему пожаротушения АПТ</t>
  </si>
  <si>
    <t>Сигнализатор потока жидкости в систему пожаротушения</t>
  </si>
  <si>
    <t>D-32 16 bar</t>
  </si>
  <si>
    <t>Монтаж счетчика</t>
  </si>
  <si>
    <t>Счетчик воды</t>
  </si>
  <si>
    <t>с импульсным выходом Ду-65 Qn-63м3/час L-200мм</t>
  </si>
  <si>
    <t>Монтаж трубы из сшитого полиэтилена</t>
  </si>
  <si>
    <t>Труба сшитый полиэтилен</t>
  </si>
  <si>
    <t>DN-20х2,0 PEXа</t>
  </si>
  <si>
    <t>Монтаж фильтра</t>
  </si>
  <si>
    <t>Фильтр сетчатый</t>
  </si>
  <si>
    <t>фланцевый Ду-125</t>
  </si>
  <si>
    <t>муфтовый ВР-ВР Ду-15 латунь</t>
  </si>
  <si>
    <t>Монтажные работы</t>
  </si>
  <si>
    <t>компл.</t>
  </si>
  <si>
    <t>с импульсным выходом Ду-15 Qn-1,5м3/час L-110мм</t>
  </si>
  <si>
    <t>Труба полипропиленовая</t>
  </si>
  <si>
    <t>PPH PN20 DN20х3,4 арм.стекловолокно</t>
  </si>
  <si>
    <t>Редуктор давления</t>
  </si>
  <si>
    <t>Прокладка трубы ППН</t>
  </si>
  <si>
    <t>PPH PN20 DN90х15 арм.стекловолокно</t>
  </si>
  <si>
    <t>PPH PN20 DN110х18,3 арм.стекловолокно</t>
  </si>
  <si>
    <t>PPH PN25 DN25х4,2 арм.стекловолокно</t>
  </si>
  <si>
    <t>в т.ч. в квартиры, на коммерцию</t>
  </si>
  <si>
    <t>PPH PN20 DN32х5,4 арм.стекловолокно</t>
  </si>
  <si>
    <t>PPH PN20 DN40х6,7 арм.стекловолокно</t>
  </si>
  <si>
    <t>PPH PN20 DN63х10,5 арм.стекловолокно</t>
  </si>
  <si>
    <t>PPH PN20 DN75х12,5 арм.стекловолокно</t>
  </si>
  <si>
    <t>Прокладка трубы ПЭ</t>
  </si>
  <si>
    <t>Труба полиэтиленовая (пог.м.)</t>
  </si>
  <si>
    <t>ПЭ-100 SDR13,6 DN250х14,8</t>
  </si>
  <si>
    <t>Прокладка трубы стальной до 40 мм</t>
  </si>
  <si>
    <t>Труба водогазопроводная</t>
  </si>
  <si>
    <t>нержавеющая сталь D-42х3,0 12Х18Н10Т</t>
  </si>
  <si>
    <t>нержавеющая сталь D-45х3,0 12Х18Н10Т</t>
  </si>
  <si>
    <t>нержавеющая сталь D-28х2,5 12Х18Н10Т</t>
  </si>
  <si>
    <t>нержавеющая сталь D-18х2,0 12Х18Н10Т</t>
  </si>
  <si>
    <t>стальная D-40х3,5 СТ3</t>
  </si>
  <si>
    <t>Прокладка трубы стальной от 57 мм</t>
  </si>
  <si>
    <t>Труба электросварная (пог.м.)</t>
  </si>
  <si>
    <t>нержавеющая сталь 12Х18Н10Т D-57х3,0</t>
  </si>
  <si>
    <t>нержавеющая сталь 12Х18Н10Т D-76х3,0</t>
  </si>
  <si>
    <t>нержавеющая сталь 12Х18Н10Т D-89х3,0</t>
  </si>
  <si>
    <t>нержавеющая сталь 12Х18Н10Т D-100х3,0</t>
  </si>
  <si>
    <t>нержавеющая сталь 12Х18Н10Т D-130х4,0</t>
  </si>
  <si>
    <t>нержавеющая сталь 12Х18Н10Т D-250х4,0</t>
  </si>
  <si>
    <t>стальная D-57х3,5</t>
  </si>
  <si>
    <t>УВП</t>
  </si>
  <si>
    <t>в сумке</t>
  </si>
  <si>
    <t>%</t>
  </si>
  <si>
    <t>11.02.03</t>
  </si>
  <si>
    <t>ПНР</t>
  </si>
  <si>
    <t>11.02.03.00</t>
  </si>
  <si>
    <t>Пусконаладочные работы системы водоснабжения: регулировка системы, манометрические испытания</t>
  </si>
  <si>
    <t>11.02.04</t>
  </si>
  <si>
    <t>Устройство стояков для горизонтальной системы водоснабжения</t>
  </si>
  <si>
    <t>11.02.04.00</t>
  </si>
  <si>
    <t>Устройство водоснабжения В-1, Т-3, Т-4</t>
  </si>
  <si>
    <t>Бурение отверстий до 100мм</t>
  </si>
  <si>
    <t>Бурение отверстий до 80мм</t>
  </si>
  <si>
    <t>Монтаж компенсатора сильфонного</t>
  </si>
  <si>
    <t>Компенсатор сильфонный</t>
  </si>
  <si>
    <t>осевой с кожухом резьбовой Ду-25 Ру-16bar</t>
  </si>
  <si>
    <t>Энергия-Аква, либо аналог</t>
  </si>
  <si>
    <t>осевой с кожухом резьбовой Ду-40 Ру-16bar</t>
  </si>
  <si>
    <t>осевой с кожухом резьбовой Ду-50 Ру-16bar</t>
  </si>
  <si>
    <t>Монтаж неподвижных опор</t>
  </si>
  <si>
    <t>Опора неподвижная</t>
  </si>
  <si>
    <t>стальная для стояков водоснабжения Ду-25</t>
  </si>
  <si>
    <t>стальная для стояков водоснабжения Ду-40</t>
  </si>
  <si>
    <t>стальная для стояков водоснабжения Ду-50</t>
  </si>
  <si>
    <t>Присоединители для счетчика</t>
  </si>
  <si>
    <t>Вставка ремонтная</t>
  </si>
  <si>
    <t>для счетчика воды Ф1/2 длина 110 мм</t>
  </si>
  <si>
    <t>В комплекте с обратным клапаном</t>
  </si>
  <si>
    <t>Монтаж трубной изоляции</t>
  </si>
  <si>
    <t>63х13мм вспененный полиэтилен</t>
  </si>
  <si>
    <t>64х13мм вспененный каучук</t>
  </si>
  <si>
    <t>42х13мм вспененный каучук</t>
  </si>
  <si>
    <t>28х13мм вспененный каучук</t>
  </si>
  <si>
    <t>42х13мм вспененный полиэтилен</t>
  </si>
  <si>
    <t>Пробивка отверстий</t>
  </si>
  <si>
    <t>PPH PN20 DN25х5,4 арм.стекловолокно</t>
  </si>
  <si>
    <t>стальная D-15х2,8 СТ3</t>
  </si>
  <si>
    <t>Оросители мусорокамеры</t>
  </si>
  <si>
    <t>стальная D-32х3,2 СТ3</t>
  </si>
  <si>
    <t>стальная D-42х3,2</t>
  </si>
  <si>
    <t>стальная D-76х3,5</t>
  </si>
  <si>
    <t>11.02.99</t>
  </si>
  <si>
    <t>Прочие работы</t>
  </si>
  <si>
    <t>11.02.99.00</t>
  </si>
  <si>
    <t>Эмаль (кг.)</t>
  </si>
  <si>
    <t>ПФ-115</t>
  </si>
  <si>
    <t>кг</t>
  </si>
  <si>
    <t>Навигация</t>
  </si>
  <si>
    <t>ИТОГО по сметному расчету:</t>
  </si>
  <si>
    <t>Всего стоимость работ</t>
  </si>
  <si>
    <t>Всего стоимость материалов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</si>
  <si>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</si>
  <si>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</si>
  <si>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</si>
  <si>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</si>
  <si>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</si>
  <si>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</si>
  <si>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</si>
  <si>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</si>
  <si>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ЛСР</t>
  </si>
  <si>
    <t>ЛСРГуид</t>
  </si>
  <si>
    <t>ГП Амундсмена Екатеринбург.01.11.02 Секция 1.1_Устройство системы водоснабжения №1</t>
  </si>
  <si>
    <t>0ef6f2c2-9794-11f1-9619-cc5d3c3b48f3</t>
  </si>
  <si>
    <t>ГП Амундсмена Екатеринбург.02.11.02 Секция 1.2_Устройство системы водоснабжения №1</t>
  </si>
  <si>
    <t>1b2b20b2-9794-11f1-9619-cc5d3c3b48f3</t>
  </si>
  <si>
    <t>ГП Амундсмена Екатеринбург.03.11.02 Секция 1.3_Устройство системы водоснабжения №1</t>
  </si>
  <si>
    <t>f8aafb48-9793-11f1-9619-cc5d3c3b48f3</t>
  </si>
  <si>
    <t>ГП Амундсмена Екатеринбург.04.11.02 Секция 2_Устройство системы водоснабжения №1</t>
  </si>
  <si>
    <t>2d4fd602-9794-11f1-9619-cc5d3c3b48f3</t>
  </si>
  <si>
    <t>ГП Амундсмена Екатеринбург.05.11.02 Секция 3_Устройство системы водоснабжения №1</t>
  </si>
  <si>
    <t>39735244-9794-11f1-9619-cc5d3c3b48f3</t>
  </si>
  <si>
    <t>Итог</t>
  </si>
  <si>
    <t>Секция 1.1</t>
  </si>
  <si>
    <t>Секция 1.2</t>
  </si>
  <si>
    <t>Секция 1.3</t>
  </si>
  <si>
    <t>11.02.02.27</t>
  </si>
  <si>
    <t>Устройство водоснабжения в КУИ</t>
  </si>
  <si>
    <t>Фитинги для ПЭ (сшитый) трубы</t>
  </si>
  <si>
    <t>Фитинги для ППН трубы</t>
  </si>
  <si>
    <t>Фитинги для ПЭ трубы</t>
  </si>
  <si>
    <t>Фитинги для стальной трубы</t>
  </si>
  <si>
    <t>Прочие материалы</t>
  </si>
  <si>
    <t>для всех разделом, расчитывается от стоимости материалов</t>
  </si>
  <si>
    <t>Проверка:</t>
  </si>
  <si>
    <t>в тч НДС ____%</t>
  </si>
  <si>
    <t>указать %</t>
  </si>
  <si>
    <t>Примечание:</t>
  </si>
  <si>
    <t>-</t>
  </si>
  <si>
    <t>В стоимость пусконоладочных работ входит: ПНР Насосной станции ХП, Атоматизация (узлов учета воды, повысительной НУ) с учетом материалов</t>
  </si>
  <si>
    <t>Учитывать, что подрядчику необходимо предоставить Акт на инструментальный контроль противопожарного водопровода</t>
  </si>
  <si>
    <t>В случае, если один из перечисленных прочих/фасонных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</si>
  <si>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</si>
  <si>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Стоимость материалов учитывает стоимость доставки.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</si>
  <si>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</t>
  </si>
  <si>
    <t>Стоимость Работ по настоящему Договору является твердой и включает в себя все виды работ, необходимые для выполнения полного комплекса работ (в случае необходимости закрытия объема больше, чем предусмотрено ЛСР, расценки на работы подлежат корректировке в меньшую сторону с сохранением твердой стоимости работ)</t>
  </si>
  <si>
    <t>Устройство системы водоснабжения и сопутствующим работам (согласно проекту шифр ВК, стадия Р)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</si>
</sst>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0.0"/>
    <numFmt numFmtId="166" formatCode="#,##0.00\ _₽"/>
  </numFmts>
  <fonts count="19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sz val="8"/>
      <color rgb="FFC00000"/>
      <name val="Arial"/>
      <family val="2"/>
      <charset val="204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sz val="8"/>
      <color rgb="FFFF0000"/>
      <name val="Arial"/>
      <family val="2"/>
      <charset val="204"/>
    </font>
    <font>
      <b/>
      <sz val="8"/>
      <color rgb="FFFF0000"/>
      <name val="Arial"/>
      <family val="2"/>
    </font>
    <font>
      <sz val="11"/>
      <name val="Times New Roman"/>
      <family val="1"/>
      <charset val="204"/>
    </font>
    <font>
      <b/>
      <i/>
      <u/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2"/>
      <charset val="204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C00000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5">
    <xf numFmtId="0" fontId="0" fillId="0" borderId="0"/>
    <xf numFmtId="0" fontId="13" fillId="0" borderId="0"/>
    <xf numFmtId="0" fontId="1" fillId="0" borderId="0"/>
    <xf numFmtId="0" fontId="14" fillId="0" borderId="0"/>
    <xf numFmtId="0" fontId="1" fillId="0" borderId="0"/>
  </cellStyleXfs>
  <cellXfs count="135">
    <xf numFmtId="0" fontId="0" fillId="0" borderId="0" xfId="0"/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 applyAlignment="1">
      <alignment horizontal="left" wrapText="1"/>
    </xf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right" vertical="center"/>
    </xf>
    <xf numFmtId="0" fontId="0" fillId="3" borderId="5" xfId="0" applyFill="1" applyBorder="1" applyAlignment="1">
      <alignment horizontal="center"/>
    </xf>
    <xf numFmtId="0" fontId="0" fillId="3" borderId="5" xfId="0" applyFill="1" applyBorder="1" applyAlignment="1">
      <alignment horizontal="left" wrapText="1"/>
    </xf>
    <xf numFmtId="0" fontId="0" fillId="3" borderId="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right" vertical="center"/>
    </xf>
    <xf numFmtId="0" fontId="3" fillId="4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left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right" vertical="center"/>
    </xf>
    <xf numFmtId="0" fontId="0" fillId="4" borderId="5" xfId="0" applyFill="1" applyBorder="1" applyAlignment="1">
      <alignment horizontal="right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left"/>
    </xf>
    <xf numFmtId="0" fontId="0" fillId="4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right"/>
    </xf>
    <xf numFmtId="0" fontId="0" fillId="5" borderId="5" xfId="0" applyFill="1" applyBorder="1" applyAlignment="1">
      <alignment horizontal="center"/>
    </xf>
    <xf numFmtId="0" fontId="0" fillId="5" borderId="5" xfId="0" applyFill="1" applyBorder="1" applyAlignment="1">
      <alignment horizontal="left" wrapText="1"/>
    </xf>
    <xf numFmtId="0" fontId="0" fillId="5" borderId="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right" vertical="center"/>
    </xf>
    <xf numFmtId="4" fontId="0" fillId="5" borderId="5" xfId="0" applyNumberFormat="1" applyFill="1" applyBorder="1" applyAlignment="1">
      <alignment horizontal="right" vertical="center"/>
    </xf>
    <xf numFmtId="164" fontId="0" fillId="5" borderId="5" xfId="0" applyNumberFormat="1" applyFill="1" applyBorder="1" applyAlignment="1">
      <alignment horizontal="right" vertical="center"/>
    </xf>
    <xf numFmtId="165" fontId="0" fillId="5" borderId="5" xfId="0" applyNumberFormat="1" applyFill="1" applyBorder="1" applyAlignment="1">
      <alignment horizontal="right" vertical="center"/>
    </xf>
    <xf numFmtId="1" fontId="0" fillId="5" borderId="5" xfId="0" applyNumberFormat="1" applyFill="1" applyBorder="1" applyAlignment="1">
      <alignment horizontal="right" vertical="center"/>
    </xf>
    <xf numFmtId="3" fontId="0" fillId="5" borderId="5" xfId="0" applyNumberFormat="1" applyFill="1" applyBorder="1" applyAlignment="1">
      <alignment horizontal="right" vertical="center"/>
    </xf>
    <xf numFmtId="2" fontId="0" fillId="5" borderId="5" xfId="0" applyNumberFormat="1" applyFill="1" applyBorder="1" applyAlignment="1">
      <alignment horizontal="right" vertical="center"/>
    </xf>
    <xf numFmtId="0" fontId="0" fillId="6" borderId="5" xfId="0" applyFill="1" applyBorder="1" applyAlignment="1">
      <alignment horizontal="left"/>
    </xf>
    <xf numFmtId="0" fontId="0" fillId="6" borderId="5" xfId="0" applyFill="1" applyBorder="1" applyAlignment="1">
      <alignment horizontal="right"/>
    </xf>
    <xf numFmtId="0" fontId="0" fillId="7" borderId="5" xfId="0" applyFill="1" applyBorder="1" applyAlignment="1">
      <alignment horizontal="left"/>
    </xf>
    <xf numFmtId="0" fontId="0" fillId="0" borderId="5" xfId="0" applyBorder="1" applyAlignment="1">
      <alignment horizontal="center" vertical="center"/>
    </xf>
    <xf numFmtId="4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1" fontId="0" fillId="0" borderId="5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2" fontId="0" fillId="0" borderId="5" xfId="0" applyNumberFormat="1" applyBorder="1" applyAlignment="1">
      <alignment horizontal="right" vertical="center"/>
    </xf>
    <xf numFmtId="165" fontId="0" fillId="0" borderId="5" xfId="0" applyNumberFormat="1" applyBorder="1" applyAlignment="1">
      <alignment horizontal="right" vertical="center"/>
    </xf>
    <xf numFmtId="164" fontId="0" fillId="0" borderId="5" xfId="0" applyNumberFormat="1" applyBorder="1" applyAlignment="1">
      <alignment horizontal="right" vertical="center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0" fontId="0" fillId="0" borderId="8" xfId="0" applyBorder="1"/>
    <xf numFmtId="4" fontId="3" fillId="0" borderId="1" xfId="0" applyNumberFormat="1" applyFont="1" applyBorder="1" applyAlignment="1">
      <alignment horizontal="center" vertical="center" wrapText="1"/>
    </xf>
    <xf numFmtId="4" fontId="0" fillId="0" borderId="2" xfId="0" applyNumberFormat="1" applyBorder="1" applyAlignment="1">
      <alignment horizontal="right" vertical="center"/>
    </xf>
    <xf numFmtId="0" fontId="3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" fontId="0" fillId="2" borderId="5" xfId="0" applyNumberFormat="1" applyFill="1" applyBorder="1" applyAlignment="1">
      <alignment horizontal="right" vertical="center"/>
    </xf>
    <xf numFmtId="4" fontId="0" fillId="3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center" vertical="center"/>
    </xf>
    <xf numFmtId="4" fontId="3" fillId="4" borderId="0" xfId="0" applyNumberFormat="1" applyFont="1" applyFill="1" applyAlignment="1">
      <alignment horizontal="right" vertical="center"/>
    </xf>
    <xf numFmtId="4" fontId="3" fillId="6" borderId="5" xfId="0" applyNumberFormat="1" applyFont="1" applyFill="1" applyBorder="1" applyAlignment="1">
      <alignment horizontal="right" vertical="center"/>
    </xf>
    <xf numFmtId="2" fontId="0" fillId="0" borderId="0" xfId="0" applyNumberFormat="1"/>
    <xf numFmtId="0" fontId="6" fillId="5" borderId="5" xfId="0" applyFont="1" applyFill="1" applyBorder="1" applyAlignment="1">
      <alignment horizontal="left" wrapText="1"/>
    </xf>
    <xf numFmtId="0" fontId="7" fillId="4" borderId="5" xfId="0" applyFont="1" applyFill="1" applyBorder="1" applyAlignment="1">
      <alignment horizontal="left" wrapText="1"/>
    </xf>
    <xf numFmtId="49" fontId="0" fillId="0" borderId="0" xfId="0" applyNumberFormat="1" applyAlignment="1">
      <alignment horizontal="left"/>
    </xf>
    <xf numFmtId="0" fontId="0" fillId="0" borderId="5" xfId="0" applyBorder="1" applyAlignment="1">
      <alignment horizontal="left" wrapText="1"/>
    </xf>
    <xf numFmtId="0" fontId="8" fillId="5" borderId="5" xfId="0" applyFont="1" applyFill="1" applyBorder="1" applyAlignment="1">
      <alignment horizontal="left" wrapText="1"/>
    </xf>
    <xf numFmtId="0" fontId="8" fillId="5" borderId="5" xfId="0" applyFont="1" applyFill="1" applyBorder="1" applyAlignment="1">
      <alignment horizontal="left" vertical="center" wrapText="1"/>
    </xf>
    <xf numFmtId="0" fontId="9" fillId="4" borderId="5" xfId="0" applyFont="1" applyFill="1" applyBorder="1" applyAlignment="1">
      <alignment horizontal="left" wrapText="1"/>
    </xf>
    <xf numFmtId="0" fontId="8" fillId="5" borderId="5" xfId="0" applyFont="1" applyFill="1" applyBorder="1" applyAlignment="1">
      <alignment horizontal="center" vertical="center"/>
    </xf>
    <xf numFmtId="1" fontId="8" fillId="9" borderId="5" xfId="0" applyNumberFormat="1" applyFont="1" applyFill="1" applyBorder="1" applyAlignment="1">
      <alignment horizontal="right" vertical="center"/>
    </xf>
    <xf numFmtId="0" fontId="8" fillId="5" borderId="5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right" vertical="center"/>
    </xf>
    <xf numFmtId="2" fontId="8" fillId="5" borderId="5" xfId="0" applyNumberFormat="1" applyFont="1" applyFill="1" applyBorder="1" applyAlignment="1">
      <alignment horizontal="right" vertical="center"/>
    </xf>
    <xf numFmtId="4" fontId="8" fillId="5" borderId="5" xfId="0" applyNumberFormat="1" applyFont="1" applyFill="1" applyBorder="1" applyAlignment="1">
      <alignment horizontal="right" vertical="center"/>
    </xf>
    <xf numFmtId="0" fontId="6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1" fontId="0" fillId="9" borderId="5" xfId="0" applyNumberFormat="1" applyFill="1" applyBorder="1" applyAlignment="1">
      <alignment horizontal="right" vertical="center"/>
    </xf>
    <xf numFmtId="4" fontId="0" fillId="0" borderId="0" xfId="0" applyNumberFormat="1" applyAlignment="1">
      <alignment horizontal="left"/>
    </xf>
    <xf numFmtId="0" fontId="6" fillId="0" borderId="0" xfId="0" applyFont="1" applyAlignment="1">
      <alignment horizontal="right"/>
    </xf>
    <xf numFmtId="4" fontId="6" fillId="6" borderId="7" xfId="0" applyNumberFormat="1" applyFont="1" applyFill="1" applyBorder="1" applyAlignment="1">
      <alignment horizontal="right" vertical="center"/>
    </xf>
    <xf numFmtId="0" fontId="8" fillId="6" borderId="7" xfId="0" applyFont="1" applyFill="1" applyBorder="1" applyAlignment="1">
      <alignment horizontal="center"/>
    </xf>
    <xf numFmtId="1" fontId="10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66" fontId="10" fillId="0" borderId="0" xfId="0" applyNumberFormat="1" applyFont="1" applyAlignment="1">
      <alignment horizontal="center" vertical="center"/>
    </xf>
    <xf numFmtId="166" fontId="12" fillId="0" borderId="0" xfId="0" applyNumberFormat="1" applyFont="1" applyAlignment="1">
      <alignment horizontal="center" vertical="center"/>
    </xf>
    <xf numFmtId="4" fontId="10" fillId="0" borderId="0" xfId="0" applyNumberFormat="1" applyFont="1" applyAlignment="1">
      <alignment horizontal="center" vertical="center"/>
    </xf>
    <xf numFmtId="1" fontId="10" fillId="0" borderId="0" xfId="1" applyNumberFormat="1" applyFont="1" applyAlignment="1">
      <alignment horizontal="center" vertical="center"/>
    </xf>
    <xf numFmtId="0" fontId="14" fillId="0" borderId="0" xfId="3" applyAlignment="1">
      <alignment vertical="center"/>
    </xf>
    <xf numFmtId="0" fontId="15" fillId="0" borderId="0" xfId="3" applyFont="1" applyAlignment="1">
      <alignment vertical="center"/>
    </xf>
    <xf numFmtId="4" fontId="15" fillId="0" borderId="0" xfId="3" applyNumberFormat="1" applyFont="1" applyAlignment="1">
      <alignment vertical="center"/>
    </xf>
    <xf numFmtId="0" fontId="16" fillId="0" borderId="0" xfId="1" applyFont="1" applyAlignment="1">
      <alignment horizontal="center" vertical="center"/>
    </xf>
    <xf numFmtId="0" fontId="10" fillId="0" borderId="0" xfId="3" applyFont="1"/>
    <xf numFmtId="0" fontId="16" fillId="0" borderId="0" xfId="3" applyFont="1"/>
    <xf numFmtId="4" fontId="16" fillId="0" borderId="0" xfId="3" applyNumberFormat="1" applyFont="1"/>
    <xf numFmtId="49" fontId="10" fillId="0" borderId="0" xfId="1" applyNumberFormat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7" fillId="0" borderId="0" xfId="0" applyFont="1" applyAlignment="1">
      <alignment horizontal="right" vertical="center"/>
    </xf>
    <xf numFmtId="0" fontId="5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4" fontId="3" fillId="7" borderId="7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0" fillId="0" borderId="0" xfId="2" applyFont="1" applyAlignment="1">
      <alignment horizontal="left" vertical="center" wrapText="1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top" wrapText="1"/>
    </xf>
    <xf numFmtId="4" fontId="3" fillId="0" borderId="8" xfId="0" applyNumberFormat="1" applyFont="1" applyBorder="1" applyAlignment="1">
      <alignment horizontal="left" vertical="top" wrapText="1"/>
    </xf>
    <xf numFmtId="0" fontId="18" fillId="8" borderId="0" xfId="0" applyFont="1" applyFill="1" applyAlignment="1">
      <alignment horizontal="left" vertical="center" wrapText="1"/>
    </xf>
    <xf numFmtId="0" fontId="16" fillId="0" borderId="0" xfId="4" applyFont="1" applyAlignment="1">
      <alignment horizontal="left" vertical="center" wrapText="1"/>
    </xf>
    <xf numFmtId="0" fontId="17" fillId="0" borderId="0" xfId="0" applyFont="1" applyAlignment="1">
      <alignment horizontal="left" vertical="center" wrapText="1"/>
    </xf>
    <xf numFmtId="0" fontId="3" fillId="6" borderId="9" xfId="0" applyFont="1" applyFill="1" applyBorder="1" applyAlignment="1">
      <alignment horizontal="right"/>
    </xf>
    <xf numFmtId="0" fontId="3" fillId="6" borderId="6" xfId="0" applyFont="1" applyFill="1" applyBorder="1" applyAlignment="1">
      <alignment horizontal="right"/>
    </xf>
    <xf numFmtId="0" fontId="3" fillId="6" borderId="7" xfId="0" applyFont="1" applyFill="1" applyBorder="1" applyAlignment="1">
      <alignment horizontal="right"/>
    </xf>
    <xf numFmtId="0" fontId="4" fillId="6" borderId="9" xfId="0" applyFont="1" applyFill="1" applyBorder="1" applyAlignment="1">
      <alignment horizontal="right"/>
    </xf>
    <xf numFmtId="0" fontId="4" fillId="6" borderId="6" xfId="0" applyFont="1" applyFill="1" applyBorder="1" applyAlignment="1">
      <alignment horizontal="right"/>
    </xf>
    <xf numFmtId="0" fontId="4" fillId="6" borderId="7" xfId="0" applyFont="1" applyFill="1" applyBorder="1" applyAlignment="1">
      <alignment horizontal="right"/>
    </xf>
    <xf numFmtId="0" fontId="7" fillId="6" borderId="9" xfId="0" applyFont="1" applyFill="1" applyBorder="1" applyAlignment="1">
      <alignment horizontal="right"/>
    </xf>
    <xf numFmtId="0" fontId="7" fillId="6" borderId="6" xfId="0" applyFont="1" applyFill="1" applyBorder="1" applyAlignment="1">
      <alignment horizontal="right"/>
    </xf>
    <xf numFmtId="0" fontId="7" fillId="6" borderId="7" xfId="0" applyFont="1" applyFill="1" applyBorder="1" applyAlignment="1">
      <alignment horizontal="right"/>
    </xf>
    <xf numFmtId="0" fontId="3" fillId="0" borderId="0" xfId="0" applyFont="1" applyAlignment="1">
      <alignment horizontal="center"/>
    </xf>
  </cellXfs>
  <cellStyles count="5">
    <cellStyle name="Обычный" xfId="0" builtinId="0"/>
    <cellStyle name="Обычный 2" xfId="3" xr:uid="{E31439EF-78EB-4C7E-B818-2B7AFD99979F}"/>
    <cellStyle name="Обычный 3 2 2 4" xfId="2" xr:uid="{EEFD60DE-6FA2-42AB-8DB1-00E8171A1998}"/>
    <cellStyle name="Обычный 3 2 2 4 2" xfId="4" xr:uid="{E7C8E5EE-5CB5-4DA6-8F5F-8E05D3D24D3D}"/>
    <cellStyle name="Обычный 5" xfId="1" xr:uid="{5506666E-638F-4000-BCBF-A7D3433622FF}"/>
  </cellStyles>
  <dxfs count="44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border diagonalUp="0" diagonalDown="0" outline="0">
        <left/>
        <right/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theme="1"/>
        <family val="2"/>
        <charset val="204"/>
      </font>
      <numFmt numFmtId="4" formatCode="#,##0.00"/>
      <fill>
        <patternFill patternType="solid">
          <fgColor theme="4" tint="0.59999389629810485"/>
          <bgColor theme="4" tint="0.5999938962981048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border outline="0">
        <right style="thin">
          <color rgb="FF000000"/>
        </right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diagonalUp="0" diagonalDown="0" outline="0">
        <left/>
        <right/>
        <top style="thin">
          <color rgb="FF000000"/>
        </top>
        <bottom/>
      </border>
    </dxf>
    <dxf>
      <border outline="0">
        <right style="thin">
          <color rgb="FF000000"/>
        </right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DD92B5D-15E6-4E16-91F2-72DBBD1BA566}" name="Р" displayName="Р" ref="A3:F33" totalsRowCount="1" headerRowDxfId="43" headerRowBorderDxfId="42" tableBorderDxfId="41" totalsRowBorderDxfId="40">
  <autoFilter ref="A3:F32" xr:uid="{1DD92B5D-15E6-4E16-91F2-72DBBD1BA566}"/>
  <tableColumns count="6">
    <tableColumn id="1" xr3:uid="{C6DC0CF9-620A-4474-8CB4-1D750BBF22E6}" name="Наименование" totalsRowLabel="Итог" dataDxfId="39" totalsRowDxfId="38"/>
    <tableColumn id="2" xr3:uid="{E7AF1B66-17A4-4152-A495-3B754F729049}" name="Ед. изм." dataDxfId="37" totalsRowDxfId="36"/>
    <tableColumn id="3" xr3:uid="{44C37461-1D30-4415-BEE5-AA83B5AB951C}" name="Количество" dataDxfId="35" totalsRowDxfId="34"/>
    <tableColumn id="4" xr3:uid="{0E6C3A57-71FE-41FA-849A-CA0F6ED085E0}" name="Цена за ед., руб" dataDxfId="33" totalsRowDxfId="32"/>
    <tableColumn id="5" xr3:uid="{7EC5E656-C99E-4D1E-839E-736F2113BBE5}" name="Сумма, руб" totalsRowFunction="sum" dataDxfId="31" totalsRowDxfId="30">
      <calculatedColumnFormula>ROUND(Р[[#This Row],[Количество]]*Р[[#This Row],[Цена за ед., руб]],2)</calculatedColumnFormula>
    </tableColumn>
    <tableColumn id="6" xr3:uid="{8F78FF5D-7400-441F-9963-441A0A720644}" name="Примечание" dataDxfId="29" totalsRowDxfId="28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16632E7-4637-45F9-AA99-03C218FB5631}" name="М" displayName="М" ref="A3:I121" totalsRowCount="1" headerRowDxfId="27" headerRowBorderDxfId="26" tableBorderDxfId="25" totalsRowBorderDxfId="24">
  <autoFilter ref="A3:I120" xr:uid="{F16632E7-4637-45F9-AA99-03C218FB5631}"/>
  <tableColumns count="9">
    <tableColumn id="1" xr3:uid="{F0665C38-5CA7-4F8A-A9A0-771400C896E6}" name="Наим." totalsRowLabel="Итог" dataDxfId="23" totalsRowDxfId="11"/>
    <tableColumn id="2" xr3:uid="{6318A767-7303-4D24-80B1-DE00966B1F29}" name="Артикул, марка, произв." dataDxfId="22" totalsRowDxfId="10"/>
    <tableColumn id="3" xr3:uid="{29100CFC-4281-40C6-B32C-33AEA10531D7}" name="Хар-ка" dataDxfId="21" totalsRowDxfId="9"/>
    <tableColumn id="4" xr3:uid="{FF36C339-2701-49A1-B413-EAA9FACBE86D}" name="Ед. изм." dataDxfId="20" totalsRowDxfId="8"/>
    <tableColumn id="5" xr3:uid="{3760C95C-8DA0-49A3-944E-2B9C3A55401E}" name="Количество" dataDxfId="19" totalsRowDxfId="7"/>
    <tableColumn id="6" xr3:uid="{95531392-A7F1-4784-B3F3-6D2EA0A43362}" name="Цена за ед., руб" dataDxfId="18" totalsRowDxfId="6"/>
    <tableColumn id="7" xr3:uid="{E51AE897-2221-43C4-BADC-4BE41A2E5D4E}" name="Сумма, руб" totalsRowFunction="sum" dataDxfId="17" totalsRowDxfId="5">
      <calculatedColumnFormula>ROUND(М[[#This Row],[Количество]]*М[[#This Row],[Цена за ед., руб]],2)</calculatedColumnFormula>
    </tableColumn>
    <tableColumn id="8" xr3:uid="{928F673D-4498-4877-82A2-0412BA2DB6C0}" name="Прим." dataDxfId="16" totalsRowDxfId="4"/>
    <tableColumn id="9" xr3:uid="{CBF3CD1F-6058-4702-8AEC-EEF936E40B1B}" name="Форма закупа" dataDxfId="15" totalsRowDxfId="3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EL272"/>
  <sheetViews>
    <sheetView tabSelected="1" zoomScale="85" zoomScaleNormal="85" workbookViewId="0">
      <pane ySplit="7" topLeftCell="A224" activePane="bottomLeft" state="frozen"/>
      <selection pane="bottomLeft" activeCell="B262" sqref="B262:S269"/>
    </sheetView>
  </sheetViews>
  <sheetFormatPr defaultColWidth="10.5" defaultRowHeight="11.45" customHeight="1" outlineLevelRow="4" x14ac:dyDescent="0.2"/>
  <cols>
    <col min="1" max="1" width="9.83203125" style="1" customWidth="1"/>
    <col min="2" max="2" width="36" style="1" customWidth="1"/>
    <col min="3" max="3" width="15.83203125" style="1" customWidth="1"/>
    <col min="4" max="4" width="17" style="1" customWidth="1"/>
    <col min="5" max="5" width="10" style="1" customWidth="1"/>
    <col min="6" max="6" width="9.6640625" style="1" customWidth="1"/>
    <col min="7" max="11" width="10.5" style="1" customWidth="1"/>
    <col min="12" max="12" width="14.6640625" style="1" customWidth="1"/>
    <col min="13" max="13" width="16" style="1" customWidth="1"/>
    <col min="14" max="14" width="17" style="1" customWidth="1"/>
    <col min="15" max="15" width="35" style="1" customWidth="1"/>
    <col min="16" max="16" width="23.33203125" style="1" customWidth="1"/>
  </cols>
  <sheetData>
    <row r="1" spans="1:16" ht="11.1" customHeight="1" x14ac:dyDescent="0.2"/>
    <row r="2" spans="1:16" ht="11.1" customHeight="1" x14ac:dyDescent="0.2">
      <c r="B2" s="114" t="s">
        <v>0</v>
      </c>
      <c r="C2" s="114"/>
      <c r="D2" s="114"/>
      <c r="E2" s="114"/>
      <c r="F2" s="114"/>
      <c r="G2" s="114"/>
      <c r="H2" s="114"/>
      <c r="I2" s="114"/>
      <c r="J2" s="114"/>
    </row>
    <row r="3" spans="1:16" ht="23.1" customHeight="1" x14ac:dyDescent="0.2">
      <c r="B3" s="115" t="s">
        <v>1</v>
      </c>
      <c r="C3" s="115"/>
      <c r="D3" s="115"/>
      <c r="E3" s="115"/>
      <c r="F3" s="115"/>
      <c r="G3" s="115"/>
      <c r="H3" s="115"/>
      <c r="I3" s="115"/>
      <c r="J3" s="115"/>
    </row>
    <row r="4" spans="1:16" ht="23.1" customHeight="1" x14ac:dyDescent="0.2">
      <c r="B4" s="115" t="s">
        <v>282</v>
      </c>
      <c r="C4" s="115"/>
      <c r="D4" s="115"/>
      <c r="E4" s="115"/>
      <c r="F4" s="115"/>
      <c r="G4" s="115"/>
      <c r="H4" s="115"/>
      <c r="I4" s="115"/>
      <c r="J4" s="115"/>
    </row>
    <row r="5" spans="1:16" ht="11.1" customHeight="1" x14ac:dyDescent="0.2">
      <c r="G5" s="67"/>
      <c r="H5" s="67"/>
      <c r="I5" s="67"/>
      <c r="J5" s="67"/>
      <c r="K5" s="67"/>
    </row>
    <row r="6" spans="1:16" ht="11.1" customHeight="1" x14ac:dyDescent="0.2">
      <c r="A6" s="111" t="s">
        <v>2</v>
      </c>
      <c r="B6" s="111" t="s">
        <v>3</v>
      </c>
      <c r="C6" s="116" t="s">
        <v>4</v>
      </c>
      <c r="D6" s="118" t="s">
        <v>5</v>
      </c>
      <c r="E6" s="111" t="s">
        <v>6</v>
      </c>
      <c r="F6" s="105" t="s">
        <v>7</v>
      </c>
      <c r="G6" s="109" t="s">
        <v>259</v>
      </c>
      <c r="H6" s="109" t="s">
        <v>260</v>
      </c>
      <c r="I6" s="109" t="s">
        <v>261</v>
      </c>
      <c r="J6" s="109" t="s">
        <v>8</v>
      </c>
      <c r="K6" s="109" t="s">
        <v>9</v>
      </c>
      <c r="L6" s="111" t="s">
        <v>10</v>
      </c>
      <c r="M6" s="105" t="s">
        <v>11</v>
      </c>
      <c r="N6" s="105" t="s">
        <v>12</v>
      </c>
      <c r="O6" s="111" t="s">
        <v>13</v>
      </c>
      <c r="P6" s="105" t="s">
        <v>14</v>
      </c>
    </row>
    <row r="7" spans="1:16" ht="11.1" customHeight="1" x14ac:dyDescent="0.2">
      <c r="A7" s="112"/>
      <c r="B7" s="112"/>
      <c r="C7" s="117"/>
      <c r="D7" s="119"/>
      <c r="E7" s="112"/>
      <c r="F7" s="106"/>
      <c r="G7" s="110"/>
      <c r="H7" s="110"/>
      <c r="I7" s="110"/>
      <c r="J7" s="110"/>
      <c r="K7" s="110"/>
      <c r="L7" s="112"/>
      <c r="M7" s="106"/>
      <c r="N7" s="106"/>
      <c r="O7" s="112"/>
      <c r="P7" s="106"/>
    </row>
    <row r="8" spans="1:16" ht="11.1" customHeight="1" x14ac:dyDescent="0.2">
      <c r="A8" s="3" t="s">
        <v>15</v>
      </c>
      <c r="B8" s="4" t="s">
        <v>16</v>
      </c>
      <c r="C8" s="5"/>
      <c r="D8" s="5"/>
      <c r="E8" s="6"/>
      <c r="F8" s="7"/>
      <c r="G8" s="7"/>
      <c r="H8" s="7"/>
      <c r="I8" s="7"/>
      <c r="J8" s="7"/>
      <c r="K8" s="7"/>
      <c r="L8" s="7"/>
      <c r="M8" s="58"/>
      <c r="N8" s="58"/>
      <c r="O8" s="5"/>
      <c r="P8" s="5"/>
    </row>
    <row r="9" spans="1:16" ht="11.1" customHeight="1" outlineLevel="1" x14ac:dyDescent="0.2">
      <c r="A9" s="8" t="s">
        <v>17</v>
      </c>
      <c r="B9" s="9" t="s">
        <v>18</v>
      </c>
      <c r="C9" s="10"/>
      <c r="D9" s="10"/>
      <c r="E9" s="11"/>
      <c r="F9" s="12"/>
      <c r="G9" s="12"/>
      <c r="H9" s="12"/>
      <c r="I9" s="12"/>
      <c r="J9" s="12"/>
      <c r="K9" s="12"/>
      <c r="L9" s="12"/>
      <c r="M9" s="59"/>
      <c r="N9" s="59">
        <f>SUM($N$238,$N$169,$N$252,$N$10)</f>
        <v>0</v>
      </c>
      <c r="O9" s="10"/>
      <c r="P9" s="10"/>
    </row>
    <row r="10" spans="1:16" ht="23.1" customHeight="1" outlineLevel="2" x14ac:dyDescent="0.2">
      <c r="A10" s="13" t="s">
        <v>19</v>
      </c>
      <c r="B10" s="14" t="s">
        <v>20</v>
      </c>
      <c r="C10" s="15"/>
      <c r="D10" s="15"/>
      <c r="E10" s="16"/>
      <c r="F10" s="17"/>
      <c r="G10" s="18"/>
      <c r="H10" s="18"/>
      <c r="I10" s="18"/>
      <c r="J10" s="18"/>
      <c r="K10" s="18"/>
      <c r="L10" s="18"/>
      <c r="M10" s="60"/>
      <c r="N10" s="60">
        <f>SUM($N$11,$N$160)</f>
        <v>0</v>
      </c>
      <c r="O10" s="19"/>
      <c r="P10" s="19"/>
    </row>
    <row r="11" spans="1:16" ht="23.1" customHeight="1" outlineLevel="3" x14ac:dyDescent="0.2">
      <c r="A11" s="13" t="s">
        <v>21</v>
      </c>
      <c r="B11" s="14" t="s">
        <v>20</v>
      </c>
      <c r="C11" s="15"/>
      <c r="D11" s="15"/>
      <c r="E11" s="16"/>
      <c r="F11" s="17"/>
      <c r="G11" s="18"/>
      <c r="H11" s="18"/>
      <c r="I11" s="18"/>
      <c r="J11" s="18"/>
      <c r="K11" s="18"/>
      <c r="L11" s="18"/>
      <c r="M11" s="60"/>
      <c r="N11" s="60">
        <f>SUM($N$152,$N$150,$N$144,$N$142,$N$140,$N$138,$N$129,$N$127,$N$124,$N$122,$N$120,$N$118,$N$116,$N$114,$N$112,$N$110,$N$108,$N$106,$N$104,$N$102,$N$99,$N$97,$N$90,$N$88,$N$81,$N$79,$N$77,$N$75,$N$72,$N$70,$N$64,$N$62,$N$57,$N$55,$N$50,$N$48,$N$46,$N$44,$N$14,$N$12)</f>
        <v>0</v>
      </c>
      <c r="O11" s="19"/>
      <c r="P11" s="19"/>
    </row>
    <row r="12" spans="1:16" ht="11.1" customHeight="1" outlineLevel="4" x14ac:dyDescent="0.2">
      <c r="A12" s="20"/>
      <c r="B12" s="14" t="s">
        <v>22</v>
      </c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61"/>
      <c r="N12" s="62">
        <f>SUM($N$13)</f>
        <v>0</v>
      </c>
      <c r="O12" s="18"/>
      <c r="P12" s="22"/>
    </row>
    <row r="13" spans="1:16" ht="11.1" customHeight="1" outlineLevel="4" x14ac:dyDescent="0.2">
      <c r="A13" s="23"/>
      <c r="B13" s="24" t="s">
        <v>23</v>
      </c>
      <c r="C13" s="25"/>
      <c r="D13" s="25"/>
      <c r="E13" s="26" t="s">
        <v>24</v>
      </c>
      <c r="F13" s="27"/>
      <c r="G13" s="28">
        <v>2804.65</v>
      </c>
      <c r="H13" s="28">
        <v>10325.15</v>
      </c>
      <c r="I13" s="28">
        <v>5166.25</v>
      </c>
      <c r="J13" s="29">
        <v>18717.599999999999</v>
      </c>
      <c r="K13" s="29">
        <v>11817.2</v>
      </c>
      <c r="L13" s="28">
        <f>SUM($G$13:$K$13)</f>
        <v>48830.85</v>
      </c>
      <c r="M13" s="28">
        <f t="array" ref="M13">INDEX(Р[Цена за ед., руб],MATCH(1,IF(($B13=Р[Наименование])*($O13=Р[Примечание]),{1},($B13=Р[Наименование])*($O13=Р[Примечание])),0))</f>
        <v>0</v>
      </c>
      <c r="N13" s="28">
        <f>ROUND($L$13*$M$13,2)</f>
        <v>0</v>
      </c>
      <c r="O13" s="25"/>
      <c r="P13" s="25"/>
    </row>
    <row r="14" spans="1:16" ht="11.1" customHeight="1" outlineLevel="4" x14ac:dyDescent="0.2">
      <c r="A14" s="20"/>
      <c r="B14" s="14" t="s">
        <v>25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61"/>
      <c r="N14" s="62">
        <f>SUM($N$15:$N$43)</f>
        <v>0</v>
      </c>
      <c r="O14" s="18"/>
      <c r="P14" s="22"/>
    </row>
    <row r="15" spans="1:16" ht="35.1" customHeight="1" outlineLevel="4" x14ac:dyDescent="0.2">
      <c r="A15" s="23" t="s">
        <v>26</v>
      </c>
      <c r="B15" s="24" t="s">
        <v>27</v>
      </c>
      <c r="C15" s="25"/>
      <c r="D15" s="25" t="s">
        <v>28</v>
      </c>
      <c r="E15" s="26" t="s">
        <v>29</v>
      </c>
      <c r="F15" s="27"/>
      <c r="G15" s="30">
        <v>7.5</v>
      </c>
      <c r="H15" s="30">
        <v>10.5</v>
      </c>
      <c r="I15" s="30">
        <v>19.5</v>
      </c>
      <c r="J15" s="31">
        <v>27</v>
      </c>
      <c r="K15" s="31">
        <v>14</v>
      </c>
      <c r="L15" s="30">
        <f>SUM($G$15:$K$15)</f>
        <v>78.5</v>
      </c>
      <c r="M15" s="28">
        <f t="array" ref="M15">INDEX(М[Цена за ед., руб],MATCH(1,IF(($B15=М[Наим.])*($C15=М[Артикул, марка, произв.])*($D15=М[Хар-ка])*($O15=М[Прим.]),{1},($B15=М[Наим.])*($C15=М[Артикул, марка, произв.])*($D15=М[Хар-ка])*($O15=М[Прим.])),0))</f>
        <v>0</v>
      </c>
      <c r="N15" s="28">
        <f>ROUND($L$15*$M$15,2)</f>
        <v>0</v>
      </c>
      <c r="O15" s="25"/>
      <c r="P15" s="25">
        <f t="array" ref="P15">INDEX(М[Форма закупа],MATCH(1,IF(($B15=М[Наим.])*($C15=М[Артикул, марка, произв.])*($D15=М[Хар-ка])*($O15=М[Прим.]),{1},($B15=М[Наим.])*($C15=М[Артикул, марка, произв.])*($D15=М[Хар-ка])*($O15=М[Прим.])),0))</f>
        <v>0</v>
      </c>
    </row>
    <row r="16" spans="1:16" ht="35.1" customHeight="1" outlineLevel="4" x14ac:dyDescent="0.2">
      <c r="A16" s="23" t="s">
        <v>30</v>
      </c>
      <c r="B16" s="24" t="s">
        <v>27</v>
      </c>
      <c r="C16" s="25"/>
      <c r="D16" s="25" t="s">
        <v>31</v>
      </c>
      <c r="E16" s="26" t="s">
        <v>29</v>
      </c>
      <c r="F16" s="27"/>
      <c r="G16" s="30">
        <v>112.1</v>
      </c>
      <c r="H16" s="30">
        <v>55.5</v>
      </c>
      <c r="I16" s="30">
        <v>28.5</v>
      </c>
      <c r="J16" s="31">
        <v>52</v>
      </c>
      <c r="K16" s="30">
        <v>219.9</v>
      </c>
      <c r="L16" s="31">
        <f>SUM($G$16:$K$16)</f>
        <v>468</v>
      </c>
      <c r="M16" s="28">
        <f t="array" ref="M16">INDEX(М[Цена за ед., руб],MATCH(1,IF(($B16=М[Наим.])*($C16=М[Артикул, марка, произв.])*($D16=М[Хар-ка])*($O16=М[Прим.]),{1},($B16=М[Наим.])*($C16=М[Артикул, марка, произв.])*($D16=М[Хар-ка])*($O16=М[Прим.])),0))</f>
        <v>0</v>
      </c>
      <c r="N16" s="28">
        <f>ROUND($L$16*$M$16,2)</f>
        <v>0</v>
      </c>
      <c r="O16" s="25"/>
      <c r="P16" s="25">
        <f t="array" ref="P16">INDEX(М[Форма закупа],MATCH(1,IF(($B16=М[Наим.])*($C16=М[Артикул, марка, произв.])*($D16=М[Хар-ка])*($O16=М[Прим.]),{1},($B16=М[Наим.])*($C16=М[Артикул, марка, произв.])*($D16=М[Хар-ка])*($O16=М[Прим.])),0))</f>
        <v>0</v>
      </c>
    </row>
    <row r="17" spans="1:16" ht="35.1" customHeight="1" outlineLevel="4" x14ac:dyDescent="0.2">
      <c r="A17" s="23" t="s">
        <v>32</v>
      </c>
      <c r="B17" s="24" t="s">
        <v>27</v>
      </c>
      <c r="C17" s="25"/>
      <c r="D17" s="25" t="s">
        <v>33</v>
      </c>
      <c r="E17" s="26" t="s">
        <v>29</v>
      </c>
      <c r="F17" s="27"/>
      <c r="G17" s="30">
        <v>36.5</v>
      </c>
      <c r="H17" s="31">
        <v>17</v>
      </c>
      <c r="I17" s="27"/>
      <c r="J17" s="27"/>
      <c r="K17" s="31">
        <v>23</v>
      </c>
      <c r="L17" s="30">
        <f>SUM($G$17:$K$17)</f>
        <v>76.5</v>
      </c>
      <c r="M17" s="28">
        <f t="array" ref="M17">INDEX(М[Цена за ед., руб],MATCH(1,IF(($B17=М[Наим.])*($C17=М[Артикул, марка, произв.])*($D17=М[Хар-ка])*($O17=М[Прим.]),{1},($B17=М[Наим.])*($C17=М[Артикул, марка, произв.])*($D17=М[Хар-ка])*($O17=М[Прим.])),0))</f>
        <v>0</v>
      </c>
      <c r="N17" s="28">
        <f>ROUND($L$17*$M$17,2)</f>
        <v>0</v>
      </c>
      <c r="O17" s="25"/>
      <c r="P17" s="25">
        <f t="array" ref="P17">INDEX(М[Форма закупа],MATCH(1,IF(($B17=М[Наим.])*($C17=М[Артикул, марка, произв.])*($D17=М[Хар-ка])*($O17=М[Прим.]),{1},($B17=М[Наим.])*($C17=М[Артикул, марка, произв.])*($D17=М[Хар-ка])*($O17=М[Прим.])),0))</f>
        <v>0</v>
      </c>
    </row>
    <row r="18" spans="1:16" ht="35.1" customHeight="1" outlineLevel="4" x14ac:dyDescent="0.2">
      <c r="A18" s="23" t="s">
        <v>34</v>
      </c>
      <c r="B18" s="24" t="s">
        <v>27</v>
      </c>
      <c r="C18" s="25"/>
      <c r="D18" s="25" t="s">
        <v>35</v>
      </c>
      <c r="E18" s="26" t="s">
        <v>29</v>
      </c>
      <c r="F18" s="27"/>
      <c r="G18" s="27"/>
      <c r="H18" s="31">
        <v>10</v>
      </c>
      <c r="I18" s="27"/>
      <c r="J18" s="27"/>
      <c r="K18" s="27"/>
      <c r="L18" s="31">
        <f>SUM($G$18:$K$18)</f>
        <v>10</v>
      </c>
      <c r="M18" s="28">
        <f t="array" ref="M18">INDEX(М[Цена за ед., руб],MATCH(1,IF(($B18=М[Наим.])*($C18=М[Артикул, марка, произв.])*($D18=М[Хар-ка])*($O18=М[Прим.]),{1},($B18=М[Наим.])*($C18=М[Артикул, марка, произв.])*($D18=М[Хар-ка])*($O18=М[Прим.])),0))</f>
        <v>0</v>
      </c>
      <c r="N18" s="28">
        <f>ROUND($L$18*$M$18,2)</f>
        <v>0</v>
      </c>
      <c r="O18" s="25"/>
      <c r="P18" s="25">
        <f t="array" ref="P18">INDEX(М[Форма закупа],MATCH(1,IF(($B18=М[Наим.])*($C18=М[Артикул, марка, произв.])*($D18=М[Хар-ка])*($O18=М[Прим.]),{1},($B18=М[Наим.])*($C18=М[Артикул, марка, произв.])*($D18=М[Хар-ка])*($O18=М[Прим.])),0))</f>
        <v>0</v>
      </c>
    </row>
    <row r="19" spans="1:16" ht="35.1" customHeight="1" outlineLevel="4" x14ac:dyDescent="0.2">
      <c r="A19" s="23" t="s">
        <v>36</v>
      </c>
      <c r="B19" s="24" t="s">
        <v>27</v>
      </c>
      <c r="C19" s="25"/>
      <c r="D19" s="25" t="s">
        <v>37</v>
      </c>
      <c r="E19" s="26" t="s">
        <v>29</v>
      </c>
      <c r="F19" s="27"/>
      <c r="G19" s="27"/>
      <c r="H19" s="27"/>
      <c r="I19" s="27"/>
      <c r="J19" s="31">
        <v>50</v>
      </c>
      <c r="K19" s="31">
        <v>14</v>
      </c>
      <c r="L19" s="31">
        <f>SUM($G$19:$K$19)</f>
        <v>64</v>
      </c>
      <c r="M19" s="28">
        <f t="array" ref="M19">INDEX(М[Цена за ед., руб],MATCH(1,IF(($B19=М[Наим.])*($C19=М[Артикул, марка, произв.])*($D19=М[Хар-ка])*($O19=М[Прим.]),{1},($B19=М[Наим.])*($C19=М[Артикул, марка, произв.])*($D19=М[Хар-ка])*($O19=М[Прим.])),0))</f>
        <v>0</v>
      </c>
      <c r="N19" s="28">
        <f>ROUND($L$19*$M$19,2)</f>
        <v>0</v>
      </c>
      <c r="O19" s="25"/>
      <c r="P19" s="25">
        <f t="array" ref="P19">INDEX(М[Форма закупа],MATCH(1,IF(($B19=М[Наим.])*($C19=М[Артикул, марка, произв.])*($D19=М[Хар-ка])*($O19=М[Прим.]),{1},($B19=М[Наим.])*($C19=М[Артикул, марка, произв.])*($D19=М[Хар-ка])*($O19=М[Прим.])),0))</f>
        <v>0</v>
      </c>
    </row>
    <row r="20" spans="1:16" ht="35.1" customHeight="1" outlineLevel="4" x14ac:dyDescent="0.2">
      <c r="A20" s="23" t="s">
        <v>38</v>
      </c>
      <c r="B20" s="24" t="s">
        <v>27</v>
      </c>
      <c r="C20" s="25"/>
      <c r="D20" s="25" t="s">
        <v>39</v>
      </c>
      <c r="E20" s="26" t="s">
        <v>29</v>
      </c>
      <c r="F20" s="27"/>
      <c r="G20" s="28">
        <v>2063.25</v>
      </c>
      <c r="H20" s="28">
        <v>9915.15</v>
      </c>
      <c r="I20" s="28">
        <v>4835.25</v>
      </c>
      <c r="J20" s="29">
        <v>18022.2</v>
      </c>
      <c r="K20" s="32">
        <v>10626</v>
      </c>
      <c r="L20" s="28">
        <f>SUM($G$20:$K$20)</f>
        <v>45461.85</v>
      </c>
      <c r="M20" s="28">
        <f t="array" ref="M20">INDEX(М[Цена за ед., руб],MATCH(1,IF(($B20=М[Наим.])*($C20=М[Артикул, марка, произв.])*($D20=М[Хар-ка])*($O20=М[Прим.]),{1},($B20=М[Наим.])*($C20=М[Артикул, марка, произв.])*($D20=М[Хар-ка])*($O20=М[Прим.])),0))</f>
        <v>0</v>
      </c>
      <c r="N20" s="28">
        <f>ROUND($L$20*$M$20,2)</f>
        <v>0</v>
      </c>
      <c r="O20" s="25"/>
      <c r="P20" s="25">
        <f t="array" ref="P20">INDEX(М[Форма закупа],MATCH(1,IF(($B20=М[Наим.])*($C20=М[Артикул, марка, произв.])*($D20=М[Хар-ка])*($O20=М[Прим.]),{1},($B20=М[Наим.])*($C20=М[Артикул, марка, произв.])*($D20=М[Хар-ка])*($O20=М[Прим.])),0))</f>
        <v>0</v>
      </c>
    </row>
    <row r="21" spans="1:16" ht="59.1" customHeight="1" outlineLevel="4" x14ac:dyDescent="0.2">
      <c r="A21" s="23" t="s">
        <v>40</v>
      </c>
      <c r="B21" s="24" t="s">
        <v>27</v>
      </c>
      <c r="C21" s="25"/>
      <c r="D21" s="25" t="s">
        <v>41</v>
      </c>
      <c r="E21" s="26" t="s">
        <v>29</v>
      </c>
      <c r="F21" s="27"/>
      <c r="G21" s="27"/>
      <c r="H21" s="27"/>
      <c r="I21" s="31">
        <v>1</v>
      </c>
      <c r="J21" s="27"/>
      <c r="K21" s="27"/>
      <c r="L21" s="31">
        <f>SUM($G$21:$K$21)</f>
        <v>1</v>
      </c>
      <c r="M21" s="28">
        <f t="array" ref="M21">INDEX(М[Цена за ед., руб],MATCH(1,IF(($B21=М[Наим.])*($C21=М[Артикул, марка, произв.])*($D21=М[Хар-ка])*($O21=М[Прим.]),{1},($B21=М[Наим.])*($C21=М[Артикул, марка, произв.])*($D21=М[Хар-ка])*($O21=М[Прим.])),0))</f>
        <v>0</v>
      </c>
      <c r="N21" s="28">
        <f>ROUND($L$21*$M$21,2)</f>
        <v>0</v>
      </c>
      <c r="O21" s="25"/>
      <c r="P21" s="25">
        <f t="array" ref="P21">INDEX(М[Форма закупа],MATCH(1,IF(($B21=М[Наим.])*($C21=М[Артикул, марка, произв.])*($D21=М[Хар-ка])*($O21=М[Прим.]),{1},($B21=М[Наим.])*($C21=М[Артикул, марка, произв.])*($D21=М[Хар-ка])*($O21=М[Прим.])),0))</f>
        <v>0</v>
      </c>
    </row>
    <row r="22" spans="1:16" ht="59.1" customHeight="1" outlineLevel="4" x14ac:dyDescent="0.2">
      <c r="A22" s="23" t="s">
        <v>42</v>
      </c>
      <c r="B22" s="24" t="s">
        <v>27</v>
      </c>
      <c r="C22" s="25"/>
      <c r="D22" s="25" t="s">
        <v>43</v>
      </c>
      <c r="E22" s="26" t="s">
        <v>29</v>
      </c>
      <c r="F22" s="27"/>
      <c r="G22" s="27"/>
      <c r="H22" s="27"/>
      <c r="I22" s="31">
        <v>13</v>
      </c>
      <c r="J22" s="27"/>
      <c r="K22" s="27"/>
      <c r="L22" s="31">
        <f>SUM($G$22:$K$22)</f>
        <v>13</v>
      </c>
      <c r="M22" s="28">
        <f t="array" ref="M22">INDEX(М[Цена за ед., руб],MATCH(1,IF(($B22=М[Наим.])*($C22=М[Артикул, марка, произв.])*($D22=М[Хар-ка])*($O22=М[Прим.]),{1},($B22=М[Наим.])*($C22=М[Артикул, марка, произв.])*($D22=М[Хар-ка])*($O22=М[Прим.])),0))</f>
        <v>0</v>
      </c>
      <c r="N22" s="28">
        <f>ROUND($L$22*$M$22,2)</f>
        <v>0</v>
      </c>
      <c r="O22" s="25"/>
      <c r="P22" s="25">
        <f t="array" ref="P22">INDEX(М[Форма закупа],MATCH(1,IF(($B22=М[Наим.])*($C22=М[Артикул, марка, произв.])*($D22=М[Хар-ка])*($O22=М[Прим.]),{1},($B22=М[Наим.])*($C22=М[Артикул, марка, произв.])*($D22=М[Хар-ка])*($O22=М[Прим.])),0))</f>
        <v>0</v>
      </c>
    </row>
    <row r="23" spans="1:16" ht="59.1" customHeight="1" outlineLevel="4" x14ac:dyDescent="0.2">
      <c r="A23" s="23" t="s">
        <v>44</v>
      </c>
      <c r="B23" s="24" t="s">
        <v>27</v>
      </c>
      <c r="C23" s="25"/>
      <c r="D23" s="25" t="s">
        <v>45</v>
      </c>
      <c r="E23" s="26" t="s">
        <v>29</v>
      </c>
      <c r="F23" s="27"/>
      <c r="G23" s="27"/>
      <c r="H23" s="27"/>
      <c r="I23" s="31">
        <v>15</v>
      </c>
      <c r="J23" s="27"/>
      <c r="K23" s="27"/>
      <c r="L23" s="31">
        <f>SUM($G$23:$K$23)</f>
        <v>15</v>
      </c>
      <c r="M23" s="28">
        <f t="array" ref="M23">INDEX(М[Цена за ед., руб],MATCH(1,IF(($B23=М[Наим.])*($C23=М[Артикул, марка, произв.])*($D23=М[Хар-ка])*($O23=М[Прим.]),{1},($B23=М[Наим.])*($C23=М[Артикул, марка, произв.])*($D23=М[Хар-ка])*($O23=М[Прим.])),0))</f>
        <v>0</v>
      </c>
      <c r="N23" s="28">
        <f>ROUND($L$23*$M$23,2)</f>
        <v>0</v>
      </c>
      <c r="O23" s="25"/>
      <c r="P23" s="25">
        <f t="array" ref="P23">INDEX(М[Форма закупа],MATCH(1,IF(($B23=М[Наим.])*($C23=М[Артикул, марка, произв.])*($D23=М[Хар-ка])*($O23=М[Прим.]),{1},($B23=М[Наим.])*($C23=М[Артикул, марка, произв.])*($D23=М[Хар-ка])*($O23=М[Прим.])),0))</f>
        <v>0</v>
      </c>
    </row>
    <row r="24" spans="1:16" ht="59.1" customHeight="1" outlineLevel="4" x14ac:dyDescent="0.2">
      <c r="A24" s="23" t="s">
        <v>46</v>
      </c>
      <c r="B24" s="24" t="s">
        <v>27</v>
      </c>
      <c r="C24" s="25"/>
      <c r="D24" s="25" t="s">
        <v>47</v>
      </c>
      <c r="E24" s="26" t="s">
        <v>29</v>
      </c>
      <c r="F24" s="27"/>
      <c r="G24" s="27"/>
      <c r="H24" s="27"/>
      <c r="I24" s="31">
        <v>13</v>
      </c>
      <c r="J24" s="27"/>
      <c r="K24" s="27"/>
      <c r="L24" s="31">
        <f>SUM($G$24:$K$24)</f>
        <v>13</v>
      </c>
      <c r="M24" s="28">
        <f t="array" ref="M24">INDEX(М[Цена за ед., руб],MATCH(1,IF(($B24=М[Наим.])*($C24=М[Артикул, марка, произв.])*($D24=М[Хар-ка])*($O24=М[Прим.]),{1},($B24=М[Наим.])*($C24=М[Артикул, марка, произв.])*($D24=М[Хар-ка])*($O24=М[Прим.])),0))</f>
        <v>0</v>
      </c>
      <c r="N24" s="28">
        <f>ROUND($L$24*$M$24,2)</f>
        <v>0</v>
      </c>
      <c r="O24" s="25"/>
      <c r="P24" s="25">
        <f t="array" ref="P24">INDEX(М[Форма закупа],MATCH(1,IF(($B24=М[Наим.])*($C24=М[Артикул, марка, произв.])*($D24=М[Хар-ка])*($O24=М[Прим.]),{1},($B24=М[Наим.])*($C24=М[Артикул, марка, произв.])*($D24=М[Хар-ка])*($O24=М[Прим.])),0))</f>
        <v>0</v>
      </c>
    </row>
    <row r="25" spans="1:16" ht="59.1" customHeight="1" outlineLevel="4" x14ac:dyDescent="0.2">
      <c r="A25" s="23" t="s">
        <v>15</v>
      </c>
      <c r="B25" s="24" t="s">
        <v>27</v>
      </c>
      <c r="C25" s="25"/>
      <c r="D25" s="25" t="s">
        <v>48</v>
      </c>
      <c r="E25" s="26" t="s">
        <v>29</v>
      </c>
      <c r="F25" s="27"/>
      <c r="G25" s="27"/>
      <c r="H25" s="27"/>
      <c r="I25" s="31">
        <v>5</v>
      </c>
      <c r="J25" s="27"/>
      <c r="K25" s="27"/>
      <c r="L25" s="31">
        <f>SUM($G$25:$K$25)</f>
        <v>5</v>
      </c>
      <c r="M25" s="28">
        <f t="array" ref="M25">INDEX(М[Цена за ед., руб],MATCH(1,IF(($B25=М[Наим.])*($C25=М[Артикул, марка, произв.])*($D25=М[Хар-ка])*($O25=М[Прим.]),{1},($B25=М[Наим.])*($C25=М[Артикул, марка, произв.])*($D25=М[Хар-ка])*($O25=М[Прим.])),0))</f>
        <v>0</v>
      </c>
      <c r="N25" s="28">
        <f>ROUND($L$25*$M$25,2)</f>
        <v>0</v>
      </c>
      <c r="O25" s="25"/>
      <c r="P25" s="25">
        <f t="array" ref="P25">INDEX(М[Форма закупа],MATCH(1,IF(($B25=М[Наим.])*($C25=М[Артикул, марка, произв.])*($D25=М[Хар-ка])*($O25=М[Прим.]),{1},($B25=М[Наим.])*($C25=М[Артикул, марка, произв.])*($D25=М[Хар-ка])*($O25=М[Прим.])),0))</f>
        <v>0</v>
      </c>
    </row>
    <row r="26" spans="1:16" ht="35.1" customHeight="1" outlineLevel="4" x14ac:dyDescent="0.2">
      <c r="A26" s="23" t="s">
        <v>49</v>
      </c>
      <c r="B26" s="24" t="s">
        <v>27</v>
      </c>
      <c r="C26" s="25"/>
      <c r="D26" s="25" t="s">
        <v>50</v>
      </c>
      <c r="E26" s="26" t="s">
        <v>29</v>
      </c>
      <c r="F26" s="27"/>
      <c r="G26" s="27"/>
      <c r="H26" s="30">
        <v>42.5</v>
      </c>
      <c r="I26" s="31">
        <v>27</v>
      </c>
      <c r="J26" s="27"/>
      <c r="K26" s="27"/>
      <c r="L26" s="30">
        <f>SUM($G$26:$K$26)</f>
        <v>69.5</v>
      </c>
      <c r="M26" s="28">
        <f t="array" ref="M26">INDEX(М[Цена за ед., руб],MATCH(1,IF(($B26=М[Наим.])*($C26=М[Артикул, марка, произв.])*($D26=М[Хар-ка])*($O26=М[Прим.]),{1},($B26=М[Наим.])*($C26=М[Артикул, марка, произв.])*($D26=М[Хар-ка])*($O26=М[Прим.])),0))</f>
        <v>0</v>
      </c>
      <c r="N26" s="28">
        <f>ROUND($L$26*$M$26,2)</f>
        <v>0</v>
      </c>
      <c r="O26" s="25"/>
      <c r="P26" s="25">
        <f t="array" ref="P26">INDEX(М[Форма закупа],MATCH(1,IF(($B26=М[Наим.])*($C26=М[Артикул, марка, произв.])*($D26=М[Хар-ка])*($O26=М[Прим.]),{1},($B26=М[Наим.])*($C26=М[Артикул, марка, произв.])*($D26=М[Хар-ка])*($O26=М[Прим.])),0))</f>
        <v>0</v>
      </c>
    </row>
    <row r="27" spans="1:16" ht="35.1" customHeight="1" outlineLevel="4" x14ac:dyDescent="0.2">
      <c r="A27" s="23" t="s">
        <v>51</v>
      </c>
      <c r="B27" s="24" t="s">
        <v>27</v>
      </c>
      <c r="C27" s="25"/>
      <c r="D27" s="25" t="s">
        <v>52</v>
      </c>
      <c r="E27" s="26" t="s">
        <v>29</v>
      </c>
      <c r="F27" s="27"/>
      <c r="G27" s="31">
        <v>20</v>
      </c>
      <c r="H27" s="30">
        <v>16.5</v>
      </c>
      <c r="I27" s="31">
        <v>33</v>
      </c>
      <c r="J27" s="31">
        <v>39</v>
      </c>
      <c r="K27" s="30">
        <v>32.5</v>
      </c>
      <c r="L27" s="31">
        <f>SUM($G$27:$K$27)</f>
        <v>141</v>
      </c>
      <c r="M27" s="28">
        <f t="array" ref="M27">INDEX(М[Цена за ед., руб],MATCH(1,IF(($B27=М[Наим.])*($C27=М[Артикул, марка, произв.])*($D27=М[Хар-ка])*($O27=М[Прим.]),{1},($B27=М[Наим.])*($C27=М[Артикул, марка, произв.])*($D27=М[Хар-ка])*($O27=М[Прим.])),0))</f>
        <v>0</v>
      </c>
      <c r="N27" s="28">
        <f>ROUND($L$27*$M$27,2)</f>
        <v>0</v>
      </c>
      <c r="O27" s="25"/>
      <c r="P27" s="25">
        <f t="array" ref="P27">INDEX(М[Форма закупа],MATCH(1,IF(($B27=М[Наим.])*($C27=М[Артикул, марка, произв.])*($D27=М[Хар-ка])*($O27=М[Прим.]),{1},($B27=М[Наим.])*($C27=М[Артикул, марка, произв.])*($D27=М[Хар-ка])*($O27=М[Прим.])),0))</f>
        <v>0</v>
      </c>
    </row>
    <row r="28" spans="1:16" ht="35.1" customHeight="1" outlineLevel="4" x14ac:dyDescent="0.2">
      <c r="A28" s="23" t="s">
        <v>53</v>
      </c>
      <c r="B28" s="24" t="s">
        <v>27</v>
      </c>
      <c r="C28" s="25"/>
      <c r="D28" s="25" t="s">
        <v>54</v>
      </c>
      <c r="E28" s="26" t="s">
        <v>29</v>
      </c>
      <c r="F28" s="27"/>
      <c r="G28" s="31">
        <v>7</v>
      </c>
      <c r="H28" s="31">
        <v>11</v>
      </c>
      <c r="I28" s="27"/>
      <c r="J28" s="31">
        <v>9</v>
      </c>
      <c r="K28" s="27"/>
      <c r="L28" s="31">
        <f>SUM($G$28:$K$28)</f>
        <v>27</v>
      </c>
      <c r="M28" s="28">
        <f t="array" ref="M28">INDEX(М[Цена за ед., руб],MATCH(1,IF(($B28=М[Наим.])*($C28=М[Артикул, марка, произв.])*($D28=М[Хар-ка])*($O28=М[Прим.]),{1},($B28=М[Наим.])*($C28=М[Артикул, марка, произв.])*($D28=М[Хар-ка])*($O28=М[Прим.])),0))</f>
        <v>0</v>
      </c>
      <c r="N28" s="28">
        <f>ROUND($L$28*$M$28,2)</f>
        <v>0</v>
      </c>
      <c r="O28" s="25"/>
      <c r="P28" s="25">
        <f t="array" ref="P28">INDEX(М[Форма закупа],MATCH(1,IF(($B28=М[Наим.])*($C28=М[Артикул, марка, произв.])*($D28=М[Хар-ка])*($O28=М[Прим.]),{1},($B28=М[Наим.])*($C28=М[Артикул, марка, произв.])*($D28=М[Хар-ка])*($O28=М[Прим.])),0))</f>
        <v>0</v>
      </c>
    </row>
    <row r="29" spans="1:16" ht="35.1" customHeight="1" outlineLevel="4" x14ac:dyDescent="0.2">
      <c r="A29" s="23" t="s">
        <v>55</v>
      </c>
      <c r="B29" s="24" t="s">
        <v>27</v>
      </c>
      <c r="C29" s="25"/>
      <c r="D29" s="25" t="s">
        <v>56</v>
      </c>
      <c r="E29" s="26" t="s">
        <v>29</v>
      </c>
      <c r="F29" s="27"/>
      <c r="G29" s="27"/>
      <c r="H29" s="27"/>
      <c r="I29" s="27"/>
      <c r="J29" s="31">
        <v>54</v>
      </c>
      <c r="K29" s="27"/>
      <c r="L29" s="31">
        <f>SUM($G$29:$K$29)</f>
        <v>54</v>
      </c>
      <c r="M29" s="28">
        <f t="array" ref="M29">INDEX(М[Цена за ед., руб],MATCH(1,IF(($B29=М[Наим.])*($C29=М[Артикул, марка, произв.])*($D29=М[Хар-ка])*($O29=М[Прим.]),{1},($B29=М[Наим.])*($C29=М[Артикул, марка, произв.])*($D29=М[Хар-ка])*($O29=М[Прим.])),0))</f>
        <v>0</v>
      </c>
      <c r="N29" s="28">
        <f>ROUND($L$29*$M$29,2)</f>
        <v>0</v>
      </c>
      <c r="O29" s="25"/>
      <c r="P29" s="25">
        <f t="array" ref="P29">INDEX(М[Форма закупа],MATCH(1,IF(($B29=М[Наим.])*($C29=М[Артикул, марка, произв.])*($D29=М[Хар-ка])*($O29=М[Прим.]),{1},($B29=М[Наим.])*($C29=М[Артикул, марка, произв.])*($D29=М[Хар-ка])*($O29=М[Прим.])),0))</f>
        <v>0</v>
      </c>
    </row>
    <row r="30" spans="1:16" ht="35.1" customHeight="1" outlineLevel="4" x14ac:dyDescent="0.2">
      <c r="A30" s="23" t="s">
        <v>57</v>
      </c>
      <c r="B30" s="24" t="s">
        <v>27</v>
      </c>
      <c r="C30" s="25"/>
      <c r="D30" s="25" t="s">
        <v>58</v>
      </c>
      <c r="E30" s="26" t="s">
        <v>29</v>
      </c>
      <c r="F30" s="27"/>
      <c r="G30" s="30">
        <v>107.5</v>
      </c>
      <c r="H30" s="31">
        <v>11</v>
      </c>
      <c r="I30" s="31">
        <v>44</v>
      </c>
      <c r="J30" s="31">
        <v>97</v>
      </c>
      <c r="K30" s="30">
        <v>172.8</v>
      </c>
      <c r="L30" s="30">
        <f>SUM($G$30:$K$30)</f>
        <v>432.3</v>
      </c>
      <c r="M30" s="28">
        <f t="array" ref="M30">INDEX(М[Цена за ед., руб],MATCH(1,IF(($B30=М[Наим.])*($C30=М[Артикул, марка, произв.])*($D30=М[Хар-ка])*($O30=М[Прим.]),{1},($B30=М[Наим.])*($C30=М[Артикул, марка, произв.])*($D30=М[Хар-ка])*($O30=М[Прим.])),0))</f>
        <v>0</v>
      </c>
      <c r="N30" s="28">
        <f>ROUND($L$30*$M$30,2)</f>
        <v>0</v>
      </c>
      <c r="O30" s="25"/>
      <c r="P30" s="25">
        <f t="array" ref="P30">INDEX(М[Форма закупа],MATCH(1,IF(($B30=М[Наим.])*($C30=М[Артикул, марка, произв.])*($D30=М[Хар-ка])*($O30=М[Прим.]),{1},($B30=М[Наим.])*($C30=М[Артикул, марка, произв.])*($D30=М[Хар-ка])*($O30=М[Прим.])),0))</f>
        <v>0</v>
      </c>
    </row>
    <row r="31" spans="1:16" ht="35.1" customHeight="1" outlineLevel="4" x14ac:dyDescent="0.2">
      <c r="A31" s="23" t="s">
        <v>59</v>
      </c>
      <c r="B31" s="24" t="s">
        <v>27</v>
      </c>
      <c r="C31" s="25"/>
      <c r="D31" s="25" t="s">
        <v>60</v>
      </c>
      <c r="E31" s="26" t="s">
        <v>29</v>
      </c>
      <c r="F31" s="27"/>
      <c r="G31" s="27"/>
      <c r="H31" s="31">
        <v>66</v>
      </c>
      <c r="I31" s="27"/>
      <c r="J31" s="27"/>
      <c r="K31" s="27"/>
      <c r="L31" s="31">
        <f>SUM($G$31:$K$31)</f>
        <v>66</v>
      </c>
      <c r="M31" s="28">
        <f t="array" ref="M31">INDEX(М[Цена за ед., руб],MATCH(1,IF(($B31=М[Наим.])*($C31=М[Артикул, марка, произв.])*($D31=М[Хар-ка])*($O31=М[Прим.]),{1},($B31=М[Наим.])*($C31=М[Артикул, марка, произв.])*($D31=М[Хар-ка])*($O31=М[Прим.])),0))</f>
        <v>0</v>
      </c>
      <c r="N31" s="28">
        <f>ROUND($L$31*$M$31,2)</f>
        <v>0</v>
      </c>
      <c r="O31" s="25"/>
      <c r="P31" s="25">
        <f t="array" ref="P31">INDEX(М[Форма закупа],MATCH(1,IF(($B31=М[Наим.])*($C31=М[Артикул, марка, произв.])*($D31=М[Хар-ка])*($O31=М[Прим.]),{1},($B31=М[Наим.])*($C31=М[Артикул, марка, произв.])*($D31=М[Хар-ка])*($O31=М[Прим.])),0))</f>
        <v>0</v>
      </c>
    </row>
    <row r="32" spans="1:16" ht="47.1" customHeight="1" outlineLevel="4" x14ac:dyDescent="0.2">
      <c r="A32" s="23" t="s">
        <v>61</v>
      </c>
      <c r="B32" s="24" t="s">
        <v>27</v>
      </c>
      <c r="C32" s="25"/>
      <c r="D32" s="25" t="s">
        <v>62</v>
      </c>
      <c r="E32" s="26" t="s">
        <v>29</v>
      </c>
      <c r="F32" s="27"/>
      <c r="G32" s="30">
        <v>151.19999999999999</v>
      </c>
      <c r="H32" s="27"/>
      <c r="I32" s="27"/>
      <c r="J32" s="27"/>
      <c r="K32" s="30">
        <v>247.8</v>
      </c>
      <c r="L32" s="31">
        <f>SUM($G$32:$K$32)</f>
        <v>399</v>
      </c>
      <c r="M32" s="28">
        <f t="array" ref="M32">INDEX(М[Цена за ед., руб],MATCH(1,IF(($B32=М[Наим.])*($C32=М[Артикул, марка, произв.])*($D32=М[Хар-ка])*($O32=М[Прим.]),{1},($B32=М[Наим.])*($C32=М[Артикул, марка, произв.])*($D32=М[Хар-ка])*($O32=М[Прим.])),0))</f>
        <v>0</v>
      </c>
      <c r="N32" s="28">
        <f>ROUND($L$32*$M$32,2)</f>
        <v>0</v>
      </c>
      <c r="O32" s="25"/>
      <c r="P32" s="25">
        <f t="array" ref="P32">INDEX(М[Форма закупа],MATCH(1,IF(($B32=М[Наим.])*($C32=М[Артикул, марка, произв.])*($D32=М[Хар-ка])*($O32=М[Прим.]),{1},($B32=М[Наим.])*($C32=М[Артикул, марка, произв.])*($D32=М[Хар-ка])*($O32=М[Прим.])),0))</f>
        <v>0</v>
      </c>
    </row>
    <row r="33" spans="1:16" ht="35.1" customHeight="1" outlineLevel="4" x14ac:dyDescent="0.2">
      <c r="A33" s="23" t="s">
        <v>63</v>
      </c>
      <c r="B33" s="24" t="s">
        <v>27</v>
      </c>
      <c r="C33" s="25"/>
      <c r="D33" s="25" t="s">
        <v>64</v>
      </c>
      <c r="E33" s="26" t="s">
        <v>29</v>
      </c>
      <c r="F33" s="27"/>
      <c r="G33" s="27"/>
      <c r="H33" s="30">
        <v>42.5</v>
      </c>
      <c r="I33" s="31">
        <v>27</v>
      </c>
      <c r="J33" s="27"/>
      <c r="K33" s="27"/>
      <c r="L33" s="30">
        <f>SUM($G$33:$K$33)</f>
        <v>69.5</v>
      </c>
      <c r="M33" s="28">
        <f t="array" ref="M33">INDEX(М[Цена за ед., руб],MATCH(1,IF(($B33=М[Наим.])*($C33=М[Артикул, марка, произв.])*($D33=М[Хар-ка])*($O33=М[Прим.]),{1},($B33=М[Наим.])*($C33=М[Артикул, марка, произв.])*($D33=М[Хар-ка])*($O33=М[Прим.])),0))</f>
        <v>0</v>
      </c>
      <c r="N33" s="28">
        <f>ROUND($L$33*$M$33,2)</f>
        <v>0</v>
      </c>
      <c r="O33" s="25"/>
      <c r="P33" s="25">
        <f t="array" ref="P33">INDEX(М[Форма закупа],MATCH(1,IF(($B33=М[Наим.])*($C33=М[Артикул, марка, произв.])*($D33=М[Хар-ка])*($O33=М[Прим.]),{1},($B33=М[Наим.])*($C33=М[Артикул, марка, произв.])*($D33=М[Хар-ка])*($O33=М[Прим.])),0))</f>
        <v>0</v>
      </c>
    </row>
    <row r="34" spans="1:16" ht="35.1" customHeight="1" outlineLevel="4" x14ac:dyDescent="0.2">
      <c r="A34" s="23" t="s">
        <v>65</v>
      </c>
      <c r="B34" s="24" t="s">
        <v>27</v>
      </c>
      <c r="C34" s="25"/>
      <c r="D34" s="25" t="s">
        <v>66</v>
      </c>
      <c r="E34" s="26" t="s">
        <v>29</v>
      </c>
      <c r="F34" s="27"/>
      <c r="G34" s="30">
        <v>36.5</v>
      </c>
      <c r="H34" s="31">
        <v>17</v>
      </c>
      <c r="I34" s="27"/>
      <c r="J34" s="27"/>
      <c r="K34" s="31">
        <v>23</v>
      </c>
      <c r="L34" s="30">
        <f>SUM($G$34:$K$34)</f>
        <v>76.5</v>
      </c>
      <c r="M34" s="28">
        <f t="array" ref="M34">INDEX(М[Цена за ед., руб],MATCH(1,IF(($B34=М[Наим.])*($C34=М[Артикул, марка, произв.])*($D34=М[Хар-ка])*($O34=М[Прим.]),{1},($B34=М[Наим.])*($C34=М[Артикул, марка, произв.])*($D34=М[Хар-ка])*($O34=М[Прим.])),0))</f>
        <v>0</v>
      </c>
      <c r="N34" s="28">
        <f>ROUND($L$34*$M$34,2)</f>
        <v>0</v>
      </c>
      <c r="O34" s="25"/>
      <c r="P34" s="25">
        <f t="array" ref="P34">INDEX(М[Форма закупа],MATCH(1,IF(($B34=М[Наим.])*($C34=М[Артикул, марка, произв.])*($D34=М[Хар-ка])*($O34=М[Прим.]),{1},($B34=М[Наим.])*($C34=М[Артикул, марка, произв.])*($D34=М[Хар-ка])*($O34=М[Прим.])),0))</f>
        <v>0</v>
      </c>
    </row>
    <row r="35" spans="1:16" ht="35.1" customHeight="1" outlineLevel="4" x14ac:dyDescent="0.2">
      <c r="A35" s="23" t="s">
        <v>67</v>
      </c>
      <c r="B35" s="24" t="s">
        <v>27</v>
      </c>
      <c r="C35" s="25"/>
      <c r="D35" s="25" t="s">
        <v>68</v>
      </c>
      <c r="E35" s="26" t="s">
        <v>29</v>
      </c>
      <c r="F35" s="27"/>
      <c r="G35" s="30">
        <v>112.1</v>
      </c>
      <c r="H35" s="30">
        <v>55.5</v>
      </c>
      <c r="I35" s="30">
        <v>28.5</v>
      </c>
      <c r="J35" s="30">
        <v>32.5</v>
      </c>
      <c r="K35" s="30">
        <v>219.9</v>
      </c>
      <c r="L35" s="30">
        <f>SUM($G$35:$K$35)</f>
        <v>448.5</v>
      </c>
      <c r="M35" s="28">
        <f t="array" ref="M35">INDEX(М[Цена за ед., руб],MATCH(1,IF(($B35=М[Наим.])*($C35=М[Артикул, марка, произв.])*($D35=М[Хар-ка])*($O35=М[Прим.]),{1},($B35=М[Наим.])*($C35=М[Артикул, марка, произв.])*($D35=М[Хар-ка])*($O35=М[Прим.])),0))</f>
        <v>0</v>
      </c>
      <c r="N35" s="28">
        <f>ROUND($L$35*$M$35,2)</f>
        <v>0</v>
      </c>
      <c r="O35" s="25"/>
      <c r="P35" s="25">
        <f t="array" ref="P35">INDEX(М[Форма закупа],MATCH(1,IF(($B35=М[Наим.])*($C35=М[Артикул, марка, произв.])*($D35=М[Хар-ка])*($O35=М[Прим.]),{1},($B35=М[Наим.])*($C35=М[Артикул, марка, произв.])*($D35=М[Хар-ка])*($O35=М[Прим.])),0))</f>
        <v>0</v>
      </c>
    </row>
    <row r="36" spans="1:16" ht="35.1" customHeight="1" outlineLevel="4" x14ac:dyDescent="0.2">
      <c r="A36" s="23" t="s">
        <v>69</v>
      </c>
      <c r="B36" s="24" t="s">
        <v>27</v>
      </c>
      <c r="C36" s="25"/>
      <c r="D36" s="25" t="s">
        <v>70</v>
      </c>
      <c r="E36" s="26" t="s">
        <v>29</v>
      </c>
      <c r="F36" s="27"/>
      <c r="G36" s="30">
        <v>41.5</v>
      </c>
      <c r="H36" s="30">
        <v>10.5</v>
      </c>
      <c r="I36" s="30">
        <v>19.5</v>
      </c>
      <c r="J36" s="31">
        <v>21</v>
      </c>
      <c r="K36" s="31">
        <v>36</v>
      </c>
      <c r="L36" s="30">
        <f>SUM($G$36:$K$36)</f>
        <v>128.5</v>
      </c>
      <c r="M36" s="28">
        <f t="array" ref="M36">INDEX(М[Цена за ед., руб],MATCH(1,IF(($B36=М[Наим.])*($C36=М[Артикул, марка, произв.])*($D36=М[Хар-ка])*($O36=М[Прим.]),{1},($B36=М[Наим.])*($C36=М[Артикул, марка, произв.])*($D36=М[Хар-ка])*($O36=М[Прим.])),0))</f>
        <v>0</v>
      </c>
      <c r="N36" s="28">
        <f>ROUND($L$36*$M$36,2)</f>
        <v>0</v>
      </c>
      <c r="O36" s="25"/>
      <c r="P36" s="25">
        <f t="array" ref="P36">INDEX(М[Форма закупа],MATCH(1,IF(($B36=М[Наим.])*($C36=М[Артикул, марка, произв.])*($D36=М[Хар-ка])*($O36=М[Прим.]),{1},($B36=М[Наим.])*($C36=М[Артикул, марка, произв.])*($D36=М[Хар-ка])*($O36=М[Прим.])),0))</f>
        <v>0</v>
      </c>
    </row>
    <row r="37" spans="1:16" ht="35.1" customHeight="1" outlineLevel="4" x14ac:dyDescent="0.2">
      <c r="A37" s="23" t="s">
        <v>71</v>
      </c>
      <c r="B37" s="24" t="s">
        <v>27</v>
      </c>
      <c r="C37" s="25"/>
      <c r="D37" s="25" t="s">
        <v>72</v>
      </c>
      <c r="E37" s="26" t="s">
        <v>29</v>
      </c>
      <c r="F37" s="27"/>
      <c r="G37" s="27"/>
      <c r="H37" s="27"/>
      <c r="I37" s="27"/>
      <c r="J37" s="27"/>
      <c r="K37" s="31">
        <v>14</v>
      </c>
      <c r="L37" s="31">
        <f>SUM($G$37:$K$37)</f>
        <v>14</v>
      </c>
      <c r="M37" s="28">
        <f t="array" ref="M37">INDEX(М[Цена за ед., руб],MATCH(1,IF(($B37=М[Наим.])*($C37=М[Артикул, марка, произв.])*($D37=М[Хар-ка])*($O37=М[Прим.]),{1},($B37=М[Наим.])*($C37=М[Артикул, марка, произв.])*($D37=М[Хар-ка])*($O37=М[Прим.])),0))</f>
        <v>0</v>
      </c>
      <c r="N37" s="28">
        <f>ROUND($L$37*$M$37,2)</f>
        <v>0</v>
      </c>
      <c r="O37" s="25"/>
      <c r="P37" s="25">
        <f t="array" ref="P37">INDEX(М[Форма закупа],MATCH(1,IF(($B37=М[Наим.])*($C37=М[Артикул, марка, произв.])*($D37=М[Хар-ка])*($O37=М[Прим.]),{1},($B37=М[Наим.])*($C37=М[Артикул, марка, произв.])*($D37=М[Хар-ка])*($O37=М[Прим.])),0))</f>
        <v>0</v>
      </c>
    </row>
    <row r="38" spans="1:16" ht="47.1" customHeight="1" outlineLevel="4" x14ac:dyDescent="0.2">
      <c r="A38" s="23" t="s">
        <v>73</v>
      </c>
      <c r="B38" s="24" t="s">
        <v>27</v>
      </c>
      <c r="C38" s="25"/>
      <c r="D38" s="25" t="s">
        <v>74</v>
      </c>
      <c r="E38" s="26" t="s">
        <v>29</v>
      </c>
      <c r="F38" s="27"/>
      <c r="G38" s="27"/>
      <c r="H38" s="27"/>
      <c r="I38" s="27"/>
      <c r="J38" s="30">
        <v>92.4</v>
      </c>
      <c r="K38" s="27"/>
      <c r="L38" s="30">
        <f>SUM($G$38:$K$38)</f>
        <v>92.4</v>
      </c>
      <c r="M38" s="28">
        <f t="array" ref="M38">INDEX(М[Цена за ед., руб],MATCH(1,IF(($B38=М[Наим.])*($C38=М[Артикул, марка, произв.])*($D38=М[Хар-ка])*($O38=М[Прим.]),{1},($B38=М[Наим.])*($C38=М[Артикул, марка, произв.])*($D38=М[Хар-ка])*($O38=М[Прим.])),0))</f>
        <v>0</v>
      </c>
      <c r="N38" s="28">
        <f>ROUND($L$38*$M$38,2)</f>
        <v>0</v>
      </c>
      <c r="O38" s="25"/>
      <c r="P38" s="25">
        <f t="array" ref="P38">INDEX(М[Форма закупа],MATCH(1,IF(($B38=М[Наим.])*($C38=М[Артикул, марка, произв.])*($D38=М[Хар-ка])*($O38=М[Прим.]),{1},($B38=М[Наим.])*($C38=М[Артикул, марка, произв.])*($D38=М[Хар-ка])*($O38=М[Прим.])),0))</f>
        <v>0</v>
      </c>
    </row>
    <row r="39" spans="1:16" ht="47.1" customHeight="1" outlineLevel="4" x14ac:dyDescent="0.2">
      <c r="A39" s="23" t="s">
        <v>75</v>
      </c>
      <c r="B39" s="24" t="s">
        <v>27</v>
      </c>
      <c r="C39" s="25"/>
      <c r="D39" s="25" t="s">
        <v>76</v>
      </c>
      <c r="E39" s="26" t="s">
        <v>29</v>
      </c>
      <c r="F39" s="27"/>
      <c r="G39" s="27"/>
      <c r="H39" s="27"/>
      <c r="I39" s="27"/>
      <c r="J39" s="31">
        <v>108</v>
      </c>
      <c r="K39" s="27"/>
      <c r="L39" s="31">
        <f>SUM($G$39:$K$39)</f>
        <v>108</v>
      </c>
      <c r="M39" s="28">
        <f t="array" ref="M39">INDEX(М[Цена за ед., руб],MATCH(1,IF(($B39=М[Наим.])*($C39=М[Артикул, марка, произв.])*($D39=М[Хар-ка])*($O39=М[Прим.]),{1},($B39=М[Наим.])*($C39=М[Артикул, марка, произв.])*($D39=М[Хар-ка])*($O39=М[Прим.])),0))</f>
        <v>0</v>
      </c>
      <c r="N39" s="28">
        <f>ROUND($L$39*$M$39,2)</f>
        <v>0</v>
      </c>
      <c r="O39" s="25"/>
      <c r="P39" s="25">
        <f t="array" ref="P39">INDEX(М[Форма закупа],MATCH(1,IF(($B39=М[Наим.])*($C39=М[Артикул, марка, произв.])*($D39=М[Хар-ка])*($O39=М[Прим.]),{1},($B39=М[Наим.])*($C39=М[Артикул, марка, произв.])*($D39=М[Хар-ка])*($O39=М[Прим.])),0))</f>
        <v>0</v>
      </c>
    </row>
    <row r="40" spans="1:16" ht="47.1" customHeight="1" outlineLevel="4" x14ac:dyDescent="0.2">
      <c r="A40" s="23" t="s">
        <v>77</v>
      </c>
      <c r="B40" s="24" t="s">
        <v>27</v>
      </c>
      <c r="C40" s="25"/>
      <c r="D40" s="25" t="s">
        <v>78</v>
      </c>
      <c r="E40" s="26" t="s">
        <v>29</v>
      </c>
      <c r="F40" s="27"/>
      <c r="G40" s="30">
        <v>73.5</v>
      </c>
      <c r="H40" s="27"/>
      <c r="I40" s="27"/>
      <c r="J40" s="27"/>
      <c r="K40" s="30">
        <v>121.8</v>
      </c>
      <c r="L40" s="30">
        <f>SUM($G$40:$K$40)</f>
        <v>195.3</v>
      </c>
      <c r="M40" s="28">
        <f t="array" ref="M40">INDEX(М[Цена за ед., руб],MATCH(1,IF(($B40=М[Наим.])*($C40=М[Артикул, марка, произв.])*($D40=М[Хар-ка])*($O40=М[Прим.]),{1},($B40=М[Наим.])*($C40=М[Артикул, марка, произв.])*($D40=М[Хар-ка])*($O40=М[Прим.])),0))</f>
        <v>0</v>
      </c>
      <c r="N40" s="28">
        <f>ROUND($L$40*$M$40,2)</f>
        <v>0</v>
      </c>
      <c r="O40" s="25"/>
      <c r="P40" s="25">
        <f t="array" ref="P40">INDEX(М[Форма закупа],MATCH(1,IF(($B40=М[Наим.])*($C40=М[Артикул, марка, произв.])*($D40=М[Хар-ка])*($O40=М[Прим.]),{1},($B40=М[Наим.])*($C40=М[Артикул, марка, произв.])*($D40=М[Хар-ка])*($O40=М[Прим.])),0))</f>
        <v>0</v>
      </c>
    </row>
    <row r="41" spans="1:16" ht="35.1" customHeight="1" outlineLevel="4" x14ac:dyDescent="0.2">
      <c r="A41" s="23" t="s">
        <v>79</v>
      </c>
      <c r="B41" s="24" t="s">
        <v>27</v>
      </c>
      <c r="C41" s="25"/>
      <c r="D41" s="25" t="s">
        <v>80</v>
      </c>
      <c r="E41" s="26" t="s">
        <v>29</v>
      </c>
      <c r="F41" s="27"/>
      <c r="G41" s="31">
        <v>36</v>
      </c>
      <c r="H41" s="30">
        <v>44.5</v>
      </c>
      <c r="I41" s="31">
        <v>57</v>
      </c>
      <c r="J41" s="30">
        <v>83.5</v>
      </c>
      <c r="K41" s="30">
        <v>52.5</v>
      </c>
      <c r="L41" s="30">
        <f>SUM($G$41:$K$41)</f>
        <v>273.5</v>
      </c>
      <c r="M41" s="28">
        <f t="array" ref="M41">INDEX(М[Цена за ед., руб],MATCH(1,IF(($B41=М[Наим.])*($C41=М[Артикул, марка, произв.])*($D41=М[Хар-ка])*($O41=М[Прим.]),{1},($B41=М[Наим.])*($C41=М[Артикул, марка, произв.])*($D41=М[Хар-ка])*($O41=М[Прим.])),0))</f>
        <v>0</v>
      </c>
      <c r="N41" s="28">
        <f>ROUND($L$41*$M$41,2)</f>
        <v>0</v>
      </c>
      <c r="O41" s="25"/>
      <c r="P41" s="25">
        <f t="array" ref="P41">INDEX(М[Форма закупа],MATCH(1,IF(($B41=М[Наим.])*($C41=М[Артикул, марка, произв.])*($D41=М[Хар-ка])*($O41=М[Прим.]),{1},($B41=М[Наим.])*($C41=М[Артикул, марка, произв.])*($D41=М[Хар-ка])*($O41=М[Прим.])),0))</f>
        <v>0</v>
      </c>
    </row>
    <row r="42" spans="1:16" ht="35.1" customHeight="1" outlineLevel="4" x14ac:dyDescent="0.2">
      <c r="A42" s="23" t="s">
        <v>81</v>
      </c>
      <c r="B42" s="24" t="s">
        <v>27</v>
      </c>
      <c r="C42" s="25"/>
      <c r="D42" s="25" t="s">
        <v>82</v>
      </c>
      <c r="E42" s="26" t="s">
        <v>29</v>
      </c>
      <c r="F42" s="27"/>
      <c r="G42" s="27"/>
      <c r="H42" s="27"/>
      <c r="I42" s="27"/>
      <c r="J42" s="31">
        <v>3</v>
      </c>
      <c r="K42" s="27"/>
      <c r="L42" s="31">
        <f>SUM($G$42:$K$42)</f>
        <v>3</v>
      </c>
      <c r="M42" s="28">
        <f t="array" ref="M42">INDEX(М[Цена за ед., руб],MATCH(1,IF(($B42=М[Наим.])*($C42=М[Артикул, марка, произв.])*($D42=М[Хар-ка])*($O42=М[Прим.]),{1},($B42=М[Наим.])*($C42=М[Артикул, марка, произв.])*($D42=М[Хар-ка])*($O42=М[Прим.])),0))</f>
        <v>0</v>
      </c>
      <c r="N42" s="28">
        <f>ROUND($L$42*$M$42,2)</f>
        <v>0</v>
      </c>
      <c r="O42" s="25"/>
      <c r="P42" s="25">
        <f t="array" ref="P42">INDEX(М[Форма закупа],MATCH(1,IF(($B42=М[Наим.])*($C42=М[Артикул, марка, произв.])*($D42=М[Хар-ка])*($O42=М[Прим.]),{1},($B42=М[Наим.])*($C42=М[Артикул, марка, произв.])*($D42=М[Хар-ка])*($O42=М[Прим.])),0))</f>
        <v>0</v>
      </c>
    </row>
    <row r="43" spans="1:16" ht="35.1" customHeight="1" outlineLevel="4" x14ac:dyDescent="0.2">
      <c r="A43" s="23" t="s">
        <v>83</v>
      </c>
      <c r="B43" s="24" t="s">
        <v>27</v>
      </c>
      <c r="C43" s="25"/>
      <c r="D43" s="25" t="s">
        <v>84</v>
      </c>
      <c r="E43" s="26" t="s">
        <v>29</v>
      </c>
      <c r="F43" s="27"/>
      <c r="G43" s="27"/>
      <c r="H43" s="27"/>
      <c r="I43" s="27"/>
      <c r="J43" s="31">
        <v>27</v>
      </c>
      <c r="K43" s="27"/>
      <c r="L43" s="31">
        <f>SUM($G$43:$K$43)</f>
        <v>27</v>
      </c>
      <c r="M43" s="28">
        <f t="array" ref="M43">INDEX(М[Цена за ед., руб],MATCH(1,IF(($B43=М[Наим.])*($C43=М[Артикул, марка, произв.])*($D43=М[Хар-ка])*($O43=М[Прим.]),{1},($B43=М[Наим.])*($C43=М[Артикул, марка, произв.])*($D43=М[Хар-ка])*($O43=М[Прим.])),0))</f>
        <v>0</v>
      </c>
      <c r="N43" s="28">
        <f>ROUND($L$43*$M$43,2)</f>
        <v>0</v>
      </c>
      <c r="O43" s="25"/>
      <c r="P43" s="25">
        <f t="array" ref="P43">INDEX(М[Форма закупа],MATCH(1,IF(($B43=М[Наим.])*($C43=М[Артикул, марка, произв.])*($D43=М[Хар-ка])*($O43=М[Прим.]),{1},($B43=М[Наим.])*($C43=М[Артикул, марка, произв.])*($D43=М[Хар-ка])*($O43=М[Прим.])),0))</f>
        <v>0</v>
      </c>
    </row>
    <row r="44" spans="1:16" ht="11.1" customHeight="1" outlineLevel="4" x14ac:dyDescent="0.2">
      <c r="A44" s="20"/>
      <c r="B44" s="14" t="s">
        <v>22</v>
      </c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61"/>
      <c r="N44" s="62">
        <f>SUM($N$45)</f>
        <v>0</v>
      </c>
      <c r="O44" s="18"/>
      <c r="P44" s="22"/>
    </row>
    <row r="45" spans="1:16" ht="23.1" customHeight="1" outlineLevel="4" x14ac:dyDescent="0.2">
      <c r="A45" s="23"/>
      <c r="B45" s="24" t="s">
        <v>85</v>
      </c>
      <c r="C45" s="25"/>
      <c r="D45" s="25"/>
      <c r="E45" s="26" t="s">
        <v>86</v>
      </c>
      <c r="F45" s="27"/>
      <c r="G45" s="31">
        <v>8</v>
      </c>
      <c r="H45" s="31">
        <v>14</v>
      </c>
      <c r="I45" s="31">
        <v>12</v>
      </c>
      <c r="J45" s="31">
        <v>32</v>
      </c>
      <c r="K45" s="31">
        <v>10</v>
      </c>
      <c r="L45" s="31">
        <f>SUM($G$45:$K$45)</f>
        <v>76</v>
      </c>
      <c r="M45" s="28">
        <f t="array" ref="M45">INDEX(Р[Цена за ед., руб],MATCH(1,IF(($B45=Р[Наименование])*($O45=Р[Примечание]),{1},($B45=Р[Наименование])*($O45=Р[Примечание])),0))</f>
        <v>0</v>
      </c>
      <c r="N45" s="28">
        <f>ROUND($L$45*$M$45,2)</f>
        <v>0</v>
      </c>
      <c r="O45" s="25"/>
      <c r="P45" s="25"/>
    </row>
    <row r="46" spans="1:16" ht="11.1" customHeight="1" outlineLevel="4" x14ac:dyDescent="0.2">
      <c r="A46" s="20"/>
      <c r="B46" s="14" t="s">
        <v>25</v>
      </c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61"/>
      <c r="N46" s="62">
        <f>SUM($N$47)</f>
        <v>0</v>
      </c>
      <c r="O46" s="18"/>
      <c r="P46" s="22"/>
    </row>
    <row r="47" spans="1:16" ht="23.1" customHeight="1" outlineLevel="4" x14ac:dyDescent="0.2">
      <c r="A47" s="23" t="s">
        <v>26</v>
      </c>
      <c r="B47" s="24" t="s">
        <v>87</v>
      </c>
      <c r="C47" s="25"/>
      <c r="D47" s="25" t="s">
        <v>88</v>
      </c>
      <c r="E47" s="26" t="s">
        <v>86</v>
      </c>
      <c r="F47" s="27"/>
      <c r="G47" s="31">
        <v>8</v>
      </c>
      <c r="H47" s="31">
        <v>14</v>
      </c>
      <c r="I47" s="31">
        <v>12</v>
      </c>
      <c r="J47" s="31">
        <v>32</v>
      </c>
      <c r="K47" s="31">
        <v>10</v>
      </c>
      <c r="L47" s="31">
        <f>SUM($G$47:$K$47)</f>
        <v>76</v>
      </c>
      <c r="M47" s="28">
        <f t="array" ref="M47">INDEX(М[Цена за ед., руб],MATCH(1,IF(($B47=М[Наим.])*($C47=М[Артикул, марка, произв.])*($D47=М[Хар-ка])*($O47=М[Прим.]),{1},($B47=М[Наим.])*($C47=М[Артикул, марка, произв.])*($D47=М[Хар-ка])*($O47=М[Прим.])),0))</f>
        <v>0</v>
      </c>
      <c r="N47" s="28">
        <f>ROUND($L$47*$M$47,2)</f>
        <v>0</v>
      </c>
      <c r="O47" s="25"/>
      <c r="P47" s="25">
        <f t="array" ref="P47">INDEX(М[Форма закупа],MATCH(1,IF(($B47=М[Наим.])*($C47=М[Артикул, марка, произв.])*($D47=М[Хар-ка])*($O47=М[Прим.]),{1},($B47=М[Наим.])*($C47=М[Артикул, марка, произв.])*($D47=М[Хар-ка])*($O47=М[Прим.])),0))</f>
        <v>0</v>
      </c>
    </row>
    <row r="48" spans="1:16" ht="11.1" customHeight="1" outlineLevel="4" x14ac:dyDescent="0.2">
      <c r="A48" s="20"/>
      <c r="B48" s="14" t="s">
        <v>22</v>
      </c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61"/>
      <c r="N48" s="62">
        <f>SUM($N$49)</f>
        <v>0</v>
      </c>
      <c r="O48" s="18"/>
      <c r="P48" s="22"/>
    </row>
    <row r="49" spans="1:16" ht="11.1" customHeight="1" outlineLevel="4" x14ac:dyDescent="0.2">
      <c r="A49" s="23"/>
      <c r="B49" s="65" t="s">
        <v>89</v>
      </c>
      <c r="C49" s="25"/>
      <c r="D49" s="25"/>
      <c r="E49" s="26" t="s">
        <v>86</v>
      </c>
      <c r="F49" s="27"/>
      <c r="G49" s="27"/>
      <c r="H49" s="27"/>
      <c r="I49" s="31">
        <v>12</v>
      </c>
      <c r="J49" s="27"/>
      <c r="K49" s="27"/>
      <c r="L49" s="31">
        <f>SUM($G$49:$K$49)</f>
        <v>12</v>
      </c>
      <c r="M49" s="28">
        <f t="array" ref="M49">INDEX(Р[Цена за ед., руб],MATCH(1,IF(($B49=Р[Наименование])*($O49=Р[Примечание]),{1},($B49=Р[Наименование])*($O49=Р[Примечание])),0))</f>
        <v>0</v>
      </c>
      <c r="N49" s="28">
        <f>ROUND($L$49*$M$49,2)</f>
        <v>0</v>
      </c>
      <c r="O49" s="25"/>
      <c r="P49" s="25"/>
    </row>
    <row r="50" spans="1:16" ht="11.1" customHeight="1" outlineLevel="4" x14ac:dyDescent="0.2">
      <c r="A50" s="20"/>
      <c r="B50" s="66" t="s">
        <v>25</v>
      </c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61"/>
      <c r="N50" s="62">
        <f>SUM($N$51:$N$54)</f>
        <v>0</v>
      </c>
      <c r="O50" s="18"/>
      <c r="P50" s="22"/>
    </row>
    <row r="51" spans="1:16" ht="59.1" customHeight="1" outlineLevel="4" x14ac:dyDescent="0.2">
      <c r="A51" s="23" t="s">
        <v>26</v>
      </c>
      <c r="B51" s="65" t="s">
        <v>90</v>
      </c>
      <c r="C51" s="25"/>
      <c r="D51" s="25" t="s">
        <v>91</v>
      </c>
      <c r="E51" s="26" t="s">
        <v>86</v>
      </c>
      <c r="F51" s="27"/>
      <c r="G51" s="27"/>
      <c r="H51" s="27"/>
      <c r="I51" s="31">
        <v>3</v>
      </c>
      <c r="J51" s="27"/>
      <c r="K51" s="27"/>
      <c r="L51" s="31">
        <f>SUM($G$51:$K$51)</f>
        <v>3</v>
      </c>
      <c r="M51" s="28">
        <f t="array" ref="M51">INDEX(М[Цена за ед., руб],MATCH(1,IF(($B51=М[Наим.])*($C51=М[Артикул, марка, произв.])*($D51=М[Хар-ка])*($O51=М[Прим.]),{1},($B51=М[Наим.])*($C51=М[Артикул, марка, произв.])*($D51=М[Хар-ка])*($O51=М[Прим.])),0))</f>
        <v>0</v>
      </c>
      <c r="N51" s="28">
        <f>ROUND($L$51*$M$51,2)</f>
        <v>0</v>
      </c>
      <c r="O51" s="25"/>
      <c r="P51" s="25">
        <f t="array" ref="P51">INDEX(М[Форма закупа],MATCH(1,IF(($B51=М[Наим.])*($C51=М[Артикул, марка, произв.])*($D51=М[Хар-ка])*($O51=М[Прим.]),{1},($B51=М[Наим.])*($C51=М[Артикул, марка, произв.])*($D51=М[Хар-ка])*($O51=М[Прим.])),0))</f>
        <v>0</v>
      </c>
    </row>
    <row r="52" spans="1:16" ht="59.1" customHeight="1" outlineLevel="4" x14ac:dyDescent="0.2">
      <c r="A52" s="23" t="s">
        <v>30</v>
      </c>
      <c r="B52" s="65" t="s">
        <v>90</v>
      </c>
      <c r="C52" s="25"/>
      <c r="D52" s="25" t="s">
        <v>92</v>
      </c>
      <c r="E52" s="26" t="s">
        <v>86</v>
      </c>
      <c r="F52" s="27"/>
      <c r="G52" s="27"/>
      <c r="H52" s="27"/>
      <c r="I52" s="31">
        <v>3</v>
      </c>
      <c r="J52" s="27"/>
      <c r="K52" s="27"/>
      <c r="L52" s="31">
        <f>SUM($G$52:$K$52)</f>
        <v>3</v>
      </c>
      <c r="M52" s="28">
        <f t="array" ref="M52">INDEX(М[Цена за ед., руб],MATCH(1,IF(($B52=М[Наим.])*($C52=М[Артикул, марка, произв.])*($D52=М[Хар-ка])*($O52=М[Прим.]),{1},($B52=М[Наим.])*($C52=М[Артикул, марка, произв.])*($D52=М[Хар-ка])*($O52=М[Прим.])),0))</f>
        <v>0</v>
      </c>
      <c r="N52" s="28">
        <f>ROUND($L$52*$M$52,2)</f>
        <v>0</v>
      </c>
      <c r="O52" s="25"/>
      <c r="P52" s="25">
        <f t="array" ref="P52">INDEX(М[Форма закупа],MATCH(1,IF(($B52=М[Наим.])*($C52=М[Артикул, марка, произв.])*($D52=М[Хар-ка])*($O52=М[Прим.]),{1},($B52=М[Наим.])*($C52=М[Артикул, марка, произв.])*($D52=М[Хар-ка])*($O52=М[Прим.])),0))</f>
        <v>0</v>
      </c>
    </row>
    <row r="53" spans="1:16" ht="35.1" customHeight="1" outlineLevel="4" x14ac:dyDescent="0.2">
      <c r="A53" s="23" t="s">
        <v>32</v>
      </c>
      <c r="B53" s="65" t="s">
        <v>90</v>
      </c>
      <c r="C53" s="25"/>
      <c r="D53" s="25" t="s">
        <v>93</v>
      </c>
      <c r="E53" s="26" t="s">
        <v>86</v>
      </c>
      <c r="F53" s="27"/>
      <c r="G53" s="27"/>
      <c r="H53" s="27"/>
      <c r="I53" s="31">
        <v>3</v>
      </c>
      <c r="J53" s="27"/>
      <c r="K53" s="27"/>
      <c r="L53" s="31">
        <f>SUM($G$53:$K$53)</f>
        <v>3</v>
      </c>
      <c r="M53" s="28">
        <f t="array" ref="M53">INDEX(М[Цена за ед., руб],MATCH(1,IF(($B53=М[Наим.])*($C53=М[Артикул, марка, произв.])*($D53=М[Хар-ка])*($O53=М[Прим.]),{1},($B53=М[Наим.])*($C53=М[Артикул, марка, произв.])*($D53=М[Хар-ка])*($O53=М[Прим.])),0))</f>
        <v>0</v>
      </c>
      <c r="N53" s="28">
        <f>ROUND($L$53*$M$53,2)</f>
        <v>0</v>
      </c>
      <c r="O53" s="25"/>
      <c r="P53" s="25">
        <f t="array" ref="P53">INDEX(М[Форма закупа],MATCH(1,IF(($B53=М[Наим.])*($C53=М[Артикул, марка, произв.])*($D53=М[Хар-ка])*($O53=М[Прим.]),{1},($B53=М[Наим.])*($C53=М[Артикул, марка, произв.])*($D53=М[Хар-ка])*($O53=М[Прим.])),0))</f>
        <v>0</v>
      </c>
    </row>
    <row r="54" spans="1:16" ht="35.1" customHeight="1" outlineLevel="4" x14ac:dyDescent="0.2">
      <c r="A54" s="23" t="s">
        <v>34</v>
      </c>
      <c r="B54" s="65" t="s">
        <v>90</v>
      </c>
      <c r="C54" s="25"/>
      <c r="D54" s="25" t="s">
        <v>94</v>
      </c>
      <c r="E54" s="26" t="s">
        <v>86</v>
      </c>
      <c r="F54" s="27"/>
      <c r="G54" s="27"/>
      <c r="H54" s="27"/>
      <c r="I54" s="31">
        <v>3</v>
      </c>
      <c r="J54" s="27"/>
      <c r="K54" s="27"/>
      <c r="L54" s="31">
        <f>SUM($G$54:$K$54)</f>
        <v>3</v>
      </c>
      <c r="M54" s="28">
        <f t="array" ref="M54">INDEX(М[Цена за ед., руб],MATCH(1,IF(($B54=М[Наим.])*($C54=М[Артикул, марка, произв.])*($D54=М[Хар-ка])*($O54=М[Прим.]),{1},($B54=М[Наим.])*($C54=М[Артикул, марка, произв.])*($D54=М[Хар-ка])*($O54=М[Прим.])),0))</f>
        <v>0</v>
      </c>
      <c r="N54" s="28">
        <f>ROUND($L$54*$M$54,2)</f>
        <v>0</v>
      </c>
      <c r="O54" s="25"/>
      <c r="P54" s="25">
        <f t="array" ref="P54">INDEX(М[Форма закупа],MATCH(1,IF(($B54=М[Наим.])*($C54=М[Артикул, марка, произв.])*($D54=М[Хар-ка])*($O54=М[Прим.]),{1},($B54=М[Наим.])*($C54=М[Артикул, марка, произв.])*($D54=М[Хар-ка])*($O54=М[Прим.])),0))</f>
        <v>0</v>
      </c>
    </row>
    <row r="55" spans="1:16" ht="11.1" customHeight="1" outlineLevel="4" x14ac:dyDescent="0.2">
      <c r="A55" s="20"/>
      <c r="B55" s="14" t="s">
        <v>22</v>
      </c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61"/>
      <c r="N55" s="62">
        <f>SUM($N$56)</f>
        <v>0</v>
      </c>
      <c r="O55" s="18"/>
      <c r="P55" s="22"/>
    </row>
    <row r="56" spans="1:16" ht="23.1" customHeight="1" outlineLevel="4" x14ac:dyDescent="0.2">
      <c r="A56" s="23"/>
      <c r="B56" s="24" t="s">
        <v>95</v>
      </c>
      <c r="C56" s="25"/>
      <c r="D56" s="25"/>
      <c r="E56" s="26" t="s">
        <v>86</v>
      </c>
      <c r="F56" s="27"/>
      <c r="G56" s="31">
        <v>9</v>
      </c>
      <c r="H56" s="31">
        <v>16</v>
      </c>
      <c r="I56" s="31">
        <v>14</v>
      </c>
      <c r="J56" s="31">
        <v>37</v>
      </c>
      <c r="K56" s="31">
        <v>12</v>
      </c>
      <c r="L56" s="31">
        <f>SUM($G$56:$K$56)</f>
        <v>88</v>
      </c>
      <c r="M56" s="28">
        <f t="array" ref="M56">INDEX(Р[Цена за ед., руб],MATCH(1,IF(($B56=Р[Наименование])*($O56=Р[Примечание]),{1},($B56=Р[Наименование])*($O56=Р[Примечание])),0))</f>
        <v>0</v>
      </c>
      <c r="N56" s="28">
        <f>ROUND($L$56*$M$56,2)</f>
        <v>0</v>
      </c>
      <c r="O56" s="25"/>
      <c r="P56" s="25"/>
    </row>
    <row r="57" spans="1:16" ht="11.1" customHeight="1" outlineLevel="4" x14ac:dyDescent="0.2">
      <c r="A57" s="20"/>
      <c r="B57" s="14" t="s">
        <v>25</v>
      </c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61"/>
      <c r="N57" s="62">
        <f>SUM($N$58:$N$61)</f>
        <v>0</v>
      </c>
      <c r="O57" s="18"/>
      <c r="P57" s="22"/>
    </row>
    <row r="58" spans="1:16" ht="23.1" customHeight="1" outlineLevel="4" x14ac:dyDescent="0.2">
      <c r="A58" s="23" t="s">
        <v>26</v>
      </c>
      <c r="B58" s="24" t="s">
        <v>96</v>
      </c>
      <c r="C58" s="25"/>
      <c r="D58" s="25" t="s">
        <v>97</v>
      </c>
      <c r="E58" s="26" t="s">
        <v>86</v>
      </c>
      <c r="F58" s="27"/>
      <c r="G58" s="27"/>
      <c r="H58" s="27"/>
      <c r="I58" s="27"/>
      <c r="J58" s="31">
        <v>4</v>
      </c>
      <c r="K58" s="31">
        <v>2</v>
      </c>
      <c r="L58" s="31">
        <f>SUM($G$58:$K$58)</f>
        <v>6</v>
      </c>
      <c r="M58" s="28">
        <f t="array" ref="M58">INDEX(М[Цена за ед., руб],MATCH(1,IF(($B58=М[Наим.])*($C58=М[Артикул, марка, произв.])*($D58=М[Хар-ка])*($O58=М[Прим.]),{1},($B58=М[Наим.])*($C58=М[Артикул, марка, произв.])*($D58=М[Хар-ка])*($O58=М[Прим.])),0))</f>
        <v>0</v>
      </c>
      <c r="N58" s="28">
        <f>ROUND($L$58*$M$58,2)</f>
        <v>0</v>
      </c>
      <c r="O58" s="25"/>
      <c r="P58" s="25">
        <f t="array" ref="P58">INDEX(М[Форма закупа],MATCH(1,IF(($B58=М[Наим.])*($C58=М[Артикул, марка, произв.])*($D58=М[Хар-ка])*($O58=М[Прим.]),{1},($B58=М[Наим.])*($C58=М[Артикул, марка, произв.])*($D58=М[Хар-ка])*($O58=М[Прим.])),0))</f>
        <v>0</v>
      </c>
    </row>
    <row r="59" spans="1:16" ht="23.1" customHeight="1" outlineLevel="4" x14ac:dyDescent="0.2">
      <c r="A59" s="23" t="s">
        <v>30</v>
      </c>
      <c r="B59" s="24" t="s">
        <v>96</v>
      </c>
      <c r="C59" s="25"/>
      <c r="D59" s="25" t="s">
        <v>98</v>
      </c>
      <c r="E59" s="26" t="s">
        <v>86</v>
      </c>
      <c r="F59" s="27"/>
      <c r="G59" s="31">
        <v>1</v>
      </c>
      <c r="H59" s="31">
        <v>2</v>
      </c>
      <c r="I59" s="31">
        <v>2</v>
      </c>
      <c r="J59" s="27"/>
      <c r="K59" s="27"/>
      <c r="L59" s="31">
        <f>SUM($G$59:$K$59)</f>
        <v>5</v>
      </c>
      <c r="M59" s="28">
        <f t="array" ref="M59">INDEX(М[Цена за ед., руб],MATCH(1,IF(($B59=М[Наим.])*($C59=М[Артикул, марка, произв.])*($D59=М[Хар-ка])*($O59=М[Прим.]),{1},($B59=М[Наим.])*($C59=М[Артикул, марка, произв.])*($D59=М[Хар-ка])*($O59=М[Прим.])),0))</f>
        <v>0</v>
      </c>
      <c r="N59" s="28">
        <f>ROUND($L$59*$M$59,2)</f>
        <v>0</v>
      </c>
      <c r="O59" s="25"/>
      <c r="P59" s="25">
        <f t="array" ref="P59">INDEX(М[Форма закупа],MATCH(1,IF(($B59=М[Наим.])*($C59=М[Артикул, марка, произв.])*($D59=М[Хар-ка])*($O59=М[Прим.]),{1},($B59=М[Наим.])*($C59=М[Артикул, марка, произв.])*($D59=М[Хар-ка])*($O59=М[Прим.])),0))</f>
        <v>0</v>
      </c>
    </row>
    <row r="60" spans="1:16" ht="23.1" customHeight="1" outlineLevel="4" x14ac:dyDescent="0.2">
      <c r="A60" s="23" t="s">
        <v>32</v>
      </c>
      <c r="B60" s="24" t="s">
        <v>96</v>
      </c>
      <c r="C60" s="25"/>
      <c r="D60" s="25" t="s">
        <v>99</v>
      </c>
      <c r="E60" s="26" t="s">
        <v>86</v>
      </c>
      <c r="F60" s="27"/>
      <c r="G60" s="27"/>
      <c r="H60" s="27"/>
      <c r="I60" s="27"/>
      <c r="J60" s="31">
        <v>1</v>
      </c>
      <c r="K60" s="27"/>
      <c r="L60" s="31">
        <f>SUM($G$60:$K$60)</f>
        <v>1</v>
      </c>
      <c r="M60" s="28">
        <f t="array" ref="M60">INDEX(М[Цена за ед., руб],MATCH(1,IF(($B60=М[Наим.])*($C60=М[Артикул, марка, произв.])*($D60=М[Хар-ка])*($O60=М[Прим.]),{1},($B60=М[Наим.])*($C60=М[Артикул, марка, произв.])*($D60=М[Хар-ка])*($O60=М[Прим.])),0))</f>
        <v>0</v>
      </c>
      <c r="N60" s="28">
        <f>ROUND($L$60*$M$60,2)</f>
        <v>0</v>
      </c>
      <c r="O60" s="25"/>
      <c r="P60" s="25">
        <f t="array" ref="P60">INDEX(М[Форма закупа],MATCH(1,IF(($B60=М[Наим.])*($C60=М[Артикул, марка, произв.])*($D60=М[Хар-ка])*($O60=М[Прим.]),{1},($B60=М[Наим.])*($C60=М[Артикул, марка, произв.])*($D60=М[Хар-ка])*($O60=М[Прим.])),0))</f>
        <v>0</v>
      </c>
    </row>
    <row r="61" spans="1:16" ht="47.1" customHeight="1" outlineLevel="4" x14ac:dyDescent="0.2">
      <c r="A61" s="23" t="s">
        <v>34</v>
      </c>
      <c r="B61" s="24" t="s">
        <v>100</v>
      </c>
      <c r="C61" s="25"/>
      <c r="D61" s="25" t="s">
        <v>101</v>
      </c>
      <c r="E61" s="26" t="s">
        <v>86</v>
      </c>
      <c r="F61" s="27"/>
      <c r="G61" s="31">
        <v>8</v>
      </c>
      <c r="H61" s="31">
        <v>14</v>
      </c>
      <c r="I61" s="31">
        <v>12</v>
      </c>
      <c r="J61" s="31">
        <v>32</v>
      </c>
      <c r="K61" s="31">
        <v>10</v>
      </c>
      <c r="L61" s="31">
        <f>SUM($G$61:$K$61)</f>
        <v>76</v>
      </c>
      <c r="M61" s="28">
        <f t="array" ref="M61">INDEX(М[Цена за ед., руб],MATCH(1,IF(($B61=М[Наим.])*($C61=М[Артикул, марка, произв.])*($D61=М[Хар-ка])*($O61=М[Прим.]),{1},($B61=М[Наим.])*($C61=М[Артикул, марка, произв.])*($D61=М[Хар-ка])*($O61=М[Прим.])),0))</f>
        <v>0</v>
      </c>
      <c r="N61" s="28">
        <f>ROUND($L$61*$M$61,2)</f>
        <v>0</v>
      </c>
      <c r="O61" s="25"/>
      <c r="P61" s="25">
        <f t="array" ref="P61">INDEX(М[Форма закупа],MATCH(1,IF(($B61=М[Наим.])*($C61=М[Артикул, марка, произв.])*($D61=М[Хар-ка])*($O61=М[Прим.]),{1},($B61=М[Наим.])*($C61=М[Артикул, марка, произв.])*($D61=М[Хар-ка])*($O61=М[Прим.])),0))</f>
        <v>0</v>
      </c>
    </row>
    <row r="62" spans="1:16" ht="11.1" customHeight="1" outlineLevel="4" x14ac:dyDescent="0.2">
      <c r="A62" s="20"/>
      <c r="B62" s="14" t="s">
        <v>22</v>
      </c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61"/>
      <c r="N62" s="62">
        <f>SUM($N$63)</f>
        <v>0</v>
      </c>
      <c r="O62" s="18"/>
      <c r="P62" s="22"/>
    </row>
    <row r="63" spans="1:16" ht="23.1" customHeight="1" outlineLevel="4" x14ac:dyDescent="0.2">
      <c r="A63" s="23"/>
      <c r="B63" s="24" t="s">
        <v>102</v>
      </c>
      <c r="C63" s="25"/>
      <c r="D63" s="25"/>
      <c r="E63" s="26" t="s">
        <v>86</v>
      </c>
      <c r="F63" s="27"/>
      <c r="G63" s="27"/>
      <c r="H63" s="31">
        <v>2</v>
      </c>
      <c r="I63" s="31">
        <v>8</v>
      </c>
      <c r="J63" s="27"/>
      <c r="K63" s="31">
        <v>2</v>
      </c>
      <c r="L63" s="31">
        <f>SUM($G$63:$K$63)</f>
        <v>12</v>
      </c>
      <c r="M63" s="28">
        <f t="array" ref="M63">INDEX(Р[Цена за ед., руб],MATCH(1,IF(($B63=Р[Наименование])*($O63=Р[Примечание]),{1},($B63=Р[Наименование])*($O63=Р[Примечание])),0))</f>
        <v>0</v>
      </c>
      <c r="N63" s="28">
        <f>ROUND($L$63*$M$63,2)</f>
        <v>0</v>
      </c>
      <c r="O63" s="25"/>
      <c r="P63" s="25"/>
    </row>
    <row r="64" spans="1:16" ht="11.1" customHeight="1" outlineLevel="4" x14ac:dyDescent="0.2">
      <c r="A64" s="20"/>
      <c r="B64" s="14" t="s">
        <v>25</v>
      </c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61"/>
      <c r="N64" s="62">
        <f>SUM($N$65:$N$69)</f>
        <v>0</v>
      </c>
      <c r="O64" s="18"/>
      <c r="P64" s="22"/>
    </row>
    <row r="65" spans="1:16" ht="23.1" customHeight="1" outlineLevel="4" x14ac:dyDescent="0.2">
      <c r="A65" s="23" t="s">
        <v>26</v>
      </c>
      <c r="B65" s="24" t="s">
        <v>96</v>
      </c>
      <c r="C65" s="25"/>
      <c r="D65" s="25" t="s">
        <v>103</v>
      </c>
      <c r="E65" s="26" t="s">
        <v>86</v>
      </c>
      <c r="F65" s="27"/>
      <c r="G65" s="27"/>
      <c r="H65" s="31">
        <v>2</v>
      </c>
      <c r="I65" s="27"/>
      <c r="J65" s="27"/>
      <c r="K65" s="31">
        <v>2</v>
      </c>
      <c r="L65" s="31">
        <f>SUM($G$65:$K$65)</f>
        <v>4</v>
      </c>
      <c r="M65" s="28">
        <f t="array" ref="M65">INDEX(М[Цена за ед., руб],MATCH(1,IF(($B65=М[Наим.])*($C65=М[Артикул, марка, произв.])*($D65=М[Хар-ка])*($O65=М[Прим.]),{1},($B65=М[Наим.])*($C65=М[Артикул, марка, произв.])*($D65=М[Хар-ка])*($O65=М[Прим.])),0))</f>
        <v>0</v>
      </c>
      <c r="N65" s="28">
        <f>ROUND($L$65*$M$65,2)</f>
        <v>0</v>
      </c>
      <c r="O65" s="25"/>
      <c r="P65" s="25">
        <f t="array" ref="P65">INDEX(М[Форма закупа],MATCH(1,IF(($B65=М[Наим.])*($C65=М[Артикул, марка, произв.])*($D65=М[Хар-ка])*($O65=М[Прим.]),{1},($B65=М[Наим.])*($C65=М[Артикул, марка, произв.])*($D65=М[Хар-ка])*($O65=М[Прим.])),0))</f>
        <v>0</v>
      </c>
    </row>
    <row r="66" spans="1:16" ht="23.1" customHeight="1" outlineLevel="4" x14ac:dyDescent="0.2">
      <c r="A66" s="23" t="s">
        <v>30</v>
      </c>
      <c r="B66" s="24" t="s">
        <v>104</v>
      </c>
      <c r="C66" s="25"/>
      <c r="D66" s="25" t="s">
        <v>105</v>
      </c>
      <c r="E66" s="26" t="s">
        <v>86</v>
      </c>
      <c r="F66" s="27"/>
      <c r="G66" s="27"/>
      <c r="H66" s="27"/>
      <c r="I66" s="31">
        <v>2</v>
      </c>
      <c r="J66" s="27"/>
      <c r="K66" s="27"/>
      <c r="L66" s="31">
        <f>SUM($G$66:$K$66)</f>
        <v>2</v>
      </c>
      <c r="M66" s="28">
        <f t="array" ref="M66">INDEX(М[Цена за ед., руб],MATCH(1,IF(($B66=М[Наим.])*($C66=М[Артикул, марка, произв.])*($D66=М[Хар-ка])*($O66=М[Прим.]),{1},($B66=М[Наим.])*($C66=М[Артикул, марка, произв.])*($D66=М[Хар-ка])*($O66=М[Прим.])),0))</f>
        <v>0</v>
      </c>
      <c r="N66" s="28">
        <f>ROUND($L$66*$M$66,2)</f>
        <v>0</v>
      </c>
      <c r="O66" s="25"/>
      <c r="P66" s="25">
        <f t="array" ref="P66">INDEX(М[Форма закупа],MATCH(1,IF(($B66=М[Наим.])*($C66=М[Артикул, марка, произв.])*($D66=М[Хар-ка])*($O66=М[Прим.]),{1},($B66=М[Наим.])*($C66=М[Артикул, марка, произв.])*($D66=М[Хар-ка])*($O66=М[Прим.])),0))</f>
        <v>0</v>
      </c>
    </row>
    <row r="67" spans="1:16" ht="23.1" customHeight="1" outlineLevel="4" x14ac:dyDescent="0.2">
      <c r="A67" s="23" t="s">
        <v>32</v>
      </c>
      <c r="B67" s="24" t="s">
        <v>104</v>
      </c>
      <c r="C67" s="25"/>
      <c r="D67" s="25" t="s">
        <v>106</v>
      </c>
      <c r="E67" s="26" t="s">
        <v>86</v>
      </c>
      <c r="F67" s="27"/>
      <c r="G67" s="27"/>
      <c r="H67" s="27"/>
      <c r="I67" s="31">
        <v>3</v>
      </c>
      <c r="J67" s="27"/>
      <c r="K67" s="27"/>
      <c r="L67" s="31">
        <f>SUM($G$67:$K$67)</f>
        <v>3</v>
      </c>
      <c r="M67" s="28">
        <f t="array" ref="M67">INDEX(М[Цена за ед., руб],MATCH(1,IF(($B67=М[Наим.])*($C67=М[Артикул, марка, произв.])*($D67=М[Хар-ка])*($O67=М[Прим.]),{1},($B67=М[Наим.])*($C67=М[Артикул, марка, произв.])*($D67=М[Хар-ка])*($O67=М[Прим.])),0))</f>
        <v>0</v>
      </c>
      <c r="N67" s="28">
        <f>ROUND($L$67*$M$67,2)</f>
        <v>0</v>
      </c>
      <c r="O67" s="25"/>
      <c r="P67" s="25">
        <f t="array" ref="P67">INDEX(М[Форма закупа],MATCH(1,IF(($B67=М[Наим.])*($C67=М[Артикул, марка, произв.])*($D67=М[Хар-ка])*($O67=М[Прим.]),{1},($B67=М[Наим.])*($C67=М[Артикул, марка, произв.])*($D67=М[Хар-ка])*($O67=М[Прим.])),0))</f>
        <v>0</v>
      </c>
    </row>
    <row r="68" spans="1:16" ht="23.1" customHeight="1" outlineLevel="4" x14ac:dyDescent="0.2">
      <c r="A68" s="23" t="s">
        <v>34</v>
      </c>
      <c r="B68" s="24" t="s">
        <v>104</v>
      </c>
      <c r="C68" s="25"/>
      <c r="D68" s="25" t="s">
        <v>107</v>
      </c>
      <c r="E68" s="26" t="s">
        <v>86</v>
      </c>
      <c r="F68" s="27"/>
      <c r="G68" s="27"/>
      <c r="H68" s="27"/>
      <c r="I68" s="31">
        <v>2</v>
      </c>
      <c r="J68" s="27"/>
      <c r="K68" s="27"/>
      <c r="L68" s="31">
        <f>SUM($G$68:$K$68)</f>
        <v>2</v>
      </c>
      <c r="M68" s="28">
        <f t="array" ref="M68">INDEX(М[Цена за ед., руб],MATCH(1,IF(($B68=М[Наим.])*($C68=М[Артикул, марка, произв.])*($D68=М[Хар-ка])*($O68=М[Прим.]),{1},($B68=М[Наим.])*($C68=М[Артикул, марка, произв.])*($D68=М[Хар-ка])*($O68=М[Прим.])),0))</f>
        <v>0</v>
      </c>
      <c r="N68" s="28">
        <f>ROUND($L$68*$M$68,2)</f>
        <v>0</v>
      </c>
      <c r="O68" s="25"/>
      <c r="P68" s="25">
        <f t="array" ref="P68">INDEX(М[Форма закупа],MATCH(1,IF(($B68=М[Наим.])*($C68=М[Артикул, марка, произв.])*($D68=М[Хар-ка])*($O68=М[Прим.]),{1},($B68=М[Наим.])*($C68=М[Артикул, марка, произв.])*($D68=М[Хар-ка])*($O68=М[Прим.])),0))</f>
        <v>0</v>
      </c>
    </row>
    <row r="69" spans="1:16" ht="23.1" customHeight="1" outlineLevel="4" x14ac:dyDescent="0.2">
      <c r="A69" s="23" t="s">
        <v>36</v>
      </c>
      <c r="B69" s="24" t="s">
        <v>104</v>
      </c>
      <c r="C69" s="25"/>
      <c r="D69" s="25" t="s">
        <v>108</v>
      </c>
      <c r="E69" s="26" t="s">
        <v>86</v>
      </c>
      <c r="F69" s="27"/>
      <c r="G69" s="27"/>
      <c r="H69" s="27"/>
      <c r="I69" s="31">
        <v>1</v>
      </c>
      <c r="J69" s="27"/>
      <c r="K69" s="27"/>
      <c r="L69" s="31">
        <f>SUM($G$69:$K$69)</f>
        <v>1</v>
      </c>
      <c r="M69" s="28">
        <f t="array" ref="M69">INDEX(М[Цена за ед., руб],MATCH(1,IF(($B69=М[Наим.])*($C69=М[Артикул, марка, произв.])*($D69=М[Хар-ка])*($O69=М[Прим.]),{1},($B69=М[Наим.])*($C69=М[Артикул, марка, произв.])*($D69=М[Хар-ка])*($O69=М[Прим.])),0))</f>
        <v>0</v>
      </c>
      <c r="N69" s="28">
        <f>ROUND($L$69*$M$69,2)</f>
        <v>0</v>
      </c>
      <c r="O69" s="25"/>
      <c r="P69" s="25">
        <f t="array" ref="P69">INDEX(М[Форма закупа],MATCH(1,IF(($B69=М[Наим.])*($C69=М[Артикул, марка, произв.])*($D69=М[Хар-ка])*($O69=М[Прим.]),{1},($B69=М[Наим.])*($C69=М[Артикул, марка, произв.])*($D69=М[Хар-ка])*($O69=М[Прим.])),0))</f>
        <v>0</v>
      </c>
    </row>
    <row r="70" spans="1:16" ht="11.1" customHeight="1" outlineLevel="4" x14ac:dyDescent="0.2">
      <c r="A70" s="20"/>
      <c r="B70" s="14" t="s">
        <v>22</v>
      </c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61"/>
      <c r="N70" s="62">
        <f>SUM($N$71)</f>
        <v>0</v>
      </c>
      <c r="O70" s="18"/>
      <c r="P70" s="22"/>
    </row>
    <row r="71" spans="1:16" ht="11.1" customHeight="1" outlineLevel="4" x14ac:dyDescent="0.2">
      <c r="A71" s="23"/>
      <c r="B71" s="24" t="s">
        <v>109</v>
      </c>
      <c r="C71" s="25"/>
      <c r="D71" s="25"/>
      <c r="E71" s="26" t="s">
        <v>86</v>
      </c>
      <c r="F71" s="27"/>
      <c r="G71" s="31">
        <v>18</v>
      </c>
      <c r="H71" s="31">
        <v>92</v>
      </c>
      <c r="I71" s="31">
        <v>60</v>
      </c>
      <c r="J71" s="31">
        <v>116</v>
      </c>
      <c r="K71" s="31">
        <v>88</v>
      </c>
      <c r="L71" s="31">
        <f>SUM($G$71:$K$71)</f>
        <v>374</v>
      </c>
      <c r="M71" s="28">
        <f t="array" ref="M71">INDEX(Р[Цена за ед., руб],MATCH(1,IF(($B71=Р[Наименование])*($O71=Р[Примечание]),{1},($B71=Р[Наименование])*($O71=Р[Примечание])),0))</f>
        <v>0</v>
      </c>
      <c r="N71" s="28">
        <f>ROUND($L$71*$M$71,2)</f>
        <v>0</v>
      </c>
      <c r="O71" s="25"/>
      <c r="P71" s="25"/>
    </row>
    <row r="72" spans="1:16" ht="11.1" customHeight="1" outlineLevel="4" x14ac:dyDescent="0.2">
      <c r="A72" s="20"/>
      <c r="B72" s="14" t="s">
        <v>25</v>
      </c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61"/>
      <c r="N72" s="62">
        <f>SUM($N$73:$N$74)</f>
        <v>0</v>
      </c>
      <c r="O72" s="18"/>
      <c r="P72" s="22"/>
    </row>
    <row r="73" spans="1:16" ht="59.1" customHeight="1" outlineLevel="4" x14ac:dyDescent="0.2">
      <c r="A73" s="23" t="s">
        <v>26</v>
      </c>
      <c r="B73" s="24" t="s">
        <v>110</v>
      </c>
      <c r="C73" s="25"/>
      <c r="D73" s="25" t="s">
        <v>111</v>
      </c>
      <c r="E73" s="26" t="s">
        <v>86</v>
      </c>
      <c r="F73" s="27"/>
      <c r="G73" s="31">
        <v>6</v>
      </c>
      <c r="H73" s="31">
        <v>92</v>
      </c>
      <c r="I73" s="31">
        <v>60</v>
      </c>
      <c r="J73" s="31">
        <v>32</v>
      </c>
      <c r="K73" s="31">
        <v>44</v>
      </c>
      <c r="L73" s="31">
        <f>SUM($G$73:$K$73)</f>
        <v>234</v>
      </c>
      <c r="M73" s="28">
        <f t="array" ref="M73">INDEX(М[Цена за ед., руб],MATCH(1,IF(($B73=М[Наим.])*($C73=М[Артикул, марка, произв.])*($D73=М[Хар-ка])*($O73=М[Прим.]),{1},($B73=М[Наим.])*($C73=М[Артикул, марка, произв.])*($D73=М[Хар-ка])*($O73=М[Прим.])),0))</f>
        <v>0</v>
      </c>
      <c r="N73" s="28">
        <f>ROUND($L$73*$M$73,2)</f>
        <v>0</v>
      </c>
      <c r="O73" s="25"/>
      <c r="P73" s="25">
        <f t="array" ref="P73">INDEX(М[Форма закупа],MATCH(1,IF(($B73=М[Наим.])*($C73=М[Артикул, марка, произв.])*($D73=М[Хар-ка])*($O73=М[Прим.]),{1},($B73=М[Наим.])*($C73=М[Артикул, марка, произв.])*($D73=М[Хар-ка])*($O73=М[Прим.])),0))</f>
        <v>0</v>
      </c>
    </row>
    <row r="74" spans="1:16" ht="59.1" customHeight="1" outlineLevel="4" x14ac:dyDescent="0.2">
      <c r="A74" s="23" t="s">
        <v>30</v>
      </c>
      <c r="B74" s="24" t="s">
        <v>110</v>
      </c>
      <c r="C74" s="25"/>
      <c r="D74" s="25" t="s">
        <v>112</v>
      </c>
      <c r="E74" s="26" t="s">
        <v>86</v>
      </c>
      <c r="F74" s="27"/>
      <c r="G74" s="31">
        <v>12</v>
      </c>
      <c r="H74" s="27"/>
      <c r="I74" s="27"/>
      <c r="J74" s="31">
        <v>84</v>
      </c>
      <c r="K74" s="31">
        <v>44</v>
      </c>
      <c r="L74" s="31">
        <f>SUM($G$74:$K$74)</f>
        <v>140</v>
      </c>
      <c r="M74" s="28">
        <f t="array" ref="M74">INDEX(М[Цена за ед., руб],MATCH(1,IF(($B74=М[Наим.])*($C74=М[Артикул, марка, произв.])*($D74=М[Хар-ка])*($O74=М[Прим.]),{1},($B74=М[Наим.])*($C74=М[Артикул, марка, произв.])*($D74=М[Хар-ка])*($O74=М[Прим.])),0))</f>
        <v>0</v>
      </c>
      <c r="N74" s="28">
        <f>ROUND($L$74*$M$74,2)</f>
        <v>0</v>
      </c>
      <c r="O74" s="25"/>
      <c r="P74" s="25">
        <f t="array" ref="P74">INDEX(М[Форма закупа],MATCH(1,IF(($B74=М[Наим.])*($C74=М[Артикул, марка, произв.])*($D74=М[Хар-ка])*($O74=М[Прим.]),{1},($B74=М[Наим.])*($C74=М[Артикул, марка, произв.])*($D74=М[Хар-ка])*($O74=М[Прим.])),0))</f>
        <v>0</v>
      </c>
    </row>
    <row r="75" spans="1:16" ht="11.1" customHeight="1" outlineLevel="4" x14ac:dyDescent="0.2">
      <c r="A75" s="20"/>
      <c r="B75" s="14" t="s">
        <v>22</v>
      </c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61"/>
      <c r="N75" s="62">
        <f>SUM($N$76)</f>
        <v>0</v>
      </c>
      <c r="O75" s="18"/>
      <c r="P75" s="22"/>
    </row>
    <row r="76" spans="1:16" ht="11.1" customHeight="1" outlineLevel="4" x14ac:dyDescent="0.2">
      <c r="A76" s="23"/>
      <c r="B76" s="24" t="s">
        <v>113</v>
      </c>
      <c r="C76" s="25"/>
      <c r="D76" s="25"/>
      <c r="E76" s="26" t="s">
        <v>86</v>
      </c>
      <c r="F76" s="27"/>
      <c r="G76" s="31">
        <v>110</v>
      </c>
      <c r="H76" s="31">
        <v>474</v>
      </c>
      <c r="I76" s="31">
        <v>308</v>
      </c>
      <c r="J76" s="31">
        <v>692</v>
      </c>
      <c r="K76" s="31">
        <v>494</v>
      </c>
      <c r="L76" s="32">
        <f>SUM($G$76:$K$76)</f>
        <v>2078</v>
      </c>
      <c r="M76" s="28">
        <f t="array" ref="M76">INDEX(Р[Цена за ед., руб],MATCH(1,IF(($B76=Р[Наименование])*($O76=Р[Примечание]),{1},($B76=Р[Наименование])*($O76=Р[Примечание])),0))</f>
        <v>0</v>
      </c>
      <c r="N76" s="28">
        <f>ROUND($L$76*$M$76,2)</f>
        <v>0</v>
      </c>
      <c r="O76" s="25"/>
      <c r="P76" s="25"/>
    </row>
    <row r="77" spans="1:16" ht="11.1" customHeight="1" outlineLevel="4" x14ac:dyDescent="0.2">
      <c r="A77" s="20"/>
      <c r="B77" s="14" t="s">
        <v>25</v>
      </c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61"/>
      <c r="N77" s="62">
        <f>SUM($N$78)</f>
        <v>0</v>
      </c>
      <c r="O77" s="18"/>
      <c r="P77" s="22"/>
    </row>
    <row r="78" spans="1:16" ht="47.1" customHeight="1" outlineLevel="4" x14ac:dyDescent="0.2">
      <c r="A78" s="23" t="s">
        <v>26</v>
      </c>
      <c r="B78" s="24" t="s">
        <v>114</v>
      </c>
      <c r="C78" s="25"/>
      <c r="D78" s="25" t="s">
        <v>115</v>
      </c>
      <c r="E78" s="26" t="s">
        <v>86</v>
      </c>
      <c r="F78" s="27"/>
      <c r="G78" s="31">
        <v>110</v>
      </c>
      <c r="H78" s="31">
        <v>474</v>
      </c>
      <c r="I78" s="31">
        <v>308</v>
      </c>
      <c r="J78" s="31">
        <v>692</v>
      </c>
      <c r="K78" s="31">
        <v>494</v>
      </c>
      <c r="L78" s="32">
        <f>SUM($G$78:$K$78)</f>
        <v>2078</v>
      </c>
      <c r="M78" s="28">
        <f t="array" ref="M78">INDEX(М[Цена за ед., руб],MATCH(1,IF(($B78=М[Наим.])*($C78=М[Артикул, марка, произв.])*($D78=М[Хар-ка])*($O78=М[Прим.]),{1},($B78=М[Наим.])*($C78=М[Артикул, марка, произв.])*($D78=М[Хар-ка])*($O78=М[Прим.])),0))</f>
        <v>0</v>
      </c>
      <c r="N78" s="28">
        <f>ROUND($L$78*$M$78,2)</f>
        <v>0</v>
      </c>
      <c r="O78" s="25"/>
      <c r="P78" s="25">
        <f t="array" ref="P78">INDEX(М[Форма закупа],MATCH(1,IF(($B78=М[Наим.])*($C78=М[Артикул, марка, произв.])*($D78=М[Хар-ка])*($O78=М[Прим.]),{1},($B78=М[Наим.])*($C78=М[Артикул, марка, произв.])*($D78=М[Хар-ка])*($O78=М[Прим.])),0))</f>
        <v>0</v>
      </c>
    </row>
    <row r="79" spans="1:16" ht="11.1" customHeight="1" outlineLevel="4" x14ac:dyDescent="0.2">
      <c r="A79" s="20"/>
      <c r="B79" s="14" t="s">
        <v>22</v>
      </c>
      <c r="C79" s="21"/>
      <c r="D79" s="21"/>
      <c r="E79" s="21"/>
      <c r="F79" s="21"/>
      <c r="G79" s="21"/>
      <c r="H79" s="21"/>
      <c r="I79" s="21"/>
      <c r="J79" s="21"/>
      <c r="K79" s="21"/>
      <c r="L79" s="21"/>
      <c r="M79" s="61"/>
      <c r="N79" s="62">
        <f>SUM($N$80)</f>
        <v>0</v>
      </c>
      <c r="O79" s="18"/>
      <c r="P79" s="22"/>
    </row>
    <row r="80" spans="1:16" ht="23.1" customHeight="1" outlineLevel="4" x14ac:dyDescent="0.2">
      <c r="A80" s="23"/>
      <c r="B80" s="24" t="s">
        <v>116</v>
      </c>
      <c r="C80" s="25"/>
      <c r="D80" s="25"/>
      <c r="E80" s="26" t="s">
        <v>86</v>
      </c>
      <c r="F80" s="27"/>
      <c r="G80" s="31">
        <v>105</v>
      </c>
      <c r="H80" s="31">
        <v>326</v>
      </c>
      <c r="I80" s="31">
        <v>203</v>
      </c>
      <c r="J80" s="31">
        <v>512</v>
      </c>
      <c r="K80" s="31">
        <v>317</v>
      </c>
      <c r="L80" s="32">
        <f>SUM($G$80:$K$80)</f>
        <v>1463</v>
      </c>
      <c r="M80" s="28">
        <f t="array" ref="M80">INDEX(Р[Цена за ед., руб],MATCH(1,IF(($B80=Р[Наименование])*($O80=Р[Примечание]),{1},($B80=Р[Наименование])*($O80=Р[Примечание])),0))</f>
        <v>0</v>
      </c>
      <c r="N80" s="28">
        <f>ROUND($L$80*$M$80,2)</f>
        <v>0</v>
      </c>
      <c r="O80" s="25"/>
      <c r="P80" s="25"/>
    </row>
    <row r="81" spans="1:16" ht="11.1" customHeight="1" outlineLevel="4" x14ac:dyDescent="0.2">
      <c r="A81" s="20"/>
      <c r="B81" s="14" t="s">
        <v>25</v>
      </c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61"/>
      <c r="N81" s="62">
        <f>SUM($N$82:$N$87)</f>
        <v>0</v>
      </c>
      <c r="O81" s="18"/>
      <c r="P81" s="22"/>
    </row>
    <row r="82" spans="1:16" ht="35.1" customHeight="1" outlineLevel="4" x14ac:dyDescent="0.2">
      <c r="A82" s="23" t="s">
        <v>26</v>
      </c>
      <c r="B82" s="24" t="s">
        <v>114</v>
      </c>
      <c r="C82" s="25"/>
      <c r="D82" s="25" t="s">
        <v>117</v>
      </c>
      <c r="E82" s="26" t="s">
        <v>86</v>
      </c>
      <c r="F82" s="27"/>
      <c r="G82" s="31">
        <v>18</v>
      </c>
      <c r="H82" s="31">
        <v>30</v>
      </c>
      <c r="I82" s="31">
        <v>22</v>
      </c>
      <c r="J82" s="31">
        <v>64</v>
      </c>
      <c r="K82" s="31">
        <v>22</v>
      </c>
      <c r="L82" s="31">
        <f>SUM($G$82:$K$82)</f>
        <v>156</v>
      </c>
      <c r="M82" s="28">
        <f t="array" ref="M82">INDEX(М[Цена за ед., руб],MATCH(1,IF(($B82=М[Наим.])*($C82=М[Артикул, марка, произв.])*($D82=М[Хар-ка])*($O82=М[Прим.]),{1},($B82=М[Наим.])*($C82=М[Артикул, марка, произв.])*($D82=М[Хар-ка])*($O82=М[Прим.])),0))</f>
        <v>0</v>
      </c>
      <c r="N82" s="28">
        <f>ROUND($L$82*$M$82,2)</f>
        <v>0</v>
      </c>
      <c r="O82" s="25"/>
      <c r="P82" s="25">
        <f t="array" ref="P82">INDEX(М[Форма закупа],MATCH(1,IF(($B82=М[Наим.])*($C82=М[Артикул, марка, произв.])*($D82=М[Хар-ка])*($O82=М[Прим.]),{1},($B82=М[Наим.])*($C82=М[Артикул, марка, произв.])*($D82=М[Хар-ка])*($O82=М[Прим.])),0))</f>
        <v>0</v>
      </c>
    </row>
    <row r="83" spans="1:16" ht="35.1" customHeight="1" outlineLevel="4" x14ac:dyDescent="0.2">
      <c r="A83" s="23" t="s">
        <v>30</v>
      </c>
      <c r="B83" s="24" t="s">
        <v>114</v>
      </c>
      <c r="C83" s="25"/>
      <c r="D83" s="25" t="s">
        <v>118</v>
      </c>
      <c r="E83" s="26" t="s">
        <v>86</v>
      </c>
      <c r="F83" s="27"/>
      <c r="G83" s="31">
        <v>1</v>
      </c>
      <c r="H83" s="27"/>
      <c r="I83" s="31">
        <v>2</v>
      </c>
      <c r="J83" s="31">
        <v>3</v>
      </c>
      <c r="K83" s="27"/>
      <c r="L83" s="31">
        <f>SUM($G$83:$K$83)</f>
        <v>6</v>
      </c>
      <c r="M83" s="28">
        <f t="array" ref="M83">INDEX(М[Цена за ед., руб],MATCH(1,IF(($B83=М[Наим.])*($C83=М[Артикул, марка, произв.])*($D83=М[Хар-ка])*($O83=М[Прим.]),{1},($B83=М[Наим.])*($C83=М[Артикул, марка, произв.])*($D83=М[Хар-ка])*($O83=М[Прим.])),0))</f>
        <v>0</v>
      </c>
      <c r="N83" s="28">
        <f>ROUND($L$83*$M$83,2)</f>
        <v>0</v>
      </c>
      <c r="O83" s="25"/>
      <c r="P83" s="25">
        <f t="array" ref="P83">INDEX(М[Форма закупа],MATCH(1,IF(($B83=М[Наим.])*($C83=М[Артикул, марка, произв.])*($D83=М[Хар-ка])*($O83=М[Прим.]),{1},($B83=М[Наим.])*($C83=М[Артикул, марка, произв.])*($D83=М[Хар-ка])*($O83=М[Прим.])),0))</f>
        <v>0</v>
      </c>
    </row>
    <row r="84" spans="1:16" ht="35.1" customHeight="1" outlineLevel="4" x14ac:dyDescent="0.2">
      <c r="A84" s="23" t="s">
        <v>32</v>
      </c>
      <c r="B84" s="24" t="s">
        <v>114</v>
      </c>
      <c r="C84" s="25"/>
      <c r="D84" s="25" t="s">
        <v>119</v>
      </c>
      <c r="E84" s="26" t="s">
        <v>86</v>
      </c>
      <c r="F84" s="27"/>
      <c r="G84" s="27"/>
      <c r="H84" s="31">
        <v>2</v>
      </c>
      <c r="I84" s="27"/>
      <c r="J84" s="31">
        <v>3</v>
      </c>
      <c r="K84" s="27"/>
      <c r="L84" s="31">
        <f>SUM($G$84:$K$84)</f>
        <v>5</v>
      </c>
      <c r="M84" s="28">
        <f t="array" ref="M84">INDEX(М[Цена за ед., руб],MATCH(1,IF(($B84=М[Наим.])*($C84=М[Артикул, марка, произв.])*($D84=М[Хар-ка])*($O84=М[Прим.]),{1},($B84=М[Наим.])*($C84=М[Артикул, марка, произв.])*($D84=М[Хар-ка])*($O84=М[Прим.])),0))</f>
        <v>0</v>
      </c>
      <c r="N84" s="28">
        <f>ROUND($L$84*$M$84,2)</f>
        <v>0</v>
      </c>
      <c r="O84" s="25"/>
      <c r="P84" s="25">
        <f t="array" ref="P84">INDEX(М[Форма закупа],MATCH(1,IF(($B84=М[Наим.])*($C84=М[Артикул, марка, произв.])*($D84=М[Хар-ка])*($O84=М[Прим.]),{1},($B84=М[Наим.])*($C84=М[Артикул, марка, произв.])*($D84=М[Хар-ка])*($O84=М[Прим.])),0))</f>
        <v>0</v>
      </c>
    </row>
    <row r="85" spans="1:16" ht="35.1" customHeight="1" outlineLevel="4" x14ac:dyDescent="0.2">
      <c r="A85" s="23" t="s">
        <v>34</v>
      </c>
      <c r="B85" s="24" t="s">
        <v>114</v>
      </c>
      <c r="C85" s="25"/>
      <c r="D85" s="25" t="s">
        <v>120</v>
      </c>
      <c r="E85" s="26" t="s">
        <v>86</v>
      </c>
      <c r="F85" s="27"/>
      <c r="G85" s="31">
        <v>2</v>
      </c>
      <c r="H85" s="31">
        <v>3</v>
      </c>
      <c r="I85" s="31">
        <v>2</v>
      </c>
      <c r="J85" s="31">
        <v>8</v>
      </c>
      <c r="K85" s="31">
        <v>4</v>
      </c>
      <c r="L85" s="31">
        <f>SUM($G$85:$K$85)</f>
        <v>19</v>
      </c>
      <c r="M85" s="28">
        <f t="array" ref="M85">INDEX(М[Цена за ед., руб],MATCH(1,IF(($B85=М[Наим.])*($C85=М[Артикул, марка, произв.])*($D85=М[Хар-ка])*($O85=М[Прим.]),{1},($B85=М[Наим.])*($C85=М[Артикул, марка, произв.])*($D85=М[Хар-ка])*($O85=М[Прим.])),0))</f>
        <v>0</v>
      </c>
      <c r="N85" s="28">
        <f>ROUND($L$85*$M$85,2)</f>
        <v>0</v>
      </c>
      <c r="O85" s="25"/>
      <c r="P85" s="25">
        <f t="array" ref="P85">INDEX(М[Форма закупа],MATCH(1,IF(($B85=М[Наим.])*($C85=М[Артикул, марка, произв.])*($D85=М[Хар-ка])*($O85=М[Прим.]),{1},($B85=М[Наим.])*($C85=М[Артикул, марка, произв.])*($D85=М[Хар-ка])*($O85=М[Прим.])),0))</f>
        <v>0</v>
      </c>
    </row>
    <row r="86" spans="1:16" ht="23.1" customHeight="1" outlineLevel="4" x14ac:dyDescent="0.2">
      <c r="A86" s="23" t="s">
        <v>36</v>
      </c>
      <c r="B86" s="24" t="s">
        <v>114</v>
      </c>
      <c r="C86" s="25"/>
      <c r="D86" s="25" t="s">
        <v>121</v>
      </c>
      <c r="E86" s="26" t="s">
        <v>86</v>
      </c>
      <c r="F86" s="27"/>
      <c r="G86" s="31">
        <v>82</v>
      </c>
      <c r="H86" s="31">
        <v>291</v>
      </c>
      <c r="I86" s="31">
        <v>177</v>
      </c>
      <c r="J86" s="31">
        <v>434</v>
      </c>
      <c r="K86" s="31">
        <v>287</v>
      </c>
      <c r="L86" s="32">
        <f>SUM($G$86:$K$86)</f>
        <v>1271</v>
      </c>
      <c r="M86" s="28">
        <f t="array" ref="M86">INDEX(М[Цена за ед., руб],MATCH(1,IF(($B86=М[Наим.])*($C86=М[Артикул, марка, произв.])*($D86=М[Хар-ка])*($O86=М[Прим.]),{1},($B86=М[Наим.])*($C86=М[Артикул, марка, произв.])*($D86=М[Хар-ка])*($O86=М[Прим.])),0))</f>
        <v>0</v>
      </c>
      <c r="N86" s="28">
        <f>ROUND($L$86*$M$86,2)</f>
        <v>0</v>
      </c>
      <c r="O86" s="25"/>
      <c r="P86" s="25">
        <f t="array" ref="P86">INDEX(М[Форма закупа],MATCH(1,IF(($B86=М[Наим.])*($C86=М[Артикул, марка, произв.])*($D86=М[Хар-ка])*($O86=М[Прим.]),{1},($B86=М[Наим.])*($C86=М[Артикул, марка, произв.])*($D86=М[Хар-ка])*($O86=М[Прим.])),0))</f>
        <v>0</v>
      </c>
    </row>
    <row r="87" spans="1:16" ht="23.1" customHeight="1" outlineLevel="4" x14ac:dyDescent="0.2">
      <c r="A87" s="23" t="s">
        <v>38</v>
      </c>
      <c r="B87" s="24" t="s">
        <v>114</v>
      </c>
      <c r="C87" s="25"/>
      <c r="D87" s="25" t="s">
        <v>122</v>
      </c>
      <c r="E87" s="26" t="s">
        <v>86</v>
      </c>
      <c r="F87" s="27"/>
      <c r="G87" s="31">
        <v>2</v>
      </c>
      <c r="H87" s="27"/>
      <c r="I87" s="27"/>
      <c r="J87" s="27"/>
      <c r="K87" s="31">
        <v>4</v>
      </c>
      <c r="L87" s="31">
        <f>SUM($G$87:$K$87)</f>
        <v>6</v>
      </c>
      <c r="M87" s="28">
        <f t="array" ref="M87">INDEX(М[Цена за ед., руб],MATCH(1,IF(($B87=М[Наим.])*($C87=М[Артикул, марка, произв.])*($D87=М[Хар-ка])*($O87=М[Прим.]),{1},($B87=М[Наим.])*($C87=М[Артикул, марка, произв.])*($D87=М[Хар-ка])*($O87=М[Прим.])),0))</f>
        <v>0</v>
      </c>
      <c r="N87" s="28">
        <f>ROUND($L$87*$M$87,2)</f>
        <v>0</v>
      </c>
      <c r="O87" s="25"/>
      <c r="P87" s="25">
        <f t="array" ref="P87">INDEX(М[Форма закупа],MATCH(1,IF(($B87=М[Наим.])*($C87=М[Артикул, марка, произв.])*($D87=М[Хар-ка])*($O87=М[Прим.]),{1},($B87=М[Наим.])*($C87=М[Артикул, марка, произв.])*($D87=М[Хар-ка])*($O87=М[Прим.])),0))</f>
        <v>0</v>
      </c>
    </row>
    <row r="88" spans="1:16" ht="11.1" customHeight="1" outlineLevel="4" x14ac:dyDescent="0.2">
      <c r="A88" s="20"/>
      <c r="B88" s="14" t="s">
        <v>22</v>
      </c>
      <c r="C88" s="21"/>
      <c r="D88" s="21"/>
      <c r="E88" s="21"/>
      <c r="F88" s="21"/>
      <c r="G88" s="21"/>
      <c r="H88" s="21"/>
      <c r="I88" s="21"/>
      <c r="J88" s="21"/>
      <c r="K88" s="21"/>
      <c r="L88" s="21"/>
      <c r="M88" s="61"/>
      <c r="N88" s="62">
        <f>SUM($N$89)</f>
        <v>0</v>
      </c>
      <c r="O88" s="18"/>
      <c r="P88" s="22"/>
    </row>
    <row r="89" spans="1:16" ht="23.1" customHeight="1" outlineLevel="4" x14ac:dyDescent="0.2">
      <c r="A89" s="23"/>
      <c r="B89" s="24" t="s">
        <v>123</v>
      </c>
      <c r="C89" s="25"/>
      <c r="D89" s="25"/>
      <c r="E89" s="26" t="s">
        <v>86</v>
      </c>
      <c r="F89" s="27"/>
      <c r="G89" s="31">
        <v>16</v>
      </c>
      <c r="H89" s="31">
        <v>19</v>
      </c>
      <c r="I89" s="31">
        <v>14</v>
      </c>
      <c r="J89" s="31">
        <v>12</v>
      </c>
      <c r="K89" s="31">
        <v>25</v>
      </c>
      <c r="L89" s="31">
        <f>SUM($G$89:$K$89)</f>
        <v>86</v>
      </c>
      <c r="M89" s="28">
        <f t="array" ref="M89">INDEX(Р[Цена за ед., руб],MATCH(1,IF(($B89=Р[Наименование])*($O89=Р[Примечание]),{1},($B89=Р[Наименование])*($O89=Р[Примечание])),0))</f>
        <v>0</v>
      </c>
      <c r="N89" s="28">
        <f>ROUND($L$89*$M$89,2)</f>
        <v>0</v>
      </c>
      <c r="O89" s="25"/>
      <c r="P89" s="25"/>
    </row>
    <row r="90" spans="1:16" ht="11.1" customHeight="1" outlineLevel="4" x14ac:dyDescent="0.2">
      <c r="A90" s="20"/>
      <c r="B90" s="14" t="s">
        <v>25</v>
      </c>
      <c r="C90" s="21"/>
      <c r="D90" s="21"/>
      <c r="E90" s="21"/>
      <c r="F90" s="21"/>
      <c r="G90" s="21"/>
      <c r="H90" s="21"/>
      <c r="I90" s="21"/>
      <c r="J90" s="21"/>
      <c r="K90" s="21"/>
      <c r="L90" s="21"/>
      <c r="M90" s="61"/>
      <c r="N90" s="62">
        <f>SUM($N$91:$N$96)</f>
        <v>0</v>
      </c>
      <c r="O90" s="18"/>
      <c r="P90" s="22"/>
    </row>
    <row r="91" spans="1:16" ht="23.1" customHeight="1" outlineLevel="4" x14ac:dyDescent="0.2">
      <c r="A91" s="23" t="s">
        <v>26</v>
      </c>
      <c r="B91" s="24" t="s">
        <v>114</v>
      </c>
      <c r="C91" s="25"/>
      <c r="D91" s="25" t="s">
        <v>124</v>
      </c>
      <c r="E91" s="26" t="s">
        <v>86</v>
      </c>
      <c r="F91" s="27"/>
      <c r="G91" s="27"/>
      <c r="H91" s="31">
        <v>5</v>
      </c>
      <c r="I91" s="31">
        <v>4</v>
      </c>
      <c r="J91" s="27"/>
      <c r="K91" s="27"/>
      <c r="L91" s="31">
        <f>SUM($G$91:$K$91)</f>
        <v>9</v>
      </c>
      <c r="M91" s="28">
        <f t="array" ref="M91">INDEX(М[Цена за ед., руб],MATCH(1,IF(($B91=М[Наим.])*($C91=М[Артикул, марка, произв.])*($D91=М[Хар-ка])*($O91=М[Прим.]),{1},($B91=М[Наим.])*($C91=М[Артикул, марка, произв.])*($D91=М[Хар-ка])*($O91=М[Прим.])),0))</f>
        <v>0</v>
      </c>
      <c r="N91" s="28">
        <f>ROUND($L$91*$M$91,2)</f>
        <v>0</v>
      </c>
      <c r="O91" s="25"/>
      <c r="P91" s="25">
        <f t="array" ref="P91">INDEX(М[Форма закупа],MATCH(1,IF(($B91=М[Наим.])*($C91=М[Артикул, марка, произв.])*($D91=М[Хар-ка])*($O91=М[Прим.]),{1},($B91=М[Наим.])*($C91=М[Артикул, марка, произв.])*($D91=М[Хар-ка])*($O91=М[Прим.])),0))</f>
        <v>0</v>
      </c>
    </row>
    <row r="92" spans="1:16" ht="23.1" customHeight="1" outlineLevel="4" x14ac:dyDescent="0.2">
      <c r="A92" s="23" t="s">
        <v>30</v>
      </c>
      <c r="B92" s="24" t="s">
        <v>114</v>
      </c>
      <c r="C92" s="25"/>
      <c r="D92" s="25" t="s">
        <v>125</v>
      </c>
      <c r="E92" s="26" t="s">
        <v>86</v>
      </c>
      <c r="F92" s="27"/>
      <c r="G92" s="27"/>
      <c r="H92" s="27"/>
      <c r="I92" s="31">
        <v>1</v>
      </c>
      <c r="J92" s="27"/>
      <c r="K92" s="27"/>
      <c r="L92" s="31">
        <f>SUM($G$92:$K$92)</f>
        <v>1</v>
      </c>
      <c r="M92" s="28">
        <f t="array" ref="M92">INDEX(М[Цена за ед., руб],MATCH(1,IF(($B92=М[Наим.])*($C92=М[Артикул, марка, произв.])*($D92=М[Хар-ка])*($O92=М[Прим.]),{1},($B92=М[Наим.])*($C92=М[Артикул, марка, произв.])*($D92=М[Хар-ка])*($O92=М[Прим.])),0))</f>
        <v>0</v>
      </c>
      <c r="N92" s="28">
        <f>ROUND($L$92*$M$92,2)</f>
        <v>0</v>
      </c>
      <c r="O92" s="25"/>
      <c r="P92" s="25">
        <f t="array" ref="P92">INDEX(М[Форма закупа],MATCH(1,IF(($B92=М[Наим.])*($C92=М[Артикул, марка, произв.])*($D92=М[Хар-ка])*($O92=М[Прим.]),{1},($B92=М[Наим.])*($C92=М[Артикул, марка, произв.])*($D92=М[Хар-ка])*($O92=М[Прим.])),0))</f>
        <v>0</v>
      </c>
    </row>
    <row r="93" spans="1:16" ht="11.1" customHeight="1" outlineLevel="4" x14ac:dyDescent="0.2">
      <c r="A93" s="23" t="s">
        <v>32</v>
      </c>
      <c r="B93" s="24" t="s">
        <v>114</v>
      </c>
      <c r="C93" s="25"/>
      <c r="D93" s="25" t="s">
        <v>126</v>
      </c>
      <c r="E93" s="26" t="s">
        <v>86</v>
      </c>
      <c r="F93" s="27"/>
      <c r="G93" s="27"/>
      <c r="H93" s="31">
        <v>2</v>
      </c>
      <c r="I93" s="31">
        <v>2</v>
      </c>
      <c r="J93" s="27"/>
      <c r="K93" s="27"/>
      <c r="L93" s="31">
        <f>SUM($G$93:$K$93)</f>
        <v>4</v>
      </c>
      <c r="M93" s="28">
        <f t="array" ref="M93">INDEX(М[Цена за ед., руб],MATCH(1,IF(($B93=М[Наим.])*($C93=М[Артикул, марка, произв.])*($D93=М[Хар-ка])*($O93=М[Прим.]),{1},($B93=М[Наим.])*($C93=М[Артикул, марка, произв.])*($D93=М[Хар-ка])*($O93=М[Прим.])),0))</f>
        <v>0</v>
      </c>
      <c r="N93" s="28">
        <f>ROUND($L$93*$M$93,2)</f>
        <v>0</v>
      </c>
      <c r="O93" s="25"/>
      <c r="P93" s="25">
        <f t="array" ref="P93">INDEX(М[Форма закупа],MATCH(1,IF(($B93=М[Наим.])*($C93=М[Артикул, марка, произв.])*($D93=М[Хар-ка])*($O93=М[Прим.]),{1},($B93=М[Наим.])*($C93=М[Артикул, марка, произв.])*($D93=М[Хар-ка])*($O93=М[Прим.])),0))</f>
        <v>0</v>
      </c>
    </row>
    <row r="94" spans="1:16" ht="23.1" customHeight="1" outlineLevel="4" x14ac:dyDescent="0.2">
      <c r="A94" s="23" t="s">
        <v>34</v>
      </c>
      <c r="B94" s="24" t="s">
        <v>114</v>
      </c>
      <c r="C94" s="25"/>
      <c r="D94" s="25" t="s">
        <v>127</v>
      </c>
      <c r="E94" s="26" t="s">
        <v>86</v>
      </c>
      <c r="F94" s="27"/>
      <c r="G94" s="31">
        <v>4</v>
      </c>
      <c r="H94" s="27"/>
      <c r="I94" s="27"/>
      <c r="J94" s="27"/>
      <c r="K94" s="31">
        <v>8</v>
      </c>
      <c r="L94" s="31">
        <f>SUM($G$94:$K$94)</f>
        <v>12</v>
      </c>
      <c r="M94" s="28">
        <f t="array" ref="M94">INDEX(М[Цена за ед., руб],MATCH(1,IF(($B94=М[Наим.])*($C94=М[Артикул, марка, произв.])*($D94=М[Хар-ка])*($O94=М[Прим.]),{1},($B94=М[Наим.])*($C94=М[Артикул, марка, произв.])*($D94=М[Хар-ка])*($O94=М[Прим.])),0))</f>
        <v>0</v>
      </c>
      <c r="N94" s="28">
        <f>ROUND($L$94*$M$94,2)</f>
        <v>0</v>
      </c>
      <c r="O94" s="25"/>
      <c r="P94" s="25">
        <f t="array" ref="P94">INDEX(М[Форма закупа],MATCH(1,IF(($B94=М[Наим.])*($C94=М[Артикул, марка, произв.])*($D94=М[Хар-ка])*($O94=М[Прим.]),{1},($B94=М[Наим.])*($C94=М[Артикул, марка, произв.])*($D94=М[Хар-ка])*($O94=М[Прим.])),0))</f>
        <v>0</v>
      </c>
    </row>
    <row r="95" spans="1:16" ht="11.1" customHeight="1" outlineLevel="4" x14ac:dyDescent="0.2">
      <c r="A95" s="23" t="s">
        <v>36</v>
      </c>
      <c r="B95" s="24" t="s">
        <v>114</v>
      </c>
      <c r="C95" s="25"/>
      <c r="D95" s="25" t="s">
        <v>128</v>
      </c>
      <c r="E95" s="26" t="s">
        <v>86</v>
      </c>
      <c r="F95" s="27"/>
      <c r="G95" s="31">
        <v>8</v>
      </c>
      <c r="H95" s="31">
        <v>6</v>
      </c>
      <c r="I95" s="31">
        <v>2</v>
      </c>
      <c r="J95" s="31">
        <v>4</v>
      </c>
      <c r="K95" s="31">
        <v>8</v>
      </c>
      <c r="L95" s="31">
        <f>SUM($G$95:$K$95)</f>
        <v>28</v>
      </c>
      <c r="M95" s="28">
        <f t="array" ref="M95">INDEX(М[Цена за ед., руб],MATCH(1,IF(($B95=М[Наим.])*($C95=М[Артикул, марка, произв.])*($D95=М[Хар-ка])*($O95=М[Прим.]),{1},($B95=М[Наим.])*($C95=М[Артикул, марка, произв.])*($D95=М[Хар-ка])*($O95=М[Прим.])),0))</f>
        <v>0</v>
      </c>
      <c r="N95" s="28">
        <f>ROUND($L$95*$M$95,2)</f>
        <v>0</v>
      </c>
      <c r="O95" s="25"/>
      <c r="P95" s="25">
        <f t="array" ref="P95">INDEX(М[Форма закупа],MATCH(1,IF(($B95=М[Наим.])*($C95=М[Артикул, марка, произв.])*($D95=М[Хар-ка])*($O95=М[Прим.]),{1},($B95=М[Наим.])*($C95=М[Артикул, марка, произв.])*($D95=М[Хар-ка])*($O95=М[Прим.])),0))</f>
        <v>0</v>
      </c>
    </row>
    <row r="96" spans="1:16" ht="11.1" customHeight="1" outlineLevel="4" x14ac:dyDescent="0.2">
      <c r="A96" s="23" t="s">
        <v>38</v>
      </c>
      <c r="B96" s="24" t="s">
        <v>114</v>
      </c>
      <c r="C96" s="25"/>
      <c r="D96" s="25" t="s">
        <v>129</v>
      </c>
      <c r="E96" s="26" t="s">
        <v>86</v>
      </c>
      <c r="F96" s="27"/>
      <c r="G96" s="31">
        <v>4</v>
      </c>
      <c r="H96" s="31">
        <v>6</v>
      </c>
      <c r="I96" s="31">
        <v>5</v>
      </c>
      <c r="J96" s="31">
        <v>8</v>
      </c>
      <c r="K96" s="31">
        <v>9</v>
      </c>
      <c r="L96" s="31">
        <f>SUM($G$96:$K$96)</f>
        <v>32</v>
      </c>
      <c r="M96" s="28">
        <f t="array" ref="M96">INDEX(М[Цена за ед., руб],MATCH(1,IF(($B96=М[Наим.])*($C96=М[Артикул, марка, произв.])*($D96=М[Хар-ка])*($O96=М[Прим.]),{1},($B96=М[Наим.])*($C96=М[Артикул, марка, произв.])*($D96=М[Хар-ка])*($O96=М[Прим.])),0))</f>
        <v>0</v>
      </c>
      <c r="N96" s="28">
        <f>ROUND($L$96*$M$96,2)</f>
        <v>0</v>
      </c>
      <c r="O96" s="25"/>
      <c r="P96" s="25">
        <f t="array" ref="P96">INDEX(М[Форма закупа],MATCH(1,IF(($B96=М[Наим.])*($C96=М[Артикул, марка, произв.])*($D96=М[Хар-ка])*($O96=М[Прим.]),{1},($B96=М[Наим.])*($C96=М[Артикул, марка, произв.])*($D96=М[Хар-ка])*($O96=М[Прим.])),0))</f>
        <v>0</v>
      </c>
    </row>
    <row r="97" spans="1:16" ht="11.1" customHeight="1" outlineLevel="4" x14ac:dyDescent="0.2">
      <c r="A97" s="20"/>
      <c r="B97" s="14" t="s">
        <v>22</v>
      </c>
      <c r="C97" s="21"/>
      <c r="D97" s="21"/>
      <c r="E97" s="21"/>
      <c r="F97" s="21"/>
      <c r="G97" s="21"/>
      <c r="H97" s="21"/>
      <c r="I97" s="21"/>
      <c r="J97" s="21"/>
      <c r="K97" s="21"/>
      <c r="L97" s="21"/>
      <c r="M97" s="61"/>
      <c r="N97" s="62">
        <f>SUM($N$98)</f>
        <v>0</v>
      </c>
      <c r="O97" s="18"/>
      <c r="P97" s="22"/>
    </row>
    <row r="98" spans="1:16" ht="23.1" customHeight="1" outlineLevel="4" x14ac:dyDescent="0.2">
      <c r="A98" s="23"/>
      <c r="B98" s="24" t="s">
        <v>130</v>
      </c>
      <c r="C98" s="25"/>
      <c r="D98" s="25"/>
      <c r="E98" s="26" t="s">
        <v>86</v>
      </c>
      <c r="F98" s="27"/>
      <c r="G98" s="27"/>
      <c r="H98" s="27"/>
      <c r="I98" s="31">
        <v>2</v>
      </c>
      <c r="J98" s="27"/>
      <c r="K98" s="27"/>
      <c r="L98" s="31">
        <f>SUM($G$98:$K$98)</f>
        <v>2</v>
      </c>
      <c r="M98" s="28">
        <f t="array" ref="M98">INDEX(Р[Цена за ед., руб],MATCH(1,IF(($B98=Р[Наименование])*($O98=Р[Примечание]),{1},($B98=Р[Наименование])*($O98=Р[Примечание])),0))</f>
        <v>0</v>
      </c>
      <c r="N98" s="28">
        <f>ROUND($L$98*$M$98,2)</f>
        <v>0</v>
      </c>
      <c r="O98" s="25"/>
      <c r="P98" s="25"/>
    </row>
    <row r="99" spans="1:16" ht="11.1" customHeight="1" outlineLevel="4" x14ac:dyDescent="0.2">
      <c r="A99" s="20"/>
      <c r="B99" s="14" t="s">
        <v>25</v>
      </c>
      <c r="C99" s="21"/>
      <c r="D99" s="21"/>
      <c r="E99" s="21"/>
      <c r="F99" s="21"/>
      <c r="G99" s="21"/>
      <c r="H99" s="21"/>
      <c r="I99" s="21"/>
      <c r="J99" s="21"/>
      <c r="K99" s="21"/>
      <c r="L99" s="21"/>
      <c r="M99" s="61"/>
      <c r="N99" s="62">
        <f>SUM($N$100:$N$101)</f>
        <v>0</v>
      </c>
      <c r="O99" s="18"/>
      <c r="P99" s="22"/>
    </row>
    <row r="100" spans="1:16" ht="23.1" customHeight="1" outlineLevel="4" x14ac:dyDescent="0.2">
      <c r="A100" s="23" t="s">
        <v>26</v>
      </c>
      <c r="B100" s="24" t="s">
        <v>131</v>
      </c>
      <c r="C100" s="25"/>
      <c r="D100" s="25" t="s">
        <v>132</v>
      </c>
      <c r="E100" s="26" t="s">
        <v>86</v>
      </c>
      <c r="F100" s="27"/>
      <c r="G100" s="27"/>
      <c r="H100" s="27"/>
      <c r="I100" s="31">
        <v>1</v>
      </c>
      <c r="J100" s="27"/>
      <c r="K100" s="27"/>
      <c r="L100" s="31">
        <f>SUM($G$100:$K$100)</f>
        <v>1</v>
      </c>
      <c r="M100" s="28">
        <f t="array" ref="M100">INDEX(М[Цена за ед., руб],MATCH(1,IF(($B100=М[Наим.])*($C100=М[Артикул, марка, произв.])*($D100=М[Хар-ка])*($O100=М[Прим.]),{1},($B100=М[Наим.])*($C100=М[Артикул, марка, произв.])*($D100=М[Хар-ка])*($O100=М[Прим.])),0))</f>
        <v>0</v>
      </c>
      <c r="N100" s="28">
        <f>ROUND($L$100*$M$100,2)</f>
        <v>0</v>
      </c>
      <c r="O100" s="25"/>
      <c r="P100" s="25">
        <f t="array" ref="P100">INDEX(М[Форма закупа],MATCH(1,IF(($B100=М[Наим.])*($C100=М[Артикул, марка, произв.])*($D100=М[Хар-ка])*($O100=М[Прим.]),{1},($B100=М[Наим.])*($C100=М[Артикул, марка, произв.])*($D100=М[Хар-ка])*($O100=М[Прим.])),0))</f>
        <v>0</v>
      </c>
    </row>
    <row r="101" spans="1:16" ht="23.1" customHeight="1" outlineLevel="4" x14ac:dyDescent="0.2">
      <c r="A101" s="23" t="s">
        <v>30</v>
      </c>
      <c r="B101" s="24" t="s">
        <v>131</v>
      </c>
      <c r="C101" s="25"/>
      <c r="D101" s="25" t="s">
        <v>133</v>
      </c>
      <c r="E101" s="26" t="s">
        <v>86</v>
      </c>
      <c r="F101" s="27"/>
      <c r="G101" s="27"/>
      <c r="H101" s="27"/>
      <c r="I101" s="31">
        <v>1</v>
      </c>
      <c r="J101" s="27"/>
      <c r="K101" s="27"/>
      <c r="L101" s="31">
        <f>SUM($G$101:$K$101)</f>
        <v>1</v>
      </c>
      <c r="M101" s="28">
        <f t="array" ref="M101">INDEX(М[Цена за ед., руб],MATCH(1,IF(($B101=М[Наим.])*($C101=М[Артикул, марка, произв.])*($D101=М[Хар-ка])*($O101=М[Прим.]),{1},($B101=М[Наим.])*($C101=М[Артикул, марка, произв.])*($D101=М[Хар-ка])*($O101=М[Прим.])),0))</f>
        <v>0</v>
      </c>
      <c r="N101" s="28">
        <f>ROUND($L$101*$M$101,2)</f>
        <v>0</v>
      </c>
      <c r="O101" s="25"/>
      <c r="P101" s="25">
        <f t="array" ref="P101">INDEX(М[Форма закупа],MATCH(1,IF(($B101=М[Наим.])*($C101=М[Артикул, марка, произв.])*($D101=М[Хар-ка])*($O101=М[Прим.]),{1},($B101=М[Наим.])*($C101=М[Артикул, марка, произв.])*($D101=М[Хар-ка])*($O101=М[Прим.])),0))</f>
        <v>0</v>
      </c>
    </row>
    <row r="102" spans="1:16" ht="11.1" customHeight="1" outlineLevel="4" x14ac:dyDescent="0.2">
      <c r="A102" s="20"/>
      <c r="B102" s="14" t="s">
        <v>22</v>
      </c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61"/>
      <c r="N102" s="62">
        <f>SUM($N$103)</f>
        <v>0</v>
      </c>
      <c r="O102" s="18"/>
      <c r="P102" s="22"/>
    </row>
    <row r="103" spans="1:16" ht="11.1" customHeight="1" outlineLevel="4" x14ac:dyDescent="0.2">
      <c r="A103" s="23"/>
      <c r="B103" s="24" t="s">
        <v>134</v>
      </c>
      <c r="C103" s="25"/>
      <c r="D103" s="25"/>
      <c r="E103" s="26" t="s">
        <v>86</v>
      </c>
      <c r="F103" s="27"/>
      <c r="G103" s="27"/>
      <c r="H103" s="27"/>
      <c r="I103" s="31">
        <v>2</v>
      </c>
      <c r="J103" s="27"/>
      <c r="K103" s="27"/>
      <c r="L103" s="31">
        <f>SUM($G$103:$K$103)</f>
        <v>2</v>
      </c>
      <c r="M103" s="28">
        <f t="array" ref="M103">INDEX(Р[Цена за ед., руб],MATCH(1,IF(($B103=Р[Наименование])*($O103=Р[Примечание]),{1},($B103=Р[Наименование])*($O103=Р[Примечание])),0))</f>
        <v>0</v>
      </c>
      <c r="N103" s="28">
        <f>ROUND($L$103*$M$103,2)</f>
        <v>0</v>
      </c>
      <c r="O103" s="25"/>
      <c r="P103" s="25"/>
    </row>
    <row r="104" spans="1:16" ht="11.1" customHeight="1" outlineLevel="4" x14ac:dyDescent="0.2">
      <c r="A104" s="20"/>
      <c r="B104" s="14" t="s">
        <v>25</v>
      </c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61"/>
      <c r="N104" s="62">
        <f>SUM($N$105)</f>
        <v>0</v>
      </c>
      <c r="O104" s="18"/>
      <c r="P104" s="22"/>
    </row>
    <row r="105" spans="1:16" ht="35.1" customHeight="1" outlineLevel="4" x14ac:dyDescent="0.2">
      <c r="A105" s="23" t="s">
        <v>26</v>
      </c>
      <c r="B105" s="24" t="s">
        <v>135</v>
      </c>
      <c r="C105" s="25"/>
      <c r="D105" s="25" t="s">
        <v>136</v>
      </c>
      <c r="E105" s="26" t="s">
        <v>86</v>
      </c>
      <c r="F105" s="27"/>
      <c r="G105" s="27"/>
      <c r="H105" s="27"/>
      <c r="I105" s="31">
        <v>2</v>
      </c>
      <c r="J105" s="27"/>
      <c r="K105" s="27"/>
      <c r="L105" s="31">
        <f>SUM($G$105:$K$105)</f>
        <v>2</v>
      </c>
      <c r="M105" s="28">
        <f t="array" ref="M105">INDEX(М[Цена за ед., руб],MATCH(1,IF(($B105=М[Наим.])*($C105=М[Артикул, марка, произв.])*($D105=М[Хар-ка])*($O105=М[Прим.]),{1},($B105=М[Наим.])*($C105=М[Артикул, марка, произв.])*($D105=М[Хар-ка])*($O105=М[Прим.])),0))</f>
        <v>0</v>
      </c>
      <c r="N105" s="28">
        <f>ROUND($L$105*$M$105,2)</f>
        <v>0</v>
      </c>
      <c r="O105" s="25"/>
      <c r="P105" s="25">
        <f t="array" ref="P105">INDEX(М[Форма закупа],MATCH(1,IF(($B105=М[Наим.])*($C105=М[Артикул, марка, произв.])*($D105=М[Хар-ка])*($O105=М[Прим.]),{1},($B105=М[Наим.])*($C105=М[Артикул, марка, произв.])*($D105=М[Хар-ка])*($O105=М[Прим.])),0))</f>
        <v>0</v>
      </c>
    </row>
    <row r="106" spans="1:16" ht="11.1" customHeight="1" outlineLevel="4" x14ac:dyDescent="0.2">
      <c r="A106" s="20"/>
      <c r="B106" s="14" t="s">
        <v>22</v>
      </c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61"/>
      <c r="N106" s="62">
        <f>SUM($N$107)</f>
        <v>0</v>
      </c>
      <c r="O106" s="18"/>
      <c r="P106" s="22"/>
    </row>
    <row r="107" spans="1:16" ht="11.1" customHeight="1" outlineLevel="4" x14ac:dyDescent="0.2">
      <c r="A107" s="23"/>
      <c r="B107" s="24" t="s">
        <v>137</v>
      </c>
      <c r="C107" s="25"/>
      <c r="D107" s="25"/>
      <c r="E107" s="26" t="s">
        <v>86</v>
      </c>
      <c r="F107" s="27"/>
      <c r="G107" s="27"/>
      <c r="H107" s="27"/>
      <c r="I107" s="31">
        <v>13</v>
      </c>
      <c r="J107" s="31">
        <v>9</v>
      </c>
      <c r="K107" s="27"/>
      <c r="L107" s="31">
        <f>SUM($G$107:$K$107)</f>
        <v>22</v>
      </c>
      <c r="M107" s="28">
        <f t="array" ref="M107">INDEX(Р[Цена за ед., руб],MATCH(1,IF(($B107=Р[Наименование])*($O107=Р[Примечание]),{1},($B107=Р[Наименование])*($O107=Р[Примечание])),0))</f>
        <v>0</v>
      </c>
      <c r="N107" s="28">
        <f>ROUND($L$107*$M$107,2)</f>
        <v>0</v>
      </c>
      <c r="O107" s="25"/>
      <c r="P107" s="25"/>
    </row>
    <row r="108" spans="1:16" ht="11.1" customHeight="1" outlineLevel="4" x14ac:dyDescent="0.2">
      <c r="A108" s="20"/>
      <c r="B108" s="14" t="s">
        <v>25</v>
      </c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61"/>
      <c r="N108" s="62">
        <f>SUM($N$109)</f>
        <v>0</v>
      </c>
      <c r="O108" s="18"/>
      <c r="P108" s="22"/>
    </row>
    <row r="109" spans="1:16" ht="35.1" customHeight="1" outlineLevel="4" x14ac:dyDescent="0.2">
      <c r="A109" s="23" t="s">
        <v>26</v>
      </c>
      <c r="B109" s="24" t="s">
        <v>138</v>
      </c>
      <c r="C109" s="25"/>
      <c r="D109" s="25" t="s">
        <v>139</v>
      </c>
      <c r="E109" s="26" t="s">
        <v>86</v>
      </c>
      <c r="F109" s="27"/>
      <c r="G109" s="27"/>
      <c r="H109" s="27"/>
      <c r="I109" s="31">
        <v>13</v>
      </c>
      <c r="J109" s="31">
        <v>9</v>
      </c>
      <c r="K109" s="27"/>
      <c r="L109" s="31">
        <f>SUM($G$109:$K$109)</f>
        <v>22</v>
      </c>
      <c r="M109" s="28">
        <f t="array" ref="M109">INDEX(М[Цена за ед., руб],MATCH(1,IF(($B109=М[Наим.])*($C109=М[Артикул, марка, произв.])*($D109=М[Хар-ка])*($O109=М[Прим.]),{1},($B109=М[Наим.])*($C109=М[Артикул, марка, произв.])*($D109=М[Хар-ка])*($O109=М[Прим.])),0))</f>
        <v>0</v>
      </c>
      <c r="N109" s="28">
        <f>ROUND($L$109*$M$109,2)</f>
        <v>0</v>
      </c>
      <c r="O109" s="25"/>
      <c r="P109" s="25">
        <f t="array" ref="P109">INDEX(М[Форма закупа],MATCH(1,IF(($B109=М[Наим.])*($C109=М[Артикул, марка, произв.])*($D109=М[Хар-ка])*($O109=М[Прим.]),{1},($B109=М[Наим.])*($C109=М[Артикул, марка, произв.])*($D109=М[Хар-ка])*($O109=М[Прим.])),0))</f>
        <v>0</v>
      </c>
    </row>
    <row r="110" spans="1:16" ht="11.1" customHeight="1" outlineLevel="4" x14ac:dyDescent="0.2">
      <c r="A110" s="20"/>
      <c r="B110" s="14" t="s">
        <v>22</v>
      </c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61"/>
      <c r="N110" s="62">
        <f>SUM($N$111)</f>
        <v>0</v>
      </c>
      <c r="O110" s="18"/>
      <c r="P110" s="22"/>
    </row>
    <row r="111" spans="1:16" ht="23.1" customHeight="1" outlineLevel="4" x14ac:dyDescent="0.2">
      <c r="A111" s="23"/>
      <c r="B111" s="24" t="s">
        <v>140</v>
      </c>
      <c r="C111" s="25"/>
      <c r="D111" s="25"/>
      <c r="E111" s="26" t="s">
        <v>86</v>
      </c>
      <c r="F111" s="27"/>
      <c r="G111" s="27"/>
      <c r="H111" s="27"/>
      <c r="I111" s="31">
        <v>2</v>
      </c>
      <c r="J111" s="31">
        <v>2</v>
      </c>
      <c r="K111" s="27"/>
      <c r="L111" s="31">
        <f>SUM($G$111:$K$111)</f>
        <v>4</v>
      </c>
      <c r="M111" s="28">
        <f t="array" ref="M111">INDEX(Р[Цена за ед., руб],MATCH(1,IF(($B111=Р[Наименование])*($O111=Р[Примечание]),{1},($B111=Р[Наименование])*($O111=Р[Примечание])),0))</f>
        <v>0</v>
      </c>
      <c r="N111" s="28">
        <f>ROUND($L$111*$M$111,2)</f>
        <v>0</v>
      </c>
      <c r="O111" s="25"/>
      <c r="P111" s="25"/>
    </row>
    <row r="112" spans="1:16" ht="11.1" customHeight="1" outlineLevel="4" x14ac:dyDescent="0.2">
      <c r="A112" s="20"/>
      <c r="B112" s="14" t="s">
        <v>25</v>
      </c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61"/>
      <c r="N112" s="62">
        <f>SUM($N$113)</f>
        <v>0</v>
      </c>
      <c r="O112" s="18"/>
      <c r="P112" s="22"/>
    </row>
    <row r="113" spans="1:16" ht="23.1" customHeight="1" outlineLevel="4" x14ac:dyDescent="0.2">
      <c r="A113" s="23" t="s">
        <v>26</v>
      </c>
      <c r="B113" s="24" t="s">
        <v>141</v>
      </c>
      <c r="C113" s="25"/>
      <c r="D113" s="25" t="s">
        <v>142</v>
      </c>
      <c r="E113" s="26" t="s">
        <v>86</v>
      </c>
      <c r="F113" s="27"/>
      <c r="G113" s="27"/>
      <c r="H113" s="27"/>
      <c r="I113" s="31">
        <v>2</v>
      </c>
      <c r="J113" s="31">
        <v>2</v>
      </c>
      <c r="K113" s="27"/>
      <c r="L113" s="31">
        <f>SUM($G$113:$K$113)</f>
        <v>4</v>
      </c>
      <c r="M113" s="28">
        <f t="array" ref="M113">INDEX(М[Цена за ед., руб],MATCH(1,IF(($B113=М[Наим.])*($C113=М[Артикул, марка, произв.])*($D113=М[Хар-ка])*($O113=М[Прим.]),{1},($B113=М[Наим.])*($C113=М[Артикул, марка, произв.])*($D113=М[Хар-ка])*($O113=М[Прим.])),0))</f>
        <v>0</v>
      </c>
      <c r="N113" s="28">
        <f>ROUND($L$113*$M$113,2)</f>
        <v>0</v>
      </c>
      <c r="O113" s="25"/>
      <c r="P113" s="25">
        <f t="array" ref="P113">INDEX(М[Форма закупа],MATCH(1,IF(($B113=М[Наим.])*($C113=М[Артикул, марка, произв.])*($D113=М[Хар-ка])*($O113=М[Прим.]),{1},($B113=М[Наим.])*($C113=М[Артикул, марка, произв.])*($D113=М[Хар-ка])*($O113=М[Прим.])),0))</f>
        <v>0</v>
      </c>
    </row>
    <row r="114" spans="1:16" ht="11.1" customHeight="1" outlineLevel="4" x14ac:dyDescent="0.2">
      <c r="A114" s="20"/>
      <c r="B114" s="14" t="s">
        <v>22</v>
      </c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61"/>
      <c r="N114" s="62">
        <f>SUM($N$115)</f>
        <v>0</v>
      </c>
      <c r="O114" s="18"/>
      <c r="P114" s="22"/>
    </row>
    <row r="115" spans="1:16" ht="11.1" customHeight="1" outlineLevel="4" x14ac:dyDescent="0.2">
      <c r="A115" s="23"/>
      <c r="B115" s="24" t="s">
        <v>143</v>
      </c>
      <c r="C115" s="25"/>
      <c r="D115" s="25"/>
      <c r="E115" s="26" t="s">
        <v>86</v>
      </c>
      <c r="F115" s="27"/>
      <c r="G115" s="27"/>
      <c r="H115" s="27"/>
      <c r="I115" s="31">
        <v>1</v>
      </c>
      <c r="J115" s="27"/>
      <c r="K115" s="27"/>
      <c r="L115" s="31">
        <f>SUM($G$115:$K$115)</f>
        <v>1</v>
      </c>
      <c r="M115" s="28">
        <f t="array" ref="M115">INDEX(Р[Цена за ед., руб],MATCH(1,IF(($B115=Р[Наименование])*($O115=Р[Примечание]),{1},($B115=Р[Наименование])*($O115=Р[Примечание])),0))</f>
        <v>0</v>
      </c>
      <c r="N115" s="28">
        <f>ROUND($L$115*$M$115,2)</f>
        <v>0</v>
      </c>
      <c r="O115" s="25"/>
      <c r="P115" s="25"/>
    </row>
    <row r="116" spans="1:16" ht="11.1" customHeight="1" outlineLevel="4" x14ac:dyDescent="0.2">
      <c r="A116" s="20"/>
      <c r="B116" s="14" t="s">
        <v>25</v>
      </c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M116" s="61"/>
      <c r="N116" s="62">
        <f>SUM($N$117)</f>
        <v>0</v>
      </c>
      <c r="O116" s="18"/>
      <c r="P116" s="22"/>
    </row>
    <row r="117" spans="1:16" ht="47.1" customHeight="1" outlineLevel="4" x14ac:dyDescent="0.2">
      <c r="A117" s="23" t="s">
        <v>26</v>
      </c>
      <c r="B117" s="24" t="s">
        <v>144</v>
      </c>
      <c r="C117" s="25"/>
      <c r="D117" s="25" t="s">
        <v>145</v>
      </c>
      <c r="E117" s="26" t="s">
        <v>86</v>
      </c>
      <c r="F117" s="27"/>
      <c r="G117" s="27"/>
      <c r="H117" s="27"/>
      <c r="I117" s="31">
        <v>1</v>
      </c>
      <c r="J117" s="27"/>
      <c r="K117" s="27"/>
      <c r="L117" s="31">
        <f>SUM($G$117:$K$117)</f>
        <v>1</v>
      </c>
      <c r="M117" s="28">
        <f t="array" ref="M117">INDEX(М[Цена за ед., руб],MATCH(1,IF(($B117=М[Наим.])*($C117=М[Артикул, марка, произв.])*($D117=М[Хар-ка])*($O117=М[Прим.]),{1},($B117=М[Наим.])*($C117=М[Артикул, марка, произв.])*($D117=М[Хар-ка])*($O117=М[Прим.])),0))</f>
        <v>0</v>
      </c>
      <c r="N117" s="28">
        <f>ROUND($L$117*$M$117,2)</f>
        <v>0</v>
      </c>
      <c r="O117" s="25"/>
      <c r="P117" s="25">
        <f t="array" ref="P117">INDEX(М[Форма закупа],MATCH(1,IF(($B117=М[Наим.])*($C117=М[Артикул, марка, произв.])*($D117=М[Хар-ка])*($O117=М[Прим.]),{1},($B117=М[Наим.])*($C117=М[Артикул, марка, произв.])*($D117=М[Хар-ка])*($O117=М[Прим.])),0))</f>
        <v>0</v>
      </c>
    </row>
    <row r="118" spans="1:16" ht="11.1" customHeight="1" outlineLevel="4" x14ac:dyDescent="0.2">
      <c r="A118" s="20"/>
      <c r="B118" s="14" t="s">
        <v>22</v>
      </c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61"/>
      <c r="N118" s="62">
        <f>SUM($N$119)</f>
        <v>0</v>
      </c>
      <c r="O118" s="18"/>
      <c r="P118" s="22"/>
    </row>
    <row r="119" spans="1:16" ht="11.1" customHeight="1" outlineLevel="4" x14ac:dyDescent="0.2">
      <c r="A119" s="23"/>
      <c r="B119" s="24" t="s">
        <v>146</v>
      </c>
      <c r="C119" s="25"/>
      <c r="D119" s="25"/>
      <c r="E119" s="26" t="s">
        <v>24</v>
      </c>
      <c r="F119" s="27"/>
      <c r="G119" s="28">
        <v>2063.25</v>
      </c>
      <c r="H119" s="28">
        <v>9915.15</v>
      </c>
      <c r="I119" s="28">
        <v>4835.25</v>
      </c>
      <c r="J119" s="29">
        <v>18022.2</v>
      </c>
      <c r="K119" s="32">
        <v>10626</v>
      </c>
      <c r="L119" s="28">
        <f>SUM($G$119:$K$119)</f>
        <v>45461.85</v>
      </c>
      <c r="M119" s="28">
        <f t="array" ref="M119">INDEX(Р[Цена за ед., руб],MATCH(1,IF(($B119=Р[Наименование])*($O119=Р[Примечание]),{1},($B119=Р[Наименование])*($O119=Р[Примечание])),0))</f>
        <v>0</v>
      </c>
      <c r="N119" s="28">
        <f>ROUND($L$119*$M$119,2)</f>
        <v>0</v>
      </c>
      <c r="O119" s="25"/>
      <c r="P119" s="25"/>
    </row>
    <row r="120" spans="1:16" ht="11.1" customHeight="1" outlineLevel="4" x14ac:dyDescent="0.2">
      <c r="A120" s="20"/>
      <c r="B120" s="14" t="s">
        <v>25</v>
      </c>
      <c r="C120" s="21"/>
      <c r="D120" s="21"/>
      <c r="E120" s="21"/>
      <c r="F120" s="21"/>
      <c r="G120" s="21"/>
      <c r="H120" s="21"/>
      <c r="I120" s="21"/>
      <c r="J120" s="21"/>
      <c r="K120" s="21"/>
      <c r="L120" s="21"/>
      <c r="M120" s="61"/>
      <c r="N120" s="62">
        <f>SUM($N$121)</f>
        <v>0</v>
      </c>
      <c r="O120" s="18"/>
      <c r="P120" s="22"/>
    </row>
    <row r="121" spans="1:16" ht="11.1" customHeight="1" outlineLevel="4" x14ac:dyDescent="0.2">
      <c r="A121" s="104" t="s">
        <v>26</v>
      </c>
      <c r="B121" s="24" t="s">
        <v>147</v>
      </c>
      <c r="C121" s="25"/>
      <c r="D121" s="25" t="s">
        <v>148</v>
      </c>
      <c r="E121" s="26" t="s">
        <v>29</v>
      </c>
      <c r="F121" s="27"/>
      <c r="G121" s="28">
        <v>2063.25</v>
      </c>
      <c r="H121" s="28">
        <v>9915.15</v>
      </c>
      <c r="I121" s="28">
        <v>4835.25</v>
      </c>
      <c r="J121" s="29">
        <v>18022.2</v>
      </c>
      <c r="K121" s="32">
        <v>10626</v>
      </c>
      <c r="L121" s="28">
        <f>SUM($G$121:$K$121)</f>
        <v>45461.85</v>
      </c>
      <c r="M121" s="28">
        <f t="array" ref="M121">INDEX(М[Цена за ед., руб],MATCH(1,IF(($B121=М[Наим.])*($C121=М[Артикул, марка, произв.])*($D121=М[Хар-ка])*($O121=М[Прим.]),{1},($B121=М[Наим.])*($C121=М[Артикул, марка, произв.])*($D121=М[Хар-ка])*($O121=М[Прим.])),0))</f>
        <v>0</v>
      </c>
      <c r="N121" s="28">
        <f>ROUND($L$121*$M$121,2)</f>
        <v>0</v>
      </c>
      <c r="O121" s="25"/>
      <c r="P121" s="25">
        <f t="array" ref="P121">INDEX(М[Форма закупа],MATCH(1,IF(($B121=М[Наим.])*($C121=М[Артикул, марка, произв.])*($D121=М[Хар-ка])*($O121=М[Прим.]),{1},($B121=М[Наим.])*($C121=М[Артикул, марка, произв.])*($D121=М[Хар-ка])*($O121=М[Прим.])),0))</f>
        <v>0</v>
      </c>
    </row>
    <row r="122" spans="1:16" ht="11.1" customHeight="1" outlineLevel="4" x14ac:dyDescent="0.2">
      <c r="A122" s="20"/>
      <c r="B122" s="14" t="s">
        <v>22</v>
      </c>
      <c r="C122" s="21"/>
      <c r="D122" s="21"/>
      <c r="E122" s="21"/>
      <c r="F122" s="21"/>
      <c r="G122" s="21"/>
      <c r="H122" s="21"/>
      <c r="I122" s="21"/>
      <c r="J122" s="21"/>
      <c r="K122" s="21"/>
      <c r="L122" s="21"/>
      <c r="M122" s="61"/>
      <c r="N122" s="62">
        <f>SUM($N$123)</f>
        <v>0</v>
      </c>
      <c r="O122" s="18"/>
      <c r="P122" s="22"/>
    </row>
    <row r="123" spans="1:16" ht="11.1" customHeight="1" outlineLevel="4" x14ac:dyDescent="0.2">
      <c r="A123" s="23"/>
      <c r="B123" s="24" t="s">
        <v>149</v>
      </c>
      <c r="C123" s="25"/>
      <c r="D123" s="25"/>
      <c r="E123" s="26" t="s">
        <v>86</v>
      </c>
      <c r="F123" s="27"/>
      <c r="G123" s="31">
        <v>8</v>
      </c>
      <c r="H123" s="31">
        <v>14</v>
      </c>
      <c r="I123" s="31">
        <v>13</v>
      </c>
      <c r="J123" s="31">
        <v>32</v>
      </c>
      <c r="K123" s="31">
        <v>10</v>
      </c>
      <c r="L123" s="31">
        <f>SUM($G$123:$K$123)</f>
        <v>77</v>
      </c>
      <c r="M123" s="28">
        <f t="array" ref="M123">INDEX(Р[Цена за ед., руб],MATCH(1,IF(($B123=Р[Наименование])*($O123=Р[Примечание]),{1},($B123=Р[Наименование])*($O123=Р[Примечание])),0))</f>
        <v>0</v>
      </c>
      <c r="N123" s="28">
        <f>ROUND($L$123*$M$123,2)</f>
        <v>0</v>
      </c>
      <c r="O123" s="25"/>
      <c r="P123" s="25"/>
    </row>
    <row r="124" spans="1:16" ht="11.1" customHeight="1" outlineLevel="4" x14ac:dyDescent="0.2">
      <c r="A124" s="20"/>
      <c r="B124" s="14" t="s">
        <v>25</v>
      </c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61"/>
      <c r="N124" s="62">
        <f>SUM($N$125:$N$126)</f>
        <v>0</v>
      </c>
      <c r="O124" s="18"/>
      <c r="P124" s="22"/>
    </row>
    <row r="125" spans="1:16" ht="23.1" customHeight="1" outlineLevel="4" x14ac:dyDescent="0.2">
      <c r="A125" s="23" t="s">
        <v>26</v>
      </c>
      <c r="B125" s="24" t="s">
        <v>150</v>
      </c>
      <c r="C125" s="25"/>
      <c r="D125" s="25" t="s">
        <v>151</v>
      </c>
      <c r="E125" s="26" t="s">
        <v>86</v>
      </c>
      <c r="F125" s="27"/>
      <c r="G125" s="27"/>
      <c r="H125" s="27"/>
      <c r="I125" s="31">
        <v>1</v>
      </c>
      <c r="J125" s="27"/>
      <c r="K125" s="27"/>
      <c r="L125" s="31">
        <f>SUM($G$125:$K$125)</f>
        <v>1</v>
      </c>
      <c r="M125" s="28">
        <f t="array" ref="M125">INDEX(М[Цена за ед., руб],MATCH(1,IF(($B125=М[Наим.])*($C125=М[Артикул, марка, произв.])*($D125=М[Хар-ка])*($O125=М[Прим.]),{1},($B125=М[Наим.])*($C125=М[Артикул, марка, произв.])*($D125=М[Хар-ка])*($O125=М[Прим.])),0))</f>
        <v>0</v>
      </c>
      <c r="N125" s="28">
        <f>ROUND($L$125*$M$125,2)</f>
        <v>0</v>
      </c>
      <c r="O125" s="25"/>
      <c r="P125" s="25">
        <f t="array" ref="P125">INDEX(М[Форма закупа],MATCH(1,IF(($B125=М[Наим.])*($C125=М[Артикул, марка, произв.])*($D125=М[Хар-ка])*($O125=М[Прим.]),{1},($B125=М[Наим.])*($C125=М[Артикул, марка, произв.])*($D125=М[Хар-ка])*($O125=М[Прим.])),0))</f>
        <v>0</v>
      </c>
    </row>
    <row r="126" spans="1:16" ht="23.1" customHeight="1" outlineLevel="4" x14ac:dyDescent="0.2">
      <c r="A126" s="23" t="s">
        <v>30</v>
      </c>
      <c r="B126" s="24" t="s">
        <v>150</v>
      </c>
      <c r="C126" s="25"/>
      <c r="D126" s="25" t="s">
        <v>152</v>
      </c>
      <c r="E126" s="26" t="s">
        <v>86</v>
      </c>
      <c r="F126" s="27"/>
      <c r="G126" s="31">
        <v>8</v>
      </c>
      <c r="H126" s="31">
        <v>14</v>
      </c>
      <c r="I126" s="31">
        <v>12</v>
      </c>
      <c r="J126" s="31">
        <v>32</v>
      </c>
      <c r="K126" s="31">
        <v>10</v>
      </c>
      <c r="L126" s="31">
        <f>SUM($G$126:$K$126)</f>
        <v>76</v>
      </c>
      <c r="M126" s="28">
        <f t="array" ref="M126">INDEX(М[Цена за ед., руб],MATCH(1,IF(($B126=М[Наим.])*($C126=М[Артикул, марка, произв.])*($D126=М[Хар-ка])*($O126=М[Прим.]),{1},($B126=М[Наим.])*($C126=М[Артикул, марка, произв.])*($D126=М[Хар-ка])*($O126=М[Прим.])),0))</f>
        <v>0</v>
      </c>
      <c r="N126" s="28">
        <f>ROUND($L$126*$M$126,2)</f>
        <v>0</v>
      </c>
      <c r="O126" s="25"/>
      <c r="P126" s="25">
        <f t="array" ref="P126">INDEX(М[Форма закупа],MATCH(1,IF(($B126=М[Наим.])*($C126=М[Артикул, марка, произв.])*($D126=М[Хар-ка])*($O126=М[Прим.]),{1},($B126=М[Наим.])*($C126=М[Артикул, марка, произв.])*($D126=М[Хар-ка])*($O126=М[Прим.])),0))</f>
        <v>0</v>
      </c>
    </row>
    <row r="127" spans="1:16" ht="11.1" customHeight="1" outlineLevel="4" x14ac:dyDescent="0.2">
      <c r="A127" s="20"/>
      <c r="B127" s="14" t="s">
        <v>22</v>
      </c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61"/>
      <c r="N127" s="62">
        <f>SUM($N$128)</f>
        <v>0</v>
      </c>
      <c r="O127" s="18"/>
      <c r="P127" s="22"/>
    </row>
    <row r="128" spans="1:16" ht="11.1" customHeight="1" outlineLevel="4" x14ac:dyDescent="0.2">
      <c r="A128" s="23"/>
      <c r="B128" s="24" t="s">
        <v>159</v>
      </c>
      <c r="C128" s="25"/>
      <c r="D128" s="25"/>
      <c r="E128" s="26" t="s">
        <v>29</v>
      </c>
      <c r="F128" s="27"/>
      <c r="G128" s="30">
        <v>340.4</v>
      </c>
      <c r="H128" s="30">
        <v>962.2</v>
      </c>
      <c r="I128" s="30">
        <v>685.2</v>
      </c>
      <c r="J128" s="28">
        <v>1328.56</v>
      </c>
      <c r="K128" s="29">
        <v>1019.3</v>
      </c>
      <c r="L128" s="28">
        <f>SUM($G$128:$K$128)</f>
        <v>4335.66</v>
      </c>
      <c r="M128" s="28">
        <f t="array" ref="M128">INDEX(Р[Цена за ед., руб],MATCH(1,IF(($B128=Р[Наименование])*($O128=Р[Примечание]),{1},($B128=Р[Наименование])*($O128=Р[Примечание])),0))</f>
        <v>0</v>
      </c>
      <c r="N128" s="28">
        <f>ROUND($L$128*$M$128,2)</f>
        <v>0</v>
      </c>
      <c r="O128" s="25"/>
      <c r="P128" s="25"/>
    </row>
    <row r="129" spans="1:16" ht="11.1" customHeight="1" outlineLevel="4" x14ac:dyDescent="0.2">
      <c r="A129" s="20"/>
      <c r="B129" s="14" t="s">
        <v>25</v>
      </c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61"/>
      <c r="N129" s="62">
        <f>SUM($N$130:$N$137)</f>
        <v>0</v>
      </c>
      <c r="O129" s="18"/>
      <c r="P129" s="22"/>
    </row>
    <row r="130" spans="1:16" ht="35.1" customHeight="1" outlineLevel="4" x14ac:dyDescent="0.2">
      <c r="A130" s="104" t="s">
        <v>26</v>
      </c>
      <c r="B130" s="24" t="s">
        <v>156</v>
      </c>
      <c r="C130" s="25"/>
      <c r="D130" s="25" t="s">
        <v>160</v>
      </c>
      <c r="E130" s="26" t="s">
        <v>29</v>
      </c>
      <c r="F130" s="27"/>
      <c r="G130" s="31">
        <v>73</v>
      </c>
      <c r="H130" s="31">
        <v>34</v>
      </c>
      <c r="I130" s="27"/>
      <c r="J130" s="27"/>
      <c r="K130" s="31">
        <v>46</v>
      </c>
      <c r="L130" s="31">
        <f>SUM($G$130:$K$130)</f>
        <v>153</v>
      </c>
      <c r="M130" s="28">
        <f t="array" ref="M130">INDEX(М[Цена за ед., руб],MATCH(1,IF(($B130=М[Наим.])*($C130=М[Артикул, марка, произв.])*($D130=М[Хар-ка])*($O130=М[Прим.]),{1},($B130=М[Наим.])*($C130=М[Артикул, марка, произв.])*($D130=М[Хар-ка])*($O130=М[Прим.])),0))</f>
        <v>0</v>
      </c>
      <c r="N130" s="28">
        <f>ROUND($L$130*$M$130,2)</f>
        <v>0</v>
      </c>
      <c r="O130" s="25"/>
      <c r="P130" s="25">
        <f t="array" ref="P130">INDEX(М[Форма закупа],MATCH(1,IF(($B130=М[Наим.])*($C130=М[Артикул, марка, произв.])*($D130=М[Хар-ка])*($O130=М[Прим.]),{1},($B130=М[Наим.])*($C130=М[Артикул, марка, произв.])*($D130=М[Хар-ка])*($O130=М[Прим.])),0))</f>
        <v>0</v>
      </c>
    </row>
    <row r="131" spans="1:16" ht="47.1" customHeight="1" outlineLevel="4" x14ac:dyDescent="0.2">
      <c r="A131" s="104" t="s">
        <v>30</v>
      </c>
      <c r="B131" s="24" t="s">
        <v>156</v>
      </c>
      <c r="C131" s="25"/>
      <c r="D131" s="25" t="s">
        <v>161</v>
      </c>
      <c r="E131" s="26" t="s">
        <v>29</v>
      </c>
      <c r="F131" s="27"/>
      <c r="G131" s="27"/>
      <c r="H131" s="31">
        <v>85</v>
      </c>
      <c r="I131" s="31">
        <v>54</v>
      </c>
      <c r="J131" s="27"/>
      <c r="K131" s="27"/>
      <c r="L131" s="31">
        <f>SUM($G$131:$K$131)</f>
        <v>139</v>
      </c>
      <c r="M131" s="28">
        <f t="array" ref="M131">INDEX(М[Цена за ед., руб],MATCH(1,IF(($B131=М[Наим.])*($C131=М[Артикул, марка, произв.])*($D131=М[Хар-ка])*($O131=М[Прим.]),{1},($B131=М[Наим.])*($C131=М[Артикул, марка, произв.])*($D131=М[Хар-ка])*($O131=М[Прим.])),0))</f>
        <v>0</v>
      </c>
      <c r="N131" s="28">
        <f>ROUND($L$131*$M$131,2)</f>
        <v>0</v>
      </c>
      <c r="O131" s="25"/>
      <c r="P131" s="25">
        <f t="array" ref="P131">INDEX(М[Форма закупа],MATCH(1,IF(($B131=М[Наим.])*($C131=М[Артикул, марка, произв.])*($D131=М[Хар-ка])*($O131=М[Прим.]),{1},($B131=М[Наим.])*($C131=М[Артикул, марка, произв.])*($D131=М[Хар-ка])*($O131=М[Прим.])),0))</f>
        <v>0</v>
      </c>
    </row>
    <row r="132" spans="1:16" ht="35.1" customHeight="1" outlineLevel="4" x14ac:dyDescent="0.2">
      <c r="A132" s="104" t="s">
        <v>32</v>
      </c>
      <c r="B132" s="24" t="s">
        <v>156</v>
      </c>
      <c r="C132" s="25"/>
      <c r="D132" s="25" t="s">
        <v>162</v>
      </c>
      <c r="E132" s="26" t="s">
        <v>29</v>
      </c>
      <c r="F132" s="27"/>
      <c r="G132" s="31">
        <v>7</v>
      </c>
      <c r="H132" s="27"/>
      <c r="I132" s="27"/>
      <c r="J132" s="31">
        <v>9</v>
      </c>
      <c r="K132" s="27"/>
      <c r="L132" s="31">
        <f>SUM($G$132:$K$132)</f>
        <v>16</v>
      </c>
      <c r="M132" s="28">
        <f t="array" ref="M132">INDEX(М[Цена за ед., руб],MATCH(1,IF(($B132=М[Наим.])*($C132=М[Артикул, марка, произв.])*($D132=М[Хар-ка])*($O132=М[Прим.]),{1},($B132=М[Наим.])*($C132=М[Артикул, марка, произв.])*($D132=М[Хар-ка])*($O132=М[Прим.])),0))</f>
        <v>0</v>
      </c>
      <c r="N132" s="28">
        <f>ROUND($L$132*$M$132,2)</f>
        <v>0</v>
      </c>
      <c r="O132" s="25"/>
      <c r="P132" s="25">
        <f t="array" ref="P132">INDEX(М[Форма закупа],MATCH(1,IF(($B132=М[Наим.])*($C132=М[Артикул, марка, произв.])*($D132=М[Хар-ка])*($O132=М[Прим.]),{1},($B132=М[Наим.])*($C132=М[Артикул, марка, произв.])*($D132=М[Хар-ка])*($O132=М[Прим.])),0))</f>
        <v>0</v>
      </c>
    </row>
    <row r="133" spans="1:16" ht="35.1" customHeight="1" outlineLevel="4" x14ac:dyDescent="0.2">
      <c r="A133" s="104" t="s">
        <v>34</v>
      </c>
      <c r="B133" s="24" t="s">
        <v>156</v>
      </c>
      <c r="C133" s="25"/>
      <c r="D133" s="25" t="s">
        <v>157</v>
      </c>
      <c r="E133" s="26" t="s">
        <v>29</v>
      </c>
      <c r="F133" s="27"/>
      <c r="G133" s="30">
        <v>211.4</v>
      </c>
      <c r="H133" s="30">
        <v>755.2</v>
      </c>
      <c r="I133" s="30">
        <v>548.20000000000005</v>
      </c>
      <c r="J133" s="28">
        <v>1109.56</v>
      </c>
      <c r="K133" s="30">
        <v>814.3</v>
      </c>
      <c r="L133" s="28">
        <f>SUM($G$133:$K$133)</f>
        <v>3438.66</v>
      </c>
      <c r="M133" s="28">
        <f t="array" ref="M133">INDEX(М[Цена за ед., руб],MATCH(1,IF(($B133=М[Наим.])*($C133=М[Артикул, марка, произв.])*($D133=М[Хар-ка])*($O133=М[Прим.]),{1},($B133=М[Наим.])*($C133=М[Артикул, марка, произв.])*($D133=М[Хар-ка])*($O133=М[Прим.])),0))</f>
        <v>0</v>
      </c>
      <c r="N133" s="28">
        <f>ROUND($L$133*$M$133,2)</f>
        <v>0</v>
      </c>
      <c r="O133" s="25" t="s">
        <v>163</v>
      </c>
      <c r="P133" s="25">
        <f t="array" ref="P133">INDEX(М[Форма закупа],MATCH(1,IF(($B133=М[Наим.])*($C133=М[Артикул, марка, произв.])*($D133=М[Хар-ка])*($O133=М[Прим.]),{1},($B133=М[Наим.])*($C133=М[Артикул, марка, произв.])*($D133=М[Хар-ка])*($O133=М[Прим.])),0))</f>
        <v>0</v>
      </c>
    </row>
    <row r="134" spans="1:16" ht="35.1" customHeight="1" outlineLevel="4" x14ac:dyDescent="0.2">
      <c r="A134" s="104" t="s">
        <v>36</v>
      </c>
      <c r="B134" s="24" t="s">
        <v>156</v>
      </c>
      <c r="C134" s="25"/>
      <c r="D134" s="25" t="s">
        <v>164</v>
      </c>
      <c r="E134" s="26" t="s">
        <v>29</v>
      </c>
      <c r="F134" s="27"/>
      <c r="G134" s="27"/>
      <c r="H134" s="27"/>
      <c r="I134" s="27"/>
      <c r="J134" s="31">
        <v>54</v>
      </c>
      <c r="K134" s="27"/>
      <c r="L134" s="31">
        <f>SUM($G$134:$K$134)</f>
        <v>54</v>
      </c>
      <c r="M134" s="28">
        <f t="array" ref="M134">INDEX(М[Цена за ед., руб],MATCH(1,IF(($B134=М[Наим.])*($C134=М[Артикул, марка, произв.])*($D134=М[Хар-ка])*($O134=М[Прим.]),{1},($B134=М[Наим.])*($C134=М[Артикул, марка, произв.])*($D134=М[Хар-ка])*($O134=М[Прим.])),0))</f>
        <v>0</v>
      </c>
      <c r="N134" s="28">
        <f>ROUND($L$134*$M$134,2)</f>
        <v>0</v>
      </c>
      <c r="O134" s="25"/>
      <c r="P134" s="25">
        <f t="array" ref="P134">INDEX(М[Форма закупа],MATCH(1,IF(($B134=М[Наим.])*($C134=М[Артикул, марка, произв.])*($D134=М[Хар-ка])*($O134=М[Прим.]),{1},($B134=М[Наим.])*($C134=М[Артикул, марка, произв.])*($D134=М[Хар-ка])*($O134=М[Прим.])),0))</f>
        <v>0</v>
      </c>
    </row>
    <row r="135" spans="1:16" ht="35.1" customHeight="1" outlineLevel="4" x14ac:dyDescent="0.2">
      <c r="A135" s="104" t="s">
        <v>38</v>
      </c>
      <c r="B135" s="24" t="s">
        <v>156</v>
      </c>
      <c r="C135" s="25"/>
      <c r="D135" s="25" t="s">
        <v>165</v>
      </c>
      <c r="E135" s="26" t="s">
        <v>29</v>
      </c>
      <c r="F135" s="27"/>
      <c r="G135" s="27"/>
      <c r="H135" s="31">
        <v>11</v>
      </c>
      <c r="I135" s="31">
        <v>18</v>
      </c>
      <c r="J135" s="31">
        <v>49</v>
      </c>
      <c r="K135" s="31">
        <v>36</v>
      </c>
      <c r="L135" s="31">
        <f>SUM($G$135:$K$135)</f>
        <v>114</v>
      </c>
      <c r="M135" s="28">
        <f t="array" ref="M135">INDEX(М[Цена за ед., руб],MATCH(1,IF(($B135=М[Наим.])*($C135=М[Артикул, марка, произв.])*($D135=М[Хар-ка])*($O135=М[Прим.]),{1},($B135=М[Наим.])*($C135=М[Артикул, марка, произв.])*($D135=М[Хар-ка])*($O135=М[Прим.])),0))</f>
        <v>0</v>
      </c>
      <c r="N135" s="28">
        <f>ROUND($L$135*$M$135,2)</f>
        <v>0</v>
      </c>
      <c r="O135" s="25"/>
      <c r="P135" s="25">
        <f t="array" ref="P135">INDEX(М[Форма закупа],MATCH(1,IF(($B135=М[Наим.])*($C135=М[Артикул, марка, произв.])*($D135=М[Хар-ка])*($O135=М[Прим.]),{1},($B135=М[Наим.])*($C135=М[Артикул, марка, произв.])*($D135=М[Хар-ка])*($O135=М[Прим.])),0))</f>
        <v>0</v>
      </c>
    </row>
    <row r="136" spans="1:16" ht="47.1" customHeight="1" outlineLevel="4" x14ac:dyDescent="0.2">
      <c r="A136" s="104" t="s">
        <v>40</v>
      </c>
      <c r="B136" s="24" t="s">
        <v>156</v>
      </c>
      <c r="C136" s="25"/>
      <c r="D136" s="25" t="s">
        <v>166</v>
      </c>
      <c r="E136" s="26" t="s">
        <v>29</v>
      </c>
      <c r="F136" s="27"/>
      <c r="G136" s="31">
        <v>49</v>
      </c>
      <c r="H136" s="31">
        <v>77</v>
      </c>
      <c r="I136" s="31">
        <v>65</v>
      </c>
      <c r="J136" s="31">
        <v>42</v>
      </c>
      <c r="K136" s="31">
        <v>50</v>
      </c>
      <c r="L136" s="31">
        <f>SUM($G$136:$K$136)</f>
        <v>283</v>
      </c>
      <c r="M136" s="28">
        <f t="array" ref="M136">INDEX(М[Цена за ед., руб],MATCH(1,IF(($B136=М[Наим.])*($C136=М[Артикул, марка, произв.])*($D136=М[Хар-ка])*($O136=М[Прим.]),{1},($B136=М[Наим.])*($C136=М[Артикул, марка, произв.])*($D136=М[Хар-ка])*($O136=М[Прим.])),0))</f>
        <v>0</v>
      </c>
      <c r="N136" s="28">
        <f>ROUND($L$136*$M$136,2)</f>
        <v>0</v>
      </c>
      <c r="O136" s="25"/>
      <c r="P136" s="25">
        <f t="array" ref="P136">INDEX(М[Форма закупа],MATCH(1,IF(($B136=М[Наим.])*($C136=М[Артикул, марка, произв.])*($D136=М[Хар-ка])*($O136=М[Прим.]),{1},($B136=М[Наим.])*($C136=М[Артикул, марка, произв.])*($D136=М[Хар-ка])*($O136=М[Прим.])),0))</f>
        <v>0</v>
      </c>
    </row>
    <row r="137" spans="1:16" ht="47.1" customHeight="1" outlineLevel="4" x14ac:dyDescent="0.2">
      <c r="A137" s="104" t="s">
        <v>42</v>
      </c>
      <c r="B137" s="24" t="s">
        <v>156</v>
      </c>
      <c r="C137" s="25"/>
      <c r="D137" s="25" t="s">
        <v>167</v>
      </c>
      <c r="E137" s="26" t="s">
        <v>29</v>
      </c>
      <c r="F137" s="27"/>
      <c r="G137" s="27"/>
      <c r="H137" s="27"/>
      <c r="I137" s="27"/>
      <c r="J137" s="31">
        <v>65</v>
      </c>
      <c r="K137" s="31">
        <v>73</v>
      </c>
      <c r="L137" s="31">
        <f>SUM($G$137:$K$137)</f>
        <v>138</v>
      </c>
      <c r="M137" s="28">
        <f t="array" ref="M137">INDEX(М[Цена за ед., руб],MATCH(1,IF(($B137=М[Наим.])*($C137=М[Артикул, марка, произв.])*($D137=М[Хар-ка])*($O137=М[Прим.]),{1},($B137=М[Наим.])*($C137=М[Артикул, марка, произв.])*($D137=М[Хар-ка])*($O137=М[Прим.])),0))</f>
        <v>0</v>
      </c>
      <c r="N137" s="28">
        <f>ROUND($L$137*$M$137,2)</f>
        <v>0</v>
      </c>
      <c r="O137" s="25"/>
      <c r="P137" s="25">
        <f t="array" ref="P137">INDEX(М[Форма закупа],MATCH(1,IF(($B137=М[Наим.])*($C137=М[Артикул, марка, произв.])*($D137=М[Хар-ка])*($O137=М[Прим.]),{1},($B137=М[Наим.])*($C137=М[Артикул, марка, произв.])*($D137=М[Хар-ка])*($O137=М[Прим.])),0))</f>
        <v>0</v>
      </c>
    </row>
    <row r="138" spans="1:16" ht="11.1" customHeight="1" outlineLevel="4" x14ac:dyDescent="0.2">
      <c r="A138" s="20"/>
      <c r="B138" s="14" t="s">
        <v>22</v>
      </c>
      <c r="C138" s="21"/>
      <c r="D138" s="21"/>
      <c r="E138" s="21"/>
      <c r="F138" s="21"/>
      <c r="G138" s="21"/>
      <c r="H138" s="21"/>
      <c r="I138" s="21"/>
      <c r="J138" s="21"/>
      <c r="K138" s="21"/>
      <c r="L138" s="21"/>
      <c r="M138" s="61"/>
      <c r="N138" s="62">
        <f>SUM($N$139)</f>
        <v>0</v>
      </c>
      <c r="O138" s="18"/>
      <c r="P138" s="22"/>
    </row>
    <row r="139" spans="1:16" ht="11.1" customHeight="1" outlineLevel="4" x14ac:dyDescent="0.2">
      <c r="A139" s="23"/>
      <c r="B139" s="24" t="s">
        <v>168</v>
      </c>
      <c r="C139" s="25"/>
      <c r="D139" s="25"/>
      <c r="E139" s="26" t="s">
        <v>24</v>
      </c>
      <c r="F139" s="27"/>
      <c r="G139" s="27"/>
      <c r="H139" s="27"/>
      <c r="I139" s="31">
        <v>7</v>
      </c>
      <c r="J139" s="27"/>
      <c r="K139" s="27"/>
      <c r="L139" s="31">
        <f>SUM($G$139:$K$139)</f>
        <v>7</v>
      </c>
      <c r="M139" s="28">
        <f t="array" ref="M139">INDEX(Р[Цена за ед., руб],MATCH(1,IF(($B139=Р[Наименование])*($O139=Р[Примечание]),{1},($B139=Р[Наименование])*($O139=Р[Примечание])),0))</f>
        <v>0</v>
      </c>
      <c r="N139" s="28">
        <f>ROUND($L$139*$M$139,2)</f>
        <v>0</v>
      </c>
      <c r="O139" s="25"/>
      <c r="P139" s="25"/>
    </row>
    <row r="140" spans="1:16" ht="11.1" customHeight="1" outlineLevel="4" x14ac:dyDescent="0.2">
      <c r="A140" s="20"/>
      <c r="B140" s="14" t="s">
        <v>25</v>
      </c>
      <c r="C140" s="21"/>
      <c r="D140" s="21"/>
      <c r="E140" s="21"/>
      <c r="F140" s="21"/>
      <c r="G140" s="21"/>
      <c r="H140" s="21"/>
      <c r="I140" s="21"/>
      <c r="J140" s="21"/>
      <c r="K140" s="21"/>
      <c r="L140" s="21"/>
      <c r="M140" s="61"/>
      <c r="N140" s="62">
        <f>SUM($N$141)</f>
        <v>0</v>
      </c>
      <c r="O140" s="18"/>
      <c r="P140" s="22"/>
    </row>
    <row r="141" spans="1:16" ht="23.1" customHeight="1" outlineLevel="4" x14ac:dyDescent="0.2">
      <c r="A141" s="104" t="s">
        <v>26</v>
      </c>
      <c r="B141" s="24" t="s">
        <v>169</v>
      </c>
      <c r="C141" s="25"/>
      <c r="D141" s="25" t="s">
        <v>170</v>
      </c>
      <c r="E141" s="26" t="s">
        <v>29</v>
      </c>
      <c r="F141" s="27"/>
      <c r="G141" s="27"/>
      <c r="H141" s="27"/>
      <c r="I141" s="31">
        <v>7</v>
      </c>
      <c r="J141" s="27"/>
      <c r="K141" s="27"/>
      <c r="L141" s="31">
        <f>SUM($G$141:$K$141)</f>
        <v>7</v>
      </c>
      <c r="M141" s="28">
        <f t="array" ref="M141">INDEX(М[Цена за ед., руб],MATCH(1,IF(($B141=М[Наим.])*($C141=М[Артикул, марка, произв.])*($D141=М[Хар-ка])*($O141=М[Прим.]),{1},($B141=М[Наим.])*($C141=М[Артикул, марка, произв.])*($D141=М[Хар-ка])*($O141=М[Прим.])),0))</f>
        <v>0</v>
      </c>
      <c r="N141" s="28">
        <f>ROUND($L$141*$M$141,2)</f>
        <v>0</v>
      </c>
      <c r="O141" s="25"/>
      <c r="P141" s="25">
        <f t="array" ref="P141">INDEX(М[Форма закупа],MATCH(1,IF(($B141=М[Наим.])*($C141=М[Артикул, марка, произв.])*($D141=М[Хар-ка])*($O141=М[Прим.]),{1},($B141=М[Наим.])*($C141=М[Артикул, марка, произв.])*($D141=М[Хар-ка])*($O141=М[Прим.])),0))</f>
        <v>0</v>
      </c>
    </row>
    <row r="142" spans="1:16" ht="11.1" customHeight="1" outlineLevel="4" x14ac:dyDescent="0.2">
      <c r="A142" s="20"/>
      <c r="B142" s="14" t="s">
        <v>22</v>
      </c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M142" s="61"/>
      <c r="N142" s="62">
        <f>SUM($N$143)</f>
        <v>0</v>
      </c>
      <c r="O142" s="18"/>
      <c r="P142" s="22"/>
    </row>
    <row r="143" spans="1:16" ht="11.1" customHeight="1" outlineLevel="4" x14ac:dyDescent="0.2">
      <c r="A143" s="23"/>
      <c r="B143" s="24" t="s">
        <v>171</v>
      </c>
      <c r="C143" s="25"/>
      <c r="D143" s="25"/>
      <c r="E143" s="26" t="s">
        <v>24</v>
      </c>
      <c r="F143" s="27"/>
      <c r="G143" s="30">
        <v>107.5</v>
      </c>
      <c r="H143" s="31">
        <v>87</v>
      </c>
      <c r="I143" s="31">
        <v>62</v>
      </c>
      <c r="J143" s="30">
        <v>248.4</v>
      </c>
      <c r="K143" s="30">
        <v>136.80000000000001</v>
      </c>
      <c r="L143" s="30">
        <f>SUM($G$143:$K$143)</f>
        <v>641.70000000000005</v>
      </c>
      <c r="M143" s="28">
        <f t="array" ref="M143">INDEX(Р[Цена за ед., руб],MATCH(1,IF(($B143=Р[Наименование])*($O143=Р[Примечание]),{1},($B143=Р[Наименование])*($O143=Р[Примечание])),0))</f>
        <v>0</v>
      </c>
      <c r="N143" s="28">
        <f>ROUND($L$143*$M$143,2)</f>
        <v>0</v>
      </c>
      <c r="O143" s="25"/>
      <c r="P143" s="25"/>
    </row>
    <row r="144" spans="1:16" ht="11.1" customHeight="1" outlineLevel="4" x14ac:dyDescent="0.2">
      <c r="A144" s="20"/>
      <c r="B144" s="14" t="s">
        <v>25</v>
      </c>
      <c r="C144" s="21"/>
      <c r="D144" s="21"/>
      <c r="E144" s="21"/>
      <c r="F144" s="21"/>
      <c r="G144" s="21"/>
      <c r="H144" s="21"/>
      <c r="I144" s="21"/>
      <c r="J144" s="21"/>
      <c r="K144" s="21"/>
      <c r="L144" s="21"/>
      <c r="M144" s="61"/>
      <c r="N144" s="62">
        <f>SUM($N$145:$N$149)</f>
        <v>0</v>
      </c>
      <c r="O144" s="18"/>
      <c r="P144" s="22"/>
    </row>
    <row r="145" spans="1:16" ht="35.1" customHeight="1" outlineLevel="4" x14ac:dyDescent="0.2">
      <c r="A145" s="104" t="s">
        <v>26</v>
      </c>
      <c r="B145" s="24" t="s">
        <v>172</v>
      </c>
      <c r="C145" s="25"/>
      <c r="D145" s="25" t="s">
        <v>173</v>
      </c>
      <c r="E145" s="26" t="s">
        <v>29</v>
      </c>
      <c r="F145" s="27"/>
      <c r="G145" s="30">
        <v>107.5</v>
      </c>
      <c r="H145" s="27"/>
      <c r="I145" s="27"/>
      <c r="J145" s="31">
        <v>48</v>
      </c>
      <c r="K145" s="30">
        <v>136.80000000000001</v>
      </c>
      <c r="L145" s="30">
        <f>SUM($G$145:$K$145)</f>
        <v>292.3</v>
      </c>
      <c r="M145" s="28">
        <f t="array" ref="M145">INDEX(М[Цена за ед., руб],MATCH(1,IF(($B145=М[Наим.])*($C145=М[Артикул, марка, произв.])*($D145=М[Хар-ка])*($O145=М[Прим.]),{1},($B145=М[Наим.])*($C145=М[Артикул, марка, произв.])*($D145=М[Хар-ка])*($O145=М[Прим.])),0))</f>
        <v>0</v>
      </c>
      <c r="N145" s="28">
        <f>ROUND($L$145*$M$145,2)</f>
        <v>0</v>
      </c>
      <c r="O145" s="25"/>
      <c r="P145" s="25">
        <f t="array" ref="P145">INDEX(М[Форма закупа],MATCH(1,IF(($B145=М[Наим.])*($C145=М[Артикул, марка, произв.])*($D145=М[Хар-ка])*($O145=М[Прим.]),{1},($B145=М[Наим.])*($C145=М[Артикул, марка, произв.])*($D145=М[Хар-ка])*($O145=М[Прим.])),0))</f>
        <v>0</v>
      </c>
    </row>
    <row r="146" spans="1:16" ht="35.1" customHeight="1" outlineLevel="4" x14ac:dyDescent="0.2">
      <c r="A146" s="104" t="s">
        <v>30</v>
      </c>
      <c r="B146" s="24" t="s">
        <v>172</v>
      </c>
      <c r="C146" s="25"/>
      <c r="D146" s="25" t="s">
        <v>174</v>
      </c>
      <c r="E146" s="26" t="s">
        <v>29</v>
      </c>
      <c r="F146" s="27"/>
      <c r="G146" s="27"/>
      <c r="H146" s="31">
        <v>76</v>
      </c>
      <c r="I146" s="31">
        <v>26</v>
      </c>
      <c r="J146" s="27"/>
      <c r="K146" s="27"/>
      <c r="L146" s="31">
        <f>SUM($G$146:$K$146)</f>
        <v>102</v>
      </c>
      <c r="M146" s="28">
        <f t="array" ref="M146">INDEX(М[Цена за ед., руб],MATCH(1,IF(($B146=М[Наим.])*($C146=М[Артикул, марка, произв.])*($D146=М[Хар-ка])*($O146=М[Прим.]),{1},($B146=М[Наим.])*($C146=М[Артикул, марка, произв.])*($D146=М[Хар-ка])*($O146=М[Прим.])),0))</f>
        <v>0</v>
      </c>
      <c r="N146" s="28">
        <f>ROUND($L$146*$M$146,2)</f>
        <v>0</v>
      </c>
      <c r="O146" s="25"/>
      <c r="P146" s="25">
        <f t="array" ref="P146">INDEX(М[Форма закупа],MATCH(1,IF(($B146=М[Наим.])*($C146=М[Артикул, марка, произв.])*($D146=М[Хар-ка])*($O146=М[Прим.]),{1},($B146=М[Наим.])*($C146=М[Артикул, марка, произв.])*($D146=М[Хар-ка])*($O146=М[Прим.])),0))</f>
        <v>0</v>
      </c>
    </row>
    <row r="147" spans="1:16" ht="35.1" customHeight="1" outlineLevel="4" x14ac:dyDescent="0.2">
      <c r="A147" s="104" t="s">
        <v>32</v>
      </c>
      <c r="B147" s="24" t="s">
        <v>172</v>
      </c>
      <c r="C147" s="25"/>
      <c r="D147" s="25" t="s">
        <v>175</v>
      </c>
      <c r="E147" s="26" t="s">
        <v>29</v>
      </c>
      <c r="F147" s="27"/>
      <c r="G147" s="27"/>
      <c r="H147" s="31">
        <v>11</v>
      </c>
      <c r="I147" s="27"/>
      <c r="J147" s="30">
        <v>92.4</v>
      </c>
      <c r="K147" s="27"/>
      <c r="L147" s="30">
        <f>SUM($G$147:$K$147)</f>
        <v>103.4</v>
      </c>
      <c r="M147" s="28">
        <f t="array" ref="M147">INDEX(М[Цена за ед., руб],MATCH(1,IF(($B147=М[Наим.])*($C147=М[Артикул, марка, произв.])*($D147=М[Хар-ка])*($O147=М[Прим.]),{1},($B147=М[Наим.])*($C147=М[Артикул, марка, произв.])*($D147=М[Хар-ка])*($O147=М[Прим.])),0))</f>
        <v>0</v>
      </c>
      <c r="N147" s="28">
        <f>ROUND($L$147*$M$147,2)</f>
        <v>0</v>
      </c>
      <c r="O147" s="25"/>
      <c r="P147" s="25">
        <f t="array" ref="P147">INDEX(М[Форма закупа],MATCH(1,IF(($B147=М[Наим.])*($C147=М[Артикул, марка, произв.])*($D147=М[Хар-ка])*($O147=М[Прим.]),{1},($B147=М[Наим.])*($C147=М[Артикул, марка, произв.])*($D147=М[Хар-ка])*($O147=М[Прим.])),0))</f>
        <v>0</v>
      </c>
    </row>
    <row r="148" spans="1:16" ht="35.1" customHeight="1" outlineLevel="4" x14ac:dyDescent="0.2">
      <c r="A148" s="104" t="s">
        <v>34</v>
      </c>
      <c r="B148" s="24" t="s">
        <v>172</v>
      </c>
      <c r="C148" s="25"/>
      <c r="D148" s="25" t="s">
        <v>176</v>
      </c>
      <c r="E148" s="26" t="s">
        <v>29</v>
      </c>
      <c r="F148" s="27"/>
      <c r="G148" s="27"/>
      <c r="H148" s="27"/>
      <c r="I148" s="27"/>
      <c r="J148" s="31">
        <v>108</v>
      </c>
      <c r="K148" s="27"/>
      <c r="L148" s="31">
        <f>SUM($G$148:$K$148)</f>
        <v>108</v>
      </c>
      <c r="M148" s="28">
        <f t="array" ref="M148">INDEX(М[Цена за ед., руб],MATCH(1,IF(($B148=М[Наим.])*($C148=М[Артикул, марка, произв.])*($D148=М[Хар-ка])*($O148=М[Прим.]),{1},($B148=М[Наим.])*($C148=М[Артикул, марка, произв.])*($D148=М[Хар-ка])*($O148=М[Прим.])),0))</f>
        <v>0</v>
      </c>
      <c r="N148" s="28">
        <f>ROUND($L$148*$M$148,2)</f>
        <v>0</v>
      </c>
      <c r="O148" s="25"/>
      <c r="P148" s="25">
        <f t="array" ref="P148">INDEX(М[Форма закупа],MATCH(1,IF(($B148=М[Наим.])*($C148=М[Артикул, марка, произв.])*($D148=М[Хар-ка])*($O148=М[Прим.]),{1},($B148=М[Наим.])*($C148=М[Артикул, марка, произв.])*($D148=М[Хар-ка])*($O148=М[Прим.])),0))</f>
        <v>0</v>
      </c>
    </row>
    <row r="149" spans="1:16" ht="23.1" customHeight="1" outlineLevel="4" x14ac:dyDescent="0.2">
      <c r="A149" s="104" t="s">
        <v>36</v>
      </c>
      <c r="B149" s="24" t="s">
        <v>172</v>
      </c>
      <c r="C149" s="25"/>
      <c r="D149" s="25" t="s">
        <v>177</v>
      </c>
      <c r="E149" s="26" t="s">
        <v>29</v>
      </c>
      <c r="F149" s="27"/>
      <c r="G149" s="27"/>
      <c r="H149" s="27"/>
      <c r="I149" s="31">
        <v>36</v>
      </c>
      <c r="J149" s="27"/>
      <c r="K149" s="27"/>
      <c r="L149" s="31">
        <f>SUM($G$149:$K$149)</f>
        <v>36</v>
      </c>
      <c r="M149" s="28">
        <f t="array" ref="M149">INDEX(М[Цена за ед., руб],MATCH(1,IF(($B149=М[Наим.])*($C149=М[Артикул, марка, произв.])*($D149=М[Хар-ка])*($O149=М[Прим.]),{1},($B149=М[Наим.])*($C149=М[Артикул, марка, произв.])*($D149=М[Хар-ка])*($O149=М[Прим.])),0))</f>
        <v>0</v>
      </c>
      <c r="N149" s="28">
        <f>ROUND($L$149*$M$149,2)</f>
        <v>0</v>
      </c>
      <c r="O149" s="25"/>
      <c r="P149" s="25">
        <f t="array" ref="P149">INDEX(М[Форма закупа],MATCH(1,IF(($B149=М[Наим.])*($C149=М[Артикул, марка, произв.])*($D149=М[Хар-ка])*($O149=М[Прим.]),{1},($B149=М[Наим.])*($C149=М[Артикул, марка, произв.])*($D149=М[Хар-ка])*($O149=М[Прим.])),0))</f>
        <v>0</v>
      </c>
    </row>
    <row r="150" spans="1:16" ht="11.1" customHeight="1" outlineLevel="4" x14ac:dyDescent="0.2">
      <c r="A150" s="20"/>
      <c r="B150" s="14" t="s">
        <v>22</v>
      </c>
      <c r="C150" s="21"/>
      <c r="D150" s="21"/>
      <c r="E150" s="21"/>
      <c r="F150" s="21"/>
      <c r="G150" s="21"/>
      <c r="H150" s="21"/>
      <c r="I150" s="21"/>
      <c r="J150" s="21"/>
      <c r="K150" s="21"/>
      <c r="L150" s="21"/>
      <c r="M150" s="61"/>
      <c r="N150" s="62">
        <f>SUM($N$151)</f>
        <v>0</v>
      </c>
      <c r="O150" s="18"/>
      <c r="P150" s="22"/>
    </row>
    <row r="151" spans="1:16" ht="11.1" customHeight="1" outlineLevel="4" x14ac:dyDescent="0.2">
      <c r="A151" s="23"/>
      <c r="B151" s="24" t="s">
        <v>178</v>
      </c>
      <c r="C151" s="25"/>
      <c r="D151" s="25"/>
      <c r="E151" s="26" t="s">
        <v>24</v>
      </c>
      <c r="F151" s="27"/>
      <c r="G151" s="30">
        <v>224.2</v>
      </c>
      <c r="H151" s="31">
        <v>111</v>
      </c>
      <c r="I151" s="31">
        <v>107</v>
      </c>
      <c r="J151" s="31">
        <v>97</v>
      </c>
      <c r="K151" s="30">
        <v>394.8</v>
      </c>
      <c r="L151" s="31">
        <f>SUM($G$151:$K$151)</f>
        <v>934</v>
      </c>
      <c r="M151" s="28">
        <f t="array" ref="M151">INDEX(Р[Цена за ед., руб],MATCH(1,IF(($B151=Р[Наименование])*($O151=Р[Примечание]),{1},($B151=Р[Наименование])*($O151=Р[Примечание])),0))</f>
        <v>0</v>
      </c>
      <c r="N151" s="28">
        <f>ROUND($L$151*$M$151,2)</f>
        <v>0</v>
      </c>
      <c r="O151" s="25"/>
      <c r="P151" s="25"/>
    </row>
    <row r="152" spans="1:16" ht="11.1" customHeight="1" outlineLevel="4" x14ac:dyDescent="0.2">
      <c r="A152" s="20"/>
      <c r="B152" s="14" t="s">
        <v>25</v>
      </c>
      <c r="C152" s="21"/>
      <c r="D152" s="21"/>
      <c r="E152" s="21"/>
      <c r="F152" s="21"/>
      <c r="G152" s="21"/>
      <c r="H152" s="21"/>
      <c r="I152" s="21"/>
      <c r="J152" s="21"/>
      <c r="K152" s="21"/>
      <c r="L152" s="21"/>
      <c r="M152" s="61"/>
      <c r="N152" s="62">
        <f>SUM($N$153:$N$159)</f>
        <v>0</v>
      </c>
      <c r="O152" s="18"/>
      <c r="P152" s="22"/>
    </row>
    <row r="153" spans="1:16" ht="35.1" customHeight="1" outlineLevel="4" x14ac:dyDescent="0.2">
      <c r="A153" s="104" t="s">
        <v>26</v>
      </c>
      <c r="B153" s="24" t="s">
        <v>179</v>
      </c>
      <c r="C153" s="25"/>
      <c r="D153" s="25" t="s">
        <v>180</v>
      </c>
      <c r="E153" s="26" t="s">
        <v>29</v>
      </c>
      <c r="F153" s="27"/>
      <c r="G153" s="27"/>
      <c r="H153" s="27"/>
      <c r="I153" s="27"/>
      <c r="J153" s="31">
        <v>58</v>
      </c>
      <c r="K153" s="31">
        <v>28</v>
      </c>
      <c r="L153" s="31">
        <f>SUM($G$153:$K$153)</f>
        <v>86</v>
      </c>
      <c r="M153" s="28">
        <f t="array" ref="M153">INDEX(М[Цена за ед., руб],MATCH(1,IF(($B153=М[Наим.])*($C153=М[Артикул, марка, произв.])*($D153=М[Хар-ка])*($O153=М[Прим.]),{1},($B153=М[Наим.])*($C153=М[Артикул, марка, произв.])*($D153=М[Хар-ка])*($O153=М[Прим.])),0))</f>
        <v>0</v>
      </c>
      <c r="N153" s="28">
        <f>ROUND($L$153*$M$153,2)</f>
        <v>0</v>
      </c>
      <c r="O153" s="25"/>
      <c r="P153" s="25">
        <f t="array" ref="P153">INDEX(М[Форма закупа],MATCH(1,IF(($B153=М[Наим.])*($C153=М[Артикул, марка, произв.])*($D153=М[Хар-ка])*($O153=М[Прим.]),{1},($B153=М[Наим.])*($C153=М[Артикул, марка, произв.])*($D153=М[Хар-ка])*($O153=М[Прим.])),0))</f>
        <v>0</v>
      </c>
    </row>
    <row r="154" spans="1:16" ht="35.1" customHeight="1" outlineLevel="4" x14ac:dyDescent="0.2">
      <c r="A154" s="104" t="s">
        <v>30</v>
      </c>
      <c r="B154" s="24" t="s">
        <v>179</v>
      </c>
      <c r="C154" s="25"/>
      <c r="D154" s="25" t="s">
        <v>181</v>
      </c>
      <c r="E154" s="26" t="s">
        <v>29</v>
      </c>
      <c r="F154" s="27"/>
      <c r="G154" s="30">
        <v>224.2</v>
      </c>
      <c r="H154" s="31">
        <v>111</v>
      </c>
      <c r="I154" s="31">
        <v>57</v>
      </c>
      <c r="J154" s="31">
        <v>39</v>
      </c>
      <c r="K154" s="30">
        <v>366.8</v>
      </c>
      <c r="L154" s="31">
        <f>SUM($G$154:$K$154)</f>
        <v>798</v>
      </c>
      <c r="M154" s="28">
        <f t="array" ref="M154">INDEX(М[Цена за ед., руб],MATCH(1,IF(($B154=М[Наим.])*($C154=М[Артикул, марка, произв.])*($D154=М[Хар-ка])*($O154=М[Прим.]),{1},($B154=М[Наим.])*($C154=М[Артикул, марка, произв.])*($D154=М[Хар-ка])*($O154=М[Прим.])),0))</f>
        <v>0</v>
      </c>
      <c r="N154" s="28">
        <f>ROUND($L$154*$M$154,2)</f>
        <v>0</v>
      </c>
      <c r="O154" s="25"/>
      <c r="P154" s="25">
        <f t="array" ref="P154">INDEX(М[Форма закупа],MATCH(1,IF(($B154=М[Наим.])*($C154=М[Артикул, марка, произв.])*($D154=М[Хар-ка])*($O154=М[Прим.]),{1},($B154=М[Наим.])*($C154=М[Артикул, марка, произв.])*($D154=М[Хар-ка])*($O154=М[Прим.])),0))</f>
        <v>0</v>
      </c>
    </row>
    <row r="155" spans="1:16" ht="35.1" customHeight="1" outlineLevel="4" x14ac:dyDescent="0.2">
      <c r="A155" s="104" t="s">
        <v>32</v>
      </c>
      <c r="B155" s="24" t="s">
        <v>179</v>
      </c>
      <c r="C155" s="25"/>
      <c r="D155" s="25" t="s">
        <v>182</v>
      </c>
      <c r="E155" s="26" t="s">
        <v>29</v>
      </c>
      <c r="F155" s="27"/>
      <c r="G155" s="27"/>
      <c r="H155" s="27"/>
      <c r="I155" s="31">
        <v>13</v>
      </c>
      <c r="J155" s="27"/>
      <c r="K155" s="27"/>
      <c r="L155" s="31">
        <f>SUM($G$155:$K$155)</f>
        <v>13</v>
      </c>
      <c r="M155" s="28">
        <f t="array" ref="M155">INDEX(М[Цена за ед., руб],MATCH(1,IF(($B155=М[Наим.])*($C155=М[Артикул, марка, произв.])*($D155=М[Хар-ка])*($O155=М[Прим.]),{1},($B155=М[Наим.])*($C155=М[Артикул, марка, произв.])*($D155=М[Хар-ка])*($O155=М[Прим.])),0))</f>
        <v>0</v>
      </c>
      <c r="N155" s="28">
        <f>ROUND($L$155*$M$155,2)</f>
        <v>0</v>
      </c>
      <c r="O155" s="25"/>
      <c r="P155" s="25">
        <f t="array" ref="P155">INDEX(М[Форма закупа],MATCH(1,IF(($B155=М[Наим.])*($C155=М[Артикул, марка, произв.])*($D155=М[Хар-ка])*($O155=М[Прим.]),{1},($B155=М[Наим.])*($C155=М[Артикул, марка, произв.])*($D155=М[Хар-ка])*($O155=М[Прим.])),0))</f>
        <v>0</v>
      </c>
    </row>
    <row r="156" spans="1:16" ht="35.1" customHeight="1" outlineLevel="4" x14ac:dyDescent="0.2">
      <c r="A156" s="104" t="s">
        <v>34</v>
      </c>
      <c r="B156" s="24" t="s">
        <v>179</v>
      </c>
      <c r="C156" s="25"/>
      <c r="D156" s="25" t="s">
        <v>183</v>
      </c>
      <c r="E156" s="26" t="s">
        <v>29</v>
      </c>
      <c r="F156" s="27"/>
      <c r="G156" s="27"/>
      <c r="H156" s="27"/>
      <c r="I156" s="31">
        <v>15</v>
      </c>
      <c r="J156" s="27"/>
      <c r="K156" s="27"/>
      <c r="L156" s="31">
        <f>SUM($G$156:$K$156)</f>
        <v>15</v>
      </c>
      <c r="M156" s="28">
        <f t="array" ref="M156">INDEX(М[Цена за ед., руб],MATCH(1,IF(($B156=М[Наим.])*($C156=М[Артикул, марка, произв.])*($D156=М[Хар-ка])*($O156=М[Прим.]),{1},($B156=М[Наим.])*($C156=М[Артикул, марка, произв.])*($D156=М[Хар-ка])*($O156=М[Прим.])),0))</f>
        <v>0</v>
      </c>
      <c r="N156" s="28">
        <f>ROUND($L$156*$M$156,2)</f>
        <v>0</v>
      </c>
      <c r="O156" s="25"/>
      <c r="P156" s="25">
        <f t="array" ref="P156">INDEX(М[Форма закупа],MATCH(1,IF(($B156=М[Наим.])*($C156=М[Артикул, марка, произв.])*($D156=М[Хар-ка])*($O156=М[Прим.]),{1},($B156=М[Наим.])*($C156=М[Артикул, марка, произв.])*($D156=М[Хар-ка])*($O156=М[Прим.])),0))</f>
        <v>0</v>
      </c>
    </row>
    <row r="157" spans="1:16" ht="35.1" customHeight="1" outlineLevel="4" x14ac:dyDescent="0.2">
      <c r="A157" s="104" t="s">
        <v>36</v>
      </c>
      <c r="B157" s="24" t="s">
        <v>179</v>
      </c>
      <c r="C157" s="25"/>
      <c r="D157" s="25" t="s">
        <v>184</v>
      </c>
      <c r="E157" s="26" t="s">
        <v>29</v>
      </c>
      <c r="F157" s="27"/>
      <c r="G157" s="27"/>
      <c r="H157" s="27"/>
      <c r="I157" s="31">
        <v>13</v>
      </c>
      <c r="J157" s="27"/>
      <c r="K157" s="27"/>
      <c r="L157" s="31">
        <f>SUM($G$157:$K$157)</f>
        <v>13</v>
      </c>
      <c r="M157" s="28">
        <f t="array" ref="M157">INDEX(М[Цена за ед., руб],MATCH(1,IF(($B157=М[Наим.])*($C157=М[Артикул, марка, произв.])*($D157=М[Хар-ка])*($O157=М[Прим.]),{1},($B157=М[Наим.])*($C157=М[Артикул, марка, произв.])*($D157=М[Хар-ка])*($O157=М[Прим.])),0))</f>
        <v>0</v>
      </c>
      <c r="N157" s="28">
        <f>ROUND($L$157*$M$157,2)</f>
        <v>0</v>
      </c>
      <c r="O157" s="25"/>
      <c r="P157" s="25">
        <f t="array" ref="P157">INDEX(М[Форма закупа],MATCH(1,IF(($B157=М[Наим.])*($C157=М[Артикул, марка, произв.])*($D157=М[Хар-ка])*($O157=М[Прим.]),{1},($B157=М[Наим.])*($C157=М[Артикул, марка, произв.])*($D157=М[Хар-ка])*($O157=М[Прим.])),0))</f>
        <v>0</v>
      </c>
    </row>
    <row r="158" spans="1:16" ht="35.1" customHeight="1" outlineLevel="4" x14ac:dyDescent="0.2">
      <c r="A158" s="104" t="s">
        <v>38</v>
      </c>
      <c r="B158" s="24" t="s">
        <v>179</v>
      </c>
      <c r="C158" s="25"/>
      <c r="D158" s="25" t="s">
        <v>185</v>
      </c>
      <c r="E158" s="26" t="s">
        <v>29</v>
      </c>
      <c r="F158" s="27"/>
      <c r="G158" s="27"/>
      <c r="H158" s="27"/>
      <c r="I158" s="31">
        <v>5</v>
      </c>
      <c r="J158" s="27"/>
      <c r="K158" s="27"/>
      <c r="L158" s="31">
        <f>SUM($G$158:$K$158)</f>
        <v>5</v>
      </c>
      <c r="M158" s="28">
        <f t="array" ref="M158">INDEX(М[Цена за ед., руб],MATCH(1,IF(($B158=М[Наим.])*($C158=М[Артикул, марка, произв.])*($D158=М[Хар-ка])*($O158=М[Прим.]),{1},($B158=М[Наим.])*($C158=М[Артикул, марка, произв.])*($D158=М[Хар-ка])*($O158=М[Прим.])),0))</f>
        <v>0</v>
      </c>
      <c r="N158" s="28">
        <f>ROUND($L$158*$M$158,2)</f>
        <v>0</v>
      </c>
      <c r="O158" s="25"/>
      <c r="P158" s="25">
        <f t="array" ref="P158">INDEX(М[Форма закупа],MATCH(1,IF(($B158=М[Наим.])*($C158=М[Артикул, марка, произв.])*($D158=М[Хар-ка])*($O158=М[Прим.]),{1},($B158=М[Наим.])*($C158=М[Артикул, марка, произв.])*($D158=М[Хар-ка])*($O158=М[Прим.])),0))</f>
        <v>0</v>
      </c>
    </row>
    <row r="159" spans="1:16" ht="11.1" customHeight="1" outlineLevel="4" x14ac:dyDescent="0.2">
      <c r="A159" s="104" t="s">
        <v>40</v>
      </c>
      <c r="B159" s="24" t="s">
        <v>179</v>
      </c>
      <c r="C159" s="25"/>
      <c r="D159" s="25" t="s">
        <v>186</v>
      </c>
      <c r="E159" s="26" t="s">
        <v>29</v>
      </c>
      <c r="F159" s="27"/>
      <c r="G159" s="27"/>
      <c r="H159" s="27"/>
      <c r="I159" s="31">
        <v>4</v>
      </c>
      <c r="J159" s="27"/>
      <c r="K159" s="27"/>
      <c r="L159" s="31">
        <f>SUM($G$159:$K$159)</f>
        <v>4</v>
      </c>
      <c r="M159" s="28">
        <f t="array" ref="M159">INDEX(М[Цена за ед., руб],MATCH(1,IF(($B159=М[Наим.])*($C159=М[Артикул, марка, произв.])*($D159=М[Хар-ка])*($O159=М[Прим.]),{1},($B159=М[Наим.])*($C159=М[Артикул, марка, произв.])*($D159=М[Хар-ка])*($O159=М[Прим.])),0))</f>
        <v>0</v>
      </c>
      <c r="N159" s="28">
        <f>ROUND($L$159*$M$159,2)</f>
        <v>0</v>
      </c>
      <c r="O159" s="25"/>
      <c r="P159" s="25">
        <f t="array" ref="P159">INDEX(М[Форма закупа],MATCH(1,IF(($B159=М[Наим.])*($C159=М[Артикул, марка, произв.])*($D159=М[Хар-ка])*($O159=М[Прим.]),{1},($B159=М[Наим.])*($C159=М[Артикул, марка, произв.])*($D159=М[Хар-ка])*($O159=М[Прим.])),0))</f>
        <v>0</v>
      </c>
    </row>
    <row r="160" spans="1:16" ht="11.25" outlineLevel="3" x14ac:dyDescent="0.2">
      <c r="A160" s="13" t="s">
        <v>262</v>
      </c>
      <c r="B160" s="14" t="s">
        <v>263</v>
      </c>
      <c r="C160" s="15"/>
      <c r="D160" s="15"/>
      <c r="E160" s="16"/>
      <c r="F160" s="17"/>
      <c r="G160" s="18"/>
      <c r="H160" s="18"/>
      <c r="I160" s="18"/>
      <c r="J160" s="18"/>
      <c r="K160" s="18"/>
      <c r="L160" s="18"/>
      <c r="M160" s="60"/>
      <c r="N160" s="60">
        <f>N161+N163</f>
        <v>0</v>
      </c>
      <c r="O160" s="19"/>
      <c r="P160" s="19"/>
    </row>
    <row r="161" spans="1:16" ht="11.1" customHeight="1" outlineLevel="4" x14ac:dyDescent="0.2">
      <c r="A161" s="20"/>
      <c r="B161" s="14" t="s">
        <v>22</v>
      </c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61"/>
      <c r="N161" s="62">
        <f>SUM($N$162)</f>
        <v>0</v>
      </c>
      <c r="O161" s="18"/>
      <c r="P161" s="22"/>
    </row>
    <row r="162" spans="1:16" ht="11.25" outlineLevel="4" x14ac:dyDescent="0.2">
      <c r="A162" s="23"/>
      <c r="B162" s="68" t="s">
        <v>153</v>
      </c>
      <c r="C162" s="25"/>
      <c r="D162" s="25"/>
      <c r="E162" s="26" t="s">
        <v>154</v>
      </c>
      <c r="F162" s="27"/>
      <c r="G162" s="31">
        <v>1</v>
      </c>
      <c r="H162" s="31">
        <v>1</v>
      </c>
      <c r="I162" s="31">
        <v>1</v>
      </c>
      <c r="J162" s="31">
        <v>1</v>
      </c>
      <c r="K162" s="31">
        <v>1</v>
      </c>
      <c r="L162" s="31">
        <f>SUM($G$162:$K$162)</f>
        <v>5</v>
      </c>
      <c r="M162" s="28">
        <f t="array" ref="M162">INDEX(Р[Цена за ед., руб],MATCH(1,IF(($B162=Р[Наименование])*($O162=Р[Примечание]),{1},($B162=Р[Наименование])*($O162=Р[Примечание])),0))</f>
        <v>0</v>
      </c>
      <c r="N162" s="28">
        <f>ROUND($L$162*$M$162,2)</f>
        <v>0</v>
      </c>
      <c r="O162" s="25"/>
      <c r="P162" s="25"/>
    </row>
    <row r="163" spans="1:16" ht="11.1" customHeight="1" outlineLevel="4" x14ac:dyDescent="0.2">
      <c r="A163" s="20"/>
      <c r="B163" s="14" t="s">
        <v>25</v>
      </c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61"/>
      <c r="N163" s="62">
        <f>SUM($N$164:$N$168)</f>
        <v>0</v>
      </c>
      <c r="O163" s="18"/>
      <c r="P163" s="22"/>
    </row>
    <row r="164" spans="1:16" ht="47.1" customHeight="1" outlineLevel="4" x14ac:dyDescent="0.2">
      <c r="A164" s="23" t="s">
        <v>26</v>
      </c>
      <c r="B164" s="24" t="s">
        <v>144</v>
      </c>
      <c r="C164" s="25"/>
      <c r="D164" s="25" t="s">
        <v>155</v>
      </c>
      <c r="E164" s="26" t="s">
        <v>86</v>
      </c>
      <c r="F164" s="27"/>
      <c r="G164" s="31">
        <v>2</v>
      </c>
      <c r="H164" s="31">
        <v>2</v>
      </c>
      <c r="I164" s="31">
        <v>2</v>
      </c>
      <c r="J164" s="31">
        <v>2</v>
      </c>
      <c r="K164" s="31">
        <v>2</v>
      </c>
      <c r="L164" s="31">
        <f>SUM($G$164:$K$164)</f>
        <v>10</v>
      </c>
      <c r="M164" s="28">
        <f t="array" ref="M164">INDEX(М[Цена за ед., руб],MATCH(1,IF(($B164=М[Наим.])*($C164=М[Артикул, марка, произв.])*($D164=М[Хар-ка])*($O164=М[Прим.]),{1},($B164=М[Наим.])*($C164=М[Артикул, марка, произв.])*($D164=М[Хар-ка])*($O164=М[Прим.])),0))</f>
        <v>0</v>
      </c>
      <c r="N164" s="28">
        <f>ROUND($L$164*$M$164,2)</f>
        <v>0</v>
      </c>
      <c r="O164" s="25"/>
      <c r="P164" s="25">
        <f t="array" ref="P164">INDEX(М[Форма закупа],MATCH(1,IF(($B164=М[Наим.])*($C164=М[Артикул, марка, произв.])*($D164=М[Хар-ка])*($O164=М[Прим.]),{1},($B164=М[Наим.])*($C164=М[Артикул, марка, произв.])*($D164=М[Хар-ка])*($O164=М[Прим.])),0))</f>
        <v>0</v>
      </c>
    </row>
    <row r="165" spans="1:16" ht="35.1" customHeight="1" outlineLevel="4" x14ac:dyDescent="0.2">
      <c r="A165" s="104" t="s">
        <v>30</v>
      </c>
      <c r="B165" s="24" t="s">
        <v>156</v>
      </c>
      <c r="C165" s="25"/>
      <c r="D165" s="25" t="s">
        <v>157</v>
      </c>
      <c r="E165" s="26" t="s">
        <v>29</v>
      </c>
      <c r="F165" s="27"/>
      <c r="G165" s="31">
        <v>12</v>
      </c>
      <c r="H165" s="31">
        <v>12</v>
      </c>
      <c r="I165" s="31">
        <v>12</v>
      </c>
      <c r="J165" s="31">
        <v>12</v>
      </c>
      <c r="K165" s="31">
        <v>12</v>
      </c>
      <c r="L165" s="31">
        <f>SUM($G$165:$K$165)</f>
        <v>60</v>
      </c>
      <c r="M165" s="28">
        <f t="array" ref="M165">INDEX(М[Цена за ед., руб],MATCH(1,IF(($B165=М[Наим.])*($C165=М[Артикул, марка, произв.])*($D165=М[Хар-ка])*($O165=М[Прим.]),{1},($B165=М[Наим.])*($C165=М[Артикул, марка, произв.])*($D165=М[Хар-ка])*($O165=М[Прим.])),0))</f>
        <v>0</v>
      </c>
      <c r="N165" s="28">
        <f>ROUND($L$165*$M$165,2)</f>
        <v>0</v>
      </c>
      <c r="O165" s="25"/>
      <c r="P165" s="25">
        <f t="array" ref="P165">INDEX(М[Форма закупа],MATCH(1,IF(($B165=М[Наим.])*($C165=М[Артикул, марка, произв.])*($D165=М[Хар-ка])*($O165=М[Прим.]),{1},($B165=М[Наим.])*($C165=М[Артикул, марка, произв.])*($D165=М[Хар-ка])*($O165=М[Прим.])),0))</f>
        <v>0</v>
      </c>
    </row>
    <row r="166" spans="1:16" ht="35.1" customHeight="1" outlineLevel="4" x14ac:dyDescent="0.2">
      <c r="A166" s="23" t="s">
        <v>32</v>
      </c>
      <c r="B166" s="24" t="s">
        <v>114</v>
      </c>
      <c r="C166" s="25"/>
      <c r="D166" s="25" t="s">
        <v>117</v>
      </c>
      <c r="E166" s="26" t="s">
        <v>86</v>
      </c>
      <c r="F166" s="27"/>
      <c r="G166" s="31">
        <v>2</v>
      </c>
      <c r="H166" s="31">
        <v>2</v>
      </c>
      <c r="I166" s="31">
        <v>2</v>
      </c>
      <c r="J166" s="31">
        <v>2</v>
      </c>
      <c r="K166" s="31">
        <v>2</v>
      </c>
      <c r="L166" s="31">
        <f>SUM($G$166:$K$166)</f>
        <v>10</v>
      </c>
      <c r="M166" s="28">
        <f t="array" ref="M166">INDEX(М[Цена за ед., руб],MATCH(1,IF(($B166=М[Наим.])*($C166=М[Артикул, марка, произв.])*($D166=М[Хар-ка])*($O166=М[Прим.]),{1},($B166=М[Наим.])*($C166=М[Артикул, марка, произв.])*($D166=М[Хар-ка])*($O166=М[Прим.])),0))</f>
        <v>0</v>
      </c>
      <c r="N166" s="28">
        <f>ROUND($L$166*$M$166,2)</f>
        <v>0</v>
      </c>
      <c r="O166" s="25"/>
      <c r="P166" s="25">
        <f t="array" ref="P166">INDEX(М[Форма закупа],MATCH(1,IF(($B166=М[Наим.])*($C166=М[Артикул, марка, произв.])*($D166=М[Хар-ка])*($O166=М[Прим.]),{1},($B166=М[Наим.])*($C166=М[Артикул, марка, произв.])*($D166=М[Хар-ка])*($O166=М[Прим.])),0))</f>
        <v>0</v>
      </c>
    </row>
    <row r="167" spans="1:16" ht="23.1" customHeight="1" outlineLevel="4" x14ac:dyDescent="0.2">
      <c r="A167" s="23" t="s">
        <v>34</v>
      </c>
      <c r="B167" s="24" t="s">
        <v>150</v>
      </c>
      <c r="C167" s="25"/>
      <c r="D167" s="25" t="s">
        <v>152</v>
      </c>
      <c r="E167" s="26" t="s">
        <v>86</v>
      </c>
      <c r="F167" s="27"/>
      <c r="G167" s="31">
        <v>2</v>
      </c>
      <c r="H167" s="31">
        <v>2</v>
      </c>
      <c r="I167" s="31">
        <v>2</v>
      </c>
      <c r="J167" s="31">
        <v>2</v>
      </c>
      <c r="K167" s="31">
        <v>2</v>
      </c>
      <c r="L167" s="31">
        <f>SUM($G$167:$K$167)</f>
        <v>10</v>
      </c>
      <c r="M167" s="28">
        <f t="array" ref="M167">INDEX(М[Цена за ед., руб],MATCH(1,IF(($B167=М[Наим.])*($C167=М[Артикул, марка, произв.])*($D167=М[Хар-ка])*($O167=М[Прим.]),{1},($B167=М[Наим.])*($C167=М[Артикул, марка, произв.])*($D167=М[Хар-ка])*($O167=М[Прим.])),0))</f>
        <v>0</v>
      </c>
      <c r="N167" s="28">
        <f>ROUND($L$167*$M$167,2)</f>
        <v>0</v>
      </c>
      <c r="O167" s="25"/>
      <c r="P167" s="25">
        <f t="array" ref="P167">INDEX(М[Форма закупа],MATCH(1,IF(($B167=М[Наим.])*($C167=М[Артикул, марка, произв.])*($D167=М[Хар-ка])*($O167=М[Прим.]),{1},($B167=М[Наим.])*($C167=М[Артикул, марка, произв.])*($D167=М[Хар-ка])*($O167=М[Прим.])),0))</f>
        <v>0</v>
      </c>
    </row>
    <row r="168" spans="1:16" ht="23.1" customHeight="1" outlineLevel="4" x14ac:dyDescent="0.2">
      <c r="A168" s="23" t="s">
        <v>36</v>
      </c>
      <c r="B168" s="24" t="s">
        <v>158</v>
      </c>
      <c r="C168" s="25"/>
      <c r="D168" s="25" t="s">
        <v>152</v>
      </c>
      <c r="E168" s="26" t="s">
        <v>86</v>
      </c>
      <c r="F168" s="27"/>
      <c r="G168" s="31">
        <v>2</v>
      </c>
      <c r="H168" s="31">
        <v>2</v>
      </c>
      <c r="I168" s="31">
        <v>2</v>
      </c>
      <c r="J168" s="31">
        <v>2</v>
      </c>
      <c r="K168" s="31">
        <v>2</v>
      </c>
      <c r="L168" s="31">
        <f>SUM($G$168:$K$168)</f>
        <v>10</v>
      </c>
      <c r="M168" s="28">
        <f t="array" ref="M168">INDEX(М[Цена за ед., руб],MATCH(1,IF(($B168=М[Наим.])*($C168=М[Артикул, марка, произв.])*($D168=М[Хар-ка])*($O168=М[Прим.]),{1},($B168=М[Наим.])*($C168=М[Артикул, марка, произв.])*($D168=М[Хар-ка])*($O168=М[Прим.])),0))</f>
        <v>0</v>
      </c>
      <c r="N168" s="28">
        <f>ROUND($L$168*$M$168,2)</f>
        <v>0</v>
      </c>
      <c r="O168" s="25"/>
      <c r="P168" s="25">
        <f t="array" ref="P168">INDEX(М[Форма закупа],MATCH(1,IF(($B168=М[Наим.])*($C168=М[Артикул, марка, произв.])*($D168=М[Хар-ка])*($O168=М[Прим.]),{1},($B168=М[Наим.])*($C168=М[Артикул, марка, произв.])*($D168=М[Хар-ка])*($O168=М[Прим.])),0))</f>
        <v>0</v>
      </c>
    </row>
    <row r="169" spans="1:16" ht="35.1" customHeight="1" outlineLevel="2" x14ac:dyDescent="0.2">
      <c r="A169" s="13" t="s">
        <v>194</v>
      </c>
      <c r="B169" s="14" t="s">
        <v>195</v>
      </c>
      <c r="C169" s="15"/>
      <c r="D169" s="15"/>
      <c r="E169" s="16"/>
      <c r="F169" s="17"/>
      <c r="G169" s="18"/>
      <c r="H169" s="18"/>
      <c r="I169" s="18"/>
      <c r="J169" s="18"/>
      <c r="K169" s="18"/>
      <c r="L169" s="18"/>
      <c r="M169" s="60"/>
      <c r="N169" s="60">
        <f>SUM($N$170)</f>
        <v>0</v>
      </c>
      <c r="O169" s="19"/>
      <c r="P169" s="19"/>
    </row>
    <row r="170" spans="1:16" ht="22.5" outlineLevel="3" x14ac:dyDescent="0.2">
      <c r="A170" s="13" t="s">
        <v>196</v>
      </c>
      <c r="B170" s="14" t="s">
        <v>197</v>
      </c>
      <c r="C170" s="15"/>
      <c r="D170" s="15"/>
      <c r="E170" s="16"/>
      <c r="F170" s="17"/>
      <c r="G170" s="18"/>
      <c r="H170" s="18"/>
      <c r="I170" s="18"/>
      <c r="J170" s="18"/>
      <c r="K170" s="18"/>
      <c r="L170" s="18"/>
      <c r="M170" s="60"/>
      <c r="N170" s="60">
        <f>SUM($N$234,$N$232,$N$225,$N$223,$N$219,$N$217,$N$215,$N$206,$N$204,$N$200,$N$198,$N$194,$N$192,$N$187,$N$185,$N$181,$N$179,$N$177,$N$175,$N$173,$N$171)</f>
        <v>0</v>
      </c>
      <c r="O170" s="19"/>
      <c r="P170" s="19"/>
    </row>
    <row r="171" spans="1:16" ht="11.1" customHeight="1" outlineLevel="4" x14ac:dyDescent="0.2">
      <c r="A171" s="20"/>
      <c r="B171" s="14" t="s">
        <v>22</v>
      </c>
      <c r="C171" s="21"/>
      <c r="D171" s="21"/>
      <c r="E171" s="21"/>
      <c r="F171" s="21"/>
      <c r="G171" s="21"/>
      <c r="H171" s="21"/>
      <c r="I171" s="21"/>
      <c r="J171" s="21"/>
      <c r="K171" s="21"/>
      <c r="L171" s="21"/>
      <c r="M171" s="61"/>
      <c r="N171" s="62">
        <f>SUM($N$172)</f>
        <v>0</v>
      </c>
      <c r="O171" s="18"/>
      <c r="P171" s="22"/>
    </row>
    <row r="172" spans="1:16" ht="11.1" customHeight="1" outlineLevel="4" x14ac:dyDescent="0.2">
      <c r="A172" s="23"/>
      <c r="B172" s="24" t="s">
        <v>198</v>
      </c>
      <c r="C172" s="25"/>
      <c r="D172" s="25"/>
      <c r="E172" s="26" t="s">
        <v>86</v>
      </c>
      <c r="F172" s="27"/>
      <c r="G172" s="31">
        <v>20</v>
      </c>
      <c r="H172" s="31">
        <v>160</v>
      </c>
      <c r="I172" s="31">
        <v>64</v>
      </c>
      <c r="J172" s="31">
        <v>184</v>
      </c>
      <c r="K172" s="31">
        <v>156</v>
      </c>
      <c r="L172" s="31">
        <f>SUM($G$172:$K$172)</f>
        <v>584</v>
      </c>
      <c r="M172" s="28">
        <f t="array" ref="M172">INDEX(Р[Цена за ед., руб],MATCH(1,IF(($B172=Р[Наименование])*($O172=Р[Примечание]),{1},($B172=Р[Наименование])*($O172=Р[Примечание])),0))</f>
        <v>0</v>
      </c>
      <c r="N172" s="28">
        <f>ROUND($L$172*$M$172,2)</f>
        <v>0</v>
      </c>
      <c r="O172" s="25"/>
      <c r="P172" s="25"/>
    </row>
    <row r="173" spans="1:16" ht="11.1" customHeight="1" outlineLevel="4" x14ac:dyDescent="0.2">
      <c r="A173" s="20"/>
      <c r="B173" s="14" t="s">
        <v>22</v>
      </c>
      <c r="C173" s="21"/>
      <c r="D173" s="21"/>
      <c r="E173" s="21"/>
      <c r="F173" s="21"/>
      <c r="G173" s="21"/>
      <c r="H173" s="21"/>
      <c r="I173" s="21"/>
      <c r="J173" s="21"/>
      <c r="K173" s="21"/>
      <c r="L173" s="21"/>
      <c r="M173" s="61"/>
      <c r="N173" s="62">
        <f>SUM($N$174)</f>
        <v>0</v>
      </c>
      <c r="O173" s="18"/>
      <c r="P173" s="22"/>
    </row>
    <row r="174" spans="1:16" ht="11.1" customHeight="1" outlineLevel="4" x14ac:dyDescent="0.2">
      <c r="A174" s="23"/>
      <c r="B174" s="24" t="s">
        <v>199</v>
      </c>
      <c r="C174" s="25"/>
      <c r="D174" s="25"/>
      <c r="E174" s="26" t="s">
        <v>86</v>
      </c>
      <c r="F174" s="27"/>
      <c r="G174" s="31">
        <v>18</v>
      </c>
      <c r="H174" s="31">
        <v>94</v>
      </c>
      <c r="I174" s="31">
        <v>40</v>
      </c>
      <c r="J174" s="31">
        <v>120</v>
      </c>
      <c r="K174" s="31">
        <v>88</v>
      </c>
      <c r="L174" s="31">
        <f>SUM($G$174:$K$174)</f>
        <v>360</v>
      </c>
      <c r="M174" s="28">
        <f t="array" ref="M174">INDEX(Р[Цена за ед., руб],MATCH(1,IF(($B174=Р[Наименование])*($O174=Р[Примечание]),{1},($B174=Р[Наименование])*($O174=Р[Примечание])),0))</f>
        <v>0</v>
      </c>
      <c r="N174" s="28">
        <f>ROUND($L$174*$M$174,2)</f>
        <v>0</v>
      </c>
      <c r="O174" s="25"/>
      <c r="P174" s="25"/>
    </row>
    <row r="175" spans="1:16" ht="11.1" customHeight="1" outlineLevel="4" x14ac:dyDescent="0.2">
      <c r="A175" s="20"/>
      <c r="B175" s="14" t="s">
        <v>22</v>
      </c>
      <c r="C175" s="21"/>
      <c r="D175" s="21"/>
      <c r="E175" s="21"/>
      <c r="F175" s="21"/>
      <c r="G175" s="21"/>
      <c r="H175" s="21"/>
      <c r="I175" s="21"/>
      <c r="J175" s="21"/>
      <c r="K175" s="21"/>
      <c r="L175" s="21"/>
      <c r="M175" s="61"/>
      <c r="N175" s="62">
        <f>SUM($N$176)</f>
        <v>0</v>
      </c>
      <c r="O175" s="18"/>
      <c r="P175" s="22"/>
    </row>
    <row r="176" spans="1:16" ht="23.1" customHeight="1" outlineLevel="4" x14ac:dyDescent="0.2">
      <c r="A176" s="23"/>
      <c r="B176" s="24" t="s">
        <v>85</v>
      </c>
      <c r="C176" s="25"/>
      <c r="D176" s="25"/>
      <c r="E176" s="26" t="s">
        <v>86</v>
      </c>
      <c r="F176" s="27"/>
      <c r="G176" s="31">
        <v>2</v>
      </c>
      <c r="H176" s="31">
        <v>8</v>
      </c>
      <c r="I176" s="31">
        <v>4</v>
      </c>
      <c r="J176" s="31">
        <v>8</v>
      </c>
      <c r="K176" s="31">
        <v>8</v>
      </c>
      <c r="L176" s="31">
        <f>SUM($G$176:$K$176)</f>
        <v>30</v>
      </c>
      <c r="M176" s="28">
        <f t="array" ref="M176">INDEX(Р[Цена за ед., руб],MATCH(1,IF(($B176=Р[Наименование])*($O176=Р[Примечание]),{1},($B176=Р[Наименование])*($O176=Р[Примечание])),0))</f>
        <v>0</v>
      </c>
      <c r="N176" s="28">
        <f>ROUND($L$176*$M$176,2)</f>
        <v>0</v>
      </c>
      <c r="O176" s="25"/>
      <c r="P176" s="25"/>
    </row>
    <row r="177" spans="1:16" ht="11.1" customHeight="1" outlineLevel="4" x14ac:dyDescent="0.2">
      <c r="A177" s="20"/>
      <c r="B177" s="14" t="s">
        <v>25</v>
      </c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61"/>
      <c r="N177" s="62">
        <f>SUM($N$178)</f>
        <v>0</v>
      </c>
      <c r="O177" s="18"/>
      <c r="P177" s="22"/>
    </row>
    <row r="178" spans="1:16" ht="23.1" customHeight="1" outlineLevel="4" x14ac:dyDescent="0.2">
      <c r="A178" s="23" t="s">
        <v>26</v>
      </c>
      <c r="B178" s="24" t="s">
        <v>87</v>
      </c>
      <c r="C178" s="25"/>
      <c r="D178" s="25" t="s">
        <v>88</v>
      </c>
      <c r="E178" s="26" t="s">
        <v>86</v>
      </c>
      <c r="F178" s="27"/>
      <c r="G178" s="31">
        <v>2</v>
      </c>
      <c r="H178" s="31">
        <v>8</v>
      </c>
      <c r="I178" s="31">
        <v>4</v>
      </c>
      <c r="J178" s="31">
        <v>8</v>
      </c>
      <c r="K178" s="31">
        <v>8</v>
      </c>
      <c r="L178" s="31">
        <f>SUM($G$178:$K$178)</f>
        <v>30</v>
      </c>
      <c r="M178" s="28">
        <f t="array" ref="M178">INDEX(М[Цена за ед., руб],MATCH(1,IF(($B178=М[Наим.])*($C178=М[Артикул, марка, произв.])*($D178=М[Хар-ка])*($O178=М[Прим.]),{1},($B178=М[Наим.])*($C178=М[Артикул, марка, произв.])*($D178=М[Хар-ка])*($O178=М[Прим.])),0))</f>
        <v>0</v>
      </c>
      <c r="N178" s="28">
        <f>ROUND($L$178*$M$178,2)</f>
        <v>0</v>
      </c>
      <c r="O178" s="25"/>
      <c r="P178" s="25">
        <f t="array" ref="P178">INDEX(М[Форма закупа],MATCH(1,IF(($B178=М[Наим.])*($C178=М[Артикул, марка, произв.])*($D178=М[Хар-ка])*($O178=М[Прим.]),{1},($B178=М[Наим.])*($C178=М[Артикул, марка, произв.])*($D178=М[Хар-ка])*($O178=М[Прим.])),0))</f>
        <v>0</v>
      </c>
    </row>
    <row r="179" spans="1:16" ht="11.1" customHeight="1" outlineLevel="4" x14ac:dyDescent="0.2">
      <c r="A179" s="20"/>
      <c r="B179" s="14" t="s">
        <v>22</v>
      </c>
      <c r="C179" s="21"/>
      <c r="D179" s="21"/>
      <c r="E179" s="21"/>
      <c r="F179" s="21"/>
      <c r="G179" s="21"/>
      <c r="H179" s="21"/>
      <c r="I179" s="21"/>
      <c r="J179" s="21"/>
      <c r="K179" s="21"/>
      <c r="L179" s="21"/>
      <c r="M179" s="61"/>
      <c r="N179" s="62">
        <f>SUM($N$180)</f>
        <v>0</v>
      </c>
      <c r="O179" s="18"/>
      <c r="P179" s="22"/>
    </row>
    <row r="180" spans="1:16" ht="11.1" customHeight="1" outlineLevel="4" x14ac:dyDescent="0.2">
      <c r="A180" s="23"/>
      <c r="B180" s="24" t="s">
        <v>200</v>
      </c>
      <c r="C180" s="25"/>
      <c r="D180" s="25"/>
      <c r="E180" s="26" t="s">
        <v>86</v>
      </c>
      <c r="F180" s="27"/>
      <c r="G180" s="27"/>
      <c r="H180" s="31">
        <v>4</v>
      </c>
      <c r="I180" s="27"/>
      <c r="J180" s="31">
        <v>6</v>
      </c>
      <c r="K180" s="31">
        <v>4</v>
      </c>
      <c r="L180" s="31">
        <f>SUM($G$180:$K$180)</f>
        <v>14</v>
      </c>
      <c r="M180" s="28">
        <f t="array" ref="M180">INDEX(Р[Цена за ед., руб],MATCH(1,IF(($B180=Р[Наименование])*($O180=Р[Примечание]),{1},($B180=Р[Наименование])*($O180=Р[Примечание])),0))</f>
        <v>0</v>
      </c>
      <c r="N180" s="28">
        <f>ROUND($L$180*$M$180,2)</f>
        <v>0</v>
      </c>
      <c r="O180" s="25"/>
      <c r="P180" s="25"/>
    </row>
    <row r="181" spans="1:16" ht="11.1" customHeight="1" outlineLevel="4" x14ac:dyDescent="0.2">
      <c r="A181" s="20"/>
      <c r="B181" s="14" t="s">
        <v>25</v>
      </c>
      <c r="C181" s="21"/>
      <c r="D181" s="21"/>
      <c r="E181" s="21"/>
      <c r="F181" s="21"/>
      <c r="G181" s="21"/>
      <c r="H181" s="21"/>
      <c r="I181" s="21"/>
      <c r="J181" s="21"/>
      <c r="K181" s="21"/>
      <c r="L181" s="21"/>
      <c r="M181" s="61"/>
      <c r="N181" s="62">
        <f>SUM($N$182:$N$184)</f>
        <v>0</v>
      </c>
      <c r="O181" s="18"/>
      <c r="P181" s="22"/>
    </row>
    <row r="182" spans="1:16" ht="35.1" customHeight="1" outlineLevel="4" x14ac:dyDescent="0.2">
      <c r="A182" s="23" t="s">
        <v>26</v>
      </c>
      <c r="B182" s="24" t="s">
        <v>201</v>
      </c>
      <c r="C182" s="25"/>
      <c r="D182" s="25" t="s">
        <v>202</v>
      </c>
      <c r="E182" s="26" t="s">
        <v>86</v>
      </c>
      <c r="F182" s="27"/>
      <c r="G182" s="27"/>
      <c r="H182" s="31">
        <v>2</v>
      </c>
      <c r="I182" s="27"/>
      <c r="J182" s="27"/>
      <c r="K182" s="27"/>
      <c r="L182" s="31">
        <f>SUM($G$182:$K$182)</f>
        <v>2</v>
      </c>
      <c r="M182" s="28">
        <f t="array" ref="M182">INDEX(М[Цена за ед., руб],MATCH(1,IF(($B182=М[Наим.])*($C182=М[Артикул, марка, произв.])*($D182=М[Хар-ка])*($O182=М[Прим.]),{1},($B182=М[Наим.])*($C182=М[Артикул, марка, произв.])*($D182=М[Хар-ка])*($O182=М[Прим.])),0))</f>
        <v>0</v>
      </c>
      <c r="N182" s="28">
        <f>ROUND($L$182*$M$182,2)</f>
        <v>0</v>
      </c>
      <c r="O182" s="25" t="s">
        <v>203</v>
      </c>
      <c r="P182" s="25">
        <f t="array" ref="P182">INDEX(М[Форма закупа],MATCH(1,IF(($B182=М[Наим.])*($C182=М[Артикул, марка, произв.])*($D182=М[Хар-ка])*($O182=М[Прим.]),{1},($B182=М[Наим.])*($C182=М[Артикул, марка, произв.])*($D182=М[Хар-ка])*($O182=М[Прим.])),0))</f>
        <v>0</v>
      </c>
    </row>
    <row r="183" spans="1:16" ht="35.1" customHeight="1" outlineLevel="4" x14ac:dyDescent="0.2">
      <c r="A183" s="23" t="s">
        <v>30</v>
      </c>
      <c r="B183" s="24" t="s">
        <v>201</v>
      </c>
      <c r="C183" s="25"/>
      <c r="D183" s="25" t="s">
        <v>204</v>
      </c>
      <c r="E183" s="26" t="s">
        <v>86</v>
      </c>
      <c r="F183" s="27"/>
      <c r="G183" s="27"/>
      <c r="H183" s="31">
        <v>2</v>
      </c>
      <c r="I183" s="27"/>
      <c r="J183" s="31">
        <v>3</v>
      </c>
      <c r="K183" s="31">
        <v>2</v>
      </c>
      <c r="L183" s="31">
        <f>SUM($G$183:$K$183)</f>
        <v>7</v>
      </c>
      <c r="M183" s="28">
        <f t="array" ref="M183">INDEX(М[Цена за ед., руб],MATCH(1,IF(($B183=М[Наим.])*($C183=М[Артикул, марка, произв.])*($D183=М[Хар-ка])*($O183=М[Прим.]),{1},($B183=М[Наим.])*($C183=М[Артикул, марка, произв.])*($D183=М[Хар-ка])*($O183=М[Прим.])),0))</f>
        <v>0</v>
      </c>
      <c r="N183" s="28">
        <f>ROUND($L$183*$M$183,2)</f>
        <v>0</v>
      </c>
      <c r="O183" s="25" t="s">
        <v>203</v>
      </c>
      <c r="P183" s="25">
        <f t="array" ref="P183">INDEX(М[Форма закупа],MATCH(1,IF(($B183=М[Наим.])*($C183=М[Артикул, марка, произв.])*($D183=М[Хар-ка])*($O183=М[Прим.]),{1},($B183=М[Наим.])*($C183=М[Артикул, марка, произв.])*($D183=М[Хар-ка])*($O183=М[Прим.])),0))</f>
        <v>0</v>
      </c>
    </row>
    <row r="184" spans="1:16" ht="35.1" customHeight="1" outlineLevel="4" x14ac:dyDescent="0.2">
      <c r="A184" s="23" t="s">
        <v>32</v>
      </c>
      <c r="B184" s="24" t="s">
        <v>201</v>
      </c>
      <c r="C184" s="25"/>
      <c r="D184" s="25" t="s">
        <v>205</v>
      </c>
      <c r="E184" s="26" t="s">
        <v>86</v>
      </c>
      <c r="F184" s="27"/>
      <c r="G184" s="27"/>
      <c r="H184" s="27"/>
      <c r="I184" s="27"/>
      <c r="J184" s="31">
        <v>3</v>
      </c>
      <c r="K184" s="31">
        <v>2</v>
      </c>
      <c r="L184" s="31">
        <f>SUM($G$184:$K$184)</f>
        <v>5</v>
      </c>
      <c r="M184" s="28">
        <f t="array" ref="M184">INDEX(М[Цена за ед., руб],MATCH(1,IF(($B184=М[Наим.])*($C184=М[Артикул, марка, произв.])*($D184=М[Хар-ка])*($O184=М[Прим.]),{1},($B184=М[Наим.])*($C184=М[Артикул, марка, произв.])*($D184=М[Хар-ка])*($O184=М[Прим.])),0))</f>
        <v>0</v>
      </c>
      <c r="N184" s="28">
        <f>ROUND($L$184*$M$184,2)</f>
        <v>0</v>
      </c>
      <c r="O184" s="25" t="s">
        <v>203</v>
      </c>
      <c r="P184" s="25">
        <f t="array" ref="P184">INDEX(М[Форма закупа],MATCH(1,IF(($B184=М[Наим.])*($C184=М[Артикул, марка, произв.])*($D184=М[Хар-ка])*($O184=М[Прим.]),{1},($B184=М[Наим.])*($C184=М[Артикул, марка, произв.])*($D184=М[Хар-ка])*($O184=М[Прим.])),0))</f>
        <v>0</v>
      </c>
    </row>
    <row r="185" spans="1:16" ht="11.1" customHeight="1" outlineLevel="4" x14ac:dyDescent="0.2">
      <c r="A185" s="20"/>
      <c r="B185" s="14" t="s">
        <v>22</v>
      </c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61"/>
      <c r="N185" s="62">
        <f>SUM($N$186)</f>
        <v>0</v>
      </c>
      <c r="O185" s="18"/>
      <c r="P185" s="22"/>
    </row>
    <row r="186" spans="1:16" ht="23.1" customHeight="1" outlineLevel="4" x14ac:dyDescent="0.2">
      <c r="A186" s="23"/>
      <c r="B186" s="24" t="s">
        <v>116</v>
      </c>
      <c r="C186" s="25"/>
      <c r="D186" s="25"/>
      <c r="E186" s="26" t="s">
        <v>86</v>
      </c>
      <c r="F186" s="27"/>
      <c r="G186" s="31">
        <v>2</v>
      </c>
      <c r="H186" s="31">
        <v>8</v>
      </c>
      <c r="I186" s="31">
        <v>4</v>
      </c>
      <c r="J186" s="31">
        <v>8</v>
      </c>
      <c r="K186" s="31">
        <v>8</v>
      </c>
      <c r="L186" s="31">
        <f>SUM($G$186:$K$186)</f>
        <v>30</v>
      </c>
      <c r="M186" s="28">
        <f t="array" ref="M186">INDEX(Р[Цена за ед., руб],MATCH(1,IF(($B186=Р[Наименование])*($O186=Р[Примечание]),{1},($B186=Р[Наименование])*($O186=Р[Примечание])),0))</f>
        <v>0</v>
      </c>
      <c r="N186" s="28">
        <f>ROUND($L$186*$M$186,2)</f>
        <v>0</v>
      </c>
      <c r="O186" s="25"/>
      <c r="P186" s="25"/>
    </row>
    <row r="187" spans="1:16" ht="11.1" customHeight="1" outlineLevel="4" x14ac:dyDescent="0.2">
      <c r="A187" s="20"/>
      <c r="B187" s="14" t="s">
        <v>25</v>
      </c>
      <c r="C187" s="21"/>
      <c r="D187" s="21"/>
      <c r="E187" s="21"/>
      <c r="F187" s="21"/>
      <c r="G187" s="21"/>
      <c r="H187" s="21"/>
      <c r="I187" s="21"/>
      <c r="J187" s="21"/>
      <c r="K187" s="21"/>
      <c r="L187" s="21"/>
      <c r="M187" s="61"/>
      <c r="N187" s="62">
        <f>SUM($N$188:$N$191)</f>
        <v>0</v>
      </c>
      <c r="O187" s="18"/>
      <c r="P187" s="22"/>
    </row>
    <row r="188" spans="1:16" ht="35.1" customHeight="1" outlineLevel="4" x14ac:dyDescent="0.2">
      <c r="A188" s="23" t="s">
        <v>26</v>
      </c>
      <c r="B188" s="24" t="s">
        <v>114</v>
      </c>
      <c r="C188" s="25"/>
      <c r="D188" s="25" t="s">
        <v>118</v>
      </c>
      <c r="E188" s="26" t="s">
        <v>86</v>
      </c>
      <c r="F188" s="27"/>
      <c r="G188" s="31">
        <v>1</v>
      </c>
      <c r="H188" s="27"/>
      <c r="I188" s="27"/>
      <c r="J188" s="27"/>
      <c r="K188" s="27"/>
      <c r="L188" s="31">
        <f>SUM($G$188:$K$188)</f>
        <v>1</v>
      </c>
      <c r="M188" s="28">
        <f t="array" ref="M188">INDEX(М[Цена за ед., руб],MATCH(1,IF(($B188=М[Наим.])*($C188=М[Артикул, марка, произв.])*($D188=М[Хар-ка])*($O188=М[Прим.]),{1},($B188=М[Наим.])*($C188=М[Артикул, марка, произв.])*($D188=М[Хар-ка])*($O188=М[Прим.])),0))</f>
        <v>0</v>
      </c>
      <c r="N188" s="28">
        <f>ROUND($L$188*$M$188,2)</f>
        <v>0</v>
      </c>
      <c r="O188" s="25"/>
      <c r="P188" s="25">
        <f t="array" ref="P188">INDEX(М[Форма закупа],MATCH(1,IF(($B188=М[Наим.])*($C188=М[Артикул, марка, произв.])*($D188=М[Хар-ка])*($O188=М[Прим.]),{1},($B188=М[Наим.])*($C188=М[Артикул, марка, произв.])*($D188=М[Хар-ка])*($O188=М[Прим.])),0))</f>
        <v>0</v>
      </c>
    </row>
    <row r="189" spans="1:16" ht="35.1" customHeight="1" outlineLevel="4" x14ac:dyDescent="0.2">
      <c r="A189" s="23" t="s">
        <v>30</v>
      </c>
      <c r="B189" s="24" t="s">
        <v>114</v>
      </c>
      <c r="C189" s="25"/>
      <c r="D189" s="25" t="s">
        <v>119</v>
      </c>
      <c r="E189" s="26" t="s">
        <v>86</v>
      </c>
      <c r="F189" s="27"/>
      <c r="G189" s="27"/>
      <c r="H189" s="31">
        <v>2</v>
      </c>
      <c r="I189" s="27"/>
      <c r="J189" s="31">
        <v>2</v>
      </c>
      <c r="K189" s="31">
        <v>2</v>
      </c>
      <c r="L189" s="31">
        <f>SUM($G$189:$K$189)</f>
        <v>6</v>
      </c>
      <c r="M189" s="28">
        <f t="array" ref="M189">INDEX(М[Цена за ед., руб],MATCH(1,IF(($B189=М[Наим.])*($C189=М[Артикул, марка, произв.])*($D189=М[Хар-ка])*($O189=М[Прим.]),{1},($B189=М[Наим.])*($C189=М[Артикул, марка, произв.])*($D189=М[Хар-ка])*($O189=М[Прим.])),0))</f>
        <v>0</v>
      </c>
      <c r="N189" s="28">
        <f>ROUND($L$189*$M$189,2)</f>
        <v>0</v>
      </c>
      <c r="O189" s="25"/>
      <c r="P189" s="25">
        <f t="array" ref="P189">INDEX(М[Форма закупа],MATCH(1,IF(($B189=М[Наим.])*($C189=М[Артикул, марка, произв.])*($D189=М[Хар-ка])*($O189=М[Прим.]),{1},($B189=М[Наим.])*($C189=М[Артикул, марка, произв.])*($D189=М[Хар-ка])*($O189=М[Прим.])),0))</f>
        <v>0</v>
      </c>
    </row>
    <row r="190" spans="1:16" ht="35.1" customHeight="1" outlineLevel="4" x14ac:dyDescent="0.2">
      <c r="A190" s="23" t="s">
        <v>32</v>
      </c>
      <c r="B190" s="24" t="s">
        <v>114</v>
      </c>
      <c r="C190" s="25"/>
      <c r="D190" s="25" t="s">
        <v>120</v>
      </c>
      <c r="E190" s="26" t="s">
        <v>86</v>
      </c>
      <c r="F190" s="27"/>
      <c r="G190" s="27"/>
      <c r="H190" s="31">
        <v>2</v>
      </c>
      <c r="I190" s="31">
        <v>2</v>
      </c>
      <c r="J190" s="31">
        <v>2</v>
      </c>
      <c r="K190" s="31">
        <v>2</v>
      </c>
      <c r="L190" s="31">
        <f>SUM($G$190:$K$190)</f>
        <v>8</v>
      </c>
      <c r="M190" s="28">
        <f t="array" ref="M190">INDEX(М[Цена за ед., руб],MATCH(1,IF(($B190=М[Наим.])*($C190=М[Артикул, марка, произв.])*($D190=М[Хар-ка])*($O190=М[Прим.]),{1},($B190=М[Наим.])*($C190=М[Артикул, марка, произв.])*($D190=М[Хар-ка])*($O190=М[Прим.])),0))</f>
        <v>0</v>
      </c>
      <c r="N190" s="28">
        <f>ROUND($L$190*$M$190,2)</f>
        <v>0</v>
      </c>
      <c r="O190" s="25"/>
      <c r="P190" s="25">
        <f t="array" ref="P190">INDEX(М[Форма закупа],MATCH(1,IF(($B190=М[Наим.])*($C190=М[Артикул, марка, произв.])*($D190=М[Хар-ка])*($O190=М[Прим.]),{1},($B190=М[Наим.])*($C190=М[Артикул, марка, произв.])*($D190=М[Хар-ка])*($O190=М[Прим.])),0))</f>
        <v>0</v>
      </c>
    </row>
    <row r="191" spans="1:16" ht="23.1" customHeight="1" outlineLevel="4" x14ac:dyDescent="0.2">
      <c r="A191" s="23" t="s">
        <v>34</v>
      </c>
      <c r="B191" s="24" t="s">
        <v>114</v>
      </c>
      <c r="C191" s="25"/>
      <c r="D191" s="25" t="s">
        <v>121</v>
      </c>
      <c r="E191" s="26" t="s">
        <v>86</v>
      </c>
      <c r="F191" s="27"/>
      <c r="G191" s="31">
        <v>1</v>
      </c>
      <c r="H191" s="31">
        <v>4</v>
      </c>
      <c r="I191" s="31">
        <v>2</v>
      </c>
      <c r="J191" s="31">
        <v>4</v>
      </c>
      <c r="K191" s="31">
        <v>4</v>
      </c>
      <c r="L191" s="31">
        <f>SUM($G$191:$K$191)</f>
        <v>15</v>
      </c>
      <c r="M191" s="28">
        <f t="array" ref="M191">INDEX(М[Цена за ед., руб],MATCH(1,IF(($B191=М[Наим.])*($C191=М[Артикул, марка, произв.])*($D191=М[Хар-ка])*($O191=М[Прим.]),{1},($B191=М[Наим.])*($C191=М[Артикул, марка, произв.])*($D191=М[Хар-ка])*($O191=М[Прим.])),0))</f>
        <v>0</v>
      </c>
      <c r="N191" s="28">
        <f>ROUND($L$191*$M$191,2)</f>
        <v>0</v>
      </c>
      <c r="O191" s="25"/>
      <c r="P191" s="25">
        <f t="array" ref="P191">INDEX(М[Форма закупа],MATCH(1,IF(($B191=М[Наим.])*($C191=М[Артикул, марка, произв.])*($D191=М[Хар-ка])*($O191=М[Прим.]),{1},($B191=М[Наим.])*($C191=М[Артикул, марка, произв.])*($D191=М[Хар-ка])*($O191=М[Прим.])),0))</f>
        <v>0</v>
      </c>
    </row>
    <row r="192" spans="1:16" ht="11.1" customHeight="1" outlineLevel="4" x14ac:dyDescent="0.2">
      <c r="A192" s="20"/>
      <c r="B192" s="14" t="s">
        <v>22</v>
      </c>
      <c r="C192" s="21"/>
      <c r="D192" s="21"/>
      <c r="E192" s="21"/>
      <c r="F192" s="21"/>
      <c r="G192" s="21"/>
      <c r="H192" s="21"/>
      <c r="I192" s="21"/>
      <c r="J192" s="21"/>
      <c r="K192" s="21"/>
      <c r="L192" s="21"/>
      <c r="M192" s="61"/>
      <c r="N192" s="62">
        <f>SUM($N$193)</f>
        <v>0</v>
      </c>
      <c r="O192" s="18"/>
      <c r="P192" s="22"/>
    </row>
    <row r="193" spans="1:16" ht="11.1" customHeight="1" outlineLevel="4" x14ac:dyDescent="0.2">
      <c r="A193" s="23"/>
      <c r="B193" s="24" t="s">
        <v>206</v>
      </c>
      <c r="C193" s="25"/>
      <c r="D193" s="25"/>
      <c r="E193" s="26" t="s">
        <v>86</v>
      </c>
      <c r="F193" s="27"/>
      <c r="G193" s="27"/>
      <c r="H193" s="31">
        <v>7</v>
      </c>
      <c r="I193" s="27"/>
      <c r="J193" s="31">
        <v>9</v>
      </c>
      <c r="K193" s="31">
        <v>7</v>
      </c>
      <c r="L193" s="31">
        <f>SUM($G$193:$K$193)</f>
        <v>23</v>
      </c>
      <c r="M193" s="28">
        <f t="array" ref="M193">INDEX(Р[Цена за ед., руб],MATCH(1,IF(($B193=Р[Наименование])*($O193=Р[Примечание]),{1},($B193=Р[Наименование])*($O193=Р[Примечание])),0))</f>
        <v>0</v>
      </c>
      <c r="N193" s="28">
        <f>ROUND($L$193*$M$193,2)</f>
        <v>0</v>
      </c>
      <c r="O193" s="25"/>
      <c r="P193" s="25"/>
    </row>
    <row r="194" spans="1:16" ht="11.1" customHeight="1" outlineLevel="4" x14ac:dyDescent="0.2">
      <c r="A194" s="20"/>
      <c r="B194" s="14" t="s">
        <v>25</v>
      </c>
      <c r="C194" s="21"/>
      <c r="D194" s="21"/>
      <c r="E194" s="21"/>
      <c r="F194" s="21"/>
      <c r="G194" s="21"/>
      <c r="H194" s="21"/>
      <c r="I194" s="21"/>
      <c r="J194" s="21"/>
      <c r="K194" s="21"/>
      <c r="L194" s="21"/>
      <c r="M194" s="61"/>
      <c r="N194" s="62">
        <f>SUM($N$195:$N$197)</f>
        <v>0</v>
      </c>
      <c r="O194" s="18"/>
      <c r="P194" s="22"/>
    </row>
    <row r="195" spans="1:16" ht="47.1" customHeight="1" outlineLevel="4" x14ac:dyDescent="0.2">
      <c r="A195" s="23" t="s">
        <v>26</v>
      </c>
      <c r="B195" s="24" t="s">
        <v>207</v>
      </c>
      <c r="C195" s="25"/>
      <c r="D195" s="25" t="s">
        <v>208</v>
      </c>
      <c r="E195" s="26" t="s">
        <v>86</v>
      </c>
      <c r="F195" s="27"/>
      <c r="G195" s="27"/>
      <c r="H195" s="31">
        <v>3</v>
      </c>
      <c r="I195" s="27"/>
      <c r="J195" s="27"/>
      <c r="K195" s="27"/>
      <c r="L195" s="31">
        <f>SUM($G$195:$K$195)</f>
        <v>3</v>
      </c>
      <c r="M195" s="28">
        <f t="array" ref="M195">INDEX(М[Цена за ед., руб],MATCH(1,IF(($B195=М[Наим.])*($C195=М[Артикул, марка, произв.])*($D195=М[Хар-ка])*($O195=М[Прим.]),{1},($B195=М[Наим.])*($C195=М[Артикул, марка, произв.])*($D195=М[Хар-ка])*($O195=М[Прим.])),0))</f>
        <v>0</v>
      </c>
      <c r="N195" s="28">
        <f>ROUND($L$195*$M$195,2)</f>
        <v>0</v>
      </c>
      <c r="O195" s="25" t="s">
        <v>203</v>
      </c>
      <c r="P195" s="25">
        <f t="array" ref="P195">INDEX(М[Форма закупа],MATCH(1,IF(($B195=М[Наим.])*($C195=М[Артикул, марка, произв.])*($D195=М[Хар-ка])*($O195=М[Прим.]),{1},($B195=М[Наим.])*($C195=М[Артикул, марка, произв.])*($D195=М[Хар-ка])*($O195=М[Прим.])),0))</f>
        <v>0</v>
      </c>
    </row>
    <row r="196" spans="1:16" ht="47.1" customHeight="1" outlineLevel="4" x14ac:dyDescent="0.2">
      <c r="A196" s="23" t="s">
        <v>30</v>
      </c>
      <c r="B196" s="24" t="s">
        <v>207</v>
      </c>
      <c r="C196" s="25"/>
      <c r="D196" s="25" t="s">
        <v>209</v>
      </c>
      <c r="E196" s="26" t="s">
        <v>86</v>
      </c>
      <c r="F196" s="27"/>
      <c r="G196" s="27"/>
      <c r="H196" s="31">
        <v>4</v>
      </c>
      <c r="I196" s="27"/>
      <c r="J196" s="31">
        <v>4</v>
      </c>
      <c r="K196" s="31">
        <v>3</v>
      </c>
      <c r="L196" s="31">
        <f>SUM($G$196:$K$196)</f>
        <v>11</v>
      </c>
      <c r="M196" s="28">
        <f t="array" ref="M196">INDEX(М[Цена за ед., руб],MATCH(1,IF(($B196=М[Наим.])*($C196=М[Артикул, марка, произв.])*($D196=М[Хар-ка])*($O196=М[Прим.]),{1},($B196=М[Наим.])*($C196=М[Артикул, марка, произв.])*($D196=М[Хар-ка])*($O196=М[Прим.])),0))</f>
        <v>0</v>
      </c>
      <c r="N196" s="28">
        <f>ROUND($L$196*$M$196,2)</f>
        <v>0</v>
      </c>
      <c r="O196" s="25" t="s">
        <v>203</v>
      </c>
      <c r="P196" s="25">
        <f t="array" ref="P196">INDEX(М[Форма закупа],MATCH(1,IF(($B196=М[Наим.])*($C196=М[Артикул, марка, произв.])*($D196=М[Хар-ка])*($O196=М[Прим.]),{1},($B196=М[Наим.])*($C196=М[Артикул, марка, произв.])*($D196=М[Хар-ка])*($O196=М[Прим.])),0))</f>
        <v>0</v>
      </c>
    </row>
    <row r="197" spans="1:16" ht="47.1" customHeight="1" outlineLevel="4" x14ac:dyDescent="0.2">
      <c r="A197" s="23" t="s">
        <v>32</v>
      </c>
      <c r="B197" s="24" t="s">
        <v>207</v>
      </c>
      <c r="C197" s="25"/>
      <c r="D197" s="25" t="s">
        <v>210</v>
      </c>
      <c r="E197" s="26" t="s">
        <v>86</v>
      </c>
      <c r="F197" s="27"/>
      <c r="G197" s="27"/>
      <c r="H197" s="27"/>
      <c r="I197" s="27"/>
      <c r="J197" s="31">
        <v>5</v>
      </c>
      <c r="K197" s="31">
        <v>4</v>
      </c>
      <c r="L197" s="31">
        <f>SUM($G$197:$K$197)</f>
        <v>9</v>
      </c>
      <c r="M197" s="28">
        <f t="array" ref="M197">INDEX(М[Цена за ед., руб],MATCH(1,IF(($B197=М[Наим.])*($C197=М[Артикул, марка, произв.])*($D197=М[Хар-ка])*($O197=М[Прим.]),{1},($B197=М[Наим.])*($C197=М[Артикул, марка, произв.])*($D197=М[Хар-ка])*($O197=М[Прим.])),0))</f>
        <v>0</v>
      </c>
      <c r="N197" s="28">
        <f>ROUND($L$197*$M$197,2)</f>
        <v>0</v>
      </c>
      <c r="O197" s="25" t="s">
        <v>203</v>
      </c>
      <c r="P197" s="25">
        <f t="array" ref="P197">INDEX(М[Форма закупа],MATCH(1,IF(($B197=М[Наим.])*($C197=М[Артикул, марка, произв.])*($D197=М[Хар-ка])*($O197=М[Прим.]),{1},($B197=М[Наим.])*($C197=М[Артикул, марка, произв.])*($D197=М[Хар-ка])*($O197=М[Прим.])),0))</f>
        <v>0</v>
      </c>
    </row>
    <row r="198" spans="1:16" ht="11.1" customHeight="1" outlineLevel="4" x14ac:dyDescent="0.2">
      <c r="A198" s="20"/>
      <c r="B198" s="14" t="s">
        <v>22</v>
      </c>
      <c r="C198" s="21"/>
      <c r="D198" s="21"/>
      <c r="E198" s="21"/>
      <c r="F198" s="21"/>
      <c r="G198" s="21"/>
      <c r="H198" s="21"/>
      <c r="I198" s="21"/>
      <c r="J198" s="21"/>
      <c r="K198" s="21"/>
      <c r="L198" s="21"/>
      <c r="M198" s="61"/>
      <c r="N198" s="62">
        <f>SUM($N$199)</f>
        <v>0</v>
      </c>
      <c r="O198" s="18"/>
      <c r="P198" s="22"/>
    </row>
    <row r="199" spans="1:16" ht="11.1" customHeight="1" outlineLevel="4" x14ac:dyDescent="0.2">
      <c r="A199" s="23"/>
      <c r="B199" s="24" t="s">
        <v>143</v>
      </c>
      <c r="C199" s="25"/>
      <c r="D199" s="25"/>
      <c r="E199" s="26" t="s">
        <v>86</v>
      </c>
      <c r="F199" s="27"/>
      <c r="G199" s="31">
        <v>110</v>
      </c>
      <c r="H199" s="31">
        <v>474</v>
      </c>
      <c r="I199" s="31">
        <v>312</v>
      </c>
      <c r="J199" s="31">
        <v>696</v>
      </c>
      <c r="K199" s="31">
        <v>494</v>
      </c>
      <c r="L199" s="32">
        <f>SUM($G$199:$K$199)</f>
        <v>2086</v>
      </c>
      <c r="M199" s="28">
        <f t="array" ref="M199">INDEX(Р[Цена за ед., руб],MATCH(1,IF(($B199=Р[Наименование])*($O199=Р[Примечание]),{1},($B199=Р[Наименование])*($O199=Р[Примечание])),0))</f>
        <v>0</v>
      </c>
      <c r="N199" s="28">
        <f>ROUND($L$199*$M$199,2)</f>
        <v>0</v>
      </c>
      <c r="O199" s="25"/>
      <c r="P199" s="25"/>
    </row>
    <row r="200" spans="1:16" ht="11.1" customHeight="1" outlineLevel="4" x14ac:dyDescent="0.2">
      <c r="A200" s="20"/>
      <c r="B200" s="14" t="s">
        <v>25</v>
      </c>
      <c r="C200" s="21"/>
      <c r="D200" s="21"/>
      <c r="E200" s="21"/>
      <c r="F200" s="21"/>
      <c r="G200" s="21"/>
      <c r="H200" s="21"/>
      <c r="I200" s="21"/>
      <c r="J200" s="21"/>
      <c r="K200" s="21"/>
      <c r="L200" s="21"/>
      <c r="M200" s="61"/>
      <c r="N200" s="62">
        <f>SUM($N$201:$N$203)</f>
        <v>0</v>
      </c>
      <c r="O200" s="18"/>
      <c r="P200" s="22"/>
    </row>
    <row r="201" spans="1:16" ht="11.1" customHeight="1" outlineLevel="4" x14ac:dyDescent="0.2">
      <c r="A201" s="23" t="s">
        <v>26</v>
      </c>
      <c r="B201" s="24" t="s">
        <v>211</v>
      </c>
      <c r="C201" s="25"/>
      <c r="D201" s="25"/>
      <c r="E201" s="26" t="s">
        <v>154</v>
      </c>
      <c r="F201" s="27"/>
      <c r="G201" s="31">
        <v>110</v>
      </c>
      <c r="H201" s="31">
        <v>474</v>
      </c>
      <c r="I201" s="31">
        <v>312</v>
      </c>
      <c r="J201" s="31">
        <v>696</v>
      </c>
      <c r="K201" s="31">
        <v>494</v>
      </c>
      <c r="L201" s="32">
        <f>SUM($G$201:$K$201)</f>
        <v>2086</v>
      </c>
      <c r="M201" s="28">
        <f t="array" ref="M201">INDEX(М[Цена за ед., руб],MATCH(1,IF(($B201=М[Наим.])*($C201=М[Артикул, марка, произв.])*($D201=М[Хар-ка])*($O201=М[Прим.]),{1},($B201=М[Наим.])*($C201=М[Артикул, марка, произв.])*($D201=М[Хар-ка])*($O201=М[Прим.])),0))</f>
        <v>0</v>
      </c>
      <c r="N201" s="28">
        <f>ROUND($L$201*$M$201,2)</f>
        <v>0</v>
      </c>
      <c r="O201" s="25"/>
      <c r="P201" s="25">
        <f t="array" ref="P201">INDEX(М[Форма закупа],MATCH(1,IF(($B201=М[Наим.])*($C201=М[Артикул, марка, произв.])*($D201=М[Хар-ка])*($O201=М[Прим.]),{1},($B201=М[Наим.])*($C201=М[Артикул, марка, произв.])*($D201=М[Хар-ка])*($O201=М[Прим.])),0))</f>
        <v>0</v>
      </c>
    </row>
    <row r="202" spans="1:16" ht="35.1" customHeight="1" outlineLevel="4" x14ac:dyDescent="0.2">
      <c r="A202" s="23" t="s">
        <v>30</v>
      </c>
      <c r="B202" s="24" t="s">
        <v>212</v>
      </c>
      <c r="C202" s="25"/>
      <c r="D202" s="25" t="s">
        <v>213</v>
      </c>
      <c r="E202" s="26" t="s">
        <v>86</v>
      </c>
      <c r="F202" s="27"/>
      <c r="G202" s="31">
        <v>110</v>
      </c>
      <c r="H202" s="31">
        <v>474</v>
      </c>
      <c r="I202" s="31">
        <v>312</v>
      </c>
      <c r="J202" s="31">
        <v>696</v>
      </c>
      <c r="K202" s="31">
        <v>494</v>
      </c>
      <c r="L202" s="32">
        <f>SUM($G$202:$K$202)</f>
        <v>2086</v>
      </c>
      <c r="M202" s="28">
        <f t="array" ref="M202">INDEX(М[Цена за ед., руб],MATCH(1,IF(($B202=М[Наим.])*($C202=М[Артикул, марка, произв.])*($D202=М[Хар-ка])*($O202=М[Прим.]),{1},($B202=М[Наим.])*($C202=М[Артикул, марка, произв.])*($D202=М[Хар-ка])*($O202=М[Прим.])),0))</f>
        <v>0</v>
      </c>
      <c r="N202" s="28">
        <f>ROUND($L$202*$M$202,2)</f>
        <v>0</v>
      </c>
      <c r="O202" s="25"/>
      <c r="P202" s="25">
        <f t="array" ref="P202">INDEX(М[Форма закупа],MATCH(1,IF(($B202=М[Наим.])*($C202=М[Артикул, марка, произв.])*($D202=М[Хар-ка])*($O202=М[Прим.]),{1},($B202=М[Наим.])*($C202=М[Артикул, марка, произв.])*($D202=М[Хар-ка])*($O202=М[Прим.])),0))</f>
        <v>0</v>
      </c>
    </row>
    <row r="203" spans="1:16" ht="47.1" customHeight="1" outlineLevel="4" x14ac:dyDescent="0.2">
      <c r="A203" s="23" t="s">
        <v>32</v>
      </c>
      <c r="B203" s="24" t="s">
        <v>144</v>
      </c>
      <c r="C203" s="25"/>
      <c r="D203" s="25" t="s">
        <v>155</v>
      </c>
      <c r="E203" s="26" t="s">
        <v>86</v>
      </c>
      <c r="F203" s="27"/>
      <c r="G203" s="31">
        <v>110</v>
      </c>
      <c r="H203" s="31">
        <v>474</v>
      </c>
      <c r="I203" s="31">
        <v>312</v>
      </c>
      <c r="J203" s="31">
        <v>696</v>
      </c>
      <c r="K203" s="31">
        <v>494</v>
      </c>
      <c r="L203" s="32">
        <f>SUM($G$203:$K$203)</f>
        <v>2086</v>
      </c>
      <c r="M203" s="28">
        <f t="array" ref="M203">INDEX(М[Цена за ед., руб],MATCH(1,IF(($B203=М[Наим.])*($C203=М[Артикул, марка, произв.])*($D203=М[Хар-ка])*($O203=М[Прим.]),{1},($B203=М[Наим.])*($C203=М[Артикул, марка, произв.])*($D203=М[Хар-ка])*($O203=М[Прим.])),0))</f>
        <v>0</v>
      </c>
      <c r="N203" s="28">
        <f>ROUND($L$203*$M$203,2)</f>
        <v>0</v>
      </c>
      <c r="O203" s="25" t="s">
        <v>214</v>
      </c>
      <c r="P203" s="25">
        <f t="array" ref="P203">INDEX(М[Форма закупа],MATCH(1,IF(($B203=М[Наим.])*($C203=М[Артикул, марка, произв.])*($D203=М[Хар-ка])*($O203=М[Прим.]),{1},($B203=М[Наим.])*($C203=М[Артикул, марка, произв.])*($D203=М[Хар-ка])*($O203=М[Прим.])),0))</f>
        <v>0</v>
      </c>
    </row>
    <row r="204" spans="1:16" ht="11.1" customHeight="1" outlineLevel="4" x14ac:dyDescent="0.2">
      <c r="A204" s="20"/>
      <c r="B204" s="14" t="s">
        <v>22</v>
      </c>
      <c r="C204" s="21"/>
      <c r="D204" s="21"/>
      <c r="E204" s="21"/>
      <c r="F204" s="21"/>
      <c r="G204" s="21"/>
      <c r="H204" s="21"/>
      <c r="I204" s="21"/>
      <c r="J204" s="21"/>
      <c r="K204" s="21"/>
      <c r="L204" s="21"/>
      <c r="M204" s="61"/>
      <c r="N204" s="62">
        <f>SUM($N$205)</f>
        <v>0</v>
      </c>
      <c r="O204" s="18"/>
      <c r="P204" s="22"/>
    </row>
    <row r="205" spans="1:16" ht="11.1" customHeight="1" outlineLevel="4" x14ac:dyDescent="0.2">
      <c r="A205" s="23"/>
      <c r="B205" s="24" t="s">
        <v>215</v>
      </c>
      <c r="C205" s="25"/>
      <c r="D205" s="25"/>
      <c r="E205" s="26" t="s">
        <v>24</v>
      </c>
      <c r="F205" s="27"/>
      <c r="G205" s="30">
        <v>118.8</v>
      </c>
      <c r="H205" s="33">
        <v>831.33</v>
      </c>
      <c r="I205" s="33">
        <v>368.28</v>
      </c>
      <c r="J205" s="33">
        <v>941.58</v>
      </c>
      <c r="K205" s="33">
        <v>815.58</v>
      </c>
      <c r="L205" s="28">
        <f>SUM($G$205:$K$205)</f>
        <v>3075.57</v>
      </c>
      <c r="M205" s="28">
        <f t="array" ref="M205">INDEX(Р[Цена за ед., руб],MATCH(1,IF(($B205=Р[Наименование])*($O205=Р[Примечание]),{1},($B205=Р[Наименование])*($O205=Р[Примечание])),0))</f>
        <v>0</v>
      </c>
      <c r="N205" s="28">
        <f>ROUND($L$205*$M$205,2)</f>
        <v>0</v>
      </c>
      <c r="O205" s="25"/>
      <c r="P205" s="25"/>
    </row>
    <row r="206" spans="1:16" ht="11.1" customHeight="1" outlineLevel="4" x14ac:dyDescent="0.2">
      <c r="A206" s="20"/>
      <c r="B206" s="14" t="s">
        <v>25</v>
      </c>
      <c r="C206" s="21"/>
      <c r="D206" s="21"/>
      <c r="E206" s="21"/>
      <c r="F206" s="21"/>
      <c r="G206" s="21"/>
      <c r="H206" s="21"/>
      <c r="I206" s="21"/>
      <c r="J206" s="21"/>
      <c r="K206" s="21"/>
      <c r="L206" s="21"/>
      <c r="M206" s="61"/>
      <c r="N206" s="62">
        <f>SUM($N$207:$N$214)</f>
        <v>0</v>
      </c>
      <c r="O206" s="18"/>
      <c r="P206" s="22"/>
    </row>
    <row r="207" spans="1:16" ht="35.1" customHeight="1" outlineLevel="4" x14ac:dyDescent="0.2">
      <c r="A207" s="23" t="s">
        <v>26</v>
      </c>
      <c r="B207" s="24" t="s">
        <v>27</v>
      </c>
      <c r="C207" s="25"/>
      <c r="D207" s="25" t="s">
        <v>35</v>
      </c>
      <c r="E207" s="26" t="s">
        <v>29</v>
      </c>
      <c r="F207" s="27"/>
      <c r="G207" s="27"/>
      <c r="H207" s="30">
        <v>308.7</v>
      </c>
      <c r="I207" s="27"/>
      <c r="J207" s="27"/>
      <c r="K207" s="27"/>
      <c r="L207" s="30">
        <f>SUM($G$207:$K$207)</f>
        <v>308.7</v>
      </c>
      <c r="M207" s="28">
        <f t="array" ref="M207">INDEX(М[Цена за ед., руб],MATCH(1,IF(($B207=М[Наим.])*($C207=М[Артикул, марка, произв.])*($D207=М[Хар-ка])*($O207=М[Прим.]),{1},($B207=М[Наим.])*($C207=М[Артикул, марка, произв.])*($D207=М[Хар-ка])*($O207=М[Прим.])),0))</f>
        <v>0</v>
      </c>
      <c r="N207" s="28">
        <f>ROUND($L$207*$M$207,2)</f>
        <v>0</v>
      </c>
      <c r="O207" s="25"/>
      <c r="P207" s="25">
        <f t="array" ref="P207">INDEX(М[Форма закупа],MATCH(1,IF(($B207=М[Наим.])*($C207=М[Артикул, марка, произв.])*($D207=М[Хар-ка])*($O207=М[Прим.]),{1},($B207=М[Наим.])*($C207=М[Артикул, марка, произв.])*($D207=М[Хар-ка])*($O207=М[Прим.])),0))</f>
        <v>0</v>
      </c>
    </row>
    <row r="208" spans="1:16" ht="35.1" customHeight="1" outlineLevel="4" x14ac:dyDescent="0.2">
      <c r="A208" s="23" t="s">
        <v>30</v>
      </c>
      <c r="B208" s="24" t="s">
        <v>27</v>
      </c>
      <c r="C208" s="25"/>
      <c r="D208" s="25" t="s">
        <v>37</v>
      </c>
      <c r="E208" s="26" t="s">
        <v>29</v>
      </c>
      <c r="F208" s="27"/>
      <c r="G208" s="27"/>
      <c r="H208" s="27"/>
      <c r="I208" s="27"/>
      <c r="J208" s="30">
        <v>382.2</v>
      </c>
      <c r="K208" s="30">
        <v>298.2</v>
      </c>
      <c r="L208" s="30">
        <f>SUM($G$208:$K$208)</f>
        <v>680.4</v>
      </c>
      <c r="M208" s="28">
        <f t="array" ref="M208">INDEX(М[Цена за ед., руб],MATCH(1,IF(($B208=М[Наим.])*($C208=М[Артикул, марка, произв.])*($D208=М[Хар-ка])*($O208=М[Прим.]),{1},($B208=М[Наим.])*($C208=М[Артикул, марка, произв.])*($D208=М[Хар-ка])*($O208=М[Прим.])),0))</f>
        <v>0</v>
      </c>
      <c r="N208" s="28">
        <f>ROUND($L$208*$M$208,2)</f>
        <v>0</v>
      </c>
      <c r="O208" s="25"/>
      <c r="P208" s="25">
        <f t="array" ref="P208">INDEX(М[Форма закупа],MATCH(1,IF(($B208=М[Наим.])*($C208=М[Артикул, марка, произв.])*($D208=М[Хар-ка])*($O208=М[Прим.]),{1},($B208=М[Наим.])*($C208=М[Артикул, марка, произв.])*($D208=М[Хар-ка])*($O208=М[Прим.])),0))</f>
        <v>0</v>
      </c>
    </row>
    <row r="209" spans="1:16" ht="35.1" customHeight="1" outlineLevel="4" x14ac:dyDescent="0.2">
      <c r="A209" s="23" t="s">
        <v>32</v>
      </c>
      <c r="B209" s="24" t="s">
        <v>27</v>
      </c>
      <c r="C209" s="25"/>
      <c r="D209" s="25" t="s">
        <v>216</v>
      </c>
      <c r="E209" s="26" t="s">
        <v>29</v>
      </c>
      <c r="F209" s="27"/>
      <c r="G209" s="30">
        <v>72.599999999999994</v>
      </c>
      <c r="H209" s="30">
        <v>224.4</v>
      </c>
      <c r="I209" s="30">
        <v>224.4</v>
      </c>
      <c r="J209" s="30">
        <v>224.4</v>
      </c>
      <c r="K209" s="30">
        <v>224.4</v>
      </c>
      <c r="L209" s="30">
        <f>SUM($G$209:$K$209)</f>
        <v>970.2</v>
      </c>
      <c r="M209" s="28">
        <f t="array" ref="M209">INDEX(М[Цена за ед., руб],MATCH(1,IF(($B209=М[Наим.])*($C209=М[Артикул, марка, произв.])*($D209=М[Хар-ка])*($O209=М[Прим.]),{1},($B209=М[Наим.])*($C209=М[Артикул, марка, произв.])*($D209=М[Хар-ка])*($O209=М[Прим.])),0))</f>
        <v>0</v>
      </c>
      <c r="N209" s="28">
        <f>ROUND($L$209*$M$209,2)</f>
        <v>0</v>
      </c>
      <c r="O209" s="25"/>
      <c r="P209" s="25">
        <f t="array" ref="P209">INDEX(М[Форма закупа],MATCH(1,IF(($B209=М[Наим.])*($C209=М[Артикул, марка, произв.])*($D209=М[Хар-ка])*($O209=М[Прим.]),{1},($B209=М[Наим.])*($C209=М[Артикул, марка, произв.])*($D209=М[Хар-ка])*($O209=М[Прим.])),0))</f>
        <v>0</v>
      </c>
    </row>
    <row r="210" spans="1:16" ht="35.1" customHeight="1" outlineLevel="4" x14ac:dyDescent="0.2">
      <c r="A210" s="23" t="s">
        <v>34</v>
      </c>
      <c r="B210" s="24" t="s">
        <v>27</v>
      </c>
      <c r="C210" s="25"/>
      <c r="D210" s="25" t="s">
        <v>217</v>
      </c>
      <c r="E210" s="26" t="s">
        <v>29</v>
      </c>
      <c r="F210" s="27"/>
      <c r="G210" s="30">
        <v>6.6</v>
      </c>
      <c r="H210" s="33">
        <v>21.12</v>
      </c>
      <c r="I210" s="33">
        <v>21.12</v>
      </c>
      <c r="J210" s="33">
        <v>21.12</v>
      </c>
      <c r="K210" s="33">
        <v>21.12</v>
      </c>
      <c r="L210" s="33">
        <f>SUM($G$210:$K$210)</f>
        <v>91.08</v>
      </c>
      <c r="M210" s="28">
        <f t="array" ref="M210">INDEX(М[Цена за ед., руб],MATCH(1,IF(($B210=М[Наим.])*($C210=М[Артикул, марка, произв.])*($D210=М[Хар-ка])*($O210=М[Прим.]),{1},($B210=М[Наим.])*($C210=М[Артикул, марка, произв.])*($D210=М[Хар-ка])*($O210=М[Прим.])),0))</f>
        <v>0</v>
      </c>
      <c r="N210" s="28">
        <f>ROUND($L$210*$M$210,2)</f>
        <v>0</v>
      </c>
      <c r="O210" s="25"/>
      <c r="P210" s="25">
        <f t="array" ref="P210">INDEX(М[Форма закупа],MATCH(1,IF(($B210=М[Наим.])*($C210=М[Артикул, марка, произв.])*($D210=М[Хар-ка])*($O210=М[Прим.]),{1},($B210=М[Наим.])*($C210=М[Артикул, марка, произв.])*($D210=М[Хар-ка])*($O210=М[Прим.])),0))</f>
        <v>0</v>
      </c>
    </row>
    <row r="211" spans="1:16" ht="35.1" customHeight="1" outlineLevel="4" x14ac:dyDescent="0.2">
      <c r="A211" s="23" t="s">
        <v>36</v>
      </c>
      <c r="B211" s="24" t="s">
        <v>27</v>
      </c>
      <c r="C211" s="25"/>
      <c r="D211" s="25" t="s">
        <v>218</v>
      </c>
      <c r="E211" s="26" t="s">
        <v>29</v>
      </c>
      <c r="F211" s="27"/>
      <c r="G211" s="27"/>
      <c r="H211" s="33">
        <v>10.56</v>
      </c>
      <c r="I211" s="33">
        <v>10.56</v>
      </c>
      <c r="J211" s="33">
        <v>10.56</v>
      </c>
      <c r="K211" s="33">
        <v>10.56</v>
      </c>
      <c r="L211" s="33">
        <f>SUM($G$211:$K$211)</f>
        <v>42.24</v>
      </c>
      <c r="M211" s="28">
        <f t="array" ref="M211">INDEX(М[Цена за ед., руб],MATCH(1,IF(($B211=М[Наим.])*($C211=М[Артикул, марка, произв.])*($D211=М[Хар-ка])*($O211=М[Прим.]),{1},($B211=М[Наим.])*($C211=М[Артикул, марка, произв.])*($D211=М[Хар-ка])*($O211=М[Прим.])),0))</f>
        <v>0</v>
      </c>
      <c r="N211" s="28">
        <f>ROUND($L$211*$M$211,2)</f>
        <v>0</v>
      </c>
      <c r="O211" s="25"/>
      <c r="P211" s="25">
        <f t="array" ref="P211">INDEX(М[Форма закупа],MATCH(1,IF(($B211=М[Наим.])*($C211=М[Артикул, марка, произв.])*($D211=М[Хар-ка])*($O211=М[Прим.]),{1},($B211=М[Наим.])*($C211=М[Артикул, марка, произв.])*($D211=М[Хар-ка])*($O211=М[Прим.])),0))</f>
        <v>0</v>
      </c>
    </row>
    <row r="212" spans="1:16" ht="35.1" customHeight="1" outlineLevel="4" x14ac:dyDescent="0.2">
      <c r="A212" s="23" t="s">
        <v>38</v>
      </c>
      <c r="B212" s="24" t="s">
        <v>27</v>
      </c>
      <c r="C212" s="25"/>
      <c r="D212" s="25" t="s">
        <v>219</v>
      </c>
      <c r="E212" s="26" t="s">
        <v>29</v>
      </c>
      <c r="F212" s="27"/>
      <c r="G212" s="30">
        <v>3.3</v>
      </c>
      <c r="H212" s="27"/>
      <c r="I212" s="27"/>
      <c r="J212" s="27"/>
      <c r="K212" s="27"/>
      <c r="L212" s="30">
        <f>SUM($G$212:$K$212)</f>
        <v>3.3</v>
      </c>
      <c r="M212" s="28">
        <f t="array" ref="M212">INDEX(М[Цена за ед., руб],MATCH(1,IF(($B212=М[Наим.])*($C212=М[Артикул, марка, произв.])*($D212=М[Хар-ка])*($O212=М[Прим.]),{1},($B212=М[Наим.])*($C212=М[Артикул, марка, произв.])*($D212=М[Хар-ка])*($O212=М[Прим.])),0))</f>
        <v>0</v>
      </c>
      <c r="N212" s="28">
        <f>ROUND($L$212*$M$212,2)</f>
        <v>0</v>
      </c>
      <c r="O212" s="25"/>
      <c r="P212" s="25">
        <f t="array" ref="P212">INDEX(М[Форма закупа],MATCH(1,IF(($B212=М[Наим.])*($C212=М[Артикул, марка, произв.])*($D212=М[Хар-ка])*($O212=М[Прим.]),{1},($B212=М[Наим.])*($C212=М[Артикул, марка, произв.])*($D212=М[Хар-ка])*($O212=М[Прим.])),0))</f>
        <v>0</v>
      </c>
    </row>
    <row r="213" spans="1:16" ht="35.1" customHeight="1" outlineLevel="4" x14ac:dyDescent="0.2">
      <c r="A213" s="23" t="s">
        <v>40</v>
      </c>
      <c r="B213" s="24" t="s">
        <v>27</v>
      </c>
      <c r="C213" s="25"/>
      <c r="D213" s="25" t="s">
        <v>82</v>
      </c>
      <c r="E213" s="26" t="s">
        <v>29</v>
      </c>
      <c r="F213" s="27"/>
      <c r="G213" s="30">
        <v>36.299999999999997</v>
      </c>
      <c r="H213" s="33">
        <v>154.35</v>
      </c>
      <c r="I213" s="27"/>
      <c r="J213" s="27"/>
      <c r="K213" s="27"/>
      <c r="L213" s="33">
        <f>SUM($G$213:$K$213)</f>
        <v>190.65</v>
      </c>
      <c r="M213" s="28">
        <f t="array" ref="M213">INDEX(М[Цена за ед., руб],MATCH(1,IF(($B213=М[Наим.])*($C213=М[Артикул, марка, произв.])*($D213=М[Хар-ка])*($O213=М[Прим.]),{1},($B213=М[Наим.])*($C213=М[Артикул, марка, произв.])*($D213=М[Хар-ка])*($O213=М[Прим.])),0))</f>
        <v>0</v>
      </c>
      <c r="N213" s="28">
        <f>ROUND($L$213*$M$213,2)</f>
        <v>0</v>
      </c>
      <c r="O213" s="25"/>
      <c r="P213" s="25">
        <f t="array" ref="P213">INDEX(М[Форма закупа],MATCH(1,IF(($B213=М[Наим.])*($C213=М[Артикул, марка, произв.])*($D213=М[Хар-ка])*($O213=М[Прим.]),{1},($B213=М[Наим.])*($C213=М[Артикул, марка, произв.])*($D213=М[Хар-ка])*($O213=М[Прим.])),0))</f>
        <v>0</v>
      </c>
    </row>
    <row r="214" spans="1:16" ht="35.1" customHeight="1" outlineLevel="4" x14ac:dyDescent="0.2">
      <c r="A214" s="23" t="s">
        <v>42</v>
      </c>
      <c r="B214" s="24" t="s">
        <v>27</v>
      </c>
      <c r="C214" s="25"/>
      <c r="D214" s="25" t="s">
        <v>220</v>
      </c>
      <c r="E214" s="26" t="s">
        <v>29</v>
      </c>
      <c r="F214" s="27"/>
      <c r="G214" s="27"/>
      <c r="H214" s="30">
        <v>112.2</v>
      </c>
      <c r="I214" s="30">
        <v>112.2</v>
      </c>
      <c r="J214" s="30">
        <v>303.3</v>
      </c>
      <c r="K214" s="30">
        <v>261.3</v>
      </c>
      <c r="L214" s="31">
        <f>SUM($G$214:$K$214)</f>
        <v>789</v>
      </c>
      <c r="M214" s="28">
        <f t="array" ref="M214">INDEX(М[Цена за ед., руб],MATCH(1,IF(($B214=М[Наим.])*($C214=М[Артикул, марка, произв.])*($D214=М[Хар-ка])*($O214=М[Прим.]),{1},($B214=М[Наим.])*($C214=М[Артикул, марка, произв.])*($D214=М[Хар-ка])*($O214=М[Прим.])),0))</f>
        <v>0</v>
      </c>
      <c r="N214" s="28">
        <f>ROUND($L$214*$M$214,2)</f>
        <v>0</v>
      </c>
      <c r="O214" s="25"/>
      <c r="P214" s="25">
        <f t="array" ref="P214">INDEX(М[Форма закупа],MATCH(1,IF(($B214=М[Наим.])*($C214=М[Артикул, марка, произв.])*($D214=М[Хар-ка])*($O214=М[Прим.]),{1},($B214=М[Наим.])*($C214=М[Артикул, марка, произв.])*($D214=М[Хар-ка])*($O214=М[Прим.])),0))</f>
        <v>0</v>
      </c>
    </row>
    <row r="215" spans="1:16" ht="11.1" customHeight="1" outlineLevel="4" x14ac:dyDescent="0.2">
      <c r="A215" s="20"/>
      <c r="B215" s="14" t="s">
        <v>22</v>
      </c>
      <c r="C215" s="21"/>
      <c r="D215" s="21"/>
      <c r="E215" s="21"/>
      <c r="F215" s="21"/>
      <c r="G215" s="21"/>
      <c r="H215" s="21"/>
      <c r="I215" s="21"/>
      <c r="J215" s="21"/>
      <c r="K215" s="21"/>
      <c r="L215" s="21"/>
      <c r="M215" s="61"/>
      <c r="N215" s="62">
        <f>SUM($N$216)</f>
        <v>0</v>
      </c>
      <c r="O215" s="18"/>
      <c r="P215" s="22"/>
    </row>
    <row r="216" spans="1:16" ht="11.1" customHeight="1" outlineLevel="4" x14ac:dyDescent="0.2">
      <c r="A216" s="23"/>
      <c r="B216" s="24" t="s">
        <v>221</v>
      </c>
      <c r="C216" s="25"/>
      <c r="D216" s="25"/>
      <c r="E216" s="26" t="s">
        <v>86</v>
      </c>
      <c r="F216" s="27"/>
      <c r="G216" s="31">
        <v>166</v>
      </c>
      <c r="H216" s="31">
        <v>712</v>
      </c>
      <c r="I216" s="31">
        <v>468</v>
      </c>
      <c r="J216" s="32">
        <v>1044</v>
      </c>
      <c r="K216" s="31">
        <v>742</v>
      </c>
      <c r="L216" s="32">
        <f>SUM($G$216:$K$216)</f>
        <v>3132</v>
      </c>
      <c r="M216" s="28">
        <f t="array" ref="M216">INDEX(Р[Цена за ед., руб],MATCH(1,IF(($B216=Р[Наименование])*($O216=Р[Примечание]),{1},($B216=Р[Наименование])*($O216=Р[Примечание])),0))</f>
        <v>0</v>
      </c>
      <c r="N216" s="28">
        <f>ROUND($L$216*$M$216,2)</f>
        <v>0</v>
      </c>
      <c r="O216" s="25"/>
      <c r="P216" s="25"/>
    </row>
    <row r="217" spans="1:16" ht="11.1" customHeight="1" outlineLevel="4" x14ac:dyDescent="0.2">
      <c r="A217" s="20"/>
      <c r="B217" s="14" t="s">
        <v>22</v>
      </c>
      <c r="C217" s="21"/>
      <c r="D217" s="21"/>
      <c r="E217" s="21"/>
      <c r="F217" s="21"/>
      <c r="G217" s="21"/>
      <c r="H217" s="21"/>
      <c r="I217" s="21"/>
      <c r="J217" s="21"/>
      <c r="K217" s="21"/>
      <c r="L217" s="21"/>
      <c r="M217" s="61"/>
      <c r="N217" s="62">
        <f>SUM($N$218)</f>
        <v>0</v>
      </c>
      <c r="O217" s="18"/>
      <c r="P217" s="22"/>
    </row>
    <row r="218" spans="1:16" ht="11.1" customHeight="1" outlineLevel="4" x14ac:dyDescent="0.2">
      <c r="A218" s="23"/>
      <c r="B218" s="24" t="s">
        <v>159</v>
      </c>
      <c r="C218" s="25"/>
      <c r="D218" s="25"/>
      <c r="E218" s="26" t="s">
        <v>29</v>
      </c>
      <c r="F218" s="27"/>
      <c r="G218" s="30">
        <v>108.9</v>
      </c>
      <c r="H218" s="30">
        <v>336.6</v>
      </c>
      <c r="I218" s="30">
        <v>336.6</v>
      </c>
      <c r="J218" s="30">
        <v>336.6</v>
      </c>
      <c r="K218" s="30">
        <v>336.6</v>
      </c>
      <c r="L218" s="29">
        <f>SUM($G$218:$K$218)</f>
        <v>1455.3</v>
      </c>
      <c r="M218" s="28">
        <f t="array" ref="M218">INDEX(Р[Цена за ед., руб],MATCH(1,IF(($B218=Р[Наименование])*($O218=Р[Примечание]),{1},($B218=Р[Наименование])*($O218=Р[Примечание])),0))</f>
        <v>0</v>
      </c>
      <c r="N218" s="28">
        <f>ROUND($L$218*$M$218,2)</f>
        <v>0</v>
      </c>
      <c r="O218" s="25"/>
      <c r="P218" s="25"/>
    </row>
    <row r="219" spans="1:16" ht="11.1" customHeight="1" outlineLevel="4" x14ac:dyDescent="0.2">
      <c r="A219" s="20"/>
      <c r="B219" s="14" t="s">
        <v>25</v>
      </c>
      <c r="C219" s="21"/>
      <c r="D219" s="21"/>
      <c r="E219" s="21"/>
      <c r="F219" s="21"/>
      <c r="G219" s="21"/>
      <c r="H219" s="21"/>
      <c r="I219" s="21"/>
      <c r="J219" s="21"/>
      <c r="K219" s="21"/>
      <c r="L219" s="21"/>
      <c r="M219" s="61"/>
      <c r="N219" s="62">
        <f>SUM($N$220:$N$222)</f>
        <v>0</v>
      </c>
      <c r="O219" s="18"/>
      <c r="P219" s="22"/>
    </row>
    <row r="220" spans="1:16" ht="35.1" customHeight="1" outlineLevel="4" x14ac:dyDescent="0.2">
      <c r="A220" s="104" t="s">
        <v>26</v>
      </c>
      <c r="B220" s="24" t="s">
        <v>156</v>
      </c>
      <c r="C220" s="25"/>
      <c r="D220" s="25" t="s">
        <v>222</v>
      </c>
      <c r="E220" s="26" t="s">
        <v>29</v>
      </c>
      <c r="F220" s="27"/>
      <c r="G220" s="30">
        <v>36.299999999999997</v>
      </c>
      <c r="H220" s="27"/>
      <c r="I220" s="27"/>
      <c r="J220" s="27"/>
      <c r="K220" s="27"/>
      <c r="L220" s="30">
        <f>SUM($G$220:$K$220)</f>
        <v>36.299999999999997</v>
      </c>
      <c r="M220" s="28">
        <f t="array" ref="M220">INDEX(М[Цена за ед., руб],MATCH(1,IF(($B220=М[Наим.])*($C220=М[Артикул, марка, произв.])*($D220=М[Хар-ка])*($O220=М[Прим.]),{1},($B220=М[Наим.])*($C220=М[Артикул, марка, произв.])*($D220=М[Хар-ка])*($O220=М[Прим.])),0))</f>
        <v>0</v>
      </c>
      <c r="N220" s="28">
        <f>ROUND($L$220*$M$220,2)</f>
        <v>0</v>
      </c>
      <c r="O220" s="25"/>
      <c r="P220" s="25">
        <f t="array" ref="P220">INDEX(М[Форма закупа],MATCH(1,IF(($B220=М[Наим.])*($C220=М[Артикул, марка, произв.])*($D220=М[Хар-ка])*($O220=М[Прим.]),{1},($B220=М[Наим.])*($C220=М[Артикул, марка, произв.])*($D220=М[Хар-ка])*($O220=М[Прим.])),0))</f>
        <v>0</v>
      </c>
    </row>
    <row r="221" spans="1:16" ht="35.1" customHeight="1" outlineLevel="4" x14ac:dyDescent="0.2">
      <c r="A221" s="104" t="s">
        <v>30</v>
      </c>
      <c r="B221" s="24" t="s">
        <v>156</v>
      </c>
      <c r="C221" s="25"/>
      <c r="D221" s="25" t="s">
        <v>165</v>
      </c>
      <c r="E221" s="26" t="s">
        <v>29</v>
      </c>
      <c r="F221" s="27"/>
      <c r="G221" s="27"/>
      <c r="H221" s="30">
        <v>112.2</v>
      </c>
      <c r="I221" s="30">
        <v>112.2</v>
      </c>
      <c r="J221" s="30">
        <v>112.2</v>
      </c>
      <c r="K221" s="30">
        <v>112.2</v>
      </c>
      <c r="L221" s="30">
        <f>SUM($G$221:$K$221)</f>
        <v>448.8</v>
      </c>
      <c r="M221" s="28">
        <f t="array" ref="M221">INDEX(М[Цена за ед., руб],MATCH(1,IF(($B221=М[Наим.])*($C221=М[Артикул, марка, произв.])*($D221=М[Хар-ка])*($O221=М[Прим.]),{1},($B221=М[Наим.])*($C221=М[Артикул, марка, произв.])*($D221=М[Хар-ка])*($O221=М[Прим.])),0))</f>
        <v>0</v>
      </c>
      <c r="N221" s="28">
        <f>ROUND($L$221*$M$221,2)</f>
        <v>0</v>
      </c>
      <c r="O221" s="25"/>
      <c r="P221" s="25">
        <f t="array" ref="P221">INDEX(М[Форма закупа],MATCH(1,IF(($B221=М[Наим.])*($C221=М[Артикул, марка, произв.])*($D221=М[Хар-ка])*($O221=М[Прим.]),{1},($B221=М[Наим.])*($C221=М[Артикул, марка, произв.])*($D221=М[Хар-ка])*($O221=М[Прим.])),0))</f>
        <v>0</v>
      </c>
    </row>
    <row r="222" spans="1:16" ht="47.1" customHeight="1" outlineLevel="4" x14ac:dyDescent="0.2">
      <c r="A222" s="104" t="s">
        <v>32</v>
      </c>
      <c r="B222" s="24" t="s">
        <v>156</v>
      </c>
      <c r="C222" s="25"/>
      <c r="D222" s="25" t="s">
        <v>166</v>
      </c>
      <c r="E222" s="26" t="s">
        <v>29</v>
      </c>
      <c r="F222" s="27"/>
      <c r="G222" s="30">
        <v>72.599999999999994</v>
      </c>
      <c r="H222" s="30">
        <v>224.4</v>
      </c>
      <c r="I222" s="30">
        <v>224.4</v>
      </c>
      <c r="J222" s="30">
        <v>224.4</v>
      </c>
      <c r="K222" s="30">
        <v>224.4</v>
      </c>
      <c r="L222" s="30">
        <f>SUM($G$222:$K$222)</f>
        <v>970.2</v>
      </c>
      <c r="M222" s="28">
        <f t="array" ref="M222">INDEX(М[Цена за ед., руб],MATCH(1,IF(($B222=М[Наим.])*($C222=М[Артикул, марка, произв.])*($D222=М[Хар-ка])*($O222=М[Прим.]),{1},($B222=М[Наим.])*($C222=М[Артикул, марка, произв.])*($D222=М[Хар-ка])*($O222=М[Прим.])),0))</f>
        <v>0</v>
      </c>
      <c r="N222" s="28">
        <f>ROUND($L$222*$M$222,2)</f>
        <v>0</v>
      </c>
      <c r="O222" s="25"/>
      <c r="P222" s="25">
        <f t="array" ref="P222">INDEX(М[Форма закупа],MATCH(1,IF(($B222=М[Наим.])*($C222=М[Артикул, марка, произв.])*($D222=М[Хар-ка])*($O222=М[Прим.]),{1},($B222=М[Наим.])*($C222=М[Артикул, марка, произв.])*($D222=М[Хар-ка])*($O222=М[Прим.])),0))</f>
        <v>0</v>
      </c>
    </row>
    <row r="223" spans="1:16" ht="11.1" customHeight="1" outlineLevel="4" x14ac:dyDescent="0.2">
      <c r="A223" s="20"/>
      <c r="B223" s="14" t="s">
        <v>22</v>
      </c>
      <c r="C223" s="21"/>
      <c r="D223" s="21"/>
      <c r="E223" s="21"/>
      <c r="F223" s="21"/>
      <c r="G223" s="21"/>
      <c r="H223" s="21"/>
      <c r="I223" s="21"/>
      <c r="J223" s="21"/>
      <c r="K223" s="21"/>
      <c r="L223" s="21"/>
      <c r="M223" s="61"/>
      <c r="N223" s="62">
        <f>SUM($N$224)</f>
        <v>0</v>
      </c>
      <c r="O223" s="18"/>
      <c r="P223" s="22"/>
    </row>
    <row r="224" spans="1:16" ht="11.1" customHeight="1" outlineLevel="4" x14ac:dyDescent="0.2">
      <c r="A224" s="23"/>
      <c r="B224" s="24" t="s">
        <v>171</v>
      </c>
      <c r="C224" s="25"/>
      <c r="D224" s="25"/>
      <c r="E224" s="26" t="s">
        <v>24</v>
      </c>
      <c r="F224" s="27"/>
      <c r="G224" s="27"/>
      <c r="H224" s="33">
        <v>478.89</v>
      </c>
      <c r="I224" s="31">
        <v>48</v>
      </c>
      <c r="J224" s="30">
        <v>220.1</v>
      </c>
      <c r="K224" s="30">
        <v>149.1</v>
      </c>
      <c r="L224" s="33">
        <f>SUM($G$224:$K$224)</f>
        <v>896.09</v>
      </c>
      <c r="M224" s="28">
        <f t="array" ref="M224">INDEX(Р[Цена за ед., руб],MATCH(1,IF(($B224=Р[Наименование])*($O224=Р[Примечание]),{1},($B224=Р[Наименование])*($O224=Р[Примечание])),0))</f>
        <v>0</v>
      </c>
      <c r="N224" s="28">
        <f>ROUND($L$224*$M$224,2)</f>
        <v>0</v>
      </c>
      <c r="O224" s="25"/>
      <c r="P224" s="25"/>
    </row>
    <row r="225" spans="1:17" ht="11.1" customHeight="1" outlineLevel="4" x14ac:dyDescent="0.2">
      <c r="A225" s="20"/>
      <c r="B225" s="14" t="s">
        <v>25</v>
      </c>
      <c r="C225" s="21"/>
      <c r="D225" s="21"/>
      <c r="E225" s="21"/>
      <c r="F225" s="21"/>
      <c r="G225" s="21"/>
      <c r="H225" s="21"/>
      <c r="I225" s="21"/>
      <c r="J225" s="21"/>
      <c r="K225" s="21"/>
      <c r="L225" s="21"/>
      <c r="M225" s="61"/>
      <c r="N225" s="62">
        <f>SUM($N$226:$N$231)</f>
        <v>0</v>
      </c>
      <c r="O225" s="18"/>
      <c r="P225" s="22"/>
    </row>
    <row r="226" spans="1:17" ht="35.1" customHeight="1" outlineLevel="4" x14ac:dyDescent="0.2">
      <c r="A226" s="104" t="s">
        <v>26</v>
      </c>
      <c r="B226" s="24" t="s">
        <v>172</v>
      </c>
      <c r="C226" s="25"/>
      <c r="D226" s="25" t="s">
        <v>173</v>
      </c>
      <c r="E226" s="26" t="s">
        <v>29</v>
      </c>
      <c r="F226" s="27"/>
      <c r="G226" s="27"/>
      <c r="H226" s="33">
        <v>154.35</v>
      </c>
      <c r="I226" s="27"/>
      <c r="J226" s="30">
        <v>191.1</v>
      </c>
      <c r="K226" s="30">
        <v>149.1</v>
      </c>
      <c r="L226" s="33">
        <f>SUM($G$226:$K$226)</f>
        <v>494.55</v>
      </c>
      <c r="M226" s="28">
        <f t="array" ref="M226">INDEX(М[Цена за ед., руб],MATCH(1,IF(($B226=М[Наим.])*($C226=М[Артикул, марка, произв.])*($D226=М[Хар-ка])*($O226=М[Прим.]),{1},($B226=М[Наим.])*($C226=М[Артикул, марка, произв.])*($D226=М[Хар-ка])*($O226=М[Прим.])),0))</f>
        <v>0</v>
      </c>
      <c r="N226" s="28">
        <f>ROUND($L$226*$M$226,2)</f>
        <v>0</v>
      </c>
      <c r="O226" s="25"/>
      <c r="P226" s="25">
        <f t="array" ref="P226">INDEX(М[Форма закупа],MATCH(1,IF(($B226=М[Наим.])*($C226=М[Артикул, марка, произв.])*($D226=М[Хар-ка])*($O226=М[Прим.]),{1},($B226=М[Наим.])*($C226=М[Артикул, марка, произв.])*($D226=М[Хар-ка])*($O226=М[Прим.])),0))</f>
        <v>0</v>
      </c>
    </row>
    <row r="227" spans="1:17" ht="35.1" customHeight="1" outlineLevel="4" x14ac:dyDescent="0.2">
      <c r="A227" s="104" t="s">
        <v>30</v>
      </c>
      <c r="B227" s="24" t="s">
        <v>172</v>
      </c>
      <c r="C227" s="25"/>
      <c r="D227" s="25" t="s">
        <v>174</v>
      </c>
      <c r="E227" s="26" t="s">
        <v>29</v>
      </c>
      <c r="F227" s="27"/>
      <c r="G227" s="27"/>
      <c r="H227" s="33">
        <v>154.35</v>
      </c>
      <c r="I227" s="27"/>
      <c r="J227" s="27"/>
      <c r="K227" s="27"/>
      <c r="L227" s="33">
        <f>SUM($G$227:$K$227)</f>
        <v>154.35</v>
      </c>
      <c r="M227" s="28">
        <f t="array" ref="M227">INDEX(М[Цена за ед., руб],MATCH(1,IF(($B227=М[Наим.])*($C227=М[Артикул, марка, произв.])*($D227=М[Хар-ка])*($O227=М[Прим.]),{1},($B227=М[Наим.])*($C227=М[Артикул, марка, произв.])*($D227=М[Хар-ка])*($O227=М[Прим.])),0))</f>
        <v>0</v>
      </c>
      <c r="N227" s="28">
        <f>ROUND($L$227*$M$227,2)</f>
        <v>0</v>
      </c>
      <c r="O227" s="25"/>
      <c r="P227" s="25">
        <f t="array" ref="P227">INDEX(М[Форма закупа],MATCH(1,IF(($B227=М[Наим.])*($C227=М[Артикул, марка, произв.])*($D227=М[Хар-ка])*($O227=М[Прим.]),{1},($B227=М[Наим.])*($C227=М[Артикул, марка, произв.])*($D227=М[Хар-ка])*($O227=М[Прим.])),0))</f>
        <v>0</v>
      </c>
    </row>
    <row r="228" spans="1:17" ht="35.1" customHeight="1" outlineLevel="4" x14ac:dyDescent="0.2">
      <c r="A228" s="104" t="s">
        <v>32</v>
      </c>
      <c r="B228" s="24" t="s">
        <v>172</v>
      </c>
      <c r="C228" s="25"/>
      <c r="D228" s="25" t="s">
        <v>175</v>
      </c>
      <c r="E228" s="26" t="s">
        <v>29</v>
      </c>
      <c r="F228" s="27"/>
      <c r="G228" s="27"/>
      <c r="H228" s="33">
        <v>154.35</v>
      </c>
      <c r="I228" s="27"/>
      <c r="J228" s="27"/>
      <c r="K228" s="27"/>
      <c r="L228" s="33">
        <f>SUM($G$228:$K$228)</f>
        <v>154.35</v>
      </c>
      <c r="M228" s="28">
        <f t="array" ref="M228">INDEX(М[Цена за ед., руб],MATCH(1,IF(($B228=М[Наим.])*($C228=М[Артикул, марка, произв.])*($D228=М[Хар-ка])*($O228=М[Прим.]),{1},($B228=М[Наим.])*($C228=М[Артикул, марка, произв.])*($D228=М[Хар-ка])*($O228=М[Прим.])),0))</f>
        <v>0</v>
      </c>
      <c r="N228" s="28">
        <f>ROUND($L$228*$M$228,2)</f>
        <v>0</v>
      </c>
      <c r="O228" s="25"/>
      <c r="P228" s="25">
        <f t="array" ref="P228">INDEX(М[Форма закупа],MATCH(1,IF(($B228=М[Наим.])*($C228=М[Артикул, марка, произв.])*($D228=М[Хар-ка])*($O228=М[Прим.]),{1},($B228=М[Наим.])*($C228=М[Артикул, марка, произв.])*($D228=М[Хар-ка])*($O228=М[Прим.])),0))</f>
        <v>0</v>
      </c>
    </row>
    <row r="229" spans="1:17" ht="23.1" customHeight="1" outlineLevel="4" x14ac:dyDescent="0.2">
      <c r="A229" s="104" t="s">
        <v>34</v>
      </c>
      <c r="B229" s="24" t="s">
        <v>172</v>
      </c>
      <c r="C229" s="25"/>
      <c r="D229" s="25" t="s">
        <v>223</v>
      </c>
      <c r="E229" s="26" t="s">
        <v>29</v>
      </c>
      <c r="F229" s="27"/>
      <c r="G229" s="27"/>
      <c r="H229" s="27"/>
      <c r="I229" s="31">
        <v>20</v>
      </c>
      <c r="J229" s="31">
        <v>10</v>
      </c>
      <c r="K229" s="27"/>
      <c r="L229" s="31">
        <f>SUM($G$229:$K$229)</f>
        <v>30</v>
      </c>
      <c r="M229" s="28">
        <f t="array" ref="M229">INDEX(М[Цена за ед., руб],MATCH(1,IF(($B229=М[Наим.])*($C229=М[Артикул, марка, произв.])*($D229=М[Хар-ка])*($O229=М[Прим.]),{1},($B229=М[Наим.])*($C229=М[Артикул, марка, произв.])*($D229=М[Хар-ка])*($O229=М[Прим.])),0))</f>
        <v>0</v>
      </c>
      <c r="N229" s="28">
        <f>ROUND($L$229*$M$229,2)</f>
        <v>0</v>
      </c>
      <c r="O229" s="25" t="s">
        <v>224</v>
      </c>
      <c r="P229" s="25">
        <f t="array" ref="P229">INDEX(М[Форма закупа],MATCH(1,IF(($B229=М[Наим.])*($C229=М[Артикул, марка, произв.])*($D229=М[Хар-ка])*($O229=М[Прим.]),{1},($B229=М[Наим.])*($C229=М[Артикул, марка, произв.])*($D229=М[Хар-ка])*($O229=М[Прим.])),0))</f>
        <v>0</v>
      </c>
    </row>
    <row r="230" spans="1:17" ht="23.1" customHeight="1" outlineLevel="4" x14ac:dyDescent="0.2">
      <c r="A230" s="104" t="s">
        <v>36</v>
      </c>
      <c r="B230" s="24" t="s">
        <v>172</v>
      </c>
      <c r="C230" s="25"/>
      <c r="D230" s="25" t="s">
        <v>225</v>
      </c>
      <c r="E230" s="26" t="s">
        <v>29</v>
      </c>
      <c r="F230" s="27"/>
      <c r="G230" s="27"/>
      <c r="H230" s="27"/>
      <c r="I230" s="31">
        <v>28</v>
      </c>
      <c r="J230" s="31">
        <v>19</v>
      </c>
      <c r="K230" s="27"/>
      <c r="L230" s="31">
        <f>SUM($G$230:$K$230)</f>
        <v>47</v>
      </c>
      <c r="M230" s="28">
        <f t="array" ref="M230">INDEX(М[Цена за ед., руб],MATCH(1,IF(($B230=М[Наим.])*($C230=М[Артикул, марка, произв.])*($D230=М[Хар-ка])*($O230=М[Прим.]),{1},($B230=М[Наим.])*($C230=М[Артикул, марка, произв.])*($D230=М[Хар-ка])*($O230=М[Прим.])),0))</f>
        <v>0</v>
      </c>
      <c r="N230" s="28">
        <f>ROUND($L$230*$M$230,2)</f>
        <v>0</v>
      </c>
      <c r="O230" s="25" t="s">
        <v>224</v>
      </c>
      <c r="P230" s="25">
        <f t="array" ref="P230">INDEX(М[Форма закупа],MATCH(1,IF(($B230=М[Наим.])*($C230=М[Артикул, марка, произв.])*($D230=М[Хар-ка])*($O230=М[Прим.]),{1},($B230=М[Наим.])*($C230=М[Артикул, марка, произв.])*($D230=М[Хар-ка])*($O230=М[Прим.])),0))</f>
        <v>0</v>
      </c>
    </row>
    <row r="231" spans="1:17" ht="11.1" customHeight="1" outlineLevel="4" x14ac:dyDescent="0.2">
      <c r="A231" s="104" t="s">
        <v>38</v>
      </c>
      <c r="B231" s="24" t="s">
        <v>179</v>
      </c>
      <c r="C231" s="25"/>
      <c r="D231" s="25" t="s">
        <v>226</v>
      </c>
      <c r="E231" s="26" t="s">
        <v>29</v>
      </c>
      <c r="F231" s="27"/>
      <c r="G231" s="27"/>
      <c r="H231" s="33">
        <v>15.84</v>
      </c>
      <c r="I231" s="27"/>
      <c r="J231" s="27"/>
      <c r="K231" s="27"/>
      <c r="L231" s="33">
        <f>SUM($G$231:$K$231)</f>
        <v>15.84</v>
      </c>
      <c r="M231" s="28">
        <f t="array" ref="M231">INDEX(М[Цена за ед., руб],MATCH(1,IF(($B231=М[Наим.])*($C231=М[Артикул, марка, произв.])*($D231=М[Хар-ка])*($O231=М[Прим.]),{1},($B231=М[Наим.])*($C231=М[Артикул, марка, произв.])*($D231=М[Хар-ка])*($O231=М[Прим.])),0))</f>
        <v>0</v>
      </c>
      <c r="N231" s="28">
        <f>ROUND($L$231*$M$231,2)</f>
        <v>0</v>
      </c>
      <c r="O231" s="25"/>
      <c r="P231" s="25">
        <f t="array" ref="P231">INDEX(М[Форма закупа],MATCH(1,IF(($B231=М[Наим.])*($C231=М[Артикул, марка, произв.])*($D231=М[Хар-ка])*($O231=М[Прим.]),{1},($B231=М[Наим.])*($C231=М[Артикул, марка, произв.])*($D231=М[Хар-ка])*($O231=М[Прим.])),0))</f>
        <v>0</v>
      </c>
    </row>
    <row r="232" spans="1:17" ht="11.1" customHeight="1" outlineLevel="4" x14ac:dyDescent="0.2">
      <c r="A232" s="20"/>
      <c r="B232" s="14" t="s">
        <v>22</v>
      </c>
      <c r="C232" s="21"/>
      <c r="D232" s="21"/>
      <c r="E232" s="21"/>
      <c r="F232" s="21"/>
      <c r="G232" s="21"/>
      <c r="H232" s="21"/>
      <c r="I232" s="21"/>
      <c r="J232" s="21"/>
      <c r="K232" s="21"/>
      <c r="L232" s="21"/>
      <c r="M232" s="61"/>
      <c r="N232" s="62">
        <f>SUM($N$233)</f>
        <v>0</v>
      </c>
      <c r="O232" s="18"/>
      <c r="P232" s="22"/>
    </row>
    <row r="233" spans="1:17" ht="11.1" customHeight="1" outlineLevel="4" x14ac:dyDescent="0.2">
      <c r="A233" s="23"/>
      <c r="B233" s="24" t="s">
        <v>178</v>
      </c>
      <c r="C233" s="25"/>
      <c r="D233" s="25"/>
      <c r="E233" s="26" t="s">
        <v>24</v>
      </c>
      <c r="F233" s="27"/>
      <c r="G233" s="27"/>
      <c r="H233" s="33">
        <v>31.68</v>
      </c>
      <c r="I233" s="27"/>
      <c r="J233" s="30">
        <v>441.6</v>
      </c>
      <c r="K233" s="33">
        <v>343.74</v>
      </c>
      <c r="L233" s="33">
        <f>SUM($G$233:$K$233)</f>
        <v>817.02</v>
      </c>
      <c r="M233" s="28">
        <f t="array" ref="M233">INDEX(Р[Цена за ед., руб],MATCH(1,IF(($B233=Р[Наименование])*($O233=Р[Примечание]),{1},($B233=Р[Наименование])*($O233=Р[Примечание])),0))</f>
        <v>0</v>
      </c>
      <c r="N233" s="28">
        <f>ROUND($L$233*$M$233,2)</f>
        <v>0</v>
      </c>
      <c r="O233" s="25"/>
      <c r="P233" s="25"/>
      <c r="Q233" s="64"/>
    </row>
    <row r="234" spans="1:17" ht="11.1" customHeight="1" outlineLevel="4" x14ac:dyDescent="0.2">
      <c r="A234" s="20"/>
      <c r="B234" s="14" t="s">
        <v>25</v>
      </c>
      <c r="C234" s="21"/>
      <c r="D234" s="21"/>
      <c r="E234" s="21"/>
      <c r="F234" s="21"/>
      <c r="G234" s="21"/>
      <c r="H234" s="21"/>
      <c r="I234" s="21"/>
      <c r="J234" s="21"/>
      <c r="K234" s="21"/>
      <c r="L234" s="21"/>
      <c r="M234" s="61"/>
      <c r="N234" s="62">
        <f>SUM($N$235:$N$237)</f>
        <v>0</v>
      </c>
      <c r="O234" s="18"/>
      <c r="P234" s="22"/>
    </row>
    <row r="235" spans="1:17" ht="35.1" customHeight="1" outlineLevel="4" x14ac:dyDescent="0.2">
      <c r="A235" s="104" t="s">
        <v>26</v>
      </c>
      <c r="B235" s="24" t="s">
        <v>179</v>
      </c>
      <c r="C235" s="25"/>
      <c r="D235" s="25" t="s">
        <v>180</v>
      </c>
      <c r="E235" s="26" t="s">
        <v>29</v>
      </c>
      <c r="F235" s="27"/>
      <c r="G235" s="27"/>
      <c r="H235" s="27"/>
      <c r="I235" s="27"/>
      <c r="J235" s="30">
        <v>382.2</v>
      </c>
      <c r="K235" s="30">
        <v>298.2</v>
      </c>
      <c r="L235" s="30">
        <f>SUM($G$235:$K$235)</f>
        <v>680.4</v>
      </c>
      <c r="M235" s="28">
        <f t="array" ref="M235">INDEX(М[Цена за ед., руб],MATCH(1,IF(($B235=М[Наим.])*($C235=М[Артикул, марка, произв.])*($D235=М[Хар-ка])*($O235=М[Прим.]),{1},($B235=М[Наим.])*($C235=М[Артикул, марка, произв.])*($D235=М[Хар-ка])*($O235=М[Прим.])),0))</f>
        <v>0</v>
      </c>
      <c r="N235" s="28">
        <f>ROUND($L$235*$M$235,2)</f>
        <v>0</v>
      </c>
      <c r="O235" s="25"/>
      <c r="P235" s="25">
        <f t="array" ref="P235">INDEX(М[Форма закупа],MATCH(1,IF(($B235=М[Наим.])*($C235=М[Артикул, марка, произв.])*($D235=М[Хар-ка])*($O235=М[Прим.]),{1},($B235=М[Наим.])*($C235=М[Артикул, марка, произв.])*($D235=М[Хар-ка])*($O235=М[Прим.])),0))</f>
        <v>0</v>
      </c>
    </row>
    <row r="236" spans="1:17" ht="11.1" customHeight="1" outlineLevel="4" x14ac:dyDescent="0.2">
      <c r="A236" s="104" t="s">
        <v>30</v>
      </c>
      <c r="B236" s="24" t="s">
        <v>179</v>
      </c>
      <c r="C236" s="25"/>
      <c r="D236" s="25" t="s">
        <v>227</v>
      </c>
      <c r="E236" s="26" t="s">
        <v>29</v>
      </c>
      <c r="F236" s="27"/>
      <c r="G236" s="27"/>
      <c r="H236" s="27"/>
      <c r="I236" s="27"/>
      <c r="J236" s="30">
        <v>39.6</v>
      </c>
      <c r="K236" s="33">
        <v>30.36</v>
      </c>
      <c r="L236" s="33">
        <f>SUM($G$236:$K$236)</f>
        <v>69.959999999999994</v>
      </c>
      <c r="M236" s="28">
        <f t="array" ref="M236">INDEX(М[Цена за ед., руб],MATCH(1,IF(($B236=М[Наим.])*($C236=М[Артикул, марка, произв.])*($D236=М[Хар-ка])*($O236=М[Прим.]),{1},($B236=М[Наим.])*($C236=М[Артикул, марка, произв.])*($D236=М[Хар-ка])*($O236=М[Прим.])),0))</f>
        <v>0</v>
      </c>
      <c r="N236" s="28">
        <f>ROUND($L$236*$M$236,2)</f>
        <v>0</v>
      </c>
      <c r="O236" s="25"/>
      <c r="P236" s="25">
        <f t="array" ref="P236">INDEX(М[Форма закупа],MATCH(1,IF(($B236=М[Наим.])*($C236=М[Артикул, марка, произв.])*($D236=М[Хар-ка])*($O236=М[Прим.]),{1},($B236=М[Наим.])*($C236=М[Артикул, марка, произв.])*($D236=М[Хар-ка])*($O236=М[Прим.])),0))</f>
        <v>0</v>
      </c>
    </row>
    <row r="237" spans="1:17" ht="11.1" customHeight="1" outlineLevel="4" x14ac:dyDescent="0.2">
      <c r="A237" s="104" t="s">
        <v>32</v>
      </c>
      <c r="B237" s="24" t="s">
        <v>179</v>
      </c>
      <c r="C237" s="25"/>
      <c r="D237" s="25" t="s">
        <v>186</v>
      </c>
      <c r="E237" s="26" t="s">
        <v>29</v>
      </c>
      <c r="F237" s="27"/>
      <c r="G237" s="27"/>
      <c r="H237" s="33">
        <v>31.68</v>
      </c>
      <c r="I237" s="27"/>
      <c r="J237" s="30">
        <v>19.8</v>
      </c>
      <c r="K237" s="33">
        <v>15.18</v>
      </c>
      <c r="L237" s="33">
        <f>SUM($G$237:$K$237)</f>
        <v>66.66</v>
      </c>
      <c r="M237" s="28">
        <f t="array" ref="M237">INDEX(М[Цена за ед., руб],MATCH(1,IF(($B237=М[Наим.])*($C237=М[Артикул, марка, произв.])*($D237=М[Хар-ка])*($O237=М[Прим.]),{1},($B237=М[Наим.])*($C237=М[Артикул, марка, произв.])*($D237=М[Хар-ка])*($O237=М[Прим.])),0))</f>
        <v>0</v>
      </c>
      <c r="N237" s="28">
        <f>ROUND($L$237*$M$237,2)</f>
        <v>0</v>
      </c>
      <c r="O237" s="25"/>
      <c r="P237" s="25">
        <f t="array" ref="P237">INDEX(М[Форма закупа],MATCH(1,IF(($B237=М[Наим.])*($C237=М[Артикул, марка, произв.])*($D237=М[Хар-ка])*($O237=М[Прим.]),{1},($B237=М[Наим.])*($C237=М[Артикул, марка, произв.])*($D237=М[Хар-ка])*($O237=М[Прим.])),0))</f>
        <v>0</v>
      </c>
    </row>
    <row r="238" spans="1:17" ht="11.1" customHeight="1" outlineLevel="2" x14ac:dyDescent="0.2">
      <c r="A238" s="13" t="s">
        <v>228</v>
      </c>
      <c r="B238" s="14" t="s">
        <v>229</v>
      </c>
      <c r="C238" s="15"/>
      <c r="D238" s="15"/>
      <c r="E238" s="16"/>
      <c r="F238" s="17"/>
      <c r="G238" s="18"/>
      <c r="H238" s="18"/>
      <c r="I238" s="18"/>
      <c r="J238" s="18"/>
      <c r="K238" s="18"/>
      <c r="L238" s="18"/>
      <c r="M238" s="60"/>
      <c r="N238" s="60">
        <f>SUM($N$239)</f>
        <v>0</v>
      </c>
      <c r="O238" s="19"/>
      <c r="P238" s="19"/>
    </row>
    <row r="239" spans="1:17" ht="11.1" customHeight="1" outlineLevel="3" x14ac:dyDescent="0.2">
      <c r="A239" s="13" t="s">
        <v>230</v>
      </c>
      <c r="B239" s="14" t="s">
        <v>229</v>
      </c>
      <c r="C239" s="15"/>
      <c r="D239" s="15"/>
      <c r="E239" s="16"/>
      <c r="F239" s="17"/>
      <c r="G239" s="18"/>
      <c r="H239" s="18"/>
      <c r="I239" s="18"/>
      <c r="J239" s="18"/>
      <c r="K239" s="18"/>
      <c r="L239" s="18"/>
      <c r="M239" s="60"/>
      <c r="N239" s="60">
        <f>SUM($N$242,$N$240,N244,N250)</f>
        <v>0</v>
      </c>
      <c r="O239" s="19"/>
      <c r="P239" s="19"/>
    </row>
    <row r="240" spans="1:17" ht="11.1" customHeight="1" outlineLevel="4" x14ac:dyDescent="0.2">
      <c r="A240" s="20"/>
      <c r="B240" s="14" t="s">
        <v>22</v>
      </c>
      <c r="C240" s="21"/>
      <c r="D240" s="21"/>
      <c r="E240" s="21"/>
      <c r="F240" s="21"/>
      <c r="G240" s="21"/>
      <c r="H240" s="21"/>
      <c r="I240" s="21"/>
      <c r="J240" s="21"/>
      <c r="K240" s="21"/>
      <c r="L240" s="21"/>
      <c r="M240" s="61"/>
      <c r="N240" s="62">
        <f>SUM($N$241)</f>
        <v>0</v>
      </c>
      <c r="O240" s="18"/>
      <c r="P240" s="22"/>
    </row>
    <row r="241" spans="1:16" ht="11.1" customHeight="1" outlineLevel="4" x14ac:dyDescent="0.2">
      <c r="A241" s="23"/>
      <c r="B241" s="24" t="s">
        <v>229</v>
      </c>
      <c r="C241" s="25"/>
      <c r="D241" s="25"/>
      <c r="E241" s="26" t="s">
        <v>154</v>
      </c>
      <c r="F241" s="27"/>
      <c r="G241" s="31">
        <v>1</v>
      </c>
      <c r="H241" s="31">
        <v>1</v>
      </c>
      <c r="I241" s="31">
        <v>1</v>
      </c>
      <c r="J241" s="31">
        <v>1</v>
      </c>
      <c r="K241" s="31">
        <v>1</v>
      </c>
      <c r="L241" s="31">
        <f>SUM($G$241:$K$241)</f>
        <v>5</v>
      </c>
      <c r="M241" s="28">
        <f t="array" ref="M241">INDEX(Р[Цена за ед., руб],MATCH(1,IF(($B241=Р[Наименование])*($O241=Р[Примечание]),{1},($B241=Р[Наименование])*($O241=Р[Примечание])),0))</f>
        <v>0</v>
      </c>
      <c r="N241" s="28">
        <f>ROUND($L$241*$M$241,2)</f>
        <v>0</v>
      </c>
      <c r="O241" s="25"/>
      <c r="P241" s="25"/>
    </row>
    <row r="242" spans="1:16" ht="11.1" customHeight="1" outlineLevel="4" x14ac:dyDescent="0.2">
      <c r="A242" s="20"/>
      <c r="B242" s="14" t="s">
        <v>25</v>
      </c>
      <c r="C242" s="21"/>
      <c r="D242" s="21"/>
      <c r="E242" s="21"/>
      <c r="F242" s="21"/>
      <c r="G242" s="21"/>
      <c r="H242" s="21"/>
      <c r="I242" s="21"/>
      <c r="J242" s="21"/>
      <c r="K242" s="21"/>
      <c r="L242" s="21"/>
      <c r="M242" s="61"/>
      <c r="N242" s="62">
        <f>SUM($N$243)</f>
        <v>0</v>
      </c>
      <c r="O242" s="18"/>
      <c r="P242" s="22"/>
    </row>
    <row r="243" spans="1:16" ht="11.1" customHeight="1" outlineLevel="4" x14ac:dyDescent="0.2">
      <c r="A243" s="23" t="s">
        <v>26</v>
      </c>
      <c r="B243" s="24" t="s">
        <v>231</v>
      </c>
      <c r="C243" s="25"/>
      <c r="D243" s="25" t="s">
        <v>232</v>
      </c>
      <c r="E243" s="26" t="s">
        <v>233</v>
      </c>
      <c r="F243" s="27"/>
      <c r="G243" s="33">
        <v>37.14</v>
      </c>
      <c r="H243" s="33">
        <v>178.47</v>
      </c>
      <c r="I243" s="33">
        <v>87.04</v>
      </c>
      <c r="J243" s="33">
        <v>275.45</v>
      </c>
      <c r="K243" s="33">
        <v>191.27</v>
      </c>
      <c r="L243" s="33">
        <f>SUM($G$243:$K$243)</f>
        <v>769.37</v>
      </c>
      <c r="M243" s="28">
        <f t="array" ref="M243">INDEX(М[Цена за ед., руб],MATCH(1,IF(($B243=М[Наим.])*($C243=М[Артикул, марка, произв.])*($D243=М[Хар-ка])*($O243=М[Прим.]),{1},($B243=М[Наим.])*($C243=М[Артикул, марка, произв.])*($D243=М[Хар-ка])*($O243=М[Прим.])),0))</f>
        <v>0</v>
      </c>
      <c r="N243" s="28">
        <f>ROUND($L$243*$M$243,2)</f>
        <v>0</v>
      </c>
      <c r="O243" s="25" t="s">
        <v>234</v>
      </c>
      <c r="P243" s="25">
        <f t="array" ref="P243">INDEX(М[Форма закупа],MATCH(1,IF(($B243=М[Наим.])*($C243=М[Артикул, марка, произв.])*($D243=М[Хар-ка])*($O243=М[Прим.]),{1},($B243=М[Наим.])*($C243=М[Артикул, марка, произв.])*($D243=М[Хар-ка])*($O243=М[Прим.])),0))</f>
        <v>0</v>
      </c>
    </row>
    <row r="244" spans="1:16" ht="11.1" customHeight="1" outlineLevel="4" x14ac:dyDescent="0.2">
      <c r="A244" s="20"/>
      <c r="B244" s="71" t="s">
        <v>25</v>
      </c>
      <c r="C244" s="21"/>
      <c r="D244" s="21"/>
      <c r="E244" s="21"/>
      <c r="F244" s="21"/>
      <c r="G244" s="21"/>
      <c r="H244" s="21"/>
      <c r="I244" s="21"/>
      <c r="J244" s="21"/>
      <c r="K244" s="21"/>
      <c r="L244" s="21"/>
      <c r="M244" s="61"/>
      <c r="N244" s="62">
        <f>SUM(N245:N249)</f>
        <v>0</v>
      </c>
      <c r="O244" s="18"/>
      <c r="P244" s="22"/>
    </row>
    <row r="245" spans="1:16" ht="11.1" customHeight="1" outlineLevel="4" x14ac:dyDescent="0.2">
      <c r="A245" s="104">
        <v>1</v>
      </c>
      <c r="B245" s="69" t="s">
        <v>264</v>
      </c>
      <c r="C245" s="74"/>
      <c r="D245" s="74"/>
      <c r="E245" s="72" t="s">
        <v>189</v>
      </c>
      <c r="F245" s="75"/>
      <c r="G245" s="76"/>
      <c r="H245" s="76"/>
      <c r="I245" s="76"/>
      <c r="J245" s="76"/>
      <c r="K245" s="76"/>
      <c r="L245" s="73">
        <f>Материалы!E116</f>
        <v>0</v>
      </c>
      <c r="M245" s="77"/>
      <c r="N245" s="77">
        <f>ROUND(SUM(N121)*L245%,3)</f>
        <v>0</v>
      </c>
      <c r="O245" s="74" t="s">
        <v>269</v>
      </c>
      <c r="P245" s="25">
        <f t="array" ref="P245">INDEX(М[Форма закупа],MATCH(1,IF(($B245=М[Наим.])*($C245=М[Артикул, марка, произв.])*($D245=М[Хар-ка])*($O245=М[Прим.]),{1},($B245=М[Наим.])*($C245=М[Артикул, марка, произв.])*($D245=М[Хар-ка])*($O245=М[Прим.])),0))</f>
        <v>0</v>
      </c>
    </row>
    <row r="246" spans="1:16" ht="11.1" customHeight="1" outlineLevel="4" x14ac:dyDescent="0.2">
      <c r="A246" s="104">
        <v>2</v>
      </c>
      <c r="B246" s="69" t="s">
        <v>265</v>
      </c>
      <c r="C246" s="74"/>
      <c r="D246" s="74"/>
      <c r="E246" s="72" t="s">
        <v>189</v>
      </c>
      <c r="F246" s="75"/>
      <c r="G246" s="76"/>
      <c r="H246" s="76"/>
      <c r="I246" s="76"/>
      <c r="J246" s="76"/>
      <c r="K246" s="76"/>
      <c r="L246" s="73">
        <f>Материалы!E117</f>
        <v>0</v>
      </c>
      <c r="M246" s="77"/>
      <c r="N246" s="77">
        <f>ROUND(SUM(N130:N137,N165,N220:N222)*L246%,3)</f>
        <v>0</v>
      </c>
      <c r="O246" s="74" t="s">
        <v>269</v>
      </c>
      <c r="P246" s="25">
        <f t="array" ref="P246">INDEX(М[Форма закупа],MATCH(1,IF(($B246=М[Наим.])*($C246=М[Артикул, марка, произв.])*($D246=М[Хар-ка])*($O246=М[Прим.]),{1},($B246=М[Наим.])*($C246=М[Артикул, марка, произв.])*($D246=М[Хар-ка])*($O246=М[Прим.])),0))</f>
        <v>0</v>
      </c>
    </row>
    <row r="247" spans="1:16" ht="11.1" customHeight="1" outlineLevel="4" x14ac:dyDescent="0.2">
      <c r="A247" s="104">
        <v>3</v>
      </c>
      <c r="B247" s="69" t="s">
        <v>266</v>
      </c>
      <c r="C247" s="74"/>
      <c r="D247" s="74"/>
      <c r="E247" s="72" t="s">
        <v>189</v>
      </c>
      <c r="F247" s="75"/>
      <c r="G247" s="76"/>
      <c r="H247" s="76"/>
      <c r="I247" s="76"/>
      <c r="J247" s="76"/>
      <c r="K247" s="76"/>
      <c r="L247" s="73">
        <f>Материалы!E118</f>
        <v>0</v>
      </c>
      <c r="M247" s="77"/>
      <c r="N247" s="77">
        <f>ROUND(SUM(N141)*L247%,3)</f>
        <v>0</v>
      </c>
      <c r="O247" s="74" t="s">
        <v>269</v>
      </c>
      <c r="P247" s="25">
        <f t="array" ref="P247">INDEX(М[Форма закупа],MATCH(1,IF(($B247=М[Наим.])*($C247=М[Артикул, марка, произв.])*($D247=М[Хар-ка])*($O247=М[Прим.]),{1},($B247=М[Наим.])*($C247=М[Артикул, марка, произв.])*($D247=М[Хар-ка])*($O247=М[Прим.])),0))</f>
        <v>0</v>
      </c>
    </row>
    <row r="248" spans="1:16" ht="11.1" customHeight="1" outlineLevel="4" x14ac:dyDescent="0.2">
      <c r="A248" s="104">
        <v>4</v>
      </c>
      <c r="B248" s="69" t="s">
        <v>267</v>
      </c>
      <c r="C248" s="74"/>
      <c r="D248" s="74"/>
      <c r="E248" s="72" t="s">
        <v>189</v>
      </c>
      <c r="F248" s="75"/>
      <c r="G248" s="76"/>
      <c r="H248" s="76"/>
      <c r="I248" s="76"/>
      <c r="J248" s="76"/>
      <c r="K248" s="76"/>
      <c r="L248" s="73">
        <f>Материалы!E119</f>
        <v>0</v>
      </c>
      <c r="M248" s="77"/>
      <c r="N248" s="77">
        <f>ROUND(SUM(N145:N149,N153:N159,N226:N231,N235:N237)*L248%,3)</f>
        <v>0</v>
      </c>
      <c r="O248" s="74" t="s">
        <v>269</v>
      </c>
      <c r="P248" s="25">
        <f t="array" ref="P248">INDEX(М[Форма закупа],MATCH(1,IF(($B248=М[Наим.])*($C248=М[Артикул, марка, произв.])*($D248=М[Хар-ка])*($O248=М[Прим.]),{1},($B248=М[Наим.])*($C248=М[Артикул, марка, произв.])*($D248=М[Хар-ка])*($O248=М[Прим.])),0))</f>
        <v>0</v>
      </c>
    </row>
    <row r="249" spans="1:16" ht="11.1" customHeight="1" outlineLevel="4" x14ac:dyDescent="0.2">
      <c r="A249" s="104">
        <v>5</v>
      </c>
      <c r="B249" s="70" t="s">
        <v>268</v>
      </c>
      <c r="C249" s="74"/>
      <c r="D249" s="74"/>
      <c r="E249" s="72" t="s">
        <v>189</v>
      </c>
      <c r="F249" s="75"/>
      <c r="G249" s="76"/>
      <c r="H249" s="76"/>
      <c r="I249" s="76"/>
      <c r="J249" s="76"/>
      <c r="K249" s="76"/>
      <c r="L249" s="73">
        <f>Материалы!E120</f>
        <v>0</v>
      </c>
      <c r="M249" s="77"/>
      <c r="N249" s="77">
        <f>ROUND(SUM(N15:N43,N47,N51:N54,N58:N61,N65:N69,N73:N74,N78,N82:N87,N91:N96,N100:N101,N105,N109,N113,N117,N121,N125:N126,N130:N137,N141,N145:N149,N153:N159,N164:N168,N178,N182:N184,N188:N191,N195:N197,N201:N203,N207:N214,N220:N222,N226:N231,N235:N237,N243,N251)*L249%,3)</f>
        <v>0</v>
      </c>
      <c r="O249" s="74" t="s">
        <v>269</v>
      </c>
      <c r="P249" s="25">
        <f t="array" ref="P249">INDEX(М[Форма закупа],MATCH(1,IF(($B249=М[Наим.])*($C249=М[Артикул, марка, произв.])*($D249=М[Хар-ка])*($O249=М[Прим.]),{1},($B249=М[Наим.])*($C249=М[Артикул, марка, произв.])*($D249=М[Хар-ка])*($O249=М[Прим.])),0))</f>
        <v>0</v>
      </c>
    </row>
    <row r="250" spans="1:16" ht="11.1" customHeight="1" outlineLevel="4" x14ac:dyDescent="0.2">
      <c r="A250" s="20"/>
      <c r="B250" s="14" t="s">
        <v>25</v>
      </c>
      <c r="C250" s="21"/>
      <c r="D250" s="21"/>
      <c r="E250" s="21"/>
      <c r="F250" s="21"/>
      <c r="G250" s="21"/>
      <c r="H250" s="21"/>
      <c r="I250" s="21"/>
      <c r="J250" s="21"/>
      <c r="K250" s="21"/>
      <c r="L250" s="21"/>
      <c r="M250" s="61"/>
      <c r="N250" s="62">
        <f>SUM($N$251)</f>
        <v>0</v>
      </c>
      <c r="O250" s="18"/>
      <c r="P250" s="22"/>
    </row>
    <row r="251" spans="1:16" ht="11.25" outlineLevel="4" x14ac:dyDescent="0.2">
      <c r="A251" s="23" t="s">
        <v>26</v>
      </c>
      <c r="B251" s="24" t="s">
        <v>187</v>
      </c>
      <c r="C251" s="25"/>
      <c r="D251" s="25" t="s">
        <v>188</v>
      </c>
      <c r="E251" s="26" t="s">
        <v>86</v>
      </c>
      <c r="F251" s="27"/>
      <c r="G251" s="31">
        <v>55</v>
      </c>
      <c r="H251" s="31">
        <v>237</v>
      </c>
      <c r="I251" s="31">
        <v>154</v>
      </c>
      <c r="J251" s="31">
        <v>346</v>
      </c>
      <c r="K251" s="31">
        <v>247</v>
      </c>
      <c r="L251" s="32">
        <f>SUM($G$251:$K$251)</f>
        <v>1039</v>
      </c>
      <c r="M251" s="28">
        <f t="array" ref="M251">INDEX(М[Цена за ед., руб],MATCH(1,IF(($B251=М[Наим.])*($C251=М[Артикул, марка, произв.])*($D251=М[Хар-ка])*($O251=М[Прим.]),{1},($B251=М[Наим.])*($C251=М[Артикул, марка, произв.])*($D251=М[Хар-ка])*($O251=М[Прим.])),0))</f>
        <v>0</v>
      </c>
      <c r="N251" s="28">
        <f>ROUND($L$251*$M$251,2)</f>
        <v>0</v>
      </c>
      <c r="O251" s="25"/>
      <c r="P251" s="25">
        <f t="array" ref="P251">INDEX(М[Форма закупа],MATCH(1,IF(($B251=М[Наим.])*($C251=М[Артикул, марка, произв.])*($D251=М[Хар-ка])*($O251=М[Прим.]),{1},($B251=М[Наим.])*($C251=М[Артикул, марка, произв.])*($D251=М[Хар-ка])*($O251=М[Прим.])),0))</f>
        <v>0</v>
      </c>
    </row>
    <row r="252" spans="1:16" ht="11.1" customHeight="1" outlineLevel="2" x14ac:dyDescent="0.2">
      <c r="A252" s="13" t="s">
        <v>190</v>
      </c>
      <c r="B252" s="14" t="s">
        <v>191</v>
      </c>
      <c r="C252" s="15"/>
      <c r="D252" s="15"/>
      <c r="E252" s="16"/>
      <c r="F252" s="17"/>
      <c r="G252" s="18"/>
      <c r="H252" s="18"/>
      <c r="I252" s="18"/>
      <c r="J252" s="18"/>
      <c r="K252" s="18"/>
      <c r="L252" s="18"/>
      <c r="M252" s="60"/>
      <c r="N252" s="60">
        <f>SUM($N$253)</f>
        <v>0</v>
      </c>
      <c r="O252" s="19"/>
      <c r="P252" s="19"/>
    </row>
    <row r="253" spans="1:16" ht="11.1" customHeight="1" outlineLevel="3" x14ac:dyDescent="0.2">
      <c r="A253" s="13" t="s">
        <v>192</v>
      </c>
      <c r="B253" s="14" t="s">
        <v>191</v>
      </c>
      <c r="C253" s="15"/>
      <c r="D253" s="15"/>
      <c r="E253" s="16"/>
      <c r="F253" s="17"/>
      <c r="G253" s="18"/>
      <c r="H253" s="18"/>
      <c r="I253" s="18"/>
      <c r="J253" s="18"/>
      <c r="K253" s="18"/>
      <c r="L253" s="18"/>
      <c r="M253" s="60"/>
      <c r="N253" s="60">
        <f>SUM($N$254)</f>
        <v>0</v>
      </c>
      <c r="O253" s="19"/>
      <c r="P253" s="19"/>
    </row>
    <row r="254" spans="1:16" ht="11.1" customHeight="1" outlineLevel="4" x14ac:dyDescent="0.2">
      <c r="A254" s="20"/>
      <c r="B254" s="14" t="s">
        <v>22</v>
      </c>
      <c r="C254" s="21"/>
      <c r="D254" s="21"/>
      <c r="E254" s="21"/>
      <c r="F254" s="21"/>
      <c r="G254" s="21"/>
      <c r="H254" s="21"/>
      <c r="I254" s="21"/>
      <c r="J254" s="21"/>
      <c r="K254" s="21"/>
      <c r="L254" s="21"/>
      <c r="M254" s="61"/>
      <c r="N254" s="62">
        <f>SUM($N$255)</f>
        <v>0</v>
      </c>
      <c r="O254" s="18"/>
      <c r="P254" s="22"/>
    </row>
    <row r="255" spans="1:16" ht="35.1" customHeight="1" outlineLevel="4" x14ac:dyDescent="0.2">
      <c r="A255" s="23"/>
      <c r="B255" s="24" t="s">
        <v>193</v>
      </c>
      <c r="C255" s="25"/>
      <c r="D255" s="25"/>
      <c r="E255" s="26" t="s">
        <v>154</v>
      </c>
      <c r="F255" s="27"/>
      <c r="G255" s="31">
        <v>1</v>
      </c>
      <c r="H255" s="31">
        <v>1</v>
      </c>
      <c r="I255" s="31">
        <v>1</v>
      </c>
      <c r="J255" s="31">
        <v>1</v>
      </c>
      <c r="K255" s="31">
        <v>1</v>
      </c>
      <c r="L255" s="31">
        <f>SUM($G$255:$K$255)</f>
        <v>5</v>
      </c>
      <c r="M255" s="28">
        <f t="array" ref="M255">INDEX(Р[Цена за ед., руб],MATCH(1,IF(($B255=Р[Наименование])*($O255=Р[Примечание]),{1},($B255=Р[Наименование])*($O255=Р[Примечание])),0))</f>
        <v>0</v>
      </c>
      <c r="N255" s="28">
        <f>ROUND($L$255*$M$255,2)</f>
        <v>0</v>
      </c>
      <c r="O255" s="25"/>
      <c r="P255" s="25"/>
    </row>
    <row r="256" spans="1:16" ht="11.1" customHeight="1" x14ac:dyDescent="0.2">
      <c r="A256" s="34"/>
      <c r="B256" s="125" t="s">
        <v>235</v>
      </c>
      <c r="C256" s="126"/>
      <c r="D256" s="126"/>
      <c r="E256" s="126"/>
      <c r="F256" s="126"/>
      <c r="G256" s="126"/>
      <c r="H256" s="126"/>
      <c r="I256" s="126"/>
      <c r="J256" s="126"/>
      <c r="K256" s="126"/>
      <c r="L256" s="126"/>
      <c r="M256" s="127"/>
      <c r="N256" s="63">
        <f>$N$9</f>
        <v>0</v>
      </c>
      <c r="O256" s="35"/>
      <c r="P256" s="35"/>
    </row>
    <row r="257" spans="1:142" ht="11.1" customHeight="1" x14ac:dyDescent="0.2">
      <c r="A257" s="34"/>
      <c r="B257" s="128" t="s">
        <v>236</v>
      </c>
      <c r="C257" s="129"/>
      <c r="D257" s="129"/>
      <c r="E257" s="129"/>
      <c r="F257" s="129"/>
      <c r="G257" s="129"/>
      <c r="H257" s="129"/>
      <c r="I257" s="129"/>
      <c r="J257" s="129"/>
      <c r="K257" s="129"/>
      <c r="L257" s="129"/>
      <c r="M257" s="130"/>
      <c r="N257" s="63">
        <f>SUM($N$240,$N$232,$N$223,$N$217,$N$215,$N$204,$N$198,$N$192,$N$185,$N$179,$N$175,$N$173,$N$171,$N$254,$N$150,$N$142,$N$138,$N$127,$N$161,$N$122,$N$118,$N$114,$N$110,$N$106,$N$102,$N$97,$N$88,$N$79,$N$75,$N$70,$N$62,$N$55,$N$48,$N$44,$N$12)</f>
        <v>0</v>
      </c>
      <c r="O257" s="35"/>
      <c r="P257" s="35"/>
    </row>
    <row r="258" spans="1:142" ht="11.1" customHeight="1" x14ac:dyDescent="0.2">
      <c r="A258" s="34"/>
      <c r="B258" s="128" t="s">
        <v>237</v>
      </c>
      <c r="C258" s="129"/>
      <c r="D258" s="129"/>
      <c r="E258" s="129"/>
      <c r="F258" s="129"/>
      <c r="G258" s="129"/>
      <c r="H258" s="129"/>
      <c r="I258" s="129"/>
      <c r="J258" s="129"/>
      <c r="K258" s="129"/>
      <c r="L258" s="129"/>
      <c r="M258" s="130"/>
      <c r="N258" s="63">
        <f>SUM($N$242,$N$234,$N$225,$N$219,$N$206,$N$200,$N$194,$N$187,$N$181,$N$177,$N$250,$N$152,$N$144,$N$140,$N$129,$N$163,$N$124,$N$120,$N$116,$N$112,$N$108,$N$104,$N$99,$N$90,$N$81,$N$77,$N$72,$N$64,$N$57,$N$50,$N$46,$N$14,N244)</f>
        <v>0</v>
      </c>
      <c r="O258" s="35"/>
      <c r="P258" s="35"/>
    </row>
    <row r="259" spans="1:142" ht="11.1" customHeight="1" x14ac:dyDescent="0.2">
      <c r="A259" s="34"/>
      <c r="B259" s="131" t="s">
        <v>271</v>
      </c>
      <c r="C259" s="132"/>
      <c r="D259" s="132"/>
      <c r="E259" s="132"/>
      <c r="F259" s="132"/>
      <c r="G259" s="132"/>
      <c r="H259" s="132"/>
      <c r="I259" s="132"/>
      <c r="J259" s="132"/>
      <c r="K259" s="132"/>
      <c r="L259" s="132"/>
      <c r="M259" s="133"/>
      <c r="N259" s="83"/>
      <c r="O259" s="84" t="s">
        <v>272</v>
      </c>
      <c r="P259" s="35"/>
    </row>
    <row r="260" spans="1:142" ht="11.1" customHeight="1" x14ac:dyDescent="0.2">
      <c r="A260" s="36"/>
      <c r="B260" s="107" t="s">
        <v>238</v>
      </c>
      <c r="C260" s="107"/>
      <c r="D260" s="107"/>
      <c r="E260" s="107"/>
      <c r="F260" s="107"/>
      <c r="G260" s="107"/>
      <c r="H260" s="107"/>
      <c r="I260" s="107"/>
      <c r="J260" s="107"/>
      <c r="K260" s="107"/>
      <c r="L260" s="107"/>
      <c r="M260" s="108"/>
      <c r="N260" s="108"/>
      <c r="O260" s="107"/>
      <c r="P260" s="36"/>
    </row>
    <row r="261" spans="1:142" ht="11.1" customHeight="1" x14ac:dyDescent="0.2">
      <c r="B261" s="120"/>
      <c r="C261" s="120"/>
      <c r="D261" s="120"/>
      <c r="E261" s="120"/>
      <c r="F261" s="120"/>
      <c r="G261" s="120"/>
      <c r="H261" s="120"/>
      <c r="I261" s="120"/>
      <c r="J261" s="120"/>
      <c r="K261" s="120"/>
      <c r="L261" s="120"/>
      <c r="M261" s="121"/>
      <c r="N261" s="121"/>
      <c r="O261" s="120"/>
    </row>
    <row r="262" spans="1:142" s="88" customFormat="1" ht="15" x14ac:dyDescent="0.2">
      <c r="A262" s="85"/>
      <c r="B262" s="86" t="s">
        <v>273</v>
      </c>
      <c r="C262" s="87"/>
      <c r="D262" s="87"/>
      <c r="F262" s="89"/>
      <c r="G262" s="89"/>
      <c r="H262" s="89"/>
      <c r="I262" s="89"/>
      <c r="J262" s="89"/>
      <c r="K262" s="90"/>
      <c r="L262" s="91"/>
      <c r="M262" s="91"/>
      <c r="AM262" s="91"/>
      <c r="AN262" s="91"/>
      <c r="AO262" s="91"/>
      <c r="AP262" s="91"/>
      <c r="AQ262" s="91"/>
      <c r="AR262" s="91"/>
      <c r="AS262" s="91"/>
      <c r="AT262" s="91"/>
      <c r="AU262" s="91"/>
      <c r="AV262" s="91"/>
      <c r="AW262" s="91"/>
      <c r="AX262" s="91"/>
      <c r="AY262" s="91"/>
      <c r="AZ262" s="91"/>
      <c r="BA262" s="91"/>
      <c r="BB262" s="91"/>
      <c r="BC262" s="91"/>
      <c r="BD262" s="91"/>
      <c r="BE262" s="91"/>
      <c r="BF262" s="91"/>
      <c r="BG262" s="91"/>
      <c r="BH262" s="91"/>
      <c r="BI262" s="91"/>
      <c r="BJ262" s="91"/>
      <c r="BK262" s="91"/>
      <c r="BL262" s="91"/>
      <c r="BM262" s="91"/>
      <c r="BN262" s="91"/>
      <c r="BO262" s="91"/>
      <c r="BP262" s="91"/>
      <c r="BQ262" s="91"/>
      <c r="BR262" s="91"/>
      <c r="BS262" s="91"/>
      <c r="BT262" s="91"/>
      <c r="BU262" s="91"/>
      <c r="BV262" s="91"/>
      <c r="BW262" s="91"/>
      <c r="BX262" s="91"/>
      <c r="BY262" s="91"/>
      <c r="BZ262" s="91"/>
      <c r="CA262" s="91"/>
      <c r="CB262" s="91"/>
      <c r="CC262" s="91"/>
      <c r="CD262" s="91"/>
      <c r="CE262" s="91"/>
      <c r="CF262" s="91"/>
      <c r="CG262" s="91"/>
      <c r="CH262" s="91"/>
      <c r="CI262" s="91"/>
      <c r="CJ262" s="91"/>
      <c r="CK262" s="91"/>
      <c r="CL262" s="91"/>
      <c r="CM262" s="91"/>
      <c r="CN262" s="91"/>
      <c r="CO262" s="91"/>
      <c r="CP262" s="91"/>
      <c r="CQ262" s="91"/>
    </row>
    <row r="263" spans="1:142" s="88" customFormat="1" ht="26.25" customHeight="1" x14ac:dyDescent="0.2">
      <c r="A263" s="92" t="s">
        <v>274</v>
      </c>
      <c r="B263" s="113" t="s">
        <v>275</v>
      </c>
      <c r="C263" s="113"/>
      <c r="D263" s="113"/>
      <c r="E263" s="113"/>
      <c r="F263" s="113"/>
      <c r="G263" s="113"/>
      <c r="H263" s="113"/>
      <c r="I263" s="113"/>
      <c r="J263" s="113"/>
      <c r="K263" s="113"/>
      <c r="L263" s="113"/>
      <c r="M263" s="113"/>
      <c r="N263" s="113"/>
      <c r="O263" s="113"/>
      <c r="P263" s="93"/>
      <c r="Q263" s="93"/>
      <c r="R263" s="93"/>
      <c r="S263" s="93"/>
      <c r="T263" s="93"/>
      <c r="U263" s="93"/>
      <c r="V263" s="93"/>
      <c r="W263" s="93"/>
      <c r="X263" s="93"/>
      <c r="Y263" s="93"/>
      <c r="Z263" s="93"/>
      <c r="AA263" s="93"/>
      <c r="AB263" s="93"/>
      <c r="AC263" s="93"/>
      <c r="AD263" s="93"/>
      <c r="AE263" s="93"/>
      <c r="AF263" s="94"/>
      <c r="AG263" s="94"/>
      <c r="AH263" s="94"/>
      <c r="AI263" s="94"/>
      <c r="AJ263" s="94"/>
      <c r="AK263" s="94"/>
      <c r="AL263" s="94"/>
      <c r="AM263" s="95"/>
      <c r="AN263" s="95"/>
      <c r="AO263" s="95"/>
      <c r="AP263" s="95"/>
      <c r="AQ263" s="95"/>
      <c r="AR263" s="95"/>
      <c r="AS263" s="95"/>
      <c r="AT263" s="95"/>
      <c r="AU263" s="95"/>
      <c r="AV263" s="95"/>
      <c r="AW263" s="95"/>
      <c r="AX263" s="95"/>
      <c r="AY263" s="95"/>
      <c r="AZ263" s="95"/>
      <c r="BA263" s="95"/>
      <c r="BB263" s="95"/>
      <c r="BC263" s="95"/>
      <c r="BD263" s="95"/>
      <c r="BE263" s="95"/>
      <c r="BF263" s="95"/>
      <c r="BG263" s="95"/>
      <c r="BH263" s="95"/>
      <c r="BI263" s="95"/>
      <c r="BJ263" s="95"/>
      <c r="BK263" s="95"/>
      <c r="BL263" s="95"/>
      <c r="BM263" s="95"/>
      <c r="BN263" s="95"/>
      <c r="BO263" s="95"/>
      <c r="BP263" s="95"/>
      <c r="BQ263" s="95"/>
      <c r="BR263" s="95"/>
      <c r="BS263" s="95"/>
      <c r="BT263" s="95"/>
      <c r="BU263" s="95"/>
      <c r="BV263" s="95"/>
      <c r="BW263" s="95"/>
      <c r="BX263" s="95"/>
      <c r="BY263" s="95"/>
      <c r="BZ263" s="95"/>
      <c r="CA263" s="95"/>
      <c r="CB263" s="95"/>
      <c r="CC263" s="95"/>
      <c r="CD263" s="95"/>
      <c r="CE263" s="95"/>
      <c r="CF263" s="95"/>
      <c r="CG263" s="95"/>
      <c r="CH263" s="95"/>
      <c r="CI263" s="95"/>
      <c r="CJ263" s="95"/>
      <c r="CK263" s="95"/>
      <c r="CL263" s="95"/>
      <c r="CM263" s="95"/>
      <c r="CN263" s="95"/>
      <c r="CO263" s="95"/>
      <c r="CP263" s="95"/>
      <c r="CQ263" s="95"/>
      <c r="CR263" s="93"/>
      <c r="CS263" s="93"/>
      <c r="CT263" s="93"/>
      <c r="CU263" s="93"/>
      <c r="CV263" s="93"/>
      <c r="CW263" s="93"/>
      <c r="CX263" s="93"/>
      <c r="CY263" s="93"/>
      <c r="CZ263" s="93"/>
      <c r="DA263" s="93"/>
      <c r="DB263" s="93"/>
      <c r="DC263" s="93"/>
      <c r="DD263" s="93"/>
      <c r="DE263" s="93"/>
      <c r="DF263" s="93"/>
      <c r="DG263" s="93"/>
      <c r="DH263" s="93"/>
      <c r="DI263" s="93"/>
      <c r="DJ263" s="93"/>
      <c r="DK263" s="93"/>
      <c r="DL263" s="93"/>
      <c r="DM263" s="93"/>
      <c r="DN263" s="93"/>
      <c r="DO263" s="93"/>
      <c r="DP263" s="93"/>
      <c r="DQ263" s="93"/>
      <c r="DR263" s="93"/>
      <c r="DS263" s="93"/>
      <c r="DT263" s="93"/>
      <c r="DU263" s="93"/>
      <c r="DV263" s="93"/>
      <c r="DW263" s="93"/>
      <c r="DX263" s="93"/>
      <c r="DY263" s="93"/>
      <c r="DZ263" s="93"/>
      <c r="EA263" s="93"/>
      <c r="EB263" s="93"/>
      <c r="EC263" s="93"/>
      <c r="ED263" s="93"/>
      <c r="EE263" s="93"/>
      <c r="EF263" s="93"/>
      <c r="EG263" s="93"/>
      <c r="EH263" s="93"/>
      <c r="EI263" s="93"/>
      <c r="EJ263" s="93"/>
      <c r="EK263" s="93"/>
      <c r="EL263" s="93"/>
    </row>
    <row r="264" spans="1:142" s="98" customFormat="1" ht="15.75" x14ac:dyDescent="0.25">
      <c r="A264" s="96" t="s">
        <v>274</v>
      </c>
      <c r="B264" s="123" t="s">
        <v>276</v>
      </c>
      <c r="C264" s="123"/>
      <c r="D264" s="123"/>
      <c r="E264" s="123"/>
      <c r="F264" s="123"/>
      <c r="G264" s="123"/>
      <c r="H264" s="123"/>
      <c r="I264" s="123"/>
      <c r="J264" s="123"/>
      <c r="K264" s="123"/>
      <c r="L264" s="123"/>
      <c r="M264" s="123"/>
      <c r="N264" s="123"/>
      <c r="O264" s="123"/>
      <c r="P264" s="97"/>
      <c r="Q264" s="97"/>
      <c r="R264" s="97"/>
      <c r="S264" s="97"/>
      <c r="T264" s="97"/>
      <c r="U264" s="97"/>
      <c r="V264" s="97"/>
      <c r="DH264" s="99"/>
    </row>
    <row r="265" spans="1:142" s="88" customFormat="1" ht="36.75" customHeight="1" x14ac:dyDescent="0.2">
      <c r="A265" s="100" t="s">
        <v>274</v>
      </c>
      <c r="B265" s="113" t="s">
        <v>277</v>
      </c>
      <c r="C265" s="113"/>
      <c r="D265" s="113"/>
      <c r="E265" s="113"/>
      <c r="F265" s="113"/>
      <c r="G265" s="113"/>
      <c r="H265" s="113"/>
      <c r="I265" s="113"/>
      <c r="J265" s="113"/>
      <c r="K265" s="113"/>
      <c r="L265" s="113"/>
      <c r="M265" s="113"/>
      <c r="N265" s="113"/>
      <c r="O265" s="113"/>
      <c r="AM265" s="91"/>
      <c r="AN265" s="91"/>
      <c r="AO265" s="91"/>
      <c r="AP265" s="91"/>
      <c r="AQ265" s="91"/>
      <c r="AR265" s="91"/>
      <c r="AS265" s="91"/>
      <c r="AT265" s="91"/>
      <c r="AU265" s="91"/>
      <c r="AV265" s="91"/>
      <c r="AW265" s="91"/>
      <c r="AX265" s="91"/>
      <c r="AY265" s="91"/>
      <c r="AZ265" s="91"/>
      <c r="BA265" s="91"/>
      <c r="BB265" s="91"/>
      <c r="BC265" s="91"/>
      <c r="BD265" s="91"/>
      <c r="BE265" s="91"/>
      <c r="BF265" s="91"/>
      <c r="BG265" s="91"/>
      <c r="BH265" s="91"/>
      <c r="BI265" s="91"/>
      <c r="BJ265" s="91"/>
      <c r="BK265" s="91"/>
      <c r="BL265" s="91"/>
      <c r="BM265" s="91"/>
      <c r="BN265" s="91"/>
      <c r="BO265" s="91"/>
      <c r="BP265" s="91"/>
      <c r="BQ265" s="91"/>
      <c r="BR265" s="91"/>
      <c r="BS265" s="91"/>
      <c r="BT265" s="91"/>
      <c r="BU265" s="91"/>
      <c r="BV265" s="91"/>
      <c r="BW265" s="91"/>
      <c r="BX265" s="91"/>
      <c r="BY265" s="91"/>
      <c r="BZ265" s="91"/>
      <c r="CA265" s="91"/>
      <c r="CB265" s="91"/>
      <c r="CC265" s="91"/>
      <c r="CD265" s="91"/>
      <c r="CE265" s="91"/>
      <c r="CF265" s="91"/>
      <c r="CG265" s="91"/>
      <c r="CH265" s="91"/>
      <c r="CI265" s="91"/>
      <c r="CJ265" s="91"/>
      <c r="CK265" s="91"/>
      <c r="CL265" s="91"/>
      <c r="CM265" s="91"/>
      <c r="CN265" s="91"/>
      <c r="CO265" s="91"/>
      <c r="CP265" s="91"/>
      <c r="CQ265" s="91"/>
    </row>
    <row r="266" spans="1:142" s="88" customFormat="1" ht="49.5" customHeight="1" x14ac:dyDescent="0.2">
      <c r="A266" s="101" t="s">
        <v>274</v>
      </c>
      <c r="B266" s="113" t="s">
        <v>278</v>
      </c>
      <c r="C266" s="113"/>
      <c r="D266" s="113"/>
      <c r="E266" s="113"/>
      <c r="F266" s="113"/>
      <c r="G266" s="113"/>
      <c r="H266" s="113"/>
      <c r="I266" s="113"/>
      <c r="J266" s="113"/>
      <c r="K266" s="113"/>
      <c r="L266" s="113"/>
      <c r="M266" s="113"/>
      <c r="N266" s="113"/>
      <c r="O266" s="113"/>
      <c r="AM266" s="91"/>
      <c r="AN266" s="91"/>
      <c r="AO266" s="91"/>
      <c r="AP266" s="91"/>
      <c r="AQ266" s="91"/>
      <c r="AR266" s="91"/>
      <c r="AS266" s="91"/>
      <c r="AT266" s="91"/>
      <c r="AU266" s="91"/>
      <c r="AV266" s="91"/>
      <c r="AW266" s="91"/>
      <c r="AX266" s="91"/>
      <c r="AY266" s="91"/>
      <c r="AZ266" s="91"/>
      <c r="BA266" s="91"/>
      <c r="BB266" s="91"/>
      <c r="BC266" s="91"/>
      <c r="BD266" s="91"/>
      <c r="BE266" s="91"/>
      <c r="BF266" s="91"/>
      <c r="BG266" s="91"/>
      <c r="BH266" s="91"/>
      <c r="BI266" s="91"/>
      <c r="BJ266" s="91"/>
      <c r="BK266" s="91"/>
      <c r="BL266" s="91"/>
      <c r="BM266" s="91"/>
      <c r="BN266" s="91"/>
      <c r="BO266" s="91"/>
      <c r="BP266" s="91"/>
      <c r="BQ266" s="91"/>
      <c r="BR266" s="91"/>
      <c r="BS266" s="91"/>
      <c r="BT266" s="91"/>
      <c r="BU266" s="91"/>
      <c r="BV266" s="91"/>
      <c r="BW266" s="91"/>
      <c r="BX266" s="91"/>
      <c r="BY266" s="91"/>
      <c r="BZ266" s="91"/>
      <c r="CA266" s="91"/>
      <c r="CB266" s="91"/>
      <c r="CC266" s="91"/>
      <c r="CD266" s="91"/>
      <c r="CE266" s="91"/>
      <c r="CF266" s="91"/>
      <c r="CG266" s="91"/>
      <c r="CH266" s="91"/>
      <c r="CI266" s="91"/>
      <c r="CJ266" s="91"/>
      <c r="CK266" s="91"/>
      <c r="CL266" s="91"/>
      <c r="CM266" s="91"/>
      <c r="CN266" s="91"/>
      <c r="CO266" s="91"/>
      <c r="CP266" s="91"/>
      <c r="CQ266" s="91"/>
    </row>
    <row r="267" spans="1:142" s="88" customFormat="1" ht="33" customHeight="1" x14ac:dyDescent="0.2">
      <c r="A267" s="100" t="s">
        <v>274</v>
      </c>
      <c r="B267" s="113" t="s">
        <v>279</v>
      </c>
      <c r="C267" s="113"/>
      <c r="D267" s="113"/>
      <c r="E267" s="113"/>
      <c r="F267" s="113"/>
      <c r="G267" s="113"/>
      <c r="H267" s="113"/>
      <c r="I267" s="113"/>
      <c r="J267" s="113"/>
      <c r="K267" s="113"/>
      <c r="L267" s="113"/>
      <c r="M267" s="113"/>
      <c r="N267" s="113"/>
      <c r="O267" s="113"/>
      <c r="AM267" s="91"/>
      <c r="AN267" s="91"/>
      <c r="AO267" s="91"/>
      <c r="AP267" s="91"/>
      <c r="AQ267" s="91"/>
      <c r="AR267" s="91"/>
      <c r="AS267" s="91"/>
      <c r="AT267" s="91"/>
      <c r="AU267" s="91"/>
      <c r="AV267" s="91"/>
      <c r="AW267" s="91"/>
      <c r="AX267" s="91"/>
      <c r="AY267" s="91"/>
      <c r="AZ267" s="91"/>
      <c r="BA267" s="91"/>
      <c r="BB267" s="91"/>
      <c r="BC267" s="91"/>
      <c r="BD267" s="91"/>
      <c r="BE267" s="91"/>
      <c r="BF267" s="91"/>
      <c r="BG267" s="91"/>
      <c r="BH267" s="91"/>
      <c r="BI267" s="91"/>
      <c r="BJ267" s="91"/>
      <c r="BK267" s="91"/>
      <c r="BL267" s="91"/>
      <c r="BM267" s="91"/>
      <c r="BN267" s="91"/>
      <c r="BO267" s="91"/>
      <c r="BP267" s="91"/>
      <c r="BQ267" s="91"/>
      <c r="BR267" s="91"/>
      <c r="BS267" s="91"/>
      <c r="BT267" s="91"/>
      <c r="BU267" s="91"/>
      <c r="BV267" s="91"/>
      <c r="BW267" s="91"/>
      <c r="BX267" s="91"/>
      <c r="BY267" s="91"/>
      <c r="BZ267" s="91"/>
      <c r="CA267" s="91"/>
      <c r="CB267" s="91"/>
      <c r="CC267" s="91"/>
      <c r="CD267" s="91"/>
      <c r="CE267" s="91"/>
      <c r="CF267" s="91"/>
      <c r="CG267" s="91"/>
      <c r="CH267" s="91"/>
      <c r="CI267" s="91"/>
      <c r="CJ267" s="91"/>
      <c r="CK267" s="91"/>
      <c r="CL267" s="91"/>
      <c r="CM267" s="91"/>
      <c r="CN267" s="91"/>
      <c r="CO267" s="91"/>
      <c r="CP267" s="91"/>
      <c r="CQ267" s="91"/>
    </row>
    <row r="268" spans="1:142" ht="22.5" customHeight="1" x14ac:dyDescent="0.2">
      <c r="A268" s="102" t="s">
        <v>274</v>
      </c>
      <c r="B268" s="124" t="s">
        <v>280</v>
      </c>
      <c r="C268" s="124"/>
      <c r="D268" s="124"/>
      <c r="E268" s="124"/>
      <c r="F268" s="124"/>
      <c r="G268" s="124"/>
      <c r="H268" s="124"/>
      <c r="I268" s="124"/>
      <c r="J268" s="124"/>
      <c r="K268" s="124"/>
      <c r="L268" s="124"/>
      <c r="M268" s="124"/>
      <c r="N268" s="124"/>
      <c r="O268" s="124"/>
      <c r="P268"/>
    </row>
    <row r="269" spans="1:142" ht="11.45" customHeight="1" x14ac:dyDescent="0.2">
      <c r="B269" s="122" t="s">
        <v>281</v>
      </c>
      <c r="C269" s="122"/>
      <c r="D269" s="122"/>
      <c r="E269" s="122"/>
      <c r="F269" s="122"/>
      <c r="G269" s="122"/>
      <c r="H269" s="122"/>
      <c r="I269" s="122"/>
      <c r="J269" s="122"/>
      <c r="K269" s="122"/>
      <c r="L269" s="122"/>
      <c r="M269" s="122"/>
      <c r="N269" s="122"/>
      <c r="O269" s="122"/>
      <c r="P269" s="122"/>
      <c r="Q269" s="122"/>
      <c r="R269" s="122"/>
      <c r="S269" s="122"/>
    </row>
    <row r="270" spans="1:142" ht="11.45" customHeight="1" x14ac:dyDescent="0.2">
      <c r="O270"/>
      <c r="P270"/>
    </row>
    <row r="271" spans="1:142" ht="11.45" customHeight="1" x14ac:dyDescent="0.2">
      <c r="O271"/>
      <c r="P271"/>
    </row>
    <row r="272" spans="1:142" ht="11.45" customHeight="1" x14ac:dyDescent="0.2">
      <c r="O272"/>
      <c r="P272"/>
    </row>
  </sheetData>
  <autoFilter ref="A7:Q260" xr:uid="{00000000-0001-0000-0000-000000000000}"/>
  <mergeCells count="32">
    <mergeCell ref="B269:S269"/>
    <mergeCell ref="B264:O264"/>
    <mergeCell ref="B265:O265"/>
    <mergeCell ref="B266:O266"/>
    <mergeCell ref="B267:O267"/>
    <mergeCell ref="B268:O268"/>
    <mergeCell ref="B263:O263"/>
    <mergeCell ref="B2:J2"/>
    <mergeCell ref="B3:J3"/>
    <mergeCell ref="B4:J4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B261:O261"/>
    <mergeCell ref="B256:M256"/>
    <mergeCell ref="P6:P7"/>
    <mergeCell ref="B260:O260"/>
    <mergeCell ref="K6:K7"/>
    <mergeCell ref="L6:L7"/>
    <mergeCell ref="M6:M7"/>
    <mergeCell ref="N6:N7"/>
    <mergeCell ref="O6:O7"/>
    <mergeCell ref="B257:M257"/>
    <mergeCell ref="B258:M258"/>
    <mergeCell ref="B259:M259"/>
  </mergeCells>
  <conditionalFormatting sqref="CZ262:DG263 CZ265:DG267">
    <cfRule type="cellIs" dxfId="14" priority="2" operator="lessThan">
      <formula>0</formula>
    </cfRule>
    <cfRule type="cellIs" dxfId="13" priority="3" operator="equal">
      <formula>0</formula>
    </cfRule>
  </conditionalFormatting>
  <conditionalFormatting sqref="DI264:DX264">
    <cfRule type="cellIs" dxfId="12" priority="1" operator="lessThan">
      <formula>0</formula>
    </cfRule>
  </conditionalFormatting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R44"/>
  <sheetViews>
    <sheetView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A39" sqref="A39:N39"/>
    </sheetView>
  </sheetViews>
  <sheetFormatPr defaultColWidth="10.5" defaultRowHeight="11.45" customHeight="1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ht="11.25" x14ac:dyDescent="0.2">
      <c r="A1" s="134" t="s">
        <v>239</v>
      </c>
      <c r="B1" s="134"/>
      <c r="C1" s="134"/>
      <c r="D1" s="134"/>
      <c r="E1" s="134"/>
      <c r="F1" s="134"/>
    </row>
    <row r="3" spans="1:6" ht="11.1" customHeight="1" x14ac:dyDescent="0.2">
      <c r="A3" s="47" t="s">
        <v>3</v>
      </c>
      <c r="B3" s="2" t="s">
        <v>6</v>
      </c>
      <c r="C3" s="2" t="s">
        <v>10</v>
      </c>
      <c r="D3" s="54" t="s">
        <v>11</v>
      </c>
      <c r="E3" s="54" t="s">
        <v>12</v>
      </c>
      <c r="F3" s="48" t="s">
        <v>13</v>
      </c>
    </row>
    <row r="4" spans="1:6" ht="11.1" customHeight="1" x14ac:dyDescent="0.2">
      <c r="A4" s="45" t="s">
        <v>23</v>
      </c>
      <c r="B4" s="37" t="s">
        <v>24</v>
      </c>
      <c r="C4" s="38">
        <v>48830.85</v>
      </c>
      <c r="D4" s="38"/>
      <c r="E4" s="38">
        <f>ROUND(Р[[#This Row],[Количество]]*Р[[#This Row],[Цена за ед., руб]],2)</f>
        <v>0</v>
      </c>
      <c r="F4" s="46"/>
    </row>
    <row r="5" spans="1:6" ht="11.1" customHeight="1" x14ac:dyDescent="0.2">
      <c r="A5" s="45" t="s">
        <v>85</v>
      </c>
      <c r="B5" s="37" t="s">
        <v>86</v>
      </c>
      <c r="C5" s="40">
        <v>106</v>
      </c>
      <c r="D5" s="38"/>
      <c r="E5" s="38">
        <f>ROUND(Р[[#This Row],[Количество]]*Р[[#This Row],[Цена за ед., руб]],2)</f>
        <v>0</v>
      </c>
      <c r="F5" s="46"/>
    </row>
    <row r="6" spans="1:6" ht="11.1" customHeight="1" x14ac:dyDescent="0.2">
      <c r="A6" s="45" t="s">
        <v>89</v>
      </c>
      <c r="B6" s="37" t="s">
        <v>86</v>
      </c>
      <c r="C6" s="40">
        <v>12</v>
      </c>
      <c r="D6" s="38"/>
      <c r="E6" s="38">
        <f>ROUND(Р[[#This Row],[Количество]]*Р[[#This Row],[Цена за ед., руб]],2)</f>
        <v>0</v>
      </c>
      <c r="F6" s="46"/>
    </row>
    <row r="7" spans="1:6" ht="11.1" customHeight="1" x14ac:dyDescent="0.2">
      <c r="A7" s="45" t="s">
        <v>95</v>
      </c>
      <c r="B7" s="37" t="s">
        <v>86</v>
      </c>
      <c r="C7" s="40">
        <v>88</v>
      </c>
      <c r="D7" s="38"/>
      <c r="E7" s="38">
        <f>ROUND(Р[[#This Row],[Количество]]*Р[[#This Row],[Цена за ед., руб]],2)</f>
        <v>0</v>
      </c>
      <c r="F7" s="46"/>
    </row>
    <row r="8" spans="1:6" ht="11.1" customHeight="1" x14ac:dyDescent="0.2">
      <c r="A8" s="45" t="s">
        <v>102</v>
      </c>
      <c r="B8" s="37" t="s">
        <v>86</v>
      </c>
      <c r="C8" s="40">
        <v>12</v>
      </c>
      <c r="D8" s="38"/>
      <c r="E8" s="38">
        <f>ROUND(Р[[#This Row],[Количество]]*Р[[#This Row],[Цена за ед., руб]],2)</f>
        <v>0</v>
      </c>
      <c r="F8" s="46"/>
    </row>
    <row r="9" spans="1:6" ht="11.1" customHeight="1" x14ac:dyDescent="0.2">
      <c r="A9" s="45" t="s">
        <v>109</v>
      </c>
      <c r="B9" s="37" t="s">
        <v>86</v>
      </c>
      <c r="C9" s="40">
        <v>374</v>
      </c>
      <c r="D9" s="38"/>
      <c r="E9" s="38">
        <f>ROUND(Р[[#This Row],[Количество]]*Р[[#This Row],[Цена за ед., руб]],2)</f>
        <v>0</v>
      </c>
      <c r="F9" s="46"/>
    </row>
    <row r="10" spans="1:6" ht="11.1" customHeight="1" x14ac:dyDescent="0.2">
      <c r="A10" s="45" t="s">
        <v>113</v>
      </c>
      <c r="B10" s="37" t="s">
        <v>86</v>
      </c>
      <c r="C10" s="41">
        <v>2078</v>
      </c>
      <c r="D10" s="38"/>
      <c r="E10" s="38">
        <f>ROUND(Р[[#This Row],[Количество]]*Р[[#This Row],[Цена за ед., руб]],2)</f>
        <v>0</v>
      </c>
      <c r="F10" s="46"/>
    </row>
    <row r="11" spans="1:6" ht="11.1" customHeight="1" x14ac:dyDescent="0.2">
      <c r="A11" s="45" t="s">
        <v>116</v>
      </c>
      <c r="B11" s="37" t="s">
        <v>86</v>
      </c>
      <c r="C11" s="41">
        <v>1493</v>
      </c>
      <c r="D11" s="38"/>
      <c r="E11" s="38">
        <f>ROUND(Р[[#This Row],[Количество]]*Р[[#This Row],[Цена за ед., руб]],2)</f>
        <v>0</v>
      </c>
      <c r="F11" s="46"/>
    </row>
    <row r="12" spans="1:6" ht="11.1" customHeight="1" x14ac:dyDescent="0.2">
      <c r="A12" s="45" t="s">
        <v>123</v>
      </c>
      <c r="B12" s="37" t="s">
        <v>86</v>
      </c>
      <c r="C12" s="40">
        <v>86</v>
      </c>
      <c r="D12" s="38"/>
      <c r="E12" s="38">
        <f>ROUND(Р[[#This Row],[Количество]]*Р[[#This Row],[Цена за ед., руб]],2)</f>
        <v>0</v>
      </c>
      <c r="F12" s="46"/>
    </row>
    <row r="13" spans="1:6" ht="11.1" customHeight="1" x14ac:dyDescent="0.2">
      <c r="A13" s="45" t="s">
        <v>130</v>
      </c>
      <c r="B13" s="37" t="s">
        <v>86</v>
      </c>
      <c r="C13" s="40">
        <v>2</v>
      </c>
      <c r="D13" s="38"/>
      <c r="E13" s="38">
        <f>ROUND(Р[[#This Row],[Количество]]*Р[[#This Row],[Цена за ед., руб]],2)</f>
        <v>0</v>
      </c>
      <c r="F13" s="46"/>
    </row>
    <row r="14" spans="1:6" ht="11.1" customHeight="1" x14ac:dyDescent="0.2">
      <c r="A14" s="45" t="s">
        <v>134</v>
      </c>
      <c r="B14" s="37" t="s">
        <v>86</v>
      </c>
      <c r="C14" s="40">
        <v>2</v>
      </c>
      <c r="D14" s="38"/>
      <c r="E14" s="38">
        <f>ROUND(Р[[#This Row],[Количество]]*Р[[#This Row],[Цена за ед., руб]],2)</f>
        <v>0</v>
      </c>
      <c r="F14" s="46"/>
    </row>
    <row r="15" spans="1:6" ht="11.1" customHeight="1" x14ac:dyDescent="0.2">
      <c r="A15" s="45" t="s">
        <v>137</v>
      </c>
      <c r="B15" s="37" t="s">
        <v>86</v>
      </c>
      <c r="C15" s="40">
        <v>22</v>
      </c>
      <c r="D15" s="38"/>
      <c r="E15" s="38">
        <f>ROUND(Р[[#This Row],[Количество]]*Р[[#This Row],[Цена за ед., руб]],2)</f>
        <v>0</v>
      </c>
      <c r="F15" s="46"/>
    </row>
    <row r="16" spans="1:6" ht="23.1" customHeight="1" x14ac:dyDescent="0.2">
      <c r="A16" s="45" t="s">
        <v>140</v>
      </c>
      <c r="B16" s="37" t="s">
        <v>86</v>
      </c>
      <c r="C16" s="40">
        <v>4</v>
      </c>
      <c r="D16" s="38"/>
      <c r="E16" s="38">
        <f>ROUND(Р[[#This Row],[Количество]]*Р[[#This Row],[Цена за ед., руб]],2)</f>
        <v>0</v>
      </c>
      <c r="F16" s="46"/>
    </row>
    <row r="17" spans="1:6" ht="11.1" customHeight="1" x14ac:dyDescent="0.2">
      <c r="A17" s="45" t="s">
        <v>143</v>
      </c>
      <c r="B17" s="37" t="s">
        <v>86</v>
      </c>
      <c r="C17" s="41">
        <v>2087</v>
      </c>
      <c r="D17" s="38"/>
      <c r="E17" s="38">
        <f>ROUND(Р[[#This Row],[Количество]]*Р[[#This Row],[Цена за ед., руб]],2)</f>
        <v>0</v>
      </c>
      <c r="F17" s="46"/>
    </row>
    <row r="18" spans="1:6" ht="11.1" customHeight="1" x14ac:dyDescent="0.2">
      <c r="A18" s="45" t="s">
        <v>146</v>
      </c>
      <c r="B18" s="37" t="s">
        <v>24</v>
      </c>
      <c r="C18" s="38">
        <v>45461.85</v>
      </c>
      <c r="D18" s="38"/>
      <c r="E18" s="38">
        <f>ROUND(Р[[#This Row],[Количество]]*Р[[#This Row],[Цена за ед., руб]],2)</f>
        <v>0</v>
      </c>
      <c r="F18" s="46"/>
    </row>
    <row r="19" spans="1:6" ht="11.1" customHeight="1" x14ac:dyDescent="0.2">
      <c r="A19" s="45" t="s">
        <v>149</v>
      </c>
      <c r="B19" s="37" t="s">
        <v>86</v>
      </c>
      <c r="C19" s="40">
        <v>77</v>
      </c>
      <c r="D19" s="38"/>
      <c r="E19" s="38">
        <f>ROUND(Р[[#This Row],[Количество]]*Р[[#This Row],[Цена за ед., руб]],2)</f>
        <v>0</v>
      </c>
      <c r="F19" s="46"/>
    </row>
    <row r="20" spans="1:6" ht="11.1" customHeight="1" x14ac:dyDescent="0.2">
      <c r="A20" s="45" t="s">
        <v>153</v>
      </c>
      <c r="B20" s="37" t="s">
        <v>154</v>
      </c>
      <c r="C20" s="40">
        <v>5</v>
      </c>
      <c r="D20" s="38"/>
      <c r="E20" s="38">
        <f>ROUND(Р[[#This Row],[Количество]]*Р[[#This Row],[Цена за ед., руб]],2)</f>
        <v>0</v>
      </c>
      <c r="F20" s="46"/>
    </row>
    <row r="21" spans="1:6" ht="11.1" customHeight="1" x14ac:dyDescent="0.2">
      <c r="A21" s="45" t="s">
        <v>159</v>
      </c>
      <c r="B21" s="37" t="s">
        <v>29</v>
      </c>
      <c r="C21" s="38">
        <v>5790.96</v>
      </c>
      <c r="D21" s="38"/>
      <c r="E21" s="38">
        <f>ROUND(Р[[#This Row],[Количество]]*Р[[#This Row],[Цена за ед., руб]],2)</f>
        <v>0</v>
      </c>
      <c r="F21" s="46"/>
    </row>
    <row r="22" spans="1:6" ht="11.1" customHeight="1" x14ac:dyDescent="0.2">
      <c r="A22" s="45" t="s">
        <v>168</v>
      </c>
      <c r="B22" s="37" t="s">
        <v>24</v>
      </c>
      <c r="C22" s="40">
        <v>7</v>
      </c>
      <c r="D22" s="38"/>
      <c r="E22" s="38">
        <f>ROUND(Р[[#This Row],[Количество]]*Р[[#This Row],[Цена за ед., руб]],2)</f>
        <v>0</v>
      </c>
      <c r="F22" s="46"/>
    </row>
    <row r="23" spans="1:6" ht="11.1" customHeight="1" x14ac:dyDescent="0.2">
      <c r="A23" s="45" t="s">
        <v>171</v>
      </c>
      <c r="B23" s="37" t="s">
        <v>24</v>
      </c>
      <c r="C23" s="38">
        <v>1537.79</v>
      </c>
      <c r="D23" s="38"/>
      <c r="E23" s="38">
        <f>ROUND(Р[[#This Row],[Количество]]*Р[[#This Row],[Цена за ед., руб]],2)</f>
        <v>0</v>
      </c>
      <c r="F23" s="46"/>
    </row>
    <row r="24" spans="1:6" ht="11.1" customHeight="1" x14ac:dyDescent="0.2">
      <c r="A24" s="45" t="s">
        <v>178</v>
      </c>
      <c r="B24" s="37" t="s">
        <v>24</v>
      </c>
      <c r="C24" s="42">
        <v>1751.02</v>
      </c>
      <c r="D24" s="38"/>
      <c r="E24" s="38">
        <f>ROUND(Р[[#This Row],[Количество]]*Р[[#This Row],[Цена за ед., руб]],2)</f>
        <v>0</v>
      </c>
      <c r="F24" s="46"/>
    </row>
    <row r="25" spans="1:6" ht="23.1" customHeight="1" x14ac:dyDescent="0.2">
      <c r="A25" s="45" t="s">
        <v>193</v>
      </c>
      <c r="B25" s="37" t="s">
        <v>154</v>
      </c>
      <c r="C25" s="40">
        <v>5</v>
      </c>
      <c r="D25" s="38"/>
      <c r="E25" s="38">
        <f>ROUND(Р[[#This Row],[Количество]]*Р[[#This Row],[Цена за ед., руб]],2)</f>
        <v>0</v>
      </c>
      <c r="F25" s="46"/>
    </row>
    <row r="26" spans="1:6" ht="11.1" customHeight="1" x14ac:dyDescent="0.2">
      <c r="A26" s="45" t="s">
        <v>198</v>
      </c>
      <c r="B26" s="37" t="s">
        <v>86</v>
      </c>
      <c r="C26" s="40">
        <v>584</v>
      </c>
      <c r="D26" s="38"/>
      <c r="E26" s="38">
        <f>ROUND(Р[[#This Row],[Количество]]*Р[[#This Row],[Цена за ед., руб]],2)</f>
        <v>0</v>
      </c>
      <c r="F26" s="46"/>
    </row>
    <row r="27" spans="1:6" ht="11.1" customHeight="1" x14ac:dyDescent="0.2">
      <c r="A27" s="45" t="s">
        <v>199</v>
      </c>
      <c r="B27" s="37" t="s">
        <v>86</v>
      </c>
      <c r="C27" s="40">
        <v>360</v>
      </c>
      <c r="D27" s="38"/>
      <c r="E27" s="38">
        <f>ROUND(Р[[#This Row],[Количество]]*Р[[#This Row],[Цена за ед., руб]],2)</f>
        <v>0</v>
      </c>
      <c r="F27" s="46"/>
    </row>
    <row r="28" spans="1:6" ht="11.1" customHeight="1" x14ac:dyDescent="0.2">
      <c r="A28" s="45" t="s">
        <v>200</v>
      </c>
      <c r="B28" s="37" t="s">
        <v>86</v>
      </c>
      <c r="C28" s="40">
        <v>14</v>
      </c>
      <c r="D28" s="38"/>
      <c r="E28" s="38">
        <f>ROUND(Р[[#This Row],[Количество]]*Р[[#This Row],[Цена за ед., руб]],2)</f>
        <v>0</v>
      </c>
      <c r="F28" s="46"/>
    </row>
    <row r="29" spans="1:6" ht="11.1" customHeight="1" x14ac:dyDescent="0.2">
      <c r="A29" s="45" t="s">
        <v>206</v>
      </c>
      <c r="B29" s="37" t="s">
        <v>86</v>
      </c>
      <c r="C29" s="40">
        <v>23</v>
      </c>
      <c r="D29" s="38"/>
      <c r="E29" s="38">
        <f>ROUND(Р[[#This Row],[Количество]]*Р[[#This Row],[Цена за ед., руб]],2)</f>
        <v>0</v>
      </c>
      <c r="F29" s="46"/>
    </row>
    <row r="30" spans="1:6" ht="11.1" customHeight="1" x14ac:dyDescent="0.2">
      <c r="A30" s="45" t="s">
        <v>215</v>
      </c>
      <c r="B30" s="37" t="s">
        <v>24</v>
      </c>
      <c r="C30" s="38">
        <v>3075.57</v>
      </c>
      <c r="D30" s="38"/>
      <c r="E30" s="38">
        <f>ROUND(Р[[#This Row],[Количество]]*Р[[#This Row],[Цена за ед., руб]],2)</f>
        <v>0</v>
      </c>
      <c r="F30" s="46"/>
    </row>
    <row r="31" spans="1:6" ht="11.1" customHeight="1" x14ac:dyDescent="0.2">
      <c r="A31" s="45" t="s">
        <v>221</v>
      </c>
      <c r="B31" s="37" t="s">
        <v>86</v>
      </c>
      <c r="C31" s="41">
        <v>3132</v>
      </c>
      <c r="D31" s="38"/>
      <c r="E31" s="38">
        <f>ROUND(Р[[#This Row],[Количество]]*Р[[#This Row],[Цена за ед., руб]],2)</f>
        <v>0</v>
      </c>
      <c r="F31" s="46"/>
    </row>
    <row r="32" spans="1:6" ht="11.1" customHeight="1" x14ac:dyDescent="0.2">
      <c r="A32" s="49" t="s">
        <v>229</v>
      </c>
      <c r="B32" s="50" t="s">
        <v>154</v>
      </c>
      <c r="C32" s="51">
        <v>5</v>
      </c>
      <c r="D32" s="38"/>
      <c r="E32" s="55">
        <f>ROUND(Р[[#This Row],[Количество]]*Р[[#This Row],[Цена за ед., руб]],2)</f>
        <v>0</v>
      </c>
      <c r="F32" s="52"/>
    </row>
    <row r="33" spans="1:18" ht="11.45" customHeight="1" x14ac:dyDescent="0.2">
      <c r="A33" s="49" t="s">
        <v>258</v>
      </c>
      <c r="B33" s="50"/>
      <c r="C33" s="53"/>
      <c r="D33" s="55"/>
      <c r="E33" s="55">
        <f>SUBTOTAL(109,Р[Сумма, руб])</f>
        <v>0</v>
      </c>
      <c r="F33" s="52"/>
    </row>
    <row r="34" spans="1:18" ht="11.45" customHeight="1" x14ac:dyDescent="0.2">
      <c r="D34" s="82" t="s">
        <v>270</v>
      </c>
      <c r="E34" s="81">
        <f>ЛСР!N257-Р[[#Totals],[Сумма, руб]]</f>
        <v>0</v>
      </c>
    </row>
    <row r="36" spans="1:18" ht="15" x14ac:dyDescent="0.2">
      <c r="A36" s="86" t="s">
        <v>273</v>
      </c>
      <c r="B36" s="87"/>
      <c r="C36" s="87"/>
      <c r="D36" s="88"/>
      <c r="E36" s="89"/>
      <c r="F36" s="89"/>
      <c r="G36" s="89"/>
      <c r="H36" s="89"/>
      <c r="I36" s="89"/>
      <c r="J36" s="90"/>
      <c r="K36" s="91"/>
      <c r="L36" s="91"/>
      <c r="M36" s="88"/>
      <c r="N36" s="88"/>
      <c r="O36" s="88"/>
      <c r="P36" s="88"/>
      <c r="Q36" s="88"/>
      <c r="R36" s="88"/>
    </row>
    <row r="37" spans="1:18" ht="15" x14ac:dyDescent="0.2">
      <c r="A37" s="113" t="s">
        <v>275</v>
      </c>
      <c r="B37" s="113"/>
      <c r="C37" s="113"/>
      <c r="D37" s="113"/>
      <c r="E37" s="113"/>
      <c r="F37" s="113"/>
      <c r="G37" s="113"/>
      <c r="H37" s="113"/>
      <c r="I37" s="113"/>
      <c r="J37" s="113"/>
      <c r="K37" s="113"/>
      <c r="L37" s="113"/>
      <c r="M37" s="113"/>
      <c r="N37" s="113"/>
      <c r="O37" s="93"/>
      <c r="P37" s="93"/>
      <c r="Q37" s="93"/>
      <c r="R37" s="93"/>
    </row>
    <row r="38" spans="1:18" ht="15.75" x14ac:dyDescent="0.25">
      <c r="A38" s="123" t="s">
        <v>276</v>
      </c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97"/>
      <c r="P38" s="97"/>
      <c r="Q38" s="97"/>
      <c r="R38" s="97"/>
    </row>
    <row r="39" spans="1:18" ht="15" x14ac:dyDescent="0.2">
      <c r="A39" s="113" t="s">
        <v>277</v>
      </c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88"/>
      <c r="P39" s="88"/>
      <c r="Q39" s="88"/>
      <c r="R39" s="88"/>
    </row>
    <row r="40" spans="1:18" ht="15" x14ac:dyDescent="0.2">
      <c r="A40" s="113" t="s">
        <v>278</v>
      </c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88"/>
      <c r="P40" s="88"/>
      <c r="Q40" s="88"/>
      <c r="R40" s="88"/>
    </row>
    <row r="41" spans="1:18" ht="15" x14ac:dyDescent="0.2">
      <c r="A41" s="113" t="s">
        <v>279</v>
      </c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88"/>
      <c r="P41" s="88"/>
      <c r="Q41" s="88"/>
      <c r="R41" s="88"/>
    </row>
    <row r="42" spans="1:18" ht="15.75" x14ac:dyDescent="0.2">
      <c r="A42" s="124" t="s">
        <v>280</v>
      </c>
      <c r="B42" s="124"/>
      <c r="C42" s="124"/>
      <c r="D42" s="124"/>
      <c r="E42" s="124"/>
      <c r="F42" s="124"/>
      <c r="G42" s="124"/>
      <c r="H42" s="124"/>
      <c r="I42" s="124"/>
      <c r="J42" s="124"/>
      <c r="K42" s="124"/>
      <c r="L42" s="124"/>
      <c r="M42" s="124"/>
      <c r="N42" s="124"/>
    </row>
    <row r="43" spans="1:18" ht="15.75" x14ac:dyDescent="0.2">
      <c r="A43" s="122" t="s">
        <v>281</v>
      </c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</row>
    <row r="44" spans="1:18" ht="11.25" x14ac:dyDescent="0.2"/>
  </sheetData>
  <mergeCells count="8">
    <mergeCell ref="A43:R43"/>
    <mergeCell ref="A37:N37"/>
    <mergeCell ref="A38:N38"/>
    <mergeCell ref="A39:N39"/>
    <mergeCell ref="A40:N40"/>
    <mergeCell ref="A41:N41"/>
    <mergeCell ref="A42:N42"/>
    <mergeCell ref="A1:F1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R133"/>
  <sheetViews>
    <sheetView workbookViewId="0">
      <pane xSplit="5" ySplit="3" topLeftCell="F110" activePane="bottomRight" state="frozen"/>
      <selection pane="topRight" activeCell="F1" sqref="F1"/>
      <selection pane="bottomLeft" activeCell="A4" sqref="A4"/>
      <selection pane="bottomRight" activeCell="A137" sqref="A137"/>
    </sheetView>
  </sheetViews>
  <sheetFormatPr defaultColWidth="10.5" defaultRowHeight="11.45" customHeight="1" x14ac:dyDescent="0.2"/>
  <cols>
    <col min="1" max="1" width="51.6640625" style="1" customWidth="1"/>
    <col min="2" max="2" width="26" style="1" customWidth="1"/>
    <col min="3" max="3" width="28.5" style="1" customWidth="1"/>
    <col min="4" max="4" width="10.6640625" style="1" customWidth="1"/>
    <col min="5" max="5" width="14.6640625" style="1" customWidth="1"/>
    <col min="6" max="6" width="18.33203125" style="1" customWidth="1"/>
    <col min="7" max="7" width="17" style="1" customWidth="1"/>
    <col min="8" max="8" width="36.5" style="1" customWidth="1"/>
    <col min="9" max="9" width="23.33203125" style="1" customWidth="1"/>
  </cols>
  <sheetData>
    <row r="1" spans="1:9" ht="11.1" customHeight="1" x14ac:dyDescent="0.2">
      <c r="A1" s="134" t="s">
        <v>240</v>
      </c>
      <c r="B1" s="134"/>
      <c r="C1" s="134"/>
      <c r="D1" s="134"/>
      <c r="E1" s="134"/>
      <c r="F1" s="134"/>
      <c r="G1" s="134"/>
      <c r="H1" s="134"/>
    </row>
    <row r="2" spans="1:9" ht="11.1" customHeight="1" x14ac:dyDescent="0.2"/>
    <row r="3" spans="1:9" ht="23.1" customHeight="1" x14ac:dyDescent="0.2">
      <c r="A3" s="47" t="s">
        <v>241</v>
      </c>
      <c r="B3" s="56" t="s">
        <v>242</v>
      </c>
      <c r="C3" s="48" t="s">
        <v>243</v>
      </c>
      <c r="D3" s="2" t="s">
        <v>6</v>
      </c>
      <c r="E3" s="2" t="s">
        <v>10</v>
      </c>
      <c r="F3" s="54" t="s">
        <v>11</v>
      </c>
      <c r="G3" s="54" t="s">
        <v>12</v>
      </c>
      <c r="H3" s="2" t="s">
        <v>244</v>
      </c>
      <c r="I3" s="48" t="s">
        <v>245</v>
      </c>
    </row>
    <row r="4" spans="1:9" ht="23.1" customHeight="1" x14ac:dyDescent="0.2">
      <c r="A4" s="45" t="s">
        <v>135</v>
      </c>
      <c r="B4" s="39"/>
      <c r="C4" s="39" t="s">
        <v>136</v>
      </c>
      <c r="D4" s="37" t="s">
        <v>86</v>
      </c>
      <c r="E4" s="40">
        <v>2</v>
      </c>
      <c r="F4" s="38"/>
      <c r="G4" s="38">
        <f>ROUND(М[[#This Row],[Количество]]*М[[#This Row],[Цена за ед., руб]],2)</f>
        <v>0</v>
      </c>
      <c r="H4" s="39"/>
      <c r="I4" s="46"/>
    </row>
    <row r="5" spans="1:9" ht="11.1" customHeight="1" x14ac:dyDescent="0.2">
      <c r="A5" s="45" t="s">
        <v>211</v>
      </c>
      <c r="B5" s="39"/>
      <c r="C5" s="39"/>
      <c r="D5" s="37" t="s">
        <v>154</v>
      </c>
      <c r="E5" s="41">
        <v>2086</v>
      </c>
      <c r="F5" s="38"/>
      <c r="G5" s="38">
        <f>ROUND(М[[#This Row],[Количество]]*М[[#This Row],[Цена за ед., руб]],2)</f>
        <v>0</v>
      </c>
      <c r="H5" s="39"/>
      <c r="I5" s="46"/>
    </row>
    <row r="6" spans="1:9" ht="23.1" customHeight="1" x14ac:dyDescent="0.2">
      <c r="A6" s="45" t="s">
        <v>212</v>
      </c>
      <c r="B6" s="39"/>
      <c r="C6" s="39" t="s">
        <v>213</v>
      </c>
      <c r="D6" s="37" t="s">
        <v>86</v>
      </c>
      <c r="E6" s="41">
        <v>2086</v>
      </c>
      <c r="F6" s="38"/>
      <c r="G6" s="38">
        <f>ROUND(М[[#This Row],[Количество]]*М[[#This Row],[Цена за ед., руб]],2)</f>
        <v>0</v>
      </c>
      <c r="H6" s="39"/>
      <c r="I6" s="46"/>
    </row>
    <row r="7" spans="1:9" ht="11.1" customHeight="1" x14ac:dyDescent="0.2">
      <c r="A7" s="45" t="s">
        <v>141</v>
      </c>
      <c r="B7" s="39"/>
      <c r="C7" s="39" t="s">
        <v>142</v>
      </c>
      <c r="D7" s="37" t="s">
        <v>86</v>
      </c>
      <c r="E7" s="40">
        <v>4</v>
      </c>
      <c r="F7" s="38"/>
      <c r="G7" s="38">
        <f>ROUND(М[[#This Row],[Количество]]*М[[#This Row],[Цена за ед., руб]],2)</f>
        <v>0</v>
      </c>
      <c r="H7" s="39"/>
      <c r="I7" s="46"/>
    </row>
    <row r="8" spans="1:9" ht="11.1" customHeight="1" x14ac:dyDescent="0.2">
      <c r="A8" s="45" t="s">
        <v>187</v>
      </c>
      <c r="B8" s="39"/>
      <c r="C8" s="39" t="s">
        <v>188</v>
      </c>
      <c r="D8" s="37" t="s">
        <v>86</v>
      </c>
      <c r="E8" s="41">
        <v>1039</v>
      </c>
      <c r="F8" s="38"/>
      <c r="G8" s="38">
        <f>ROUND(М[[#This Row],[Количество]]*М[[#This Row],[Цена за ед., руб]],2)</f>
        <v>0</v>
      </c>
      <c r="H8" s="39"/>
      <c r="I8" s="46"/>
    </row>
    <row r="9" spans="1:9" ht="23.1" customHeight="1" x14ac:dyDescent="0.2">
      <c r="A9" s="45" t="s">
        <v>144</v>
      </c>
      <c r="B9" s="39"/>
      <c r="C9" s="39" t="s">
        <v>145</v>
      </c>
      <c r="D9" s="37" t="s">
        <v>86</v>
      </c>
      <c r="E9" s="40">
        <v>1</v>
      </c>
      <c r="F9" s="38"/>
      <c r="G9" s="38">
        <f>ROUND(М[[#This Row],[Количество]]*М[[#This Row],[Цена за ед., руб]],2)</f>
        <v>0</v>
      </c>
      <c r="H9" s="39"/>
      <c r="I9" s="46"/>
    </row>
    <row r="10" spans="1:9" ht="23.1" customHeight="1" x14ac:dyDescent="0.2">
      <c r="A10" s="45" t="s">
        <v>144</v>
      </c>
      <c r="B10" s="39"/>
      <c r="C10" s="39" t="s">
        <v>155</v>
      </c>
      <c r="D10" s="37" t="s">
        <v>86</v>
      </c>
      <c r="E10" s="41">
        <v>2086</v>
      </c>
      <c r="F10" s="38"/>
      <c r="G10" s="38">
        <f>ROUND(М[[#This Row],[Количество]]*М[[#This Row],[Цена за ед., руб]],2)</f>
        <v>0</v>
      </c>
      <c r="H10" s="39" t="s">
        <v>214</v>
      </c>
      <c r="I10" s="46"/>
    </row>
    <row r="11" spans="1:9" ht="23.1" customHeight="1" x14ac:dyDescent="0.2">
      <c r="A11" s="45" t="s">
        <v>144</v>
      </c>
      <c r="B11" s="39"/>
      <c r="C11" s="39" t="s">
        <v>155</v>
      </c>
      <c r="D11" s="37" t="s">
        <v>86</v>
      </c>
      <c r="E11" s="40">
        <v>10</v>
      </c>
      <c r="F11" s="38"/>
      <c r="G11" s="38">
        <f>ROUND(М[[#This Row],[Количество]]*М[[#This Row],[Цена за ед., руб]],2)</f>
        <v>0</v>
      </c>
      <c r="H11" s="39"/>
      <c r="I11" s="46"/>
    </row>
    <row r="12" spans="1:9" ht="35.1" customHeight="1" x14ac:dyDescent="0.2">
      <c r="A12" s="45" t="s">
        <v>90</v>
      </c>
      <c r="B12" s="39"/>
      <c r="C12" s="39" t="s">
        <v>91</v>
      </c>
      <c r="D12" s="37" t="s">
        <v>86</v>
      </c>
      <c r="E12" s="40">
        <v>3</v>
      </c>
      <c r="F12" s="38"/>
      <c r="G12" s="38">
        <f>ROUND(М[[#This Row],[Количество]]*М[[#This Row],[Цена за ед., руб]],2)</f>
        <v>0</v>
      </c>
      <c r="H12" s="39"/>
      <c r="I12" s="46"/>
    </row>
    <row r="13" spans="1:9" ht="35.1" customHeight="1" x14ac:dyDescent="0.2">
      <c r="A13" s="45" t="s">
        <v>90</v>
      </c>
      <c r="B13" s="39"/>
      <c r="C13" s="39" t="s">
        <v>92</v>
      </c>
      <c r="D13" s="37" t="s">
        <v>86</v>
      </c>
      <c r="E13" s="40">
        <v>3</v>
      </c>
      <c r="F13" s="38"/>
      <c r="G13" s="38">
        <f>ROUND(М[[#This Row],[Количество]]*М[[#This Row],[Цена за ед., руб]],2)</f>
        <v>0</v>
      </c>
      <c r="H13" s="39"/>
      <c r="I13" s="46"/>
    </row>
    <row r="14" spans="1:9" ht="23.1" customHeight="1" x14ac:dyDescent="0.2">
      <c r="A14" s="45" t="s">
        <v>90</v>
      </c>
      <c r="B14" s="39"/>
      <c r="C14" s="39" t="s">
        <v>93</v>
      </c>
      <c r="D14" s="37" t="s">
        <v>86</v>
      </c>
      <c r="E14" s="40">
        <v>3</v>
      </c>
      <c r="F14" s="38"/>
      <c r="G14" s="38">
        <f>ROUND(М[[#This Row],[Количество]]*М[[#This Row],[Цена за ед., руб]],2)</f>
        <v>0</v>
      </c>
      <c r="H14" s="39"/>
      <c r="I14" s="46"/>
    </row>
    <row r="15" spans="1:9" ht="23.1" customHeight="1" x14ac:dyDescent="0.2">
      <c r="A15" s="45" t="s">
        <v>90</v>
      </c>
      <c r="B15" s="39"/>
      <c r="C15" s="39" t="s">
        <v>94</v>
      </c>
      <c r="D15" s="37" t="s">
        <v>86</v>
      </c>
      <c r="E15" s="40">
        <v>3</v>
      </c>
      <c r="F15" s="38"/>
      <c r="G15" s="38">
        <f>ROUND(М[[#This Row],[Количество]]*М[[#This Row],[Цена за ед., руб]],2)</f>
        <v>0</v>
      </c>
      <c r="H15" s="39"/>
      <c r="I15" s="46"/>
    </row>
    <row r="16" spans="1:9" ht="23.1" customHeight="1" x14ac:dyDescent="0.2">
      <c r="A16" s="45" t="s">
        <v>156</v>
      </c>
      <c r="B16" s="39"/>
      <c r="C16" s="39" t="s">
        <v>160</v>
      </c>
      <c r="D16" s="37" t="s">
        <v>29</v>
      </c>
      <c r="E16" s="40">
        <v>153</v>
      </c>
      <c r="F16" s="38"/>
      <c r="G16" s="38">
        <f>ROUND(М[[#This Row],[Количество]]*М[[#This Row],[Цена за ед., руб]],2)</f>
        <v>0</v>
      </c>
      <c r="H16" s="39"/>
      <c r="I16" s="46"/>
    </row>
    <row r="17" spans="1:9" ht="23.1" customHeight="1" x14ac:dyDescent="0.2">
      <c r="A17" s="45" t="s">
        <v>156</v>
      </c>
      <c r="B17" s="39"/>
      <c r="C17" s="39" t="s">
        <v>161</v>
      </c>
      <c r="D17" s="37" t="s">
        <v>29</v>
      </c>
      <c r="E17" s="40">
        <v>139</v>
      </c>
      <c r="F17" s="38"/>
      <c r="G17" s="38">
        <f>ROUND(М[[#This Row],[Количество]]*М[[#This Row],[Цена за ед., руб]],2)</f>
        <v>0</v>
      </c>
      <c r="H17" s="39"/>
      <c r="I17" s="46"/>
    </row>
    <row r="18" spans="1:9" ht="23.1" customHeight="1" x14ac:dyDescent="0.2">
      <c r="A18" s="45" t="s">
        <v>156</v>
      </c>
      <c r="B18" s="39"/>
      <c r="C18" s="39" t="s">
        <v>162</v>
      </c>
      <c r="D18" s="37" t="s">
        <v>29</v>
      </c>
      <c r="E18" s="40">
        <v>16</v>
      </c>
      <c r="F18" s="38"/>
      <c r="G18" s="38">
        <f>ROUND(М[[#This Row],[Количество]]*М[[#This Row],[Цена за ед., руб]],2)</f>
        <v>0</v>
      </c>
      <c r="H18" s="39"/>
      <c r="I18" s="46"/>
    </row>
    <row r="19" spans="1:9" ht="23.1" customHeight="1" x14ac:dyDescent="0.2">
      <c r="A19" s="45" t="s">
        <v>156</v>
      </c>
      <c r="B19" s="39"/>
      <c r="C19" s="39" t="s">
        <v>157</v>
      </c>
      <c r="D19" s="37" t="s">
        <v>29</v>
      </c>
      <c r="E19" s="38">
        <v>3438.66</v>
      </c>
      <c r="F19" s="38"/>
      <c r="G19" s="38">
        <f>ROUND(М[[#This Row],[Количество]]*М[[#This Row],[Цена за ед., руб]],2)</f>
        <v>0</v>
      </c>
      <c r="H19" s="39" t="s">
        <v>163</v>
      </c>
      <c r="I19" s="46"/>
    </row>
    <row r="20" spans="1:9" ht="23.1" customHeight="1" x14ac:dyDescent="0.2">
      <c r="A20" s="45" t="s">
        <v>156</v>
      </c>
      <c r="B20" s="39"/>
      <c r="C20" s="39" t="s">
        <v>157</v>
      </c>
      <c r="D20" s="37" t="s">
        <v>29</v>
      </c>
      <c r="E20" s="40">
        <v>60</v>
      </c>
      <c r="F20" s="38"/>
      <c r="G20" s="38">
        <f>ROUND(М[[#This Row],[Количество]]*М[[#This Row],[Цена за ед., руб]],2)</f>
        <v>0</v>
      </c>
      <c r="H20" s="39"/>
      <c r="I20" s="46"/>
    </row>
    <row r="21" spans="1:9" ht="23.1" customHeight="1" x14ac:dyDescent="0.2">
      <c r="A21" s="45" t="s">
        <v>156</v>
      </c>
      <c r="B21" s="39"/>
      <c r="C21" s="39" t="s">
        <v>222</v>
      </c>
      <c r="D21" s="37" t="s">
        <v>29</v>
      </c>
      <c r="E21" s="43">
        <v>36.299999999999997</v>
      </c>
      <c r="F21" s="38"/>
      <c r="G21" s="38">
        <f>ROUND(М[[#This Row],[Количество]]*М[[#This Row],[Цена за ед., руб]],2)</f>
        <v>0</v>
      </c>
      <c r="H21" s="39"/>
      <c r="I21" s="46"/>
    </row>
    <row r="22" spans="1:9" ht="23.1" customHeight="1" x14ac:dyDescent="0.2">
      <c r="A22" s="45" t="s">
        <v>156</v>
      </c>
      <c r="B22" s="39"/>
      <c r="C22" s="39" t="s">
        <v>164</v>
      </c>
      <c r="D22" s="37" t="s">
        <v>29</v>
      </c>
      <c r="E22" s="40">
        <v>54</v>
      </c>
      <c r="F22" s="38"/>
      <c r="G22" s="38">
        <f>ROUND(М[[#This Row],[Количество]]*М[[#This Row],[Цена за ед., руб]],2)</f>
        <v>0</v>
      </c>
      <c r="H22" s="39"/>
      <c r="I22" s="46"/>
    </row>
    <row r="23" spans="1:9" ht="23.1" customHeight="1" x14ac:dyDescent="0.2">
      <c r="A23" s="45" t="s">
        <v>156</v>
      </c>
      <c r="B23" s="39"/>
      <c r="C23" s="39" t="s">
        <v>165</v>
      </c>
      <c r="D23" s="37" t="s">
        <v>29</v>
      </c>
      <c r="E23" s="43">
        <v>562.79999999999995</v>
      </c>
      <c r="F23" s="38"/>
      <c r="G23" s="38">
        <f>ROUND(М[[#This Row],[Количество]]*М[[#This Row],[Цена за ед., руб]],2)</f>
        <v>0</v>
      </c>
      <c r="H23" s="39"/>
      <c r="I23" s="46"/>
    </row>
    <row r="24" spans="1:9" ht="23.1" customHeight="1" x14ac:dyDescent="0.2">
      <c r="A24" s="45" t="s">
        <v>156</v>
      </c>
      <c r="B24" s="39"/>
      <c r="C24" s="39" t="s">
        <v>166</v>
      </c>
      <c r="D24" s="37" t="s">
        <v>29</v>
      </c>
      <c r="E24" s="44">
        <v>1253.2</v>
      </c>
      <c r="F24" s="38"/>
      <c r="G24" s="38">
        <f>ROUND(М[[#This Row],[Количество]]*М[[#This Row],[Цена за ед., руб]],2)</f>
        <v>0</v>
      </c>
      <c r="H24" s="39"/>
      <c r="I24" s="46"/>
    </row>
    <row r="25" spans="1:9" ht="23.1" customHeight="1" x14ac:dyDescent="0.2">
      <c r="A25" s="45" t="s">
        <v>156</v>
      </c>
      <c r="B25" s="39"/>
      <c r="C25" s="39" t="s">
        <v>167</v>
      </c>
      <c r="D25" s="37" t="s">
        <v>29</v>
      </c>
      <c r="E25" s="40">
        <v>138</v>
      </c>
      <c r="F25" s="38"/>
      <c r="G25" s="38">
        <f>ROUND(М[[#This Row],[Количество]]*М[[#This Row],[Цена за ед., руб]],2)</f>
        <v>0</v>
      </c>
      <c r="H25" s="39"/>
      <c r="I25" s="46"/>
    </row>
    <row r="26" spans="1:9" ht="23.1" customHeight="1" x14ac:dyDescent="0.2">
      <c r="A26" s="45" t="s">
        <v>172</v>
      </c>
      <c r="B26" s="39"/>
      <c r="C26" s="39" t="s">
        <v>173</v>
      </c>
      <c r="D26" s="37" t="s">
        <v>29</v>
      </c>
      <c r="E26" s="42">
        <v>786.85</v>
      </c>
      <c r="F26" s="38"/>
      <c r="G26" s="38">
        <f>ROUND(М[[#This Row],[Количество]]*М[[#This Row],[Цена за ед., руб]],2)</f>
        <v>0</v>
      </c>
      <c r="H26" s="39"/>
      <c r="I26" s="46"/>
    </row>
    <row r="27" spans="1:9" ht="23.1" customHeight="1" x14ac:dyDescent="0.2">
      <c r="A27" s="45" t="s">
        <v>172</v>
      </c>
      <c r="B27" s="39"/>
      <c r="C27" s="39" t="s">
        <v>174</v>
      </c>
      <c r="D27" s="37" t="s">
        <v>29</v>
      </c>
      <c r="E27" s="42">
        <v>256.35000000000002</v>
      </c>
      <c r="F27" s="38"/>
      <c r="G27" s="38">
        <f>ROUND(М[[#This Row],[Количество]]*М[[#This Row],[Цена за ед., руб]],2)</f>
        <v>0</v>
      </c>
      <c r="H27" s="39"/>
      <c r="I27" s="46"/>
    </row>
    <row r="28" spans="1:9" ht="23.1" customHeight="1" x14ac:dyDescent="0.2">
      <c r="A28" s="45" t="s">
        <v>172</v>
      </c>
      <c r="B28" s="39"/>
      <c r="C28" s="39" t="s">
        <v>175</v>
      </c>
      <c r="D28" s="37" t="s">
        <v>29</v>
      </c>
      <c r="E28" s="42">
        <v>257.75</v>
      </c>
      <c r="F28" s="38"/>
      <c r="G28" s="38">
        <f>ROUND(М[[#This Row],[Количество]]*М[[#This Row],[Цена за ед., руб]],2)</f>
        <v>0</v>
      </c>
      <c r="H28" s="39"/>
      <c r="I28" s="46"/>
    </row>
    <row r="29" spans="1:9" ht="23.1" customHeight="1" x14ac:dyDescent="0.2">
      <c r="A29" s="45" t="s">
        <v>172</v>
      </c>
      <c r="B29" s="39"/>
      <c r="C29" s="39" t="s">
        <v>176</v>
      </c>
      <c r="D29" s="37" t="s">
        <v>29</v>
      </c>
      <c r="E29" s="40">
        <v>108</v>
      </c>
      <c r="F29" s="38"/>
      <c r="G29" s="38">
        <f>ROUND(М[[#This Row],[Количество]]*М[[#This Row],[Цена за ед., руб]],2)</f>
        <v>0</v>
      </c>
      <c r="H29" s="39"/>
      <c r="I29" s="46"/>
    </row>
    <row r="30" spans="1:9" ht="11.1" customHeight="1" x14ac:dyDescent="0.2">
      <c r="A30" s="45" t="s">
        <v>172</v>
      </c>
      <c r="B30" s="39"/>
      <c r="C30" s="39" t="s">
        <v>223</v>
      </c>
      <c r="D30" s="37" t="s">
        <v>29</v>
      </c>
      <c r="E30" s="40">
        <v>30</v>
      </c>
      <c r="F30" s="38"/>
      <c r="G30" s="38">
        <f>ROUND(М[[#This Row],[Количество]]*М[[#This Row],[Цена за ед., руб]],2)</f>
        <v>0</v>
      </c>
      <c r="H30" s="39" t="s">
        <v>224</v>
      </c>
      <c r="I30" s="46"/>
    </row>
    <row r="31" spans="1:9" ht="11.1" customHeight="1" x14ac:dyDescent="0.2">
      <c r="A31" s="45" t="s">
        <v>172</v>
      </c>
      <c r="B31" s="39"/>
      <c r="C31" s="39" t="s">
        <v>225</v>
      </c>
      <c r="D31" s="37" t="s">
        <v>29</v>
      </c>
      <c r="E31" s="40">
        <v>47</v>
      </c>
      <c r="F31" s="38"/>
      <c r="G31" s="38">
        <f>ROUND(М[[#This Row],[Количество]]*М[[#This Row],[Цена за ед., руб]],2)</f>
        <v>0</v>
      </c>
      <c r="H31" s="39" t="s">
        <v>224</v>
      </c>
      <c r="I31" s="46"/>
    </row>
    <row r="32" spans="1:9" ht="11.1" customHeight="1" x14ac:dyDescent="0.2">
      <c r="A32" s="45" t="s">
        <v>172</v>
      </c>
      <c r="B32" s="39"/>
      <c r="C32" s="39" t="s">
        <v>177</v>
      </c>
      <c r="D32" s="37" t="s">
        <v>29</v>
      </c>
      <c r="E32" s="40">
        <v>36</v>
      </c>
      <c r="F32" s="38"/>
      <c r="G32" s="38">
        <f>ROUND(М[[#This Row],[Количество]]*М[[#This Row],[Цена за ед., руб]],2)</f>
        <v>0</v>
      </c>
      <c r="H32" s="39"/>
      <c r="I32" s="46"/>
    </row>
    <row r="33" spans="1:9" ht="11.1" customHeight="1" x14ac:dyDescent="0.2">
      <c r="A33" s="45" t="s">
        <v>179</v>
      </c>
      <c r="B33" s="39"/>
      <c r="C33" s="39" t="s">
        <v>226</v>
      </c>
      <c r="D33" s="37" t="s">
        <v>29</v>
      </c>
      <c r="E33" s="42">
        <v>15.84</v>
      </c>
      <c r="F33" s="38"/>
      <c r="G33" s="38">
        <f>ROUND(М[[#This Row],[Количество]]*М[[#This Row],[Цена за ед., руб]],2)</f>
        <v>0</v>
      </c>
      <c r="H33" s="39"/>
      <c r="I33" s="46"/>
    </row>
    <row r="34" spans="1:9" ht="23.1" customHeight="1" x14ac:dyDescent="0.2">
      <c r="A34" s="45" t="s">
        <v>179</v>
      </c>
      <c r="B34" s="39"/>
      <c r="C34" s="103" t="s">
        <v>180</v>
      </c>
      <c r="D34" s="37" t="s">
        <v>29</v>
      </c>
      <c r="E34" s="43">
        <v>766.4</v>
      </c>
      <c r="F34" s="38"/>
      <c r="G34" s="38">
        <f>ROUND(М[[#This Row],[Количество]]*М[[#This Row],[Цена за ед., руб]],2)</f>
        <v>0</v>
      </c>
      <c r="H34" s="39"/>
      <c r="I34" s="46"/>
    </row>
    <row r="35" spans="1:9" ht="23.1" customHeight="1" x14ac:dyDescent="0.2">
      <c r="A35" s="45" t="s">
        <v>179</v>
      </c>
      <c r="B35" s="39"/>
      <c r="C35" s="103" t="s">
        <v>181</v>
      </c>
      <c r="D35" s="37" t="s">
        <v>29</v>
      </c>
      <c r="E35" s="40">
        <v>798</v>
      </c>
      <c r="F35" s="38"/>
      <c r="G35" s="38">
        <f>ROUND(М[[#This Row],[Количество]]*М[[#This Row],[Цена за ед., руб]],2)</f>
        <v>0</v>
      </c>
      <c r="H35" s="39"/>
      <c r="I35" s="46"/>
    </row>
    <row r="36" spans="1:9" ht="23.1" customHeight="1" x14ac:dyDescent="0.2">
      <c r="A36" s="45" t="s">
        <v>179</v>
      </c>
      <c r="B36" s="39"/>
      <c r="C36" s="103" t="s">
        <v>182</v>
      </c>
      <c r="D36" s="37" t="s">
        <v>29</v>
      </c>
      <c r="E36" s="40">
        <v>13</v>
      </c>
      <c r="F36" s="38"/>
      <c r="G36" s="38">
        <f>ROUND(М[[#This Row],[Количество]]*М[[#This Row],[Цена за ед., руб]],2)</f>
        <v>0</v>
      </c>
      <c r="H36" s="39"/>
      <c r="I36" s="46"/>
    </row>
    <row r="37" spans="1:9" ht="23.1" customHeight="1" x14ac:dyDescent="0.2">
      <c r="A37" s="45" t="s">
        <v>179</v>
      </c>
      <c r="B37" s="39"/>
      <c r="C37" s="103" t="s">
        <v>183</v>
      </c>
      <c r="D37" s="37" t="s">
        <v>29</v>
      </c>
      <c r="E37" s="40">
        <v>15</v>
      </c>
      <c r="F37" s="38"/>
      <c r="G37" s="38">
        <f>ROUND(М[[#This Row],[Количество]]*М[[#This Row],[Цена за ед., руб]],2)</f>
        <v>0</v>
      </c>
      <c r="H37" s="39"/>
      <c r="I37" s="46"/>
    </row>
    <row r="38" spans="1:9" ht="23.1" customHeight="1" x14ac:dyDescent="0.2">
      <c r="A38" s="45" t="s">
        <v>179</v>
      </c>
      <c r="B38" s="39"/>
      <c r="C38" s="103" t="s">
        <v>184</v>
      </c>
      <c r="D38" s="37" t="s">
        <v>29</v>
      </c>
      <c r="E38" s="40">
        <v>13</v>
      </c>
      <c r="F38" s="38"/>
      <c r="G38" s="38">
        <f>ROUND(М[[#This Row],[Количество]]*М[[#This Row],[Цена за ед., руб]],2)</f>
        <v>0</v>
      </c>
      <c r="H38" s="39"/>
      <c r="I38" s="46"/>
    </row>
    <row r="39" spans="1:9" ht="23.1" customHeight="1" x14ac:dyDescent="0.2">
      <c r="A39" s="45" t="s">
        <v>179</v>
      </c>
      <c r="B39" s="39"/>
      <c r="C39" s="103" t="s">
        <v>185</v>
      </c>
      <c r="D39" s="37" t="s">
        <v>29</v>
      </c>
      <c r="E39" s="40">
        <v>5</v>
      </c>
      <c r="F39" s="38"/>
      <c r="G39" s="38">
        <f>ROUND(М[[#This Row],[Количество]]*М[[#This Row],[Цена за ед., руб]],2)</f>
        <v>0</v>
      </c>
      <c r="H39" s="39"/>
      <c r="I39" s="46"/>
    </row>
    <row r="40" spans="1:9" ht="11.1" customHeight="1" x14ac:dyDescent="0.2">
      <c r="A40" s="45" t="s">
        <v>179</v>
      </c>
      <c r="B40" s="39"/>
      <c r="C40" s="39" t="s">
        <v>227</v>
      </c>
      <c r="D40" s="37" t="s">
        <v>29</v>
      </c>
      <c r="E40" s="42">
        <v>69.959999999999994</v>
      </c>
      <c r="F40" s="38"/>
      <c r="G40" s="38">
        <f>ROUND(М[[#This Row],[Количество]]*М[[#This Row],[Цена за ед., руб]],2)</f>
        <v>0</v>
      </c>
      <c r="H40" s="39"/>
      <c r="I40" s="46"/>
    </row>
    <row r="41" spans="1:9" ht="11.1" customHeight="1" x14ac:dyDescent="0.2">
      <c r="A41" s="45" t="s">
        <v>179</v>
      </c>
      <c r="B41" s="39"/>
      <c r="C41" s="39" t="s">
        <v>186</v>
      </c>
      <c r="D41" s="37" t="s">
        <v>29</v>
      </c>
      <c r="E41" s="42">
        <v>70.66</v>
      </c>
      <c r="F41" s="38"/>
      <c r="G41" s="38">
        <f>ROUND(М[[#This Row],[Количество]]*М[[#This Row],[Цена за ед., руб]],2)</f>
        <v>0</v>
      </c>
      <c r="H41" s="39"/>
      <c r="I41" s="46"/>
    </row>
    <row r="42" spans="1:9" ht="23.1" customHeight="1" x14ac:dyDescent="0.2">
      <c r="A42" s="45" t="s">
        <v>201</v>
      </c>
      <c r="B42" s="39"/>
      <c r="C42" s="39" t="s">
        <v>202</v>
      </c>
      <c r="D42" s="37" t="s">
        <v>86</v>
      </c>
      <c r="E42" s="40">
        <v>2</v>
      </c>
      <c r="F42" s="38"/>
      <c r="G42" s="38">
        <f>ROUND(М[[#This Row],[Количество]]*М[[#This Row],[Цена за ед., руб]],2)</f>
        <v>0</v>
      </c>
      <c r="H42" s="39" t="s">
        <v>203</v>
      </c>
      <c r="I42" s="46"/>
    </row>
    <row r="43" spans="1:9" ht="23.1" customHeight="1" x14ac:dyDescent="0.2">
      <c r="A43" s="45" t="s">
        <v>201</v>
      </c>
      <c r="B43" s="39"/>
      <c r="C43" s="39" t="s">
        <v>204</v>
      </c>
      <c r="D43" s="37" t="s">
        <v>86</v>
      </c>
      <c r="E43" s="40">
        <v>7</v>
      </c>
      <c r="F43" s="38"/>
      <c r="G43" s="38">
        <f>ROUND(М[[#This Row],[Количество]]*М[[#This Row],[Цена за ед., руб]],2)</f>
        <v>0</v>
      </c>
      <c r="H43" s="39" t="s">
        <v>203</v>
      </c>
      <c r="I43" s="46"/>
    </row>
    <row r="44" spans="1:9" ht="23.1" customHeight="1" x14ac:dyDescent="0.2">
      <c r="A44" s="45" t="s">
        <v>201</v>
      </c>
      <c r="B44" s="39"/>
      <c r="C44" s="39" t="s">
        <v>205</v>
      </c>
      <c r="D44" s="37" t="s">
        <v>86</v>
      </c>
      <c r="E44" s="40">
        <v>5</v>
      </c>
      <c r="F44" s="38"/>
      <c r="G44" s="38">
        <f>ROUND(М[[#This Row],[Количество]]*М[[#This Row],[Цена за ед., руб]],2)</f>
        <v>0</v>
      </c>
      <c r="H44" s="39" t="s">
        <v>203</v>
      </c>
      <c r="I44" s="46"/>
    </row>
    <row r="45" spans="1:9" ht="23.1" customHeight="1" x14ac:dyDescent="0.2">
      <c r="A45" s="45" t="s">
        <v>207</v>
      </c>
      <c r="B45" s="39"/>
      <c r="C45" s="39" t="s">
        <v>208</v>
      </c>
      <c r="D45" s="37" t="s">
        <v>86</v>
      </c>
      <c r="E45" s="40">
        <v>3</v>
      </c>
      <c r="F45" s="38"/>
      <c r="G45" s="38">
        <f>ROUND(М[[#This Row],[Количество]]*М[[#This Row],[Цена за ед., руб]],2)</f>
        <v>0</v>
      </c>
      <c r="H45" s="39" t="s">
        <v>203</v>
      </c>
      <c r="I45" s="46"/>
    </row>
    <row r="46" spans="1:9" ht="23.1" customHeight="1" x14ac:dyDescent="0.2">
      <c r="A46" s="45" t="s">
        <v>207</v>
      </c>
      <c r="B46" s="39"/>
      <c r="C46" s="39" t="s">
        <v>209</v>
      </c>
      <c r="D46" s="37" t="s">
        <v>86</v>
      </c>
      <c r="E46" s="40">
        <v>11</v>
      </c>
      <c r="F46" s="38"/>
      <c r="G46" s="38">
        <f>ROUND(М[[#This Row],[Количество]]*М[[#This Row],[Цена за ед., руб]],2)</f>
        <v>0</v>
      </c>
      <c r="H46" s="39" t="s">
        <v>203</v>
      </c>
      <c r="I46" s="46"/>
    </row>
    <row r="47" spans="1:9" ht="23.1" customHeight="1" x14ac:dyDescent="0.2">
      <c r="A47" s="45" t="s">
        <v>207</v>
      </c>
      <c r="B47" s="39"/>
      <c r="C47" s="39" t="s">
        <v>210</v>
      </c>
      <c r="D47" s="37" t="s">
        <v>86</v>
      </c>
      <c r="E47" s="40">
        <v>9</v>
      </c>
      <c r="F47" s="38"/>
      <c r="G47" s="38">
        <f>ROUND(М[[#This Row],[Количество]]*М[[#This Row],[Цена за ед., руб]],2)</f>
        <v>0</v>
      </c>
      <c r="H47" s="39" t="s">
        <v>203</v>
      </c>
      <c r="I47" s="46"/>
    </row>
    <row r="48" spans="1:9" ht="11.1" customHeight="1" x14ac:dyDescent="0.2">
      <c r="A48" s="45" t="s">
        <v>114</v>
      </c>
      <c r="B48" s="39"/>
      <c r="C48" s="39" t="s">
        <v>117</v>
      </c>
      <c r="D48" s="37" t="s">
        <v>86</v>
      </c>
      <c r="E48" s="40">
        <v>166</v>
      </c>
      <c r="F48" s="38"/>
      <c r="G48" s="38">
        <f>ROUND(М[[#This Row],[Количество]]*М[[#This Row],[Цена за ед., руб]],2)</f>
        <v>0</v>
      </c>
      <c r="H48" s="39"/>
      <c r="I48" s="46"/>
    </row>
    <row r="49" spans="1:9" ht="11.1" customHeight="1" x14ac:dyDescent="0.2">
      <c r="A49" s="45" t="s">
        <v>114</v>
      </c>
      <c r="B49" s="39"/>
      <c r="C49" s="39" t="s">
        <v>118</v>
      </c>
      <c r="D49" s="37" t="s">
        <v>86</v>
      </c>
      <c r="E49" s="40">
        <v>7</v>
      </c>
      <c r="F49" s="38"/>
      <c r="G49" s="38">
        <f>ROUND(М[[#This Row],[Количество]]*М[[#This Row],[Цена за ед., руб]],2)</f>
        <v>0</v>
      </c>
      <c r="H49" s="39"/>
      <c r="I49" s="46"/>
    </row>
    <row r="50" spans="1:9" ht="11.1" customHeight="1" x14ac:dyDescent="0.2">
      <c r="A50" s="45" t="s">
        <v>114</v>
      </c>
      <c r="B50" s="39"/>
      <c r="C50" s="39" t="s">
        <v>119</v>
      </c>
      <c r="D50" s="37" t="s">
        <v>86</v>
      </c>
      <c r="E50" s="40">
        <v>11</v>
      </c>
      <c r="F50" s="38"/>
      <c r="G50" s="38">
        <f>ROUND(М[[#This Row],[Количество]]*М[[#This Row],[Цена за ед., руб]],2)</f>
        <v>0</v>
      </c>
      <c r="H50" s="39"/>
      <c r="I50" s="46"/>
    </row>
    <row r="51" spans="1:9" ht="11.1" customHeight="1" x14ac:dyDescent="0.2">
      <c r="A51" s="45" t="s">
        <v>114</v>
      </c>
      <c r="B51" s="39"/>
      <c r="C51" s="39" t="s">
        <v>120</v>
      </c>
      <c r="D51" s="37" t="s">
        <v>86</v>
      </c>
      <c r="E51" s="40">
        <v>27</v>
      </c>
      <c r="F51" s="38"/>
      <c r="G51" s="38">
        <f>ROUND(М[[#This Row],[Количество]]*М[[#This Row],[Цена за ед., руб]],2)</f>
        <v>0</v>
      </c>
      <c r="H51" s="39"/>
      <c r="I51" s="46"/>
    </row>
    <row r="52" spans="1:9" ht="11.1" customHeight="1" x14ac:dyDescent="0.2">
      <c r="A52" s="45" t="s">
        <v>114</v>
      </c>
      <c r="B52" s="39"/>
      <c r="C52" s="39" t="s">
        <v>124</v>
      </c>
      <c r="D52" s="37" t="s">
        <v>86</v>
      </c>
      <c r="E52" s="40">
        <v>9</v>
      </c>
      <c r="F52" s="38"/>
      <c r="G52" s="38">
        <f>ROUND(М[[#This Row],[Количество]]*М[[#This Row],[Цена за ед., руб]],2)</f>
        <v>0</v>
      </c>
      <c r="H52" s="39"/>
      <c r="I52" s="46"/>
    </row>
    <row r="53" spans="1:9" ht="23.1" customHeight="1" x14ac:dyDescent="0.2">
      <c r="A53" s="45" t="s">
        <v>114</v>
      </c>
      <c r="B53" s="39"/>
      <c r="C53" s="39" t="s">
        <v>115</v>
      </c>
      <c r="D53" s="37" t="s">
        <v>86</v>
      </c>
      <c r="E53" s="41">
        <v>2078</v>
      </c>
      <c r="F53" s="38"/>
      <c r="G53" s="38">
        <f>ROUND(М[[#This Row],[Количество]]*М[[#This Row],[Цена за ед., руб]],2)</f>
        <v>0</v>
      </c>
      <c r="H53" s="39"/>
      <c r="I53" s="46"/>
    </row>
    <row r="54" spans="1:9" ht="11.1" customHeight="1" x14ac:dyDescent="0.2">
      <c r="A54" s="45" t="s">
        <v>114</v>
      </c>
      <c r="B54" s="39"/>
      <c r="C54" s="39" t="s">
        <v>125</v>
      </c>
      <c r="D54" s="37" t="s">
        <v>86</v>
      </c>
      <c r="E54" s="40">
        <v>1</v>
      </c>
      <c r="F54" s="38"/>
      <c r="G54" s="38">
        <f>ROUND(М[[#This Row],[Количество]]*М[[#This Row],[Цена за ед., руб]],2)</f>
        <v>0</v>
      </c>
      <c r="H54" s="39"/>
      <c r="I54" s="46"/>
    </row>
    <row r="55" spans="1:9" ht="11.1" customHeight="1" x14ac:dyDescent="0.2">
      <c r="A55" s="45" t="s">
        <v>114</v>
      </c>
      <c r="B55" s="39"/>
      <c r="C55" s="39" t="s">
        <v>121</v>
      </c>
      <c r="D55" s="37" t="s">
        <v>86</v>
      </c>
      <c r="E55" s="41">
        <v>1286</v>
      </c>
      <c r="F55" s="38"/>
      <c r="G55" s="38">
        <f>ROUND(М[[#This Row],[Количество]]*М[[#This Row],[Цена за ед., руб]],2)</f>
        <v>0</v>
      </c>
      <c r="H55" s="39"/>
      <c r="I55" s="46"/>
    </row>
    <row r="56" spans="1:9" ht="11.1" customHeight="1" x14ac:dyDescent="0.2">
      <c r="A56" s="45" t="s">
        <v>114</v>
      </c>
      <c r="B56" s="39"/>
      <c r="C56" s="39" t="s">
        <v>126</v>
      </c>
      <c r="D56" s="37" t="s">
        <v>86</v>
      </c>
      <c r="E56" s="40">
        <v>4</v>
      </c>
      <c r="F56" s="38"/>
      <c r="G56" s="38">
        <f>ROUND(М[[#This Row],[Количество]]*М[[#This Row],[Цена за ед., руб]],2)</f>
        <v>0</v>
      </c>
      <c r="H56" s="39"/>
      <c r="I56" s="46"/>
    </row>
    <row r="57" spans="1:9" ht="11.1" customHeight="1" x14ac:dyDescent="0.2">
      <c r="A57" s="45" t="s">
        <v>114</v>
      </c>
      <c r="B57" s="39"/>
      <c r="C57" s="39" t="s">
        <v>127</v>
      </c>
      <c r="D57" s="37" t="s">
        <v>86</v>
      </c>
      <c r="E57" s="40">
        <v>12</v>
      </c>
      <c r="F57" s="38"/>
      <c r="G57" s="38">
        <f>ROUND(М[[#This Row],[Количество]]*М[[#This Row],[Цена за ед., руб]],2)</f>
        <v>0</v>
      </c>
      <c r="H57" s="39"/>
      <c r="I57" s="46"/>
    </row>
    <row r="58" spans="1:9" ht="11.1" customHeight="1" x14ac:dyDescent="0.2">
      <c r="A58" s="45" t="s">
        <v>114</v>
      </c>
      <c r="B58" s="39"/>
      <c r="C58" s="39" t="s">
        <v>122</v>
      </c>
      <c r="D58" s="37" t="s">
        <v>86</v>
      </c>
      <c r="E58" s="40">
        <v>6</v>
      </c>
      <c r="F58" s="38"/>
      <c r="G58" s="38">
        <f>ROUND(М[[#This Row],[Количество]]*М[[#This Row],[Цена за ед., руб]],2)</f>
        <v>0</v>
      </c>
      <c r="H58" s="39"/>
      <c r="I58" s="46"/>
    </row>
    <row r="59" spans="1:9" ht="11.1" customHeight="1" x14ac:dyDescent="0.2">
      <c r="A59" s="45" t="s">
        <v>114</v>
      </c>
      <c r="B59" s="39"/>
      <c r="C59" s="39" t="s">
        <v>128</v>
      </c>
      <c r="D59" s="37" t="s">
        <v>86</v>
      </c>
      <c r="E59" s="40">
        <v>28</v>
      </c>
      <c r="F59" s="38"/>
      <c r="G59" s="38">
        <f>ROUND(М[[#This Row],[Количество]]*М[[#This Row],[Цена за ед., руб]],2)</f>
        <v>0</v>
      </c>
      <c r="H59" s="39"/>
      <c r="I59" s="46"/>
    </row>
    <row r="60" spans="1:9" ht="11.1" customHeight="1" x14ac:dyDescent="0.2">
      <c r="A60" s="45" t="s">
        <v>114</v>
      </c>
      <c r="B60" s="39"/>
      <c r="C60" s="39" t="s">
        <v>129</v>
      </c>
      <c r="D60" s="37" t="s">
        <v>86</v>
      </c>
      <c r="E60" s="40">
        <v>32</v>
      </c>
      <c r="F60" s="38"/>
      <c r="G60" s="38">
        <f>ROUND(М[[#This Row],[Количество]]*М[[#This Row],[Цена за ед., руб]],2)</f>
        <v>0</v>
      </c>
      <c r="H60" s="39"/>
      <c r="I60" s="46"/>
    </row>
    <row r="61" spans="1:9" ht="11.1" customHeight="1" x14ac:dyDescent="0.2">
      <c r="A61" s="45" t="s">
        <v>87</v>
      </c>
      <c r="B61" s="39"/>
      <c r="C61" s="39" t="s">
        <v>88</v>
      </c>
      <c r="D61" s="37" t="s">
        <v>86</v>
      </c>
      <c r="E61" s="40">
        <v>106</v>
      </c>
      <c r="F61" s="38"/>
      <c r="G61" s="38">
        <f>ROUND(М[[#This Row],[Количество]]*М[[#This Row],[Цена за ед., руб]],2)</f>
        <v>0</v>
      </c>
      <c r="H61" s="39"/>
      <c r="I61" s="46"/>
    </row>
    <row r="62" spans="1:9" ht="11.1" customHeight="1" x14ac:dyDescent="0.2">
      <c r="A62" s="45" t="s">
        <v>147</v>
      </c>
      <c r="B62" s="39"/>
      <c r="C62" s="39" t="s">
        <v>148</v>
      </c>
      <c r="D62" s="37" t="s">
        <v>29</v>
      </c>
      <c r="E62" s="38">
        <v>45461.85</v>
      </c>
      <c r="F62" s="38"/>
      <c r="G62" s="38">
        <f>ROUND(М[[#This Row],[Количество]]*М[[#This Row],[Цена за ед., руб]],2)</f>
        <v>0</v>
      </c>
      <c r="H62" s="39"/>
      <c r="I62" s="46"/>
    </row>
    <row r="63" spans="1:9" ht="23.1" customHeight="1" x14ac:dyDescent="0.2">
      <c r="A63" s="45" t="s">
        <v>110</v>
      </c>
      <c r="B63" s="39"/>
      <c r="C63" s="39" t="s">
        <v>111</v>
      </c>
      <c r="D63" s="37" t="s">
        <v>86</v>
      </c>
      <c r="E63" s="40">
        <v>234</v>
      </c>
      <c r="F63" s="38"/>
      <c r="G63" s="38">
        <f>ROUND(М[[#This Row],[Количество]]*М[[#This Row],[Цена за ед., руб]],2)</f>
        <v>0</v>
      </c>
      <c r="H63" s="39"/>
      <c r="I63" s="46"/>
    </row>
    <row r="64" spans="1:9" ht="23.1" customHeight="1" x14ac:dyDescent="0.2">
      <c r="A64" s="45" t="s">
        <v>110</v>
      </c>
      <c r="B64" s="39"/>
      <c r="C64" s="39" t="s">
        <v>112</v>
      </c>
      <c r="D64" s="37" t="s">
        <v>86</v>
      </c>
      <c r="E64" s="40">
        <v>140</v>
      </c>
      <c r="F64" s="38"/>
      <c r="G64" s="38">
        <f>ROUND(М[[#This Row],[Количество]]*М[[#This Row],[Цена за ед., руб]],2)</f>
        <v>0</v>
      </c>
      <c r="H64" s="39"/>
      <c r="I64" s="46"/>
    </row>
    <row r="65" spans="1:9" ht="11.1" customHeight="1" x14ac:dyDescent="0.2">
      <c r="A65" s="45" t="s">
        <v>150</v>
      </c>
      <c r="B65" s="39"/>
      <c r="C65" s="39" t="s">
        <v>151</v>
      </c>
      <c r="D65" s="37" t="s">
        <v>86</v>
      </c>
      <c r="E65" s="40">
        <v>1</v>
      </c>
      <c r="F65" s="38"/>
      <c r="G65" s="38">
        <f>ROUND(М[[#This Row],[Количество]]*М[[#This Row],[Цена за ед., руб]],2)</f>
        <v>0</v>
      </c>
      <c r="H65" s="39"/>
      <c r="I65" s="46"/>
    </row>
    <row r="66" spans="1:9" ht="11.1" customHeight="1" x14ac:dyDescent="0.2">
      <c r="A66" s="45" t="s">
        <v>150</v>
      </c>
      <c r="B66" s="39"/>
      <c r="C66" s="39" t="s">
        <v>152</v>
      </c>
      <c r="D66" s="37" t="s">
        <v>86</v>
      </c>
      <c r="E66" s="40">
        <v>86</v>
      </c>
      <c r="F66" s="38"/>
      <c r="G66" s="38">
        <f>ROUND(М[[#This Row],[Количество]]*М[[#This Row],[Цена за ед., руб]],2)</f>
        <v>0</v>
      </c>
      <c r="H66" s="39"/>
      <c r="I66" s="46"/>
    </row>
    <row r="67" spans="1:9" ht="11.1" customHeight="1" x14ac:dyDescent="0.2">
      <c r="A67" s="45" t="s">
        <v>158</v>
      </c>
      <c r="B67" s="39"/>
      <c r="C67" s="39" t="s">
        <v>152</v>
      </c>
      <c r="D67" s="37" t="s">
        <v>86</v>
      </c>
      <c r="E67" s="40">
        <v>10</v>
      </c>
      <c r="F67" s="38"/>
      <c r="G67" s="38">
        <f>ROUND(М[[#This Row],[Количество]]*М[[#This Row],[Цена за ед., руб]],2)</f>
        <v>0</v>
      </c>
      <c r="H67" s="39"/>
      <c r="I67" s="46"/>
    </row>
    <row r="68" spans="1:9" ht="11.1" customHeight="1" x14ac:dyDescent="0.2">
      <c r="A68" s="45" t="s">
        <v>131</v>
      </c>
      <c r="B68" s="39"/>
      <c r="C68" s="39" t="s">
        <v>132</v>
      </c>
      <c r="D68" s="37" t="s">
        <v>86</v>
      </c>
      <c r="E68" s="40">
        <v>1</v>
      </c>
      <c r="F68" s="38"/>
      <c r="G68" s="38">
        <f>ROUND(М[[#This Row],[Количество]]*М[[#This Row],[Цена за ед., руб]],2)</f>
        <v>0</v>
      </c>
      <c r="H68" s="39"/>
      <c r="I68" s="46"/>
    </row>
    <row r="69" spans="1:9" ht="23.1" customHeight="1" x14ac:dyDescent="0.2">
      <c r="A69" s="45" t="s">
        <v>131</v>
      </c>
      <c r="B69" s="39"/>
      <c r="C69" s="39" t="s">
        <v>133</v>
      </c>
      <c r="D69" s="37" t="s">
        <v>86</v>
      </c>
      <c r="E69" s="40">
        <v>1</v>
      </c>
      <c r="F69" s="38"/>
      <c r="G69" s="38">
        <f>ROUND(М[[#This Row],[Количество]]*М[[#This Row],[Цена за ед., руб]],2)</f>
        <v>0</v>
      </c>
      <c r="H69" s="39"/>
      <c r="I69" s="46"/>
    </row>
    <row r="70" spans="1:9" ht="11.1" customHeight="1" x14ac:dyDescent="0.2">
      <c r="A70" s="45" t="s">
        <v>231</v>
      </c>
      <c r="B70" s="39"/>
      <c r="C70" s="39" t="s">
        <v>232</v>
      </c>
      <c r="D70" s="37" t="s">
        <v>233</v>
      </c>
      <c r="E70" s="42">
        <v>769.37</v>
      </c>
      <c r="F70" s="38"/>
      <c r="G70" s="38">
        <f>ROUND(М[[#This Row],[Количество]]*М[[#This Row],[Цена за ед., руб]],2)</f>
        <v>0</v>
      </c>
      <c r="H70" s="39" t="s">
        <v>234</v>
      </c>
      <c r="I70" s="46"/>
    </row>
    <row r="71" spans="1:9" ht="23.1" customHeight="1" x14ac:dyDescent="0.2">
      <c r="A71" s="45" t="s">
        <v>138</v>
      </c>
      <c r="B71" s="39"/>
      <c r="C71" s="39" t="s">
        <v>139</v>
      </c>
      <c r="D71" s="37" t="s">
        <v>86</v>
      </c>
      <c r="E71" s="40">
        <v>22</v>
      </c>
      <c r="F71" s="38"/>
      <c r="G71" s="38">
        <f>ROUND(М[[#This Row],[Количество]]*М[[#This Row],[Цена за ед., руб]],2)</f>
        <v>0</v>
      </c>
      <c r="H71" s="39"/>
      <c r="I71" s="46"/>
    </row>
    <row r="72" spans="1:9" ht="11.1" customHeight="1" x14ac:dyDescent="0.2">
      <c r="A72" s="45" t="s">
        <v>96</v>
      </c>
      <c r="B72" s="39"/>
      <c r="C72" s="39" t="s">
        <v>103</v>
      </c>
      <c r="D72" s="37" t="s">
        <v>86</v>
      </c>
      <c r="E72" s="40">
        <v>4</v>
      </c>
      <c r="F72" s="38"/>
      <c r="G72" s="38">
        <f>ROUND(М[[#This Row],[Количество]]*М[[#This Row],[Цена за ед., руб]],2)</f>
        <v>0</v>
      </c>
      <c r="H72" s="39"/>
      <c r="I72" s="46"/>
    </row>
    <row r="73" spans="1:9" ht="11.1" customHeight="1" x14ac:dyDescent="0.2">
      <c r="A73" s="45" t="s">
        <v>96</v>
      </c>
      <c r="B73" s="39"/>
      <c r="C73" s="39" t="s">
        <v>97</v>
      </c>
      <c r="D73" s="37" t="s">
        <v>86</v>
      </c>
      <c r="E73" s="40">
        <v>6</v>
      </c>
      <c r="F73" s="38"/>
      <c r="G73" s="38">
        <f>ROUND(М[[#This Row],[Количество]]*М[[#This Row],[Цена за ед., руб]],2)</f>
        <v>0</v>
      </c>
      <c r="H73" s="39"/>
      <c r="I73" s="46"/>
    </row>
    <row r="74" spans="1:9" ht="11.1" customHeight="1" x14ac:dyDescent="0.2">
      <c r="A74" s="45" t="s">
        <v>96</v>
      </c>
      <c r="B74" s="39"/>
      <c r="C74" s="39" t="s">
        <v>98</v>
      </c>
      <c r="D74" s="37" t="s">
        <v>86</v>
      </c>
      <c r="E74" s="40">
        <v>5</v>
      </c>
      <c r="F74" s="38"/>
      <c r="G74" s="38">
        <f>ROUND(М[[#This Row],[Количество]]*М[[#This Row],[Цена за ед., руб]],2)</f>
        <v>0</v>
      </c>
      <c r="H74" s="39"/>
      <c r="I74" s="46"/>
    </row>
    <row r="75" spans="1:9" ht="11.1" customHeight="1" x14ac:dyDescent="0.2">
      <c r="A75" s="45" t="s">
        <v>96</v>
      </c>
      <c r="B75" s="39"/>
      <c r="C75" s="39" t="s">
        <v>99</v>
      </c>
      <c r="D75" s="37" t="s">
        <v>86</v>
      </c>
      <c r="E75" s="40">
        <v>1</v>
      </c>
      <c r="F75" s="38"/>
      <c r="G75" s="38">
        <f>ROUND(М[[#This Row],[Количество]]*М[[#This Row],[Цена за ед., руб]],2)</f>
        <v>0</v>
      </c>
      <c r="H75" s="39"/>
      <c r="I75" s="46"/>
    </row>
    <row r="76" spans="1:9" ht="23.1" customHeight="1" x14ac:dyDescent="0.2">
      <c r="A76" s="45" t="s">
        <v>104</v>
      </c>
      <c r="B76" s="39"/>
      <c r="C76" s="39" t="s">
        <v>105</v>
      </c>
      <c r="D76" s="37" t="s">
        <v>86</v>
      </c>
      <c r="E76" s="40">
        <v>2</v>
      </c>
      <c r="F76" s="38"/>
      <c r="G76" s="38">
        <f>ROUND(М[[#This Row],[Количество]]*М[[#This Row],[Цена за ед., руб]],2)</f>
        <v>0</v>
      </c>
      <c r="H76" s="39"/>
      <c r="I76" s="46"/>
    </row>
    <row r="77" spans="1:9" ht="11.1" customHeight="1" x14ac:dyDescent="0.2">
      <c r="A77" s="45" t="s">
        <v>104</v>
      </c>
      <c r="B77" s="39"/>
      <c r="C77" s="39" t="s">
        <v>106</v>
      </c>
      <c r="D77" s="37" t="s">
        <v>86</v>
      </c>
      <c r="E77" s="40">
        <v>3</v>
      </c>
      <c r="F77" s="38"/>
      <c r="G77" s="38">
        <f>ROUND(М[[#This Row],[Количество]]*М[[#This Row],[Цена за ед., руб]],2)</f>
        <v>0</v>
      </c>
      <c r="H77" s="39"/>
      <c r="I77" s="46"/>
    </row>
    <row r="78" spans="1:9" ht="11.1" customHeight="1" x14ac:dyDescent="0.2">
      <c r="A78" s="45" t="s">
        <v>104</v>
      </c>
      <c r="B78" s="39"/>
      <c r="C78" s="39" t="s">
        <v>107</v>
      </c>
      <c r="D78" s="37" t="s">
        <v>86</v>
      </c>
      <c r="E78" s="40">
        <v>2</v>
      </c>
      <c r="F78" s="38"/>
      <c r="G78" s="38">
        <f>ROUND(М[[#This Row],[Количество]]*М[[#This Row],[Цена за ед., руб]],2)</f>
        <v>0</v>
      </c>
      <c r="H78" s="39"/>
      <c r="I78" s="46"/>
    </row>
    <row r="79" spans="1:9" ht="23.1" customHeight="1" x14ac:dyDescent="0.2">
      <c r="A79" s="45" t="s">
        <v>104</v>
      </c>
      <c r="B79" s="39"/>
      <c r="C79" s="39" t="s">
        <v>108</v>
      </c>
      <c r="D79" s="37" t="s">
        <v>86</v>
      </c>
      <c r="E79" s="40">
        <v>1</v>
      </c>
      <c r="F79" s="38"/>
      <c r="G79" s="38">
        <f>ROUND(М[[#This Row],[Количество]]*М[[#This Row],[Цена за ед., руб]],2)</f>
        <v>0</v>
      </c>
      <c r="H79" s="39"/>
      <c r="I79" s="46"/>
    </row>
    <row r="80" spans="1:9" ht="23.1" customHeight="1" x14ac:dyDescent="0.2">
      <c r="A80" s="45" t="s">
        <v>100</v>
      </c>
      <c r="B80" s="39"/>
      <c r="C80" s="39" t="s">
        <v>101</v>
      </c>
      <c r="D80" s="37" t="s">
        <v>86</v>
      </c>
      <c r="E80" s="40">
        <v>76</v>
      </c>
      <c r="F80" s="38"/>
      <c r="G80" s="38">
        <f>ROUND(М[[#This Row],[Количество]]*М[[#This Row],[Цена за ед., руб]],2)</f>
        <v>0</v>
      </c>
      <c r="H80" s="39"/>
      <c r="I80" s="46"/>
    </row>
    <row r="81" spans="1:9" ht="11.1" customHeight="1" x14ac:dyDescent="0.2">
      <c r="A81" s="45" t="s">
        <v>169</v>
      </c>
      <c r="B81" s="39"/>
      <c r="C81" s="39" t="s">
        <v>170</v>
      </c>
      <c r="D81" s="37" t="s">
        <v>29</v>
      </c>
      <c r="E81" s="40">
        <v>7</v>
      </c>
      <c r="F81" s="38"/>
      <c r="G81" s="38">
        <f>ROUND(М[[#This Row],[Количество]]*М[[#This Row],[Цена за ед., руб]],2)</f>
        <v>0</v>
      </c>
      <c r="H81" s="39"/>
      <c r="I81" s="46"/>
    </row>
    <row r="82" spans="1:9" ht="23.1" customHeight="1" x14ac:dyDescent="0.2">
      <c r="A82" s="45" t="s">
        <v>27</v>
      </c>
      <c r="B82" s="39"/>
      <c r="C82" s="39" t="s">
        <v>28</v>
      </c>
      <c r="D82" s="37" t="s">
        <v>29</v>
      </c>
      <c r="E82" s="43">
        <v>78.5</v>
      </c>
      <c r="F82" s="38"/>
      <c r="G82" s="38">
        <f>ROUND(М[[#This Row],[Количество]]*М[[#This Row],[Цена за ед., руб]],2)</f>
        <v>0</v>
      </c>
      <c r="H82" s="39"/>
      <c r="I82" s="46"/>
    </row>
    <row r="83" spans="1:9" ht="23.1" customHeight="1" x14ac:dyDescent="0.2">
      <c r="A83" s="45" t="s">
        <v>27</v>
      </c>
      <c r="B83" s="39"/>
      <c r="C83" s="39" t="s">
        <v>31</v>
      </c>
      <c r="D83" s="37" t="s">
        <v>29</v>
      </c>
      <c r="E83" s="40">
        <v>468</v>
      </c>
      <c r="F83" s="38"/>
      <c r="G83" s="38">
        <f>ROUND(М[[#This Row],[Количество]]*М[[#This Row],[Цена за ед., руб]],2)</f>
        <v>0</v>
      </c>
      <c r="H83" s="39"/>
      <c r="I83" s="46"/>
    </row>
    <row r="84" spans="1:9" ht="23.1" customHeight="1" x14ac:dyDescent="0.2">
      <c r="A84" s="45" t="s">
        <v>27</v>
      </c>
      <c r="B84" s="39"/>
      <c r="C84" s="39" t="s">
        <v>33</v>
      </c>
      <c r="D84" s="37" t="s">
        <v>29</v>
      </c>
      <c r="E84" s="43">
        <v>76.5</v>
      </c>
      <c r="F84" s="38"/>
      <c r="G84" s="38">
        <f>ROUND(М[[#This Row],[Количество]]*М[[#This Row],[Цена за ед., руб]],2)</f>
        <v>0</v>
      </c>
      <c r="H84" s="39"/>
      <c r="I84" s="46"/>
    </row>
    <row r="85" spans="1:9" ht="23.1" customHeight="1" x14ac:dyDescent="0.2">
      <c r="A85" s="45" t="s">
        <v>27</v>
      </c>
      <c r="B85" s="39"/>
      <c r="C85" s="39" t="s">
        <v>35</v>
      </c>
      <c r="D85" s="37" t="s">
        <v>29</v>
      </c>
      <c r="E85" s="43">
        <v>318.7</v>
      </c>
      <c r="F85" s="38"/>
      <c r="G85" s="38">
        <f>ROUND(М[[#This Row],[Количество]]*М[[#This Row],[Цена за ед., руб]],2)</f>
        <v>0</v>
      </c>
      <c r="H85" s="39"/>
      <c r="I85" s="46"/>
    </row>
    <row r="86" spans="1:9" ht="23.1" customHeight="1" x14ac:dyDescent="0.2">
      <c r="A86" s="45" t="s">
        <v>27</v>
      </c>
      <c r="B86" s="39"/>
      <c r="C86" s="39" t="s">
        <v>37</v>
      </c>
      <c r="D86" s="37" t="s">
        <v>29</v>
      </c>
      <c r="E86" s="43">
        <v>744.4</v>
      </c>
      <c r="F86" s="38"/>
      <c r="G86" s="38">
        <f>ROUND(М[[#This Row],[Количество]]*М[[#This Row],[Цена за ед., руб]],2)</f>
        <v>0</v>
      </c>
      <c r="H86" s="39"/>
      <c r="I86" s="46"/>
    </row>
    <row r="87" spans="1:9" ht="23.1" customHeight="1" x14ac:dyDescent="0.2">
      <c r="A87" s="45" t="s">
        <v>27</v>
      </c>
      <c r="B87" s="39"/>
      <c r="C87" s="39" t="s">
        <v>39</v>
      </c>
      <c r="D87" s="37" t="s">
        <v>29</v>
      </c>
      <c r="E87" s="38">
        <v>45461.85</v>
      </c>
      <c r="F87" s="38"/>
      <c r="G87" s="38">
        <f>ROUND(М[[#This Row],[Количество]]*М[[#This Row],[Цена за ед., руб]],2)</f>
        <v>0</v>
      </c>
      <c r="H87" s="39"/>
      <c r="I87" s="46"/>
    </row>
    <row r="88" spans="1:9" ht="35.1" customHeight="1" x14ac:dyDescent="0.2">
      <c r="A88" s="45" t="s">
        <v>27</v>
      </c>
      <c r="B88" s="39"/>
      <c r="C88" s="39" t="s">
        <v>41</v>
      </c>
      <c r="D88" s="37" t="s">
        <v>29</v>
      </c>
      <c r="E88" s="40">
        <v>1</v>
      </c>
      <c r="F88" s="38"/>
      <c r="G88" s="38">
        <f>ROUND(М[[#This Row],[Количество]]*М[[#This Row],[Цена за ед., руб]],2)</f>
        <v>0</v>
      </c>
      <c r="H88" s="39"/>
      <c r="I88" s="46"/>
    </row>
    <row r="89" spans="1:9" ht="35.1" customHeight="1" x14ac:dyDescent="0.2">
      <c r="A89" s="45" t="s">
        <v>27</v>
      </c>
      <c r="B89" s="39"/>
      <c r="C89" s="39" t="s">
        <v>43</v>
      </c>
      <c r="D89" s="37" t="s">
        <v>29</v>
      </c>
      <c r="E89" s="40">
        <v>13</v>
      </c>
      <c r="F89" s="38"/>
      <c r="G89" s="38">
        <f>ROUND(М[[#This Row],[Количество]]*М[[#This Row],[Цена за ед., руб]],2)</f>
        <v>0</v>
      </c>
      <c r="H89" s="39"/>
      <c r="I89" s="46"/>
    </row>
    <row r="90" spans="1:9" ht="35.1" customHeight="1" x14ac:dyDescent="0.2">
      <c r="A90" s="45" t="s">
        <v>27</v>
      </c>
      <c r="B90" s="39"/>
      <c r="C90" s="39" t="s">
        <v>45</v>
      </c>
      <c r="D90" s="37" t="s">
        <v>29</v>
      </c>
      <c r="E90" s="40">
        <v>15</v>
      </c>
      <c r="F90" s="38"/>
      <c r="G90" s="38">
        <f>ROUND(М[[#This Row],[Количество]]*М[[#This Row],[Цена за ед., руб]],2)</f>
        <v>0</v>
      </c>
      <c r="H90" s="39"/>
      <c r="I90" s="46"/>
    </row>
    <row r="91" spans="1:9" ht="35.1" customHeight="1" x14ac:dyDescent="0.2">
      <c r="A91" s="45" t="s">
        <v>27</v>
      </c>
      <c r="B91" s="39"/>
      <c r="C91" s="39" t="s">
        <v>47</v>
      </c>
      <c r="D91" s="37" t="s">
        <v>29</v>
      </c>
      <c r="E91" s="40">
        <v>13</v>
      </c>
      <c r="F91" s="38"/>
      <c r="G91" s="38">
        <f>ROUND(М[[#This Row],[Количество]]*М[[#This Row],[Цена за ед., руб]],2)</f>
        <v>0</v>
      </c>
      <c r="H91" s="39"/>
      <c r="I91" s="46"/>
    </row>
    <row r="92" spans="1:9" ht="35.1" customHeight="1" x14ac:dyDescent="0.2">
      <c r="A92" s="45" t="s">
        <v>27</v>
      </c>
      <c r="B92" s="39"/>
      <c r="C92" s="39" t="s">
        <v>48</v>
      </c>
      <c r="D92" s="37" t="s">
        <v>29</v>
      </c>
      <c r="E92" s="40">
        <v>5</v>
      </c>
      <c r="F92" s="38"/>
      <c r="G92" s="38">
        <f>ROUND(М[[#This Row],[Количество]]*М[[#This Row],[Цена за ед., руб]],2)</f>
        <v>0</v>
      </c>
      <c r="H92" s="39"/>
      <c r="I92" s="46"/>
    </row>
    <row r="93" spans="1:9" ht="23.1" customHeight="1" x14ac:dyDescent="0.2">
      <c r="A93" s="45" t="s">
        <v>27</v>
      </c>
      <c r="B93" s="39"/>
      <c r="C93" s="39" t="s">
        <v>50</v>
      </c>
      <c r="D93" s="37" t="s">
        <v>29</v>
      </c>
      <c r="E93" s="43">
        <v>69.5</v>
      </c>
      <c r="F93" s="38"/>
      <c r="G93" s="38">
        <f>ROUND(М[[#This Row],[Количество]]*М[[#This Row],[Цена за ед., руб]],2)</f>
        <v>0</v>
      </c>
      <c r="H93" s="39"/>
      <c r="I93" s="46"/>
    </row>
    <row r="94" spans="1:9" ht="23.1" customHeight="1" x14ac:dyDescent="0.2">
      <c r="A94" s="45" t="s">
        <v>27</v>
      </c>
      <c r="B94" s="39"/>
      <c r="C94" s="39" t="s">
        <v>216</v>
      </c>
      <c r="D94" s="37" t="s">
        <v>29</v>
      </c>
      <c r="E94" s="43">
        <v>970.2</v>
      </c>
      <c r="F94" s="38"/>
      <c r="G94" s="38">
        <f>ROUND(М[[#This Row],[Количество]]*М[[#This Row],[Цена за ед., руб]],2)</f>
        <v>0</v>
      </c>
      <c r="H94" s="39"/>
      <c r="I94" s="46"/>
    </row>
    <row r="95" spans="1:9" ht="23.1" customHeight="1" x14ac:dyDescent="0.2">
      <c r="A95" s="45" t="s">
        <v>27</v>
      </c>
      <c r="B95" s="39"/>
      <c r="C95" s="39" t="s">
        <v>52</v>
      </c>
      <c r="D95" s="37" t="s">
        <v>29</v>
      </c>
      <c r="E95" s="40">
        <v>141</v>
      </c>
      <c r="F95" s="38"/>
      <c r="G95" s="38">
        <f>ROUND(М[[#This Row],[Количество]]*М[[#This Row],[Цена за ед., руб]],2)</f>
        <v>0</v>
      </c>
      <c r="H95" s="39"/>
      <c r="I95" s="46"/>
    </row>
    <row r="96" spans="1:9" ht="23.1" customHeight="1" x14ac:dyDescent="0.2">
      <c r="A96" s="45" t="s">
        <v>27</v>
      </c>
      <c r="B96" s="39"/>
      <c r="C96" s="39" t="s">
        <v>54</v>
      </c>
      <c r="D96" s="37" t="s">
        <v>29</v>
      </c>
      <c r="E96" s="40">
        <v>27</v>
      </c>
      <c r="F96" s="38"/>
      <c r="G96" s="38">
        <f>ROUND(М[[#This Row],[Количество]]*М[[#This Row],[Цена за ед., руб]],2)</f>
        <v>0</v>
      </c>
      <c r="H96" s="39"/>
      <c r="I96" s="46"/>
    </row>
    <row r="97" spans="1:9" ht="23.1" customHeight="1" x14ac:dyDescent="0.2">
      <c r="A97" s="45" t="s">
        <v>27</v>
      </c>
      <c r="B97" s="39"/>
      <c r="C97" s="39" t="s">
        <v>56</v>
      </c>
      <c r="D97" s="37" t="s">
        <v>29</v>
      </c>
      <c r="E97" s="40">
        <v>54</v>
      </c>
      <c r="F97" s="38"/>
      <c r="G97" s="38">
        <f>ROUND(М[[#This Row],[Количество]]*М[[#This Row],[Цена за ед., руб]],2)</f>
        <v>0</v>
      </c>
      <c r="H97" s="39"/>
      <c r="I97" s="46"/>
    </row>
    <row r="98" spans="1:9" ht="23.1" customHeight="1" x14ac:dyDescent="0.2">
      <c r="A98" s="45" t="s">
        <v>27</v>
      </c>
      <c r="B98" s="39"/>
      <c r="C98" s="39" t="s">
        <v>58</v>
      </c>
      <c r="D98" s="37" t="s">
        <v>29</v>
      </c>
      <c r="E98" s="43">
        <v>432.3</v>
      </c>
      <c r="F98" s="38"/>
      <c r="G98" s="38">
        <f>ROUND(М[[#This Row],[Количество]]*М[[#This Row],[Цена за ед., руб]],2)</f>
        <v>0</v>
      </c>
      <c r="H98" s="39"/>
      <c r="I98" s="46"/>
    </row>
    <row r="99" spans="1:9" ht="23.1" customHeight="1" x14ac:dyDescent="0.2">
      <c r="A99" s="45" t="s">
        <v>27</v>
      </c>
      <c r="B99" s="39"/>
      <c r="C99" s="39" t="s">
        <v>60</v>
      </c>
      <c r="D99" s="37" t="s">
        <v>29</v>
      </c>
      <c r="E99" s="40">
        <v>66</v>
      </c>
      <c r="F99" s="38"/>
      <c r="G99" s="38">
        <f>ROUND(М[[#This Row],[Количество]]*М[[#This Row],[Цена за ед., руб]],2)</f>
        <v>0</v>
      </c>
      <c r="H99" s="39"/>
      <c r="I99" s="46"/>
    </row>
    <row r="100" spans="1:9" ht="23.1" customHeight="1" x14ac:dyDescent="0.2">
      <c r="A100" s="45" t="s">
        <v>27</v>
      </c>
      <c r="B100" s="39"/>
      <c r="C100" s="39" t="s">
        <v>62</v>
      </c>
      <c r="D100" s="37" t="s">
        <v>29</v>
      </c>
      <c r="E100" s="40">
        <v>399</v>
      </c>
      <c r="F100" s="38"/>
      <c r="G100" s="38">
        <f>ROUND(М[[#This Row],[Количество]]*М[[#This Row],[Цена за ед., руб]],2)</f>
        <v>0</v>
      </c>
      <c r="H100" s="39"/>
      <c r="I100" s="46"/>
    </row>
    <row r="101" spans="1:9" ht="23.1" customHeight="1" x14ac:dyDescent="0.2">
      <c r="A101" s="45" t="s">
        <v>27</v>
      </c>
      <c r="B101" s="39"/>
      <c r="C101" s="39" t="s">
        <v>64</v>
      </c>
      <c r="D101" s="37" t="s">
        <v>29</v>
      </c>
      <c r="E101" s="43">
        <v>69.5</v>
      </c>
      <c r="F101" s="38"/>
      <c r="G101" s="38">
        <f>ROUND(М[[#This Row],[Количество]]*М[[#This Row],[Цена за ед., руб]],2)</f>
        <v>0</v>
      </c>
      <c r="H101" s="39"/>
      <c r="I101" s="46"/>
    </row>
    <row r="102" spans="1:9" ht="23.1" customHeight="1" x14ac:dyDescent="0.2">
      <c r="A102" s="45" t="s">
        <v>27</v>
      </c>
      <c r="B102" s="39"/>
      <c r="C102" s="39" t="s">
        <v>66</v>
      </c>
      <c r="D102" s="37" t="s">
        <v>29</v>
      </c>
      <c r="E102" s="43">
        <v>76.5</v>
      </c>
      <c r="F102" s="38"/>
      <c r="G102" s="38">
        <f>ROUND(М[[#This Row],[Количество]]*М[[#This Row],[Цена за ед., руб]],2)</f>
        <v>0</v>
      </c>
      <c r="H102" s="39"/>
      <c r="I102" s="46"/>
    </row>
    <row r="103" spans="1:9" ht="23.1" customHeight="1" x14ac:dyDescent="0.2">
      <c r="A103" s="45" t="s">
        <v>27</v>
      </c>
      <c r="B103" s="39"/>
      <c r="C103" s="39" t="s">
        <v>68</v>
      </c>
      <c r="D103" s="37" t="s">
        <v>29</v>
      </c>
      <c r="E103" s="43">
        <v>448.5</v>
      </c>
      <c r="F103" s="38"/>
      <c r="G103" s="38">
        <f>ROUND(М[[#This Row],[Количество]]*М[[#This Row],[Цена за ед., руб]],2)</f>
        <v>0</v>
      </c>
      <c r="H103" s="39"/>
      <c r="I103" s="46"/>
    </row>
    <row r="104" spans="1:9" ht="23.1" customHeight="1" x14ac:dyDescent="0.2">
      <c r="A104" s="45" t="s">
        <v>27</v>
      </c>
      <c r="B104" s="39"/>
      <c r="C104" s="39" t="s">
        <v>70</v>
      </c>
      <c r="D104" s="37" t="s">
        <v>29</v>
      </c>
      <c r="E104" s="43">
        <v>128.5</v>
      </c>
      <c r="F104" s="38"/>
      <c r="G104" s="38">
        <f>ROUND(М[[#This Row],[Количество]]*М[[#This Row],[Цена за ед., руб]],2)</f>
        <v>0</v>
      </c>
      <c r="H104" s="39"/>
      <c r="I104" s="46"/>
    </row>
    <row r="105" spans="1:9" ht="23.1" customHeight="1" x14ac:dyDescent="0.2">
      <c r="A105" s="45" t="s">
        <v>27</v>
      </c>
      <c r="B105" s="39"/>
      <c r="C105" s="39" t="s">
        <v>72</v>
      </c>
      <c r="D105" s="37" t="s">
        <v>29</v>
      </c>
      <c r="E105" s="40">
        <v>14</v>
      </c>
      <c r="F105" s="38"/>
      <c r="G105" s="38">
        <f>ROUND(М[[#This Row],[Количество]]*М[[#This Row],[Цена за ед., руб]],2)</f>
        <v>0</v>
      </c>
      <c r="H105" s="39"/>
      <c r="I105" s="46"/>
    </row>
    <row r="106" spans="1:9" ht="11.1" customHeight="1" x14ac:dyDescent="0.2">
      <c r="A106" s="45" t="s">
        <v>27</v>
      </c>
      <c r="B106" s="39"/>
      <c r="C106" s="39" t="s">
        <v>217</v>
      </c>
      <c r="D106" s="37" t="s">
        <v>29</v>
      </c>
      <c r="E106" s="42">
        <v>91.08</v>
      </c>
      <c r="F106" s="38"/>
      <c r="G106" s="38">
        <f>ROUND(М[[#This Row],[Количество]]*М[[#This Row],[Цена за ед., руб]],2)</f>
        <v>0</v>
      </c>
      <c r="H106" s="39"/>
      <c r="I106" s="46"/>
    </row>
    <row r="107" spans="1:9" ht="11.1" customHeight="1" x14ac:dyDescent="0.2">
      <c r="A107" s="45" t="s">
        <v>27</v>
      </c>
      <c r="B107" s="39"/>
      <c r="C107" s="39" t="s">
        <v>218</v>
      </c>
      <c r="D107" s="37" t="s">
        <v>29</v>
      </c>
      <c r="E107" s="42">
        <v>42.24</v>
      </c>
      <c r="F107" s="38"/>
      <c r="G107" s="38">
        <f>ROUND(М[[#This Row],[Количество]]*М[[#This Row],[Цена за ед., руб]],2)</f>
        <v>0</v>
      </c>
      <c r="H107" s="39"/>
      <c r="I107" s="46"/>
    </row>
    <row r="108" spans="1:9" ht="11.1" customHeight="1" x14ac:dyDescent="0.2">
      <c r="A108" s="45" t="s">
        <v>27</v>
      </c>
      <c r="B108" s="39"/>
      <c r="C108" s="39" t="s">
        <v>219</v>
      </c>
      <c r="D108" s="37" t="s">
        <v>29</v>
      </c>
      <c r="E108" s="43">
        <v>3.3</v>
      </c>
      <c r="F108" s="38"/>
      <c r="G108" s="38">
        <f>ROUND(М[[#This Row],[Количество]]*М[[#This Row],[Цена за ед., руб]],2)</f>
        <v>0</v>
      </c>
      <c r="H108" s="39"/>
      <c r="I108" s="46"/>
    </row>
    <row r="109" spans="1:9" ht="23.1" customHeight="1" x14ac:dyDescent="0.2">
      <c r="A109" s="45" t="s">
        <v>27</v>
      </c>
      <c r="B109" s="39"/>
      <c r="C109" s="39" t="s">
        <v>74</v>
      </c>
      <c r="D109" s="37" t="s">
        <v>29</v>
      </c>
      <c r="E109" s="43">
        <v>92.4</v>
      </c>
      <c r="F109" s="38"/>
      <c r="G109" s="38">
        <f>ROUND(М[[#This Row],[Количество]]*М[[#This Row],[Цена за ед., руб]],2)</f>
        <v>0</v>
      </c>
      <c r="H109" s="39"/>
      <c r="I109" s="46"/>
    </row>
    <row r="110" spans="1:9" ht="23.1" customHeight="1" x14ac:dyDescent="0.2">
      <c r="A110" s="45" t="s">
        <v>27</v>
      </c>
      <c r="B110" s="39"/>
      <c r="C110" s="39" t="s">
        <v>76</v>
      </c>
      <c r="D110" s="37" t="s">
        <v>29</v>
      </c>
      <c r="E110" s="40">
        <v>108</v>
      </c>
      <c r="F110" s="38"/>
      <c r="G110" s="38">
        <f>ROUND(М[[#This Row],[Количество]]*М[[#This Row],[Цена за ед., руб]],2)</f>
        <v>0</v>
      </c>
      <c r="H110" s="39"/>
      <c r="I110" s="46"/>
    </row>
    <row r="111" spans="1:9" ht="23.1" customHeight="1" x14ac:dyDescent="0.2">
      <c r="A111" s="45" t="s">
        <v>27</v>
      </c>
      <c r="B111" s="39"/>
      <c r="C111" s="39" t="s">
        <v>78</v>
      </c>
      <c r="D111" s="37" t="s">
        <v>29</v>
      </c>
      <c r="E111" s="43">
        <v>195.3</v>
      </c>
      <c r="F111" s="38"/>
      <c r="G111" s="38">
        <f>ROUND(М[[#This Row],[Количество]]*М[[#This Row],[Цена за ед., руб]],2)</f>
        <v>0</v>
      </c>
      <c r="H111" s="39"/>
      <c r="I111" s="46"/>
    </row>
    <row r="112" spans="1:9" ht="23.1" customHeight="1" x14ac:dyDescent="0.2">
      <c r="A112" s="45" t="s">
        <v>27</v>
      </c>
      <c r="B112" s="39"/>
      <c r="C112" s="39" t="s">
        <v>80</v>
      </c>
      <c r="D112" s="37" t="s">
        <v>29</v>
      </c>
      <c r="E112" s="43">
        <v>273.5</v>
      </c>
      <c r="F112" s="38"/>
      <c r="G112" s="38">
        <f>ROUND(М[[#This Row],[Количество]]*М[[#This Row],[Цена за ед., руб]],2)</f>
        <v>0</v>
      </c>
      <c r="H112" s="39"/>
      <c r="I112" s="46"/>
    </row>
    <row r="113" spans="1:18" ht="23.1" customHeight="1" x14ac:dyDescent="0.2">
      <c r="A113" s="45" t="s">
        <v>27</v>
      </c>
      <c r="B113" s="39"/>
      <c r="C113" s="39" t="s">
        <v>82</v>
      </c>
      <c r="D113" s="37" t="s">
        <v>29</v>
      </c>
      <c r="E113" s="42">
        <v>193.65</v>
      </c>
      <c r="F113" s="38"/>
      <c r="G113" s="38">
        <f>ROUND(М[[#This Row],[Количество]]*М[[#This Row],[Цена за ед., руб]],2)</f>
        <v>0</v>
      </c>
      <c r="H113" s="39"/>
      <c r="I113" s="46"/>
    </row>
    <row r="114" spans="1:18" ht="23.1" customHeight="1" x14ac:dyDescent="0.2">
      <c r="A114" s="45" t="s">
        <v>27</v>
      </c>
      <c r="B114" s="39"/>
      <c r="C114" s="39" t="s">
        <v>84</v>
      </c>
      <c r="D114" s="37" t="s">
        <v>29</v>
      </c>
      <c r="E114" s="40">
        <v>27</v>
      </c>
      <c r="F114" s="38"/>
      <c r="G114" s="38">
        <f>ROUND(М[[#This Row],[Количество]]*М[[#This Row],[Цена за ед., руб]],2)</f>
        <v>0</v>
      </c>
      <c r="H114" s="39"/>
      <c r="I114" s="46"/>
    </row>
    <row r="115" spans="1:18" ht="23.1" customHeight="1" x14ac:dyDescent="0.2">
      <c r="A115" s="49" t="s">
        <v>27</v>
      </c>
      <c r="B115" s="57"/>
      <c r="C115" s="57" t="s">
        <v>220</v>
      </c>
      <c r="D115" s="50" t="s">
        <v>29</v>
      </c>
      <c r="E115" s="51">
        <v>789</v>
      </c>
      <c r="F115" s="38"/>
      <c r="G115" s="55">
        <f>ROUND(М[[#This Row],[Количество]]*М[[#This Row],[Цена за ед., руб]],2)</f>
        <v>0</v>
      </c>
      <c r="H115" s="57"/>
      <c r="I115" s="52"/>
    </row>
    <row r="116" spans="1:18" ht="23.1" customHeight="1" x14ac:dyDescent="0.2">
      <c r="A116" s="45" t="s">
        <v>264</v>
      </c>
      <c r="B116" s="57"/>
      <c r="C116" s="57"/>
      <c r="D116" s="78" t="s">
        <v>189</v>
      </c>
      <c r="E116" s="80"/>
      <c r="F116" s="55"/>
      <c r="G116" s="55">
        <f ca="1">SUMIF(ЛСР!$B$6:$N$255,М[[#This Row],[Наим.]],ЛСР!$N$6:$N$255)</f>
        <v>0</v>
      </c>
      <c r="H116" s="79" t="s">
        <v>269</v>
      </c>
      <c r="I116" s="52"/>
    </row>
    <row r="117" spans="1:18" ht="23.1" customHeight="1" x14ac:dyDescent="0.2">
      <c r="A117" s="45" t="s">
        <v>265</v>
      </c>
      <c r="B117" s="57"/>
      <c r="C117" s="57"/>
      <c r="D117" s="78" t="s">
        <v>189</v>
      </c>
      <c r="E117" s="80"/>
      <c r="F117" s="55"/>
      <c r="G117" s="55">
        <f ca="1">SUMIF(ЛСР!$B$6:$N$255,М[[#This Row],[Наим.]],ЛСР!$N$6:$N$255)</f>
        <v>0</v>
      </c>
      <c r="H117" s="79" t="s">
        <v>269</v>
      </c>
      <c r="I117" s="52"/>
    </row>
    <row r="118" spans="1:18" ht="23.1" customHeight="1" x14ac:dyDescent="0.2">
      <c r="A118" s="45" t="s">
        <v>266</v>
      </c>
      <c r="B118" s="57"/>
      <c r="C118" s="57"/>
      <c r="D118" s="78" t="s">
        <v>189</v>
      </c>
      <c r="E118" s="80"/>
      <c r="F118" s="55"/>
      <c r="G118" s="55">
        <f ca="1">SUMIF(ЛСР!$B$6:$N$255,М[[#This Row],[Наим.]],ЛСР!$N$6:$N$255)</f>
        <v>0</v>
      </c>
      <c r="H118" s="79" t="s">
        <v>269</v>
      </c>
      <c r="I118" s="52"/>
    </row>
    <row r="119" spans="1:18" ht="23.1" customHeight="1" x14ac:dyDescent="0.2">
      <c r="A119" s="45" t="s">
        <v>267</v>
      </c>
      <c r="B119" s="57"/>
      <c r="C119" s="57"/>
      <c r="D119" s="78" t="s">
        <v>189</v>
      </c>
      <c r="E119" s="80"/>
      <c r="F119" s="55"/>
      <c r="G119" s="55">
        <f ca="1">SUMIF(ЛСР!$B$6:$N$255,М[[#This Row],[Наим.]],ЛСР!$N$6:$N$255)</f>
        <v>0</v>
      </c>
      <c r="H119" s="79" t="s">
        <v>269</v>
      </c>
      <c r="I119" s="52"/>
    </row>
    <row r="120" spans="1:18" ht="23.1" customHeight="1" x14ac:dyDescent="0.2">
      <c r="A120" s="45" t="s">
        <v>268</v>
      </c>
      <c r="B120" s="57"/>
      <c r="C120" s="57"/>
      <c r="D120" s="78" t="s">
        <v>189</v>
      </c>
      <c r="E120" s="80"/>
      <c r="F120" s="55"/>
      <c r="G120" s="55">
        <f ca="1">SUMIF(ЛСР!$B$6:$N$255,М[[#This Row],[Наим.]],ЛСР!$N$6:$N$255)</f>
        <v>0</v>
      </c>
      <c r="H120" s="79" t="s">
        <v>269</v>
      </c>
      <c r="I120" s="52"/>
    </row>
    <row r="121" spans="1:18" ht="11.45" customHeight="1" x14ac:dyDescent="0.2">
      <c r="A121" s="49" t="s">
        <v>258</v>
      </c>
      <c r="B121" s="57"/>
      <c r="C121" s="57"/>
      <c r="D121" s="50"/>
      <c r="E121" s="53"/>
      <c r="F121" s="55"/>
      <c r="G121" s="55">
        <f ca="1">SUBTOTAL(109,М[Сумма, руб])</f>
        <v>0</v>
      </c>
      <c r="H121" s="57"/>
      <c r="I121" s="52"/>
    </row>
    <row r="122" spans="1:18" ht="11.45" customHeight="1" x14ac:dyDescent="0.2">
      <c r="F122" s="82" t="s">
        <v>270</v>
      </c>
      <c r="G122" s="81">
        <f ca="1">ЛСР!N258-М[[#Totals],[Сумма, руб]]</f>
        <v>0</v>
      </c>
    </row>
    <row r="125" spans="1:18" ht="15" x14ac:dyDescent="0.2">
      <c r="A125" s="86" t="s">
        <v>273</v>
      </c>
      <c r="B125" s="87"/>
      <c r="C125" s="87"/>
      <c r="D125" s="88"/>
      <c r="E125" s="89"/>
      <c r="F125" s="89"/>
      <c r="G125" s="89"/>
      <c r="H125" s="89"/>
      <c r="I125" s="89"/>
      <c r="J125" s="90"/>
      <c r="K125" s="91"/>
      <c r="L125" s="91"/>
      <c r="M125" s="88"/>
      <c r="N125" s="88"/>
      <c r="O125" s="88"/>
      <c r="P125" s="88"/>
      <c r="Q125" s="88"/>
      <c r="R125" s="88"/>
    </row>
    <row r="126" spans="1:18" ht="15" x14ac:dyDescent="0.2">
      <c r="A126" s="113" t="s">
        <v>275</v>
      </c>
      <c r="B126" s="113"/>
      <c r="C126" s="113"/>
      <c r="D126" s="113"/>
      <c r="E126" s="113"/>
      <c r="F126" s="113"/>
      <c r="G126" s="113"/>
      <c r="H126" s="113"/>
      <c r="I126" s="113"/>
      <c r="J126" s="113"/>
      <c r="K126" s="113"/>
      <c r="L126" s="113"/>
      <c r="M126" s="113"/>
      <c r="N126" s="113"/>
      <c r="O126" s="93"/>
      <c r="P126" s="93"/>
      <c r="Q126" s="93"/>
      <c r="R126" s="93"/>
    </row>
    <row r="127" spans="1:18" ht="15.75" x14ac:dyDescent="0.25">
      <c r="A127" s="123" t="s">
        <v>276</v>
      </c>
      <c r="B127" s="123"/>
      <c r="C127" s="123"/>
      <c r="D127" s="123"/>
      <c r="E127" s="123"/>
      <c r="F127" s="123"/>
      <c r="G127" s="123"/>
      <c r="H127" s="123"/>
      <c r="I127" s="123"/>
      <c r="J127" s="123"/>
      <c r="K127" s="123"/>
      <c r="L127" s="123"/>
      <c r="M127" s="123"/>
      <c r="N127" s="123"/>
      <c r="O127" s="97"/>
      <c r="P127" s="97"/>
      <c r="Q127" s="97"/>
      <c r="R127" s="97"/>
    </row>
    <row r="128" spans="1:18" ht="15" x14ac:dyDescent="0.2">
      <c r="A128" s="113" t="s">
        <v>277</v>
      </c>
      <c r="B128" s="113"/>
      <c r="C128" s="113"/>
      <c r="D128" s="113"/>
      <c r="E128" s="113"/>
      <c r="F128" s="113"/>
      <c r="G128" s="113"/>
      <c r="H128" s="113"/>
      <c r="I128" s="113"/>
      <c r="J128" s="113"/>
      <c r="K128" s="113"/>
      <c r="L128" s="113"/>
      <c r="M128" s="113"/>
      <c r="N128" s="113"/>
      <c r="O128" s="88"/>
      <c r="P128" s="88"/>
      <c r="Q128" s="88"/>
      <c r="R128" s="88"/>
    </row>
    <row r="129" spans="1:18" ht="15" x14ac:dyDescent="0.2">
      <c r="A129" s="113" t="s">
        <v>278</v>
      </c>
      <c r="B129" s="113"/>
      <c r="C129" s="113"/>
      <c r="D129" s="113"/>
      <c r="E129" s="113"/>
      <c r="F129" s="113"/>
      <c r="G129" s="113"/>
      <c r="H129" s="113"/>
      <c r="I129" s="113"/>
      <c r="J129" s="113"/>
      <c r="K129" s="113"/>
      <c r="L129" s="113"/>
      <c r="M129" s="113"/>
      <c r="N129" s="113"/>
      <c r="O129" s="88"/>
      <c r="P129" s="88"/>
      <c r="Q129" s="88"/>
      <c r="R129" s="88"/>
    </row>
    <row r="130" spans="1:18" ht="15" x14ac:dyDescent="0.2">
      <c r="A130" s="113" t="s">
        <v>279</v>
      </c>
      <c r="B130" s="113"/>
      <c r="C130" s="113"/>
      <c r="D130" s="113"/>
      <c r="E130" s="113"/>
      <c r="F130" s="113"/>
      <c r="G130" s="113"/>
      <c r="H130" s="113"/>
      <c r="I130" s="113"/>
      <c r="J130" s="113"/>
      <c r="K130" s="113"/>
      <c r="L130" s="113"/>
      <c r="M130" s="113"/>
      <c r="N130" s="113"/>
      <c r="O130" s="88"/>
      <c r="P130" s="88"/>
      <c r="Q130" s="88"/>
      <c r="R130" s="88"/>
    </row>
    <row r="131" spans="1:18" ht="15.75" x14ac:dyDescent="0.2">
      <c r="A131" s="124" t="s">
        <v>280</v>
      </c>
      <c r="B131" s="124"/>
      <c r="C131" s="124"/>
      <c r="D131" s="124"/>
      <c r="E131" s="124"/>
      <c r="F131" s="124"/>
      <c r="G131" s="124"/>
      <c r="H131" s="124"/>
      <c r="I131" s="124"/>
      <c r="J131" s="124"/>
      <c r="K131" s="124"/>
      <c r="L131" s="124"/>
      <c r="M131" s="124"/>
      <c r="N131" s="124"/>
    </row>
    <row r="132" spans="1:18" ht="15.75" x14ac:dyDescent="0.2">
      <c r="A132" s="122" t="s">
        <v>281</v>
      </c>
      <c r="B132" s="122"/>
      <c r="C132" s="122"/>
      <c r="D132" s="122"/>
      <c r="E132" s="122"/>
      <c r="F132" s="122"/>
      <c r="G132" s="122"/>
      <c r="H132" s="122"/>
      <c r="I132" s="122"/>
      <c r="J132" s="122"/>
      <c r="K132" s="122"/>
      <c r="L132" s="122"/>
      <c r="M132" s="122"/>
      <c r="N132" s="122"/>
      <c r="O132" s="122"/>
      <c r="P132" s="122"/>
      <c r="Q132" s="122"/>
      <c r="R132" s="122"/>
    </row>
    <row r="133" spans="1:18" ht="11.25" x14ac:dyDescent="0.2"/>
  </sheetData>
  <mergeCells count="8">
    <mergeCell ref="A130:N130"/>
    <mergeCell ref="A131:N131"/>
    <mergeCell ref="A132:R132"/>
    <mergeCell ref="A1:H1"/>
    <mergeCell ref="A126:N126"/>
    <mergeCell ref="A127:N127"/>
    <mergeCell ref="A128:N128"/>
    <mergeCell ref="A129:N129"/>
  </mergeCells>
  <dataValidations count="1">
    <dataValidation type="list" errorStyle="information" allowBlank="1" showInputMessage="1" showErrorMessage="1" sqref="I3:I120" xr:uid="{DA1B347F-EBF6-4F55-B44D-7B471E6CECE5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6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246</v>
      </c>
      <c r="B1" s="1" t="s">
        <v>247</v>
      </c>
    </row>
    <row r="2" spans="1:2" ht="11.1" customHeight="1" x14ac:dyDescent="0.2">
      <c r="A2" s="1" t="s">
        <v>248</v>
      </c>
      <c r="B2" s="1" t="s">
        <v>249</v>
      </c>
    </row>
    <row r="3" spans="1:2" ht="11.1" customHeight="1" x14ac:dyDescent="0.2">
      <c r="A3" s="1" t="s">
        <v>250</v>
      </c>
      <c r="B3" s="1" t="s">
        <v>251</v>
      </c>
    </row>
    <row r="4" spans="1:2" ht="11.1" customHeight="1" x14ac:dyDescent="0.2">
      <c r="A4" s="1" t="s">
        <v>252</v>
      </c>
      <c r="B4" s="1" t="s">
        <v>253</v>
      </c>
    </row>
    <row r="5" spans="1:2" ht="11.1" customHeight="1" x14ac:dyDescent="0.2">
      <c r="A5" s="1" t="s">
        <v>254</v>
      </c>
      <c r="B5" s="1" t="s">
        <v>255</v>
      </c>
    </row>
    <row r="6" spans="1:2" ht="11.1" customHeight="1" x14ac:dyDescent="0.2">
      <c r="A6" s="1" t="s">
        <v>256</v>
      </c>
      <c r="B6" s="1" t="s">
        <v>257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Калимуллина Карина Павловна</cp:lastModifiedBy>
  <cp:lastPrinted>2026-08-20T10:02:30Z</cp:lastPrinted>
  <dcterms:modified xsi:type="dcterms:W3CDTF">2026-08-25T04:11:57Z</dcterms:modified>
</cp:coreProperties>
</file>