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limullinakp\Desktop\Карина\ЕКБ\Соната\Внутренние инженерные сети\Отопление, канализация, водоснабжение, пожаротушение\Для отправки в тендер\"/>
    </mc:Choice>
  </mc:AlternateContent>
  <xr:revisionPtr revIDLastSave="0" documentId="13_ncr:1_{069213FE-E0E7-4872-A016-BE49207131B8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definedNames>
    <definedName name="_xlnm._FilterDatabase" localSheetId="0" hidden="1">ЛСР!$A$7:$P$261</definedName>
  </definedNames>
  <calcPr calcId="191029" fullPrecision="0"/>
</workbook>
</file>

<file path=xl/calcChain.xml><?xml version="1.0" encoding="utf-8"?>
<calcChain xmlns="http://schemas.openxmlformats.org/spreadsheetml/2006/main">
  <c r="P253" i="1" l="1" a="1"/>
  <c r="P253" i="1" s="1"/>
  <c r="P252" i="1" a="1"/>
  <c r="P252" i="1" s="1"/>
  <c r="P251" i="1" a="1"/>
  <c r="P251" i="1" s="1"/>
  <c r="P250" i="1" a="1"/>
  <c r="P250" i="1" s="1"/>
  <c r="P249" i="1" a="1"/>
  <c r="P249" i="1" s="1"/>
  <c r="P248" i="1" a="1"/>
  <c r="P248" i="1" s="1"/>
  <c r="P247" i="1" a="1"/>
  <c r="P247" i="1" s="1"/>
  <c r="P246" i="1" a="1"/>
  <c r="P246" i="1" s="1"/>
  <c r="L247" i="1"/>
  <c r="L248" i="1"/>
  <c r="L249" i="1"/>
  <c r="L250" i="1"/>
  <c r="L251" i="1"/>
  <c r="L252" i="1"/>
  <c r="L253" i="1"/>
  <c r="L246" i="1"/>
  <c r="L13" i="1"/>
  <c r="M13" i="1" a="1"/>
  <c r="M13" i="1" s="1"/>
  <c r="N13" i="1" s="1"/>
  <c r="N12" i="1" s="1"/>
  <c r="L15" i="1"/>
  <c r="M15" i="1" a="1"/>
  <c r="M15" i="1" s="1"/>
  <c r="N15" i="1" s="1"/>
  <c r="N14" i="1" s="1"/>
  <c r="L17" i="1"/>
  <c r="M17" i="1" a="1"/>
  <c r="M17" i="1" s="1"/>
  <c r="N17" i="1" s="1"/>
  <c r="N16" i="1" s="1"/>
  <c r="L19" i="1"/>
  <c r="P19" i="1" a="1"/>
  <c r="P19" i="1" s="1"/>
  <c r="M19" i="1" a="1"/>
  <c r="M19" i="1" s="1"/>
  <c r="N19" i="1" s="1"/>
  <c r="L20" i="1"/>
  <c r="P20" i="1" a="1"/>
  <c r="P20" i="1" s="1"/>
  <c r="M20" i="1" a="1"/>
  <c r="M20" i="1" s="1"/>
  <c r="N20" i="1" s="1"/>
  <c r="L21" i="1"/>
  <c r="P21" i="1" a="1"/>
  <c r="P21" i="1" s="1"/>
  <c r="M21" i="1" a="1"/>
  <c r="M21" i="1" s="1"/>
  <c r="L22" i="1"/>
  <c r="P22" i="1" a="1"/>
  <c r="P22" i="1" s="1"/>
  <c r="M22" i="1" a="1"/>
  <c r="M22" i="1" s="1"/>
  <c r="L24" i="1"/>
  <c r="M24" i="1" a="1"/>
  <c r="M24" i="1" s="1"/>
  <c r="N24" i="1" s="1"/>
  <c r="N23" i="1" s="1"/>
  <c r="L26" i="1"/>
  <c r="P26" i="1" a="1"/>
  <c r="P26" i="1" s="1"/>
  <c r="M26" i="1" a="1"/>
  <c r="M26" i="1" s="1"/>
  <c r="N26" i="1" s="1"/>
  <c r="L27" i="1"/>
  <c r="P27" i="1" a="1"/>
  <c r="P27" i="1" s="1"/>
  <c r="M27" i="1" a="1"/>
  <c r="M27" i="1" s="1"/>
  <c r="L29" i="1"/>
  <c r="M29" i="1" a="1"/>
  <c r="M29" i="1" s="1"/>
  <c r="L31" i="1"/>
  <c r="P31" i="1" a="1"/>
  <c r="P31" i="1" s="1"/>
  <c r="M31" i="1" a="1"/>
  <c r="M31" i="1" s="1"/>
  <c r="L32" i="1"/>
  <c r="P32" i="1" a="1"/>
  <c r="P32" i="1" s="1"/>
  <c r="M32" i="1" a="1"/>
  <c r="M32" i="1" s="1"/>
  <c r="L34" i="1"/>
  <c r="M34" i="1" a="1"/>
  <c r="M34" i="1" s="1"/>
  <c r="N34" i="1" s="1"/>
  <c r="N33" i="1" s="1"/>
  <c r="L36" i="1"/>
  <c r="P36" i="1" a="1"/>
  <c r="P36" i="1" s="1"/>
  <c r="M36" i="1" a="1"/>
  <c r="M36" i="1" s="1"/>
  <c r="N36" i="1" s="1"/>
  <c r="L37" i="1"/>
  <c r="P37" i="1" a="1"/>
  <c r="P37" i="1" s="1"/>
  <c r="M37" i="1" a="1"/>
  <c r="M37" i="1" s="1"/>
  <c r="N37" i="1" s="1"/>
  <c r="L38" i="1"/>
  <c r="P38" i="1" a="1"/>
  <c r="P38" i="1" s="1"/>
  <c r="M38" i="1" a="1"/>
  <c r="M38" i="1" s="1"/>
  <c r="N38" i="1" s="1"/>
  <c r="L39" i="1"/>
  <c r="P39" i="1" a="1"/>
  <c r="P39" i="1" s="1"/>
  <c r="M39" i="1" a="1"/>
  <c r="M39" i="1" s="1"/>
  <c r="N39" i="1" s="1"/>
  <c r="L41" i="1"/>
  <c r="M41" i="1" a="1"/>
  <c r="M41" i="1" s="1"/>
  <c r="N41" i="1" s="1"/>
  <c r="N40" i="1" s="1"/>
  <c r="L43" i="1"/>
  <c r="P43" i="1" a="1"/>
  <c r="P43" i="1" s="1"/>
  <c r="M43" i="1" a="1"/>
  <c r="M43" i="1" s="1"/>
  <c r="N43" i="1" s="1"/>
  <c r="L44" i="1"/>
  <c r="P44" i="1" a="1"/>
  <c r="P44" i="1" s="1"/>
  <c r="M44" i="1" a="1"/>
  <c r="M44" i="1" s="1"/>
  <c r="N44" i="1" s="1"/>
  <c r="L46" i="1"/>
  <c r="M46" i="1" a="1"/>
  <c r="M46" i="1" s="1"/>
  <c r="N46" i="1" s="1"/>
  <c r="N45" i="1" s="1"/>
  <c r="L48" i="1"/>
  <c r="P48" i="1" a="1"/>
  <c r="P48" i="1" s="1"/>
  <c r="M48" i="1" a="1"/>
  <c r="M48" i="1" s="1"/>
  <c r="L49" i="1"/>
  <c r="P49" i="1" a="1"/>
  <c r="P49" i="1" s="1"/>
  <c r="M49" i="1" a="1"/>
  <c r="M49" i="1" s="1"/>
  <c r="L50" i="1"/>
  <c r="P50" i="1" a="1"/>
  <c r="P50" i="1" s="1"/>
  <c r="M50" i="1" a="1"/>
  <c r="M50" i="1" s="1"/>
  <c r="L52" i="1"/>
  <c r="M52" i="1" a="1"/>
  <c r="M52" i="1" s="1"/>
  <c r="N52" i="1" s="1"/>
  <c r="N51" i="1" s="1"/>
  <c r="L54" i="1"/>
  <c r="P54" i="1" a="1"/>
  <c r="P54" i="1" s="1"/>
  <c r="M54" i="1" a="1"/>
  <c r="M54" i="1" s="1"/>
  <c r="L56" i="1"/>
  <c r="M56" i="1" a="1"/>
  <c r="M56" i="1" s="1"/>
  <c r="L58" i="1"/>
  <c r="P58" i="1" a="1"/>
  <c r="P58" i="1" s="1"/>
  <c r="M58" i="1" a="1"/>
  <c r="M58" i="1" s="1"/>
  <c r="L60" i="1"/>
  <c r="M60" i="1" a="1"/>
  <c r="M60" i="1" s="1"/>
  <c r="L62" i="1"/>
  <c r="P62" i="1" a="1"/>
  <c r="P62" i="1" s="1"/>
  <c r="M62" i="1" a="1"/>
  <c r="M62" i="1" s="1"/>
  <c r="L64" i="1"/>
  <c r="M64" i="1" a="1"/>
  <c r="M64" i="1" s="1"/>
  <c r="N64" i="1" s="1"/>
  <c r="N63" i="1" s="1"/>
  <c r="L66" i="1"/>
  <c r="P66" i="1" a="1"/>
  <c r="P66" i="1" s="1"/>
  <c r="M66" i="1" a="1"/>
  <c r="M66" i="1" s="1"/>
  <c r="N66" i="1" s="1"/>
  <c r="N65" i="1" s="1"/>
  <c r="L68" i="1"/>
  <c r="M68" i="1" a="1"/>
  <c r="M68" i="1" s="1"/>
  <c r="N68" i="1" s="1"/>
  <c r="N67" i="1" s="1"/>
  <c r="L70" i="1"/>
  <c r="P70" i="1" a="1"/>
  <c r="P70" i="1" s="1"/>
  <c r="M70" i="1" a="1"/>
  <c r="M70" i="1" s="1"/>
  <c r="N70" i="1" s="1"/>
  <c r="N69" i="1" s="1"/>
  <c r="L74" i="1"/>
  <c r="M74" i="1" a="1"/>
  <c r="M74" i="1" s="1"/>
  <c r="N74" i="1" s="1"/>
  <c r="N73" i="1" s="1"/>
  <c r="L76" i="1"/>
  <c r="M76" i="1" a="1"/>
  <c r="M76" i="1" s="1"/>
  <c r="L78" i="1"/>
  <c r="P78" i="1" a="1"/>
  <c r="P78" i="1" s="1"/>
  <c r="M78" i="1" a="1"/>
  <c r="M78" i="1" s="1"/>
  <c r="L79" i="1"/>
  <c r="P79" i="1" a="1"/>
  <c r="P79" i="1" s="1"/>
  <c r="M79" i="1" a="1"/>
  <c r="M79" i="1" s="1"/>
  <c r="L80" i="1"/>
  <c r="P80" i="1" a="1"/>
  <c r="P80" i="1" s="1"/>
  <c r="M80" i="1" a="1"/>
  <c r="M80" i="1" s="1"/>
  <c r="N80" i="1" s="1"/>
  <c r="L81" i="1"/>
  <c r="P81" i="1" a="1"/>
  <c r="P81" i="1" s="1"/>
  <c r="M81" i="1" a="1"/>
  <c r="M81" i="1" s="1"/>
  <c r="N81" i="1" s="1"/>
  <c r="L82" i="1"/>
  <c r="P82" i="1" a="1"/>
  <c r="P82" i="1" s="1"/>
  <c r="M82" i="1" a="1"/>
  <c r="M82" i="1" s="1"/>
  <c r="N82" i="1" s="1"/>
  <c r="L84" i="1"/>
  <c r="M84" i="1" a="1"/>
  <c r="M84" i="1" s="1"/>
  <c r="N84" i="1" s="1"/>
  <c r="N83" i="1" s="1"/>
  <c r="L86" i="1"/>
  <c r="P86" i="1" a="1"/>
  <c r="P86" i="1" s="1"/>
  <c r="M86" i="1" a="1"/>
  <c r="M86" i="1" s="1"/>
  <c r="N86" i="1" s="1"/>
  <c r="N85" i="1" s="1"/>
  <c r="L88" i="1"/>
  <c r="M88" i="1" a="1"/>
  <c r="M88" i="1" s="1"/>
  <c r="N88" i="1" s="1"/>
  <c r="N87" i="1" s="1"/>
  <c r="L90" i="1"/>
  <c r="P90" i="1" a="1"/>
  <c r="P90" i="1" s="1"/>
  <c r="M90" i="1" a="1"/>
  <c r="M90" i="1" s="1"/>
  <c r="L91" i="1"/>
  <c r="P91" i="1" a="1"/>
  <c r="P91" i="1" s="1"/>
  <c r="M91" i="1" a="1"/>
  <c r="M91" i="1" s="1"/>
  <c r="L92" i="1"/>
  <c r="P92" i="1" a="1"/>
  <c r="P92" i="1" s="1"/>
  <c r="M92" i="1" a="1"/>
  <c r="M92" i="1" s="1"/>
  <c r="L93" i="1"/>
  <c r="P93" i="1" a="1"/>
  <c r="P93" i="1" s="1"/>
  <c r="M93" i="1" a="1"/>
  <c r="M93" i="1" s="1"/>
  <c r="L94" i="1"/>
  <c r="P94" i="1" a="1"/>
  <c r="P94" i="1" s="1"/>
  <c r="M94" i="1" a="1"/>
  <c r="M94" i="1" s="1"/>
  <c r="L96" i="1"/>
  <c r="M96" i="1" a="1"/>
  <c r="M96" i="1" s="1"/>
  <c r="L98" i="1"/>
  <c r="P98" i="1" a="1"/>
  <c r="P98" i="1" s="1"/>
  <c r="M98" i="1" a="1"/>
  <c r="M98" i="1" s="1"/>
  <c r="N98" i="1" s="1"/>
  <c r="L99" i="1"/>
  <c r="P99" i="1" a="1"/>
  <c r="P99" i="1" s="1"/>
  <c r="M99" i="1" a="1"/>
  <c r="M99" i="1" s="1"/>
  <c r="N99" i="1" s="1"/>
  <c r="L100" i="1"/>
  <c r="P100" i="1" a="1"/>
  <c r="P100" i="1" s="1"/>
  <c r="M100" i="1" a="1"/>
  <c r="M100" i="1" s="1"/>
  <c r="N100" i="1" s="1"/>
  <c r="L101" i="1"/>
  <c r="P101" i="1" a="1"/>
  <c r="P101" i="1" s="1"/>
  <c r="M101" i="1" a="1"/>
  <c r="M101" i="1" s="1"/>
  <c r="N101" i="1" s="1"/>
  <c r="L103" i="1"/>
  <c r="M103" i="1" a="1"/>
  <c r="M103" i="1" s="1"/>
  <c r="N103" i="1" s="1"/>
  <c r="N102" i="1" s="1"/>
  <c r="L105" i="1"/>
  <c r="P105" i="1" a="1"/>
  <c r="P105" i="1" s="1"/>
  <c r="M105" i="1" a="1"/>
  <c r="M105" i="1" s="1"/>
  <c r="L106" i="1"/>
  <c r="P106" i="1" a="1"/>
  <c r="P106" i="1" s="1"/>
  <c r="M106" i="1" a="1"/>
  <c r="M106" i="1" s="1"/>
  <c r="L107" i="1"/>
  <c r="P107" i="1" a="1"/>
  <c r="P107" i="1" s="1"/>
  <c r="M107" i="1" a="1"/>
  <c r="M107" i="1" s="1"/>
  <c r="N107" i="1" s="1"/>
  <c r="L108" i="1"/>
  <c r="P108" i="1" a="1"/>
  <c r="P108" i="1" s="1"/>
  <c r="M108" i="1" a="1"/>
  <c r="M108" i="1" s="1"/>
  <c r="L109" i="1"/>
  <c r="P109" i="1" a="1"/>
  <c r="P109" i="1" s="1"/>
  <c r="M109" i="1" a="1"/>
  <c r="M109" i="1" s="1"/>
  <c r="N109" i="1" s="1"/>
  <c r="L113" i="1"/>
  <c r="M113" i="1" a="1"/>
  <c r="M113" i="1" s="1"/>
  <c r="N113" i="1" s="1"/>
  <c r="N112" i="1" s="1"/>
  <c r="L115" i="1"/>
  <c r="M115" i="1" a="1"/>
  <c r="M115" i="1" s="1"/>
  <c r="N115" i="1" s="1"/>
  <c r="N114" i="1" s="1"/>
  <c r="L117" i="1"/>
  <c r="M117" i="1" a="1"/>
  <c r="M117" i="1" s="1"/>
  <c r="L119" i="1"/>
  <c r="P119" i="1" a="1"/>
  <c r="P119" i="1" s="1"/>
  <c r="M119" i="1" a="1"/>
  <c r="M119" i="1" s="1"/>
  <c r="N119" i="1" s="1"/>
  <c r="L120" i="1"/>
  <c r="P120" i="1" a="1"/>
  <c r="P120" i="1" s="1"/>
  <c r="M120" i="1" a="1"/>
  <c r="M120" i="1" s="1"/>
  <c r="N120" i="1" s="1"/>
  <c r="L121" i="1"/>
  <c r="P121" i="1" a="1"/>
  <c r="P121" i="1" s="1"/>
  <c r="M121" i="1" a="1"/>
  <c r="M121" i="1" s="1"/>
  <c r="N121" i="1" s="1"/>
  <c r="L123" i="1"/>
  <c r="M123" i="1" a="1"/>
  <c r="M123" i="1" s="1"/>
  <c r="N123" i="1" s="1"/>
  <c r="L125" i="1"/>
  <c r="P125" i="1" a="1"/>
  <c r="P125" i="1" s="1"/>
  <c r="M125" i="1" a="1"/>
  <c r="M125" i="1" s="1"/>
  <c r="L127" i="1"/>
  <c r="M127" i="1" a="1"/>
  <c r="M127" i="1" s="1"/>
  <c r="L129" i="1"/>
  <c r="M129" i="1" a="1"/>
  <c r="M129" i="1" s="1"/>
  <c r="L131" i="1"/>
  <c r="P131" i="1" a="1"/>
  <c r="P131" i="1" s="1"/>
  <c r="M131" i="1" a="1"/>
  <c r="M131" i="1" s="1"/>
  <c r="L132" i="1"/>
  <c r="P132" i="1" a="1"/>
  <c r="P132" i="1" s="1"/>
  <c r="M132" i="1" a="1"/>
  <c r="M132" i="1" s="1"/>
  <c r="N132" i="1" s="1"/>
  <c r="L133" i="1"/>
  <c r="P133" i="1" a="1"/>
  <c r="P133" i="1" s="1"/>
  <c r="M133" i="1" a="1"/>
  <c r="M133" i="1" s="1"/>
  <c r="L135" i="1"/>
  <c r="M135" i="1" a="1"/>
  <c r="M135" i="1" s="1"/>
  <c r="L137" i="1"/>
  <c r="P137" i="1" a="1"/>
  <c r="P137" i="1" s="1"/>
  <c r="M137" i="1" a="1"/>
  <c r="M137" i="1" s="1"/>
  <c r="L139" i="1"/>
  <c r="M139" i="1" a="1"/>
  <c r="M139" i="1" s="1"/>
  <c r="N139" i="1" s="1"/>
  <c r="N138" i="1" s="1"/>
  <c r="L141" i="1"/>
  <c r="P141" i="1" a="1"/>
  <c r="P141" i="1" s="1"/>
  <c r="M141" i="1" a="1"/>
  <c r="M141" i="1" s="1"/>
  <c r="N141" i="1" s="1"/>
  <c r="N140" i="1" s="1"/>
  <c r="L145" i="1"/>
  <c r="M145" i="1" a="1"/>
  <c r="M145" i="1" s="1"/>
  <c r="N145" i="1" s="1"/>
  <c r="N144" i="1" s="1"/>
  <c r="L147" i="1"/>
  <c r="M147" i="1" a="1"/>
  <c r="M147" i="1" s="1"/>
  <c r="N147" i="1" s="1"/>
  <c r="N146" i="1" s="1"/>
  <c r="L149" i="1"/>
  <c r="M149" i="1" a="1"/>
  <c r="M149" i="1" s="1"/>
  <c r="N149" i="1" s="1"/>
  <c r="N148" i="1" s="1"/>
  <c r="L151" i="1"/>
  <c r="P151" i="1" a="1"/>
  <c r="P151" i="1" s="1"/>
  <c r="M151" i="1" a="1"/>
  <c r="M151" i="1" s="1"/>
  <c r="N151" i="1" s="1"/>
  <c r="L152" i="1"/>
  <c r="P152" i="1" a="1"/>
  <c r="P152" i="1" s="1"/>
  <c r="M152" i="1" a="1"/>
  <c r="M152" i="1" s="1"/>
  <c r="N152" i="1" s="1"/>
  <c r="L154" i="1"/>
  <c r="M154" i="1" a="1"/>
  <c r="M154" i="1" s="1"/>
  <c r="N154" i="1" s="1"/>
  <c r="N153" i="1" s="1"/>
  <c r="L156" i="1"/>
  <c r="P156" i="1" a="1"/>
  <c r="P156" i="1" s="1"/>
  <c r="M156" i="1" a="1"/>
  <c r="M156" i="1" s="1"/>
  <c r="L157" i="1"/>
  <c r="P157" i="1" a="1"/>
  <c r="P157" i="1" s="1"/>
  <c r="M157" i="1" a="1"/>
  <c r="M157" i="1" s="1"/>
  <c r="L159" i="1"/>
  <c r="M159" i="1" a="1"/>
  <c r="M159" i="1" s="1"/>
  <c r="N159" i="1" s="1"/>
  <c r="N158" i="1" s="1"/>
  <c r="L161" i="1"/>
  <c r="P161" i="1" a="1"/>
  <c r="P161" i="1" s="1"/>
  <c r="M161" i="1" a="1"/>
  <c r="M161" i="1" s="1"/>
  <c r="L163" i="1"/>
  <c r="M163" i="1" a="1"/>
  <c r="M163" i="1" s="1"/>
  <c r="N163" i="1" s="1"/>
  <c r="N162" i="1" s="1"/>
  <c r="L165" i="1"/>
  <c r="P165" i="1" a="1"/>
  <c r="P165" i="1" s="1"/>
  <c r="M165" i="1" a="1"/>
  <c r="M165" i="1" s="1"/>
  <c r="N165" i="1" s="1"/>
  <c r="N164" i="1" s="1"/>
  <c r="L167" i="1"/>
  <c r="M167" i="1" a="1"/>
  <c r="M167" i="1" s="1"/>
  <c r="N167" i="1" s="1"/>
  <c r="N166" i="1" s="1"/>
  <c r="L169" i="1"/>
  <c r="P169" i="1" a="1"/>
  <c r="P169" i="1" s="1"/>
  <c r="M169" i="1" a="1"/>
  <c r="M169" i="1" s="1"/>
  <c r="N169" i="1" s="1"/>
  <c r="N168" i="1" s="1"/>
  <c r="L171" i="1"/>
  <c r="M171" i="1" a="1"/>
  <c r="M171" i="1" s="1"/>
  <c r="N171" i="1" s="1"/>
  <c r="N170" i="1" s="1"/>
  <c r="L173" i="1"/>
  <c r="P173" i="1" a="1"/>
  <c r="P173" i="1" s="1"/>
  <c r="M173" i="1" a="1"/>
  <c r="M173" i="1" s="1"/>
  <c r="N173" i="1" s="1"/>
  <c r="L174" i="1"/>
  <c r="P174" i="1" a="1"/>
  <c r="P174" i="1" s="1"/>
  <c r="M174" i="1" a="1"/>
  <c r="M174" i="1" s="1"/>
  <c r="N174" i="1" s="1"/>
  <c r="L176" i="1"/>
  <c r="M176" i="1" a="1"/>
  <c r="M176" i="1" s="1"/>
  <c r="N176" i="1" s="1"/>
  <c r="N175" i="1" s="1"/>
  <c r="L178" i="1"/>
  <c r="P178" i="1" a="1"/>
  <c r="P178" i="1" s="1"/>
  <c r="M178" i="1" a="1"/>
  <c r="M178" i="1" s="1"/>
  <c r="N178" i="1" s="1"/>
  <c r="N177" i="1" s="1"/>
  <c r="L180" i="1"/>
  <c r="M180" i="1" a="1"/>
  <c r="M180" i="1" s="1"/>
  <c r="N180" i="1" s="1"/>
  <c r="N179" i="1" s="1"/>
  <c r="L182" i="1"/>
  <c r="P182" i="1" a="1"/>
  <c r="P182" i="1" s="1"/>
  <c r="M182" i="1" a="1"/>
  <c r="M182" i="1" s="1"/>
  <c r="L184" i="1"/>
  <c r="M184" i="1" a="1"/>
  <c r="M184" i="1" s="1"/>
  <c r="N184" i="1" s="1"/>
  <c r="N183" i="1" s="1"/>
  <c r="L186" i="1"/>
  <c r="P186" i="1" a="1"/>
  <c r="P186" i="1" s="1"/>
  <c r="M186" i="1" a="1"/>
  <c r="M186" i="1" s="1"/>
  <c r="L188" i="1"/>
  <c r="M188" i="1" a="1"/>
  <c r="M188" i="1" s="1"/>
  <c r="L190" i="1"/>
  <c r="P190" i="1" a="1"/>
  <c r="P190" i="1" s="1"/>
  <c r="M190" i="1" a="1"/>
  <c r="M190" i="1" s="1"/>
  <c r="N190" i="1" s="1"/>
  <c r="N189" i="1" s="1"/>
  <c r="L192" i="1"/>
  <c r="M192" i="1" a="1"/>
  <c r="M192" i="1" s="1"/>
  <c r="N192" i="1" s="1"/>
  <c r="N191" i="1" s="1"/>
  <c r="L194" i="1"/>
  <c r="P194" i="1" a="1"/>
  <c r="P194" i="1" s="1"/>
  <c r="M194" i="1" a="1"/>
  <c r="M194" i="1" s="1"/>
  <c r="N194" i="1" s="1"/>
  <c r="N193" i="1" s="1"/>
  <c r="L196" i="1"/>
  <c r="M196" i="1" a="1"/>
  <c r="M196" i="1" s="1"/>
  <c r="N196" i="1" s="1"/>
  <c r="N195" i="1" s="1"/>
  <c r="L198" i="1"/>
  <c r="P198" i="1" a="1"/>
  <c r="P198" i="1" s="1"/>
  <c r="M198" i="1" a="1"/>
  <c r="M198" i="1" s="1"/>
  <c r="N198" i="1" s="1"/>
  <c r="L200" i="1"/>
  <c r="M200" i="1" a="1"/>
  <c r="M200" i="1" s="1"/>
  <c r="N200" i="1" s="1"/>
  <c r="N199" i="1" s="1"/>
  <c r="L202" i="1"/>
  <c r="P202" i="1" a="1"/>
  <c r="P202" i="1" s="1"/>
  <c r="M202" i="1" a="1"/>
  <c r="M202" i="1" s="1"/>
  <c r="L203" i="1"/>
  <c r="P203" i="1" a="1"/>
  <c r="P203" i="1" s="1"/>
  <c r="M203" i="1" a="1"/>
  <c r="M203" i="1" s="1"/>
  <c r="L204" i="1"/>
  <c r="P204" i="1" a="1"/>
  <c r="P204" i="1" s="1"/>
  <c r="M204" i="1" a="1"/>
  <c r="M204" i="1" s="1"/>
  <c r="L206" i="1"/>
  <c r="M206" i="1" a="1"/>
  <c r="M206" i="1" s="1"/>
  <c r="L208" i="1"/>
  <c r="P208" i="1" a="1"/>
  <c r="P208" i="1" s="1"/>
  <c r="M208" i="1" a="1"/>
  <c r="M208" i="1" s="1"/>
  <c r="L212" i="1"/>
  <c r="M212" i="1" a="1"/>
  <c r="M212" i="1" s="1"/>
  <c r="N212" i="1" s="1"/>
  <c r="N211" i="1" s="1"/>
  <c r="L214" i="1"/>
  <c r="M214" i="1" a="1"/>
  <c r="M214" i="1" s="1"/>
  <c r="N214" i="1" s="1"/>
  <c r="N213" i="1" s="1"/>
  <c r="L216" i="1"/>
  <c r="P216" i="1" a="1"/>
  <c r="P216" i="1" s="1"/>
  <c r="M216" i="1" a="1"/>
  <c r="M216" i="1" s="1"/>
  <c r="L218" i="1"/>
  <c r="M218" i="1" a="1"/>
  <c r="M218" i="1" s="1"/>
  <c r="N218" i="1" s="1"/>
  <c r="N217" i="1" s="1"/>
  <c r="L220" i="1"/>
  <c r="P220" i="1" a="1"/>
  <c r="P220" i="1" s="1"/>
  <c r="M220" i="1" a="1"/>
  <c r="M220" i="1" s="1"/>
  <c r="N220" i="1" s="1"/>
  <c r="L221" i="1"/>
  <c r="P221" i="1" a="1"/>
  <c r="P221" i="1" s="1"/>
  <c r="M221" i="1" a="1"/>
  <c r="M221" i="1" s="1"/>
  <c r="N221" i="1" s="1"/>
  <c r="L223" i="1"/>
  <c r="M223" i="1" a="1"/>
  <c r="M223" i="1" s="1"/>
  <c r="N223" i="1" s="1"/>
  <c r="N222" i="1" s="1"/>
  <c r="L225" i="1"/>
  <c r="P225" i="1" a="1"/>
  <c r="P225" i="1" s="1"/>
  <c r="M225" i="1" a="1"/>
  <c r="M225" i="1" s="1"/>
  <c r="N225" i="1" s="1"/>
  <c r="N224" i="1" s="1"/>
  <c r="L227" i="1"/>
  <c r="M227" i="1" a="1"/>
  <c r="M227" i="1" s="1"/>
  <c r="N227" i="1" s="1"/>
  <c r="N226" i="1" s="1"/>
  <c r="L229" i="1"/>
  <c r="P229" i="1" a="1"/>
  <c r="P229" i="1" s="1"/>
  <c r="M229" i="1" a="1"/>
  <c r="M229" i="1" s="1"/>
  <c r="N229" i="1" s="1"/>
  <c r="N228" i="1" s="1"/>
  <c r="L231" i="1"/>
  <c r="M231" i="1" a="1"/>
  <c r="M231" i="1" s="1"/>
  <c r="L233" i="1"/>
  <c r="P233" i="1" a="1"/>
  <c r="P233" i="1" s="1"/>
  <c r="M233" i="1" a="1"/>
  <c r="M233" i="1" s="1"/>
  <c r="L234" i="1"/>
  <c r="P234" i="1" a="1"/>
  <c r="P234" i="1" s="1"/>
  <c r="M234" i="1" a="1"/>
  <c r="M234" i="1" s="1"/>
  <c r="N234" i="1" s="1"/>
  <c r="L236" i="1"/>
  <c r="M236" i="1" a="1"/>
  <c r="M236" i="1" s="1"/>
  <c r="N236" i="1" s="1"/>
  <c r="N235" i="1" s="1"/>
  <c r="L238" i="1"/>
  <c r="P238" i="1" a="1"/>
  <c r="P238" i="1" s="1"/>
  <c r="M238" i="1" a="1"/>
  <c r="M238" i="1" s="1"/>
  <c r="N238" i="1" s="1"/>
  <c r="N237" i="1" s="1"/>
  <c r="L257" i="1"/>
  <c r="M257" i="1" a="1"/>
  <c r="M257" i="1" s="1"/>
  <c r="N257" i="1" s="1"/>
  <c r="N256" i="1" s="1"/>
  <c r="N255" i="1" s="1"/>
  <c r="N254" i="1" s="1"/>
  <c r="L242" i="1"/>
  <c r="M242" i="1" a="1"/>
  <c r="M242" i="1" s="1"/>
  <c r="N242" i="1" s="1"/>
  <c r="N241" i="1" s="1"/>
  <c r="L244" i="1"/>
  <c r="P244" i="1" a="1"/>
  <c r="P244" i="1" s="1"/>
  <c r="M244" i="1" a="1"/>
  <c r="M244" i="1" s="1"/>
  <c r="N244" i="1" s="1"/>
  <c r="N243" i="1" s="1"/>
  <c r="G71" i="3"/>
  <c r="G70" i="3"/>
  <c r="G69" i="3"/>
  <c r="G68" i="3"/>
  <c r="G67" i="3"/>
  <c r="G66" i="3"/>
  <c r="G65" i="3"/>
  <c r="G64" i="3"/>
  <c r="G63" i="3"/>
  <c r="G62" i="3"/>
  <c r="G61" i="3"/>
  <c r="G60" i="3"/>
  <c r="G59" i="3"/>
  <c r="G58" i="3"/>
  <c r="G57" i="3"/>
  <c r="G56" i="3"/>
  <c r="G55" i="3"/>
  <c r="G54" i="3"/>
  <c r="G53" i="3"/>
  <c r="G52" i="3"/>
  <c r="G51" i="3"/>
  <c r="G50" i="3"/>
  <c r="G49" i="3"/>
  <c r="G48" i="3"/>
  <c r="G47" i="3"/>
  <c r="G46" i="3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G4" i="3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N108" i="1" l="1"/>
  <c r="N208" i="1"/>
  <c r="N207" i="1" s="1"/>
  <c r="E33" i="2"/>
  <c r="N21" i="1"/>
  <c r="N54" i="1"/>
  <c r="N56" i="1"/>
  <c r="N55" i="1" s="1"/>
  <c r="N247" i="1"/>
  <c r="G73" i="3" s="1"/>
  <c r="N22" i="1"/>
  <c r="N125" i="1"/>
  <c r="N124" i="1" s="1"/>
  <c r="N203" i="1"/>
  <c r="N197" i="1"/>
  <c r="N58" i="1"/>
  <c r="N127" i="1"/>
  <c r="N126" i="1" s="1"/>
  <c r="N122" i="1"/>
  <c r="N96" i="1"/>
  <c r="N95" i="1" s="1"/>
  <c r="N27" i="1"/>
  <c r="N25" i="1" s="1"/>
  <c r="N129" i="1"/>
  <c r="N128" i="1" s="1"/>
  <c r="N29" i="1"/>
  <c r="N28" i="1" s="1"/>
  <c r="N62" i="1"/>
  <c r="N61" i="1" s="1"/>
  <c r="N204" i="1"/>
  <c r="N135" i="1"/>
  <c r="N134" i="1" s="1"/>
  <c r="N206" i="1"/>
  <c r="N161" i="1"/>
  <c r="N160" i="1" s="1"/>
  <c r="N202" i="1"/>
  <c r="N186" i="1"/>
  <c r="N185" i="1" s="1"/>
  <c r="N79" i="1"/>
  <c r="N117" i="1"/>
  <c r="N116" i="1" s="1"/>
  <c r="N137" i="1"/>
  <c r="N216" i="1"/>
  <c r="N215" i="1" s="1"/>
  <c r="N233" i="1"/>
  <c r="N232" i="1" s="1"/>
  <c r="N60" i="1"/>
  <c r="N59" i="1" s="1"/>
  <c r="N97" i="1"/>
  <c r="N105" i="1"/>
  <c r="N106" i="1"/>
  <c r="N131" i="1"/>
  <c r="N188" i="1"/>
  <c r="N187" i="1" s="1"/>
  <c r="N35" i="1"/>
  <c r="N231" i="1"/>
  <c r="N230" i="1" s="1"/>
  <c r="N118" i="1"/>
  <c r="N150" i="1"/>
  <c r="N156" i="1"/>
  <c r="N157" i="1"/>
  <c r="N172" i="1"/>
  <c r="N78" i="1"/>
  <c r="N219" i="1"/>
  <c r="N32" i="1"/>
  <c r="N42" i="1"/>
  <c r="N48" i="1"/>
  <c r="N49" i="1"/>
  <c r="N50" i="1"/>
  <c r="N76" i="1"/>
  <c r="N75" i="1" s="1"/>
  <c r="N90" i="1"/>
  <c r="N91" i="1"/>
  <c r="N92" i="1"/>
  <c r="N93" i="1"/>
  <c r="N94" i="1"/>
  <c r="N133" i="1"/>
  <c r="N182" i="1"/>
  <c r="N181" i="1" s="1"/>
  <c r="N31" i="1"/>
  <c r="N53" i="1" l="1"/>
  <c r="N248" i="1"/>
  <c r="G74" i="3" s="1"/>
  <c r="N18" i="1"/>
  <c r="N253" i="1"/>
  <c r="G79" i="3" s="1"/>
  <c r="N251" i="1"/>
  <c r="G77" i="3" s="1"/>
  <c r="N246" i="1"/>
  <c r="G72" i="3" s="1"/>
  <c r="N250" i="1"/>
  <c r="G76" i="3" s="1"/>
  <c r="N57" i="1"/>
  <c r="N252" i="1"/>
  <c r="G78" i="3" s="1"/>
  <c r="N136" i="1"/>
  <c r="N249" i="1"/>
  <c r="G75" i="3" s="1"/>
  <c r="N205" i="1"/>
  <c r="N259" i="1" s="1"/>
  <c r="E34" i="2" s="1"/>
  <c r="N210" i="1"/>
  <c r="N201" i="1"/>
  <c r="N104" i="1"/>
  <c r="N155" i="1"/>
  <c r="N130" i="1"/>
  <c r="N89" i="1"/>
  <c r="N77" i="1"/>
  <c r="N30" i="1"/>
  <c r="N47" i="1"/>
  <c r="G80" i="3" l="1"/>
  <c r="N11" i="1"/>
  <c r="N10" i="1" s="1"/>
  <c r="N111" i="1"/>
  <c r="N110" i="1" s="1"/>
  <c r="N72" i="1"/>
  <c r="N71" i="1" s="1"/>
  <c r="N209" i="1"/>
  <c r="N143" i="1"/>
  <c r="N142" i="1" s="1"/>
  <c r="N245" i="1" l="1"/>
  <c r="N240" i="1" l="1"/>
  <c r="N239" i="1" s="1"/>
  <c r="N9" i="1" s="1"/>
  <c r="N258" i="1" s="1"/>
  <c r="N260" i="1"/>
  <c r="G81" i="3" s="1"/>
</calcChain>
</file>

<file path=xl/sharedStrings.xml><?xml version="1.0" encoding="utf-8"?>
<sst xmlns="http://schemas.openxmlformats.org/spreadsheetml/2006/main" count="976" uniqueCount="223">
  <si>
    <t>Объект: «Пятисекционный многоквартирный жилой дом со встроенно-пристроенными нежилыми помещениями общественного назначения (№ 1.1, 1.2, 1.3, 2, 3 по ПЗУ) и встроенно-пристроенной подземной автостоянкой» Секция 1, 2, 3, 4, 5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</si>
  <si>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</si>
  <si>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</si>
  <si>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</si>
  <si>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</si>
  <si>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</si>
  <si>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</si>
  <si>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2</t>
  </si>
  <si>
    <t>Секция 3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</si>
  <si>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</si>
  <si>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</si>
  <si>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</si>
  <si>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</si>
  <si>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</si>
  <si>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11</t>
  </si>
  <si>
    <t>Внутренние инженерные сети</t>
  </si>
  <si>
    <t>11.03</t>
  </si>
  <si>
    <t>Устройство системы канализации</t>
  </si>
  <si>
    <t>11.03.01</t>
  </si>
  <si>
    <t>Устройство канализации К-1</t>
  </si>
  <si>
    <t>11.03.01.00</t>
  </si>
  <si>
    <t>Работы:</t>
  </si>
  <si>
    <t>Бурение отверстий до 130 мм</t>
  </si>
  <si>
    <t>шт</t>
  </si>
  <si>
    <t>Бурение отверстий до 80мм</t>
  </si>
  <si>
    <t>Изоляция трубопровода</t>
  </si>
  <si>
    <t>м</t>
  </si>
  <si>
    <t>Материалы:</t>
  </si>
  <si>
    <t>1</t>
  </si>
  <si>
    <t>Теплоизоляция трубная</t>
  </si>
  <si>
    <t>110х13мм вспененный каучук</t>
  </si>
  <si>
    <t>пог. м</t>
  </si>
  <si>
    <t>2</t>
  </si>
  <si>
    <t>114х9мм вспененный каучук</t>
  </si>
  <si>
    <t>3</t>
  </si>
  <si>
    <t>54х9мм вспененный каучук</t>
  </si>
  <si>
    <t>4</t>
  </si>
  <si>
    <t>108х20мм навивные цилидры из каменной ваты</t>
  </si>
  <si>
    <t>Монтаж клапана канализационного</t>
  </si>
  <si>
    <t>Клапан канализационный</t>
  </si>
  <si>
    <t>110 HL900N</t>
  </si>
  <si>
    <t>Ф50 вакуумный серый</t>
  </si>
  <si>
    <t>Монтаж муфты противопожарной</t>
  </si>
  <si>
    <t>Муфта противопожарная</t>
  </si>
  <si>
    <t>ПМ-50/60</t>
  </si>
  <si>
    <t>ПМ-110/60</t>
  </si>
  <si>
    <t>Монтаж ревизии</t>
  </si>
  <si>
    <t>Ревизия канализационная</t>
  </si>
  <si>
    <t>полипропиленовая Ду-50 бесшумная</t>
  </si>
  <si>
    <t>чугунная SML Ду-100 с прямоугольным отверстием</t>
  </si>
  <si>
    <t>чугунная SML Ду-100 с круглым отверстием</t>
  </si>
  <si>
    <t>полипропиленовая Ду-110 бесшумная</t>
  </si>
  <si>
    <t>Монтаж трапа</t>
  </si>
  <si>
    <t>Трап</t>
  </si>
  <si>
    <t>с сухим затвором верикальный Ф50</t>
  </si>
  <si>
    <t>с гидрозатвором вертикальный Ф100</t>
  </si>
  <si>
    <t>Мусорокамера</t>
  </si>
  <si>
    <t>Прокладка трубы канализационной (для внутренних работ)</t>
  </si>
  <si>
    <t>Труба канализационная (пог.м.)</t>
  </si>
  <si>
    <t>бесшумная белая D-110х3,4</t>
  </si>
  <si>
    <t>в т.ч. в квартиры</t>
  </si>
  <si>
    <t>бесшумная белая D-50х3,4</t>
  </si>
  <si>
    <t>внутренняя ПП D-50х1,8 раструбная</t>
  </si>
  <si>
    <t>Прокладка трубы ПЭ</t>
  </si>
  <si>
    <t>Труба полиэтиленовая (пог.м.)</t>
  </si>
  <si>
    <t>ПЭ-100 SDR13,6 DN110х8,1</t>
  </si>
  <si>
    <t>кровля</t>
  </si>
  <si>
    <t>Прокладка трубы чугунной</t>
  </si>
  <si>
    <t>Труба чугунная</t>
  </si>
  <si>
    <t>SML Д-100</t>
  </si>
  <si>
    <t>Установка раковины</t>
  </si>
  <si>
    <t>Раковина</t>
  </si>
  <si>
    <t>с пьедесталом керамика</t>
  </si>
  <si>
    <t>в квартиры</t>
  </si>
  <si>
    <t>Установка смесителя</t>
  </si>
  <si>
    <t>Смеситель</t>
  </si>
  <si>
    <t>для раковины однорычажный хром</t>
  </si>
  <si>
    <t>Установка унитаза</t>
  </si>
  <si>
    <t>Унитаз</t>
  </si>
  <si>
    <t>компакт с косым выпуском</t>
  </si>
  <si>
    <t>%</t>
  </si>
  <si>
    <t>11.03.02</t>
  </si>
  <si>
    <t>Устройство канализации К-2</t>
  </si>
  <si>
    <t>11.03.02.00</t>
  </si>
  <si>
    <t>Бурение отверстий 130 мм</t>
  </si>
  <si>
    <t>Трубная изоляция</t>
  </si>
  <si>
    <t>9мм D-114. L-330 (В плитах перекрытия)</t>
  </si>
  <si>
    <t>219х20мм навивные цилидры из каменной ваты</t>
  </si>
  <si>
    <t>5</t>
  </si>
  <si>
    <t>57х20мм навивные цилидры из каменной ваты</t>
  </si>
  <si>
    <t>НПВХ Ду-110</t>
  </si>
  <si>
    <t>чугунная SML Ду-200 с прямоугольным отверстием</t>
  </si>
  <si>
    <t>чугунная SML Ду-250 с прямоугольным отверстием</t>
  </si>
  <si>
    <t>НПВХ Ду-50</t>
  </si>
  <si>
    <t>Прокладка трубы НПВХ клеевая</t>
  </si>
  <si>
    <t>Труба НПВХ</t>
  </si>
  <si>
    <t>клеевая Ф110х4,2 PN10 L=3m</t>
  </si>
  <si>
    <t>клеевая Ф200х7,7 PN10</t>
  </si>
  <si>
    <t>клеевая Ф160х6,2 PN10</t>
  </si>
  <si>
    <t>клеевая Ф50х2,4 PN10</t>
  </si>
  <si>
    <t>SML Д-250</t>
  </si>
  <si>
    <t>SML Д-200</t>
  </si>
  <si>
    <t>SML Д-150</t>
  </si>
  <si>
    <t>SML Д-50</t>
  </si>
  <si>
    <t>11.03.03</t>
  </si>
  <si>
    <t>Устройство канализации Т-8</t>
  </si>
  <si>
    <t>11.03.03.00</t>
  </si>
  <si>
    <t>Бурение отверстий до 60мм</t>
  </si>
  <si>
    <t>Труба гофрированная защитная</t>
  </si>
  <si>
    <t>Ø28</t>
  </si>
  <si>
    <t>42х9мм вспененный полиэтилен</t>
  </si>
  <si>
    <t>54х9мм вспененный полиэтилен</t>
  </si>
  <si>
    <t>чугунная SML Ду-50 с круглым отверстием</t>
  </si>
  <si>
    <t>Пробивка отверстий до 40 мм</t>
  </si>
  <si>
    <t>Прокладка трубы ППН</t>
  </si>
  <si>
    <t>Труба полипропиленовая</t>
  </si>
  <si>
    <t>PPH PN20 DN40х5,4</t>
  </si>
  <si>
    <t>PPH PN20 DN20х3,4</t>
  </si>
  <si>
    <t>PPH PN20 DN50х8,4</t>
  </si>
  <si>
    <t>Прокладка трубы ПЭ сшитый (МП)</t>
  </si>
  <si>
    <t>Труба сшитый полиэтилен</t>
  </si>
  <si>
    <t>DN-20х2,8 PN-10bar PEXа</t>
  </si>
  <si>
    <t>11.03.04</t>
  </si>
  <si>
    <t>Устройство канализации К-3</t>
  </si>
  <si>
    <t>11.03.04.00</t>
  </si>
  <si>
    <t>64х9мм вспененный полиэтилен</t>
  </si>
  <si>
    <t>Монтаж дренажного насоса</t>
  </si>
  <si>
    <t>Насос дренажный</t>
  </si>
  <si>
    <t>погружной 0,75 кВт (макс. tжидкости 95С)</t>
  </si>
  <si>
    <t>Насос TMT 32M113-7,5Ci, в комплекте прибор управления для двух насосов SK-712/d-2-5,5 (12A), поплавковый выключатель KR 1 S 5m, либо аналог</t>
  </si>
  <si>
    <t>погружной 0,75 кВт (макс. tжидкости 40С)</t>
  </si>
  <si>
    <t>Насос NSP 50/230-0,75/S, либо аналог</t>
  </si>
  <si>
    <t>Монтаж клапана (фланцевые, резьбовые) до 32 мм</t>
  </si>
  <si>
    <t>Клапан обратный</t>
  </si>
  <si>
    <t>муфтовый Ду-32 Ру-16бар</t>
  </si>
  <si>
    <t>Монтаж клапана (фланцевые, резьбовые) до 40 мм</t>
  </si>
  <si>
    <t>муфтовый Ду-50 Ру-16бар</t>
  </si>
  <si>
    <t>Монтаж кранов (фланцевые, резьбовые) до 32 мм</t>
  </si>
  <si>
    <t>Кран шаровой</t>
  </si>
  <si>
    <t>Ду-32 полнопроходный с НГ</t>
  </si>
  <si>
    <t>Монтаж кранов (фланцевые, резьбовые) до 40 мм</t>
  </si>
  <si>
    <t>c НГ Ду-50 полнопроходной</t>
  </si>
  <si>
    <t>фланцевый Ду-50</t>
  </si>
  <si>
    <t>внутренняя ПП D-110х2,7 раструбная</t>
  </si>
  <si>
    <t>PPH PN20 DN63х10,5</t>
  </si>
  <si>
    <t>Прокладка трубы стальной до 40 мм</t>
  </si>
  <si>
    <t>Труба водогазопроводная</t>
  </si>
  <si>
    <t>стальная D-32х3,2 СТ3</t>
  </si>
  <si>
    <t>Прокладка трубы стальной до 57 мм</t>
  </si>
  <si>
    <t>Труба электросварная (пог.м.)</t>
  </si>
  <si>
    <t>стальная D-76х3,5</t>
  </si>
  <si>
    <t>гильзы</t>
  </si>
  <si>
    <t>стальная D-108х3,5</t>
  </si>
  <si>
    <t>стальная D-57х3,5</t>
  </si>
  <si>
    <t>11.03.05</t>
  </si>
  <si>
    <t>Устройство канализации в КУИ</t>
  </si>
  <si>
    <t>11.03.05.00</t>
  </si>
  <si>
    <t>в т.ч. комната охраны 2С</t>
  </si>
  <si>
    <t>в т.ч. комната охраны 2С, мусорокамеры</t>
  </si>
  <si>
    <t>Установка душевого поддона</t>
  </si>
  <si>
    <t>Душевой поддон</t>
  </si>
  <si>
    <t>стальной эмалированный</t>
  </si>
  <si>
    <t>в т.ч мусорокамеры</t>
  </si>
  <si>
    <t>для ванны и душа двухвентильный хром</t>
  </si>
  <si>
    <t>11.03.06</t>
  </si>
  <si>
    <t>ПНР</t>
  </si>
  <si>
    <t>11.03.06.00</t>
  </si>
  <si>
    <t>Пусконаладочные работы системы канализации: пролив</t>
  </si>
  <si>
    <t>компл.</t>
  </si>
  <si>
    <t>11.03.99</t>
  </si>
  <si>
    <t>Прочие работы</t>
  </si>
  <si>
    <t>11.03.99.00</t>
  </si>
  <si>
    <t>Эмаль (кг.)</t>
  </si>
  <si>
    <t>ПФ-115</t>
  </si>
  <si>
    <t>кг</t>
  </si>
  <si>
    <t>Навигация (дренаж)</t>
  </si>
  <si>
    <t>ИТОГО по сметному расчету:</t>
  </si>
  <si>
    <t>Всего стоимость работ</t>
  </si>
  <si>
    <t>Всего стоимость материалов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</si>
  <si>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</si>
  <si>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</si>
  <si>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</si>
  <si>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</si>
  <si>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</si>
  <si>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</si>
  <si>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</si>
  <si>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</si>
  <si>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ЛСР</t>
  </si>
  <si>
    <t>ЛСРГуид</t>
  </si>
  <si>
    <t>ГП Амундсмена Екатеринбург.01.11.03 Секция 1.1_Устройство системы канализации №1</t>
  </si>
  <si>
    <t>ebda306d-9708-11f1-9619-cc5d3c3b48f3</t>
  </si>
  <si>
    <t>ГП Амундсмена Екатеринбург.02.11.03 Секция 1.2_Устройство системы канализации №1</t>
  </si>
  <si>
    <t>0a5a13b9-9709-11f1-9619-cc5d3c3b48f3</t>
  </si>
  <si>
    <t>ГП Амундсмена Екатеринбург.03.11.03 Секция 1.3_Устройство системы канализации №1</t>
  </si>
  <si>
    <t>24d71d17-9709-11f1-9619-cc5d3c3b48f3</t>
  </si>
  <si>
    <t>ГП Амундсмена Екатеринбург.04.11.03 Секция 2_Устройство системы канализации №1</t>
  </si>
  <si>
    <t>43121e49-9709-11f1-9619-cc5d3c3b48f3</t>
  </si>
  <si>
    <t>ГП Амундсмена Екатеринбург.05.11.03 Секция 3_Устройство системы канализации №1</t>
  </si>
  <si>
    <t>589c9d74-9709-11f1-9619-cc5d3c3b48f3</t>
  </si>
  <si>
    <t>Итог</t>
  </si>
  <si>
    <t>Фасонные изделия и фитинги для ППН трубы</t>
  </si>
  <si>
    <t>Фасонные изделия и фитинги для НПВХ трубы</t>
  </si>
  <si>
    <t>Фасонные изделия и фитинги для ПЭ трубы</t>
  </si>
  <si>
    <t>Фасонные изделия и фитинги для ПЭ (сшитый) трубы</t>
  </si>
  <si>
    <t>Фасонные изделия и фитинги для канализационной трубы</t>
  </si>
  <si>
    <t>Фасонные изделия и фитинги для стальной трубы</t>
  </si>
  <si>
    <t>Прочие материалы</t>
  </si>
  <si>
    <t>Фасонные изделия и фитинги для чугунной трубы</t>
  </si>
  <si>
    <t>Проверка:</t>
  </si>
  <si>
    <t>для всех разделов, расчитывается от стоимости материалов</t>
  </si>
  <si>
    <t>Секция 1.1</t>
  </si>
  <si>
    <t>Секция 1.2</t>
  </si>
  <si>
    <t>Секция 1.3</t>
  </si>
  <si>
    <t>Примечание:</t>
  </si>
  <si>
    <t>В стоимость пусконоладочных работ входит: ПНР Насосной станции ХП, ПНР Насосной станции пожаротушения, Автоматизация (узлов учета воды, повысительной НУ) с учетом материалов, Автоматизация насосов системы пожаротушения (кабельно проводниковая продукция, лотки итд) с учетом материалов</t>
  </si>
  <si>
    <t>-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</si>
  <si>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</si>
  <si>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</si>
  <si>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Стоимость материалов учитывает стоимость доставки.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</si>
  <si>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</t>
  </si>
  <si>
    <t>Стоимость Работ по настоящему Договору является твердой и включает в себя все виды работ, необходимые для выполнения полного комплекса работ (в случае необходимости закрытия объема больше, чем предусмотрено ЛСР, расценки на работы подлежат корректировке в меньшую сторону с сохранением твердой стоимости работ)</t>
  </si>
  <si>
    <t>Локальный сметный расчет (ЛСР) №2</t>
  </si>
  <si>
    <t>Устройство системы канализации и сопутствующим работам (согласно проекту шифр ВК, стадия Р)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</si>
</sst>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.0"/>
    <numFmt numFmtId="165" formatCode="#,##0.0"/>
    <numFmt numFmtId="166" formatCode="#,##0.00\ _₽"/>
  </numFmts>
  <fonts count="14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sz val="8"/>
      <color rgb="FFFF0000"/>
      <name val="Arial"/>
      <family val="2"/>
      <charset val="204"/>
    </font>
    <font>
      <b/>
      <sz val="8"/>
      <color rgb="FFFF0000"/>
      <name val="Arial"/>
      <family val="2"/>
      <charset val="204"/>
    </font>
    <font>
      <sz val="8"/>
      <name val="Arial"/>
    </font>
    <font>
      <sz val="10"/>
      <name val="Arial"/>
      <family val="2"/>
      <charset val="204"/>
    </font>
    <font>
      <b/>
      <u/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color theme="1"/>
      <name val="Arial Narrow"/>
      <family val="2"/>
      <charset val="204"/>
    </font>
    <font>
      <sz val="12"/>
      <color theme="1"/>
      <name val="Times New Roman"/>
      <family val="1"/>
      <charset val="204"/>
    </font>
    <font>
      <sz val="12"/>
      <color rgb="FFC00000"/>
      <name val="Times New Roman"/>
      <family val="1"/>
      <charset val="204"/>
    </font>
  </fonts>
  <fills count="11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0" fontId="1" fillId="0" borderId="0"/>
    <xf numFmtId="0" fontId="1" fillId="0" borderId="0"/>
  </cellStyleXfs>
  <cellXfs count="125">
    <xf numFmtId="0" fontId="0" fillId="0" borderId="0" xfId="0"/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 applyAlignment="1">
      <alignment horizontal="left" wrapText="1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right" vertical="center"/>
    </xf>
    <xf numFmtId="0" fontId="0" fillId="3" borderId="5" xfId="0" applyFill="1" applyBorder="1" applyAlignment="1">
      <alignment horizontal="center"/>
    </xf>
    <xf numFmtId="0" fontId="0" fillId="3" borderId="5" xfId="0" applyFill="1" applyBorder="1" applyAlignment="1">
      <alignment horizontal="left" wrapText="1"/>
    </xf>
    <xf numFmtId="0" fontId="0" fillId="3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right" vertical="center"/>
    </xf>
    <xf numFmtId="0" fontId="3" fillId="4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left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right" vertical="center"/>
    </xf>
    <xf numFmtId="0" fontId="0" fillId="4" borderId="5" xfId="0" applyFill="1" applyBorder="1" applyAlignment="1">
      <alignment horizontal="right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left"/>
    </xf>
    <xf numFmtId="0" fontId="0" fillId="4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right"/>
    </xf>
    <xf numFmtId="0" fontId="0" fillId="5" borderId="5" xfId="0" applyFill="1" applyBorder="1" applyAlignment="1">
      <alignment horizontal="center"/>
    </xf>
    <xf numFmtId="0" fontId="0" fillId="5" borderId="5" xfId="0" applyFill="1" applyBorder="1" applyAlignment="1">
      <alignment horizontal="left" wrapText="1"/>
    </xf>
    <xf numFmtId="0" fontId="0" fillId="5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right" vertical="center"/>
    </xf>
    <xf numFmtId="1" fontId="0" fillId="5" borderId="5" xfId="0" applyNumberFormat="1" applyFill="1" applyBorder="1" applyAlignment="1">
      <alignment horizontal="right" vertical="center"/>
    </xf>
    <xf numFmtId="3" fontId="0" fillId="5" borderId="5" xfId="0" applyNumberFormat="1" applyFill="1" applyBorder="1" applyAlignment="1">
      <alignment horizontal="right" vertical="center"/>
    </xf>
    <xf numFmtId="164" fontId="0" fillId="5" borderId="5" xfId="0" applyNumberFormat="1" applyFill="1" applyBorder="1" applyAlignment="1">
      <alignment horizontal="right" vertical="center"/>
    </xf>
    <xf numFmtId="2" fontId="0" fillId="5" borderId="5" xfId="0" applyNumberFormat="1" applyFill="1" applyBorder="1" applyAlignment="1">
      <alignment horizontal="right" vertical="center"/>
    </xf>
    <xf numFmtId="4" fontId="0" fillId="5" borderId="5" xfId="0" applyNumberFormat="1" applyFill="1" applyBorder="1" applyAlignment="1">
      <alignment horizontal="right" vertical="center"/>
    </xf>
    <xf numFmtId="165" fontId="0" fillId="5" borderId="5" xfId="0" applyNumberFormat="1" applyFill="1" applyBorder="1" applyAlignment="1">
      <alignment horizontal="right" vertical="center"/>
    </xf>
    <xf numFmtId="0" fontId="0" fillId="6" borderId="5" xfId="0" applyFill="1" applyBorder="1" applyAlignment="1">
      <alignment horizontal="left"/>
    </xf>
    <xf numFmtId="0" fontId="0" fillId="6" borderId="6" xfId="0" applyFill="1" applyBorder="1" applyAlignment="1">
      <alignment horizontal="left"/>
    </xf>
    <xf numFmtId="0" fontId="3" fillId="6" borderId="7" xfId="0" applyFont="1" applyFill="1" applyBorder="1" applyAlignment="1">
      <alignment horizontal="right"/>
    </xf>
    <xf numFmtId="0" fontId="0" fillId="6" borderId="5" xfId="0" applyFill="1" applyBorder="1" applyAlignment="1">
      <alignment horizontal="right"/>
    </xf>
    <xf numFmtId="0" fontId="4" fillId="6" borderId="7" xfId="0" applyFont="1" applyFill="1" applyBorder="1" applyAlignment="1">
      <alignment horizontal="right"/>
    </xf>
    <xf numFmtId="0" fontId="0" fillId="7" borderId="5" xfId="0" applyFill="1" applyBorder="1" applyAlignment="1">
      <alignment horizontal="left"/>
    </xf>
    <xf numFmtId="0" fontId="0" fillId="0" borderId="5" xfId="0" applyBorder="1" applyAlignment="1">
      <alignment horizontal="center" vertical="center"/>
    </xf>
    <xf numFmtId="3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1" fontId="0" fillId="0" borderId="5" xfId="0" applyNumberFormat="1" applyBorder="1" applyAlignment="1">
      <alignment horizontal="right" vertical="center"/>
    </xf>
    <xf numFmtId="165" fontId="0" fillId="0" borderId="5" xfId="0" applyNumberFormat="1" applyBorder="1" applyAlignment="1">
      <alignment horizontal="right" vertical="center"/>
    </xf>
    <xf numFmtId="2" fontId="0" fillId="0" borderId="5" xfId="0" applyNumberFormat="1" applyBorder="1" applyAlignment="1">
      <alignment horizontal="right" vertical="center"/>
    </xf>
    <xf numFmtId="164" fontId="0" fillId="0" borderId="5" xfId="0" applyNumberFormat="1" applyBorder="1" applyAlignment="1">
      <alignment horizontal="right" vertical="center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0" fillId="0" borderId="5" xfId="0" applyNumberFormat="1" applyBorder="1" applyAlignment="1">
      <alignment horizontal="right" vertical="center"/>
    </xf>
    <xf numFmtId="4" fontId="0" fillId="0" borderId="2" xfId="0" applyNumberFormat="1" applyBorder="1" applyAlignment="1">
      <alignment horizontal="right" vertical="center"/>
    </xf>
    <xf numFmtId="0" fontId="3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" fontId="0" fillId="2" borderId="5" xfId="0" applyNumberFormat="1" applyFill="1" applyBorder="1" applyAlignment="1">
      <alignment horizontal="right" vertical="center"/>
    </xf>
    <xf numFmtId="4" fontId="0" fillId="3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center" vertical="center"/>
    </xf>
    <xf numFmtId="4" fontId="3" fillId="4" borderId="0" xfId="0" applyNumberFormat="1" applyFont="1" applyFill="1" applyAlignment="1">
      <alignment horizontal="right" vertical="center"/>
    </xf>
    <xf numFmtId="4" fontId="3" fillId="6" borderId="5" xfId="0" applyNumberFormat="1" applyFont="1" applyFill="1" applyBorder="1" applyAlignment="1">
      <alignment horizontal="right" vertical="center"/>
    </xf>
    <xf numFmtId="0" fontId="5" fillId="4" borderId="5" xfId="0" applyFont="1" applyFill="1" applyBorder="1" applyAlignment="1">
      <alignment horizontal="left"/>
    </xf>
    <xf numFmtId="0" fontId="6" fillId="4" borderId="5" xfId="0" applyFont="1" applyFill="1" applyBorder="1" applyAlignment="1">
      <alignment horizontal="left" wrapText="1"/>
    </xf>
    <xf numFmtId="0" fontId="5" fillId="5" borderId="5" xfId="0" applyFont="1" applyFill="1" applyBorder="1" applyAlignment="1">
      <alignment horizontal="left" wrapText="1"/>
    </xf>
    <xf numFmtId="0" fontId="5" fillId="5" borderId="5" xfId="0" applyFont="1" applyFill="1" applyBorder="1" applyAlignment="1">
      <alignment horizontal="center" vertical="center"/>
    </xf>
    <xf numFmtId="1" fontId="5" fillId="9" borderId="5" xfId="0" applyNumberFormat="1" applyFont="1" applyFill="1" applyBorder="1" applyAlignment="1">
      <alignment horizontal="right" vertical="center"/>
    </xf>
    <xf numFmtId="0" fontId="0" fillId="0" borderId="0" xfId="0" applyAlignment="1">
      <alignment horizontal="right"/>
    </xf>
    <xf numFmtId="4" fontId="0" fillId="0" borderId="0" xfId="0" applyNumberFormat="1" applyAlignment="1">
      <alignment horizontal="left"/>
    </xf>
    <xf numFmtId="1" fontId="0" fillId="9" borderId="2" xfId="0" applyNumberFormat="1" applyFill="1" applyBorder="1" applyAlignment="1">
      <alignment horizontal="right" vertical="center"/>
    </xf>
    <xf numFmtId="0" fontId="5" fillId="4" borderId="5" xfId="0" applyFont="1" applyFill="1" applyBorder="1" applyAlignment="1">
      <alignment horizontal="center" vertical="center"/>
    </xf>
    <xf numFmtId="4" fontId="5" fillId="4" borderId="5" xfId="0" applyNumberFormat="1" applyFont="1" applyFill="1" applyBorder="1" applyAlignment="1">
      <alignment horizontal="center" vertical="center"/>
    </xf>
    <xf numFmtId="4" fontId="6" fillId="4" borderId="0" xfId="0" applyNumberFormat="1" applyFont="1" applyFill="1" applyAlignment="1">
      <alignment horizontal="right" vertical="center"/>
    </xf>
    <xf numFmtId="0" fontId="5" fillId="4" borderId="5" xfId="0" applyFont="1" applyFill="1" applyBorder="1" applyAlignment="1">
      <alignment horizontal="right" vertical="center"/>
    </xf>
    <xf numFmtId="0" fontId="5" fillId="4" borderId="5" xfId="0" applyFont="1" applyFill="1" applyBorder="1" applyAlignment="1">
      <alignment horizontal="right"/>
    </xf>
    <xf numFmtId="0" fontId="5" fillId="5" borderId="5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right" vertical="center"/>
    </xf>
    <xf numFmtId="2" fontId="5" fillId="5" borderId="5" xfId="0" applyNumberFormat="1" applyFont="1" applyFill="1" applyBorder="1" applyAlignment="1">
      <alignment horizontal="right" vertical="center"/>
    </xf>
    <xf numFmtId="4" fontId="5" fillId="5" borderId="5" xfId="0" applyNumberFormat="1" applyFont="1" applyFill="1" applyBorder="1" applyAlignment="1">
      <alignment horizontal="right" vertical="center"/>
    </xf>
    <xf numFmtId="0" fontId="0" fillId="0" borderId="5" xfId="0" applyBorder="1" applyAlignment="1">
      <alignment horizontal="center"/>
    </xf>
    <xf numFmtId="0" fontId="5" fillId="0" borderId="5" xfId="0" applyFont="1" applyBorder="1" applyAlignment="1">
      <alignment horizontal="center"/>
    </xf>
    <xf numFmtId="49" fontId="8" fillId="10" borderId="0" xfId="0" applyNumberFormat="1" applyFont="1" applyFill="1" applyAlignment="1">
      <alignment horizontal="center" vertical="center"/>
    </xf>
    <xf numFmtId="0" fontId="9" fillId="10" borderId="0" xfId="0" applyFont="1" applyFill="1" applyAlignment="1">
      <alignment vertical="center" wrapText="1"/>
    </xf>
    <xf numFmtId="0" fontId="8" fillId="10" borderId="0" xfId="0" applyFont="1" applyFill="1" applyAlignment="1">
      <alignment horizontal="center" vertical="center" wrapText="1"/>
    </xf>
    <xf numFmtId="166" fontId="8" fillId="10" borderId="0" xfId="0" applyNumberFormat="1" applyFont="1" applyFill="1" applyAlignment="1">
      <alignment horizontal="center" vertical="center" wrapText="1"/>
    </xf>
    <xf numFmtId="166" fontId="10" fillId="10" borderId="0" xfId="0" applyNumberFormat="1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43" fontId="8" fillId="0" borderId="0" xfId="1" applyFont="1" applyFill="1" applyBorder="1" applyAlignment="1">
      <alignment horizontal="center" vertical="center"/>
    </xf>
    <xf numFmtId="0" fontId="8" fillId="0" borderId="0" xfId="3" applyFont="1" applyAlignment="1">
      <alignment vertical="center" wrapText="1"/>
    </xf>
    <xf numFmtId="0" fontId="8" fillId="0" borderId="0" xfId="3" applyFont="1" applyAlignment="1">
      <alignment vertical="top" wrapText="1"/>
    </xf>
    <xf numFmtId="0" fontId="8" fillId="0" borderId="0" xfId="0" applyFont="1" applyAlignment="1">
      <alignment vertical="top" wrapText="1"/>
    </xf>
    <xf numFmtId="0" fontId="12" fillId="0" borderId="0" xfId="0" applyFont="1" applyAlignment="1">
      <alignment horizontal="right" vertical="center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top" wrapText="1"/>
    </xf>
    <xf numFmtId="4" fontId="3" fillId="0" borderId="8" xfId="0" applyNumberFormat="1" applyFont="1" applyBorder="1" applyAlignment="1">
      <alignment horizontal="left" vertical="top" wrapText="1"/>
    </xf>
    <xf numFmtId="0" fontId="3" fillId="6" borderId="7" xfId="0" applyFont="1" applyFill="1" applyBorder="1" applyAlignment="1">
      <alignment horizontal="right"/>
    </xf>
    <xf numFmtId="4" fontId="3" fillId="6" borderId="7" xfId="0" applyNumberFormat="1" applyFont="1" applyFill="1" applyBorder="1" applyAlignment="1">
      <alignment horizontal="right"/>
    </xf>
    <xf numFmtId="0" fontId="4" fillId="6" borderId="7" xfId="0" applyFont="1" applyFill="1" applyBorder="1" applyAlignment="1">
      <alignment horizontal="right"/>
    </xf>
    <xf numFmtId="4" fontId="4" fillId="6" borderId="7" xfId="0" applyNumberFormat="1" applyFont="1" applyFill="1" applyBorder="1" applyAlignment="1">
      <alignment horizontal="right"/>
    </xf>
    <xf numFmtId="0" fontId="3" fillId="7" borderId="7" xfId="0" applyFont="1" applyFill="1" applyBorder="1" applyAlignment="1">
      <alignment horizontal="center" vertical="center" wrapText="1"/>
    </xf>
    <xf numFmtId="4" fontId="3" fillId="7" borderId="7" xfId="0" applyNumberFormat="1" applyFont="1" applyFill="1" applyBorder="1" applyAlignment="1">
      <alignment horizontal="center" vertical="center" wrapText="1"/>
    </xf>
    <xf numFmtId="0" fontId="13" fillId="8" borderId="0" xfId="0" applyFont="1" applyFill="1" applyAlignment="1">
      <alignment horizontal="left" vertical="center" wrapText="1"/>
    </xf>
    <xf numFmtId="0" fontId="11" fillId="10" borderId="0" xfId="2" applyFont="1" applyFill="1" applyAlignment="1">
      <alignment horizontal="left" vertical="center" wrapText="1"/>
    </xf>
    <xf numFmtId="0" fontId="8" fillId="0" borderId="0" xfId="3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</cellXfs>
  <cellStyles count="4">
    <cellStyle name="Обычный" xfId="0" builtinId="0"/>
    <cellStyle name="Обычный 3 2 2 3 2" xfId="3" xr:uid="{9D945C74-8580-4CD6-913B-B8D9DBA354B1}"/>
    <cellStyle name="Обычный 3 2 2 4 7" xfId="2" xr:uid="{634EF2B6-15FD-4C7D-BB8F-F8C480B5B609}"/>
    <cellStyle name="Финансовый" xfId="1" builtinId="3"/>
  </cellStyles>
  <dxfs count="40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color theme="1"/>
      </font>
      <numFmt numFmtId="4" formatCode="#,##0.00"/>
      <fill>
        <patternFill patternType="solid">
          <fgColor theme="4" tint="0.79998168889431442"/>
          <bgColor theme="4" tint="0.79998168889431442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colors>
    <mruColors>
      <color rgb="FFFFCCCC"/>
      <color rgb="FF99CCFF"/>
      <color rgb="FFCCFF66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92281E0-BCB4-47B8-9A3B-EE7CA839F0DB}" name="Р" displayName="Р" ref="A3:F33" totalsRowCount="1" headerRowDxfId="39" headerRowBorderDxfId="38" tableBorderDxfId="37" totalsRowBorderDxfId="36">
  <autoFilter ref="A3:F32" xr:uid="{D92281E0-BCB4-47B8-9A3B-EE7CA839F0DB}"/>
  <tableColumns count="6">
    <tableColumn id="1" xr3:uid="{9FF7299E-E7F3-4C2D-8BD1-55B102FD4ACB}" name="Наименование" totalsRowLabel="Итог" dataDxfId="35" totalsRowDxfId="34"/>
    <tableColumn id="2" xr3:uid="{DAD25BA3-A903-4BC0-8302-1E8FCF055E97}" name="Ед. изм." dataDxfId="33" totalsRowDxfId="32"/>
    <tableColumn id="3" xr3:uid="{0B08C379-362E-4F42-B9DD-242725B506AB}" name="Количество" dataDxfId="31" totalsRowDxfId="30"/>
    <tableColumn id="4" xr3:uid="{7ECA14EB-D3CC-4A43-B953-5D23D5EFADDD}" name="Цена за ед., руб" dataDxfId="29" totalsRowDxfId="28"/>
    <tableColumn id="5" xr3:uid="{15767988-8517-4FCF-808D-53DDD9FFB181}" name="Сумма, руб" totalsRowFunction="sum" dataDxfId="27" totalsRowDxfId="26">
      <calculatedColumnFormula>ROUND(Р[[#This Row],[Количество]]*Р[[#This Row],[Цена за ед., руб]],2)</calculatedColumnFormula>
    </tableColumn>
    <tableColumn id="6" xr3:uid="{B0C27C41-200F-477A-A918-F316D9E4C8B9}" name="Примечание" dataDxfId="25" totalsRowDxfId="24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EF48483-F531-4EB5-B21D-736C08E52882}" name="М" displayName="М" ref="A3:I80" totalsRowCount="1" headerRowDxfId="23" headerRowBorderDxfId="22" tableBorderDxfId="21" totalsRowBorderDxfId="20">
  <autoFilter ref="A3:I79" xr:uid="{6EF48483-F531-4EB5-B21D-736C08E52882}"/>
  <tableColumns count="9">
    <tableColumn id="1" xr3:uid="{95817A35-19AB-4651-B0D1-7E3BA1D766C8}" name="Наим." totalsRowLabel="Итог" dataDxfId="19" totalsRowDxfId="18"/>
    <tableColumn id="2" xr3:uid="{39A66514-4DC1-40B2-B073-E31D2B5E9316}" name="Артикул, марка, произв." dataDxfId="17" totalsRowDxfId="16"/>
    <tableColumn id="3" xr3:uid="{41B3C230-B64D-4EBA-B999-A13FC0269642}" name="Хар-ка" dataDxfId="15" totalsRowDxfId="14"/>
    <tableColumn id="4" xr3:uid="{4BFF86F7-77B3-4810-B993-7E0E7E9C0F8A}" name="Ед. изм." dataDxfId="13" totalsRowDxfId="12"/>
    <tableColumn id="5" xr3:uid="{D133C156-314E-4621-878D-FC633B4B4AA6}" name="Количество" dataDxfId="11" totalsRowDxfId="10"/>
    <tableColumn id="6" xr3:uid="{6B4E15C5-F381-48DA-9118-576159881EEB}" name="Цена за ед., руб" dataDxfId="9" totalsRowDxfId="8"/>
    <tableColumn id="7" xr3:uid="{DC1B086B-77EA-4CF2-A148-95530163ABDB}" name="Сумма, руб" totalsRowFunction="sum" dataDxfId="7" totalsRowDxfId="6">
      <calculatedColumnFormula>ROUND(М[[#This Row],[Количество]]*М[[#This Row],[Цена за ед., руб]],2)</calculatedColumnFormula>
    </tableColumn>
    <tableColumn id="8" xr3:uid="{7D445303-642D-4889-B8DF-63D4B21D5460}" name="Прим." dataDxfId="5" totalsRowDxfId="4"/>
    <tableColumn id="9" xr3:uid="{1702FBCC-DBB8-4616-8D93-257FC191CB5F}" name="Форма закупа" dataDxfId="3" totalsRow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2:DX273"/>
  <sheetViews>
    <sheetView tabSelected="1" workbookViewId="0">
      <pane ySplit="7" topLeftCell="A239" activePane="bottomLeft" state="frozen"/>
      <selection pane="bottomLeft" activeCell="B3" sqref="B3:J3"/>
    </sheetView>
  </sheetViews>
  <sheetFormatPr defaultColWidth="10.5" defaultRowHeight="11.25" outlineLevelRow="4" x14ac:dyDescent="0.2"/>
  <cols>
    <col min="1" max="1" width="9.83203125" style="1" customWidth="1"/>
    <col min="2" max="2" width="36" style="1" customWidth="1"/>
    <col min="3" max="3" width="15.83203125" style="1" customWidth="1"/>
    <col min="4" max="4" width="17" style="1" customWidth="1"/>
    <col min="5" max="5" width="10" style="1" customWidth="1"/>
    <col min="6" max="6" width="9.6640625" style="1" customWidth="1"/>
    <col min="7" max="11" width="10.5" style="1" customWidth="1"/>
    <col min="12" max="12" width="14.6640625" style="1" customWidth="1"/>
    <col min="13" max="13" width="16" style="1" customWidth="1"/>
    <col min="14" max="14" width="17" style="1" customWidth="1"/>
    <col min="15" max="15" width="35" style="1" customWidth="1"/>
    <col min="16" max="16" width="23.33203125" style="1" customWidth="1"/>
  </cols>
  <sheetData>
    <row r="2" spans="1:16" x14ac:dyDescent="0.2">
      <c r="B2" s="99" t="s">
        <v>221</v>
      </c>
      <c r="C2" s="99"/>
      <c r="D2" s="99"/>
      <c r="E2" s="99"/>
      <c r="F2" s="99"/>
      <c r="G2" s="99"/>
      <c r="H2" s="99"/>
      <c r="I2" s="99"/>
      <c r="J2" s="99"/>
    </row>
    <row r="3" spans="1:16" ht="27.75" customHeight="1" x14ac:dyDescent="0.2">
      <c r="B3" s="100" t="s">
        <v>0</v>
      </c>
      <c r="C3" s="100"/>
      <c r="D3" s="100"/>
      <c r="E3" s="100"/>
      <c r="F3" s="100"/>
      <c r="G3" s="100"/>
      <c r="H3" s="100"/>
      <c r="I3" s="100"/>
      <c r="J3" s="100"/>
    </row>
    <row r="4" spans="1:16" x14ac:dyDescent="0.2">
      <c r="B4" s="100" t="s">
        <v>222</v>
      </c>
      <c r="C4" s="100"/>
      <c r="D4" s="100"/>
      <c r="E4" s="100"/>
      <c r="F4" s="100"/>
      <c r="G4" s="100"/>
      <c r="H4" s="100"/>
      <c r="I4" s="100"/>
      <c r="J4" s="100"/>
    </row>
    <row r="6" spans="1:16" x14ac:dyDescent="0.2">
      <c r="A6" s="101" t="s">
        <v>1</v>
      </c>
      <c r="B6" s="101" t="s">
        <v>2</v>
      </c>
      <c r="C6" s="103" t="s">
        <v>3</v>
      </c>
      <c r="D6" s="105" t="s">
        <v>4</v>
      </c>
      <c r="E6" s="101" t="s">
        <v>5</v>
      </c>
      <c r="F6" s="107" t="s">
        <v>6</v>
      </c>
      <c r="G6" s="109" t="s">
        <v>210</v>
      </c>
      <c r="H6" s="109" t="s">
        <v>211</v>
      </c>
      <c r="I6" s="109" t="s">
        <v>212</v>
      </c>
      <c r="J6" s="109" t="s">
        <v>7</v>
      </c>
      <c r="K6" s="109" t="s">
        <v>8</v>
      </c>
      <c r="L6" s="101" t="s">
        <v>9</v>
      </c>
      <c r="M6" s="107" t="s">
        <v>10</v>
      </c>
      <c r="N6" s="107" t="s">
        <v>11</v>
      </c>
      <c r="O6" s="101" t="s">
        <v>12</v>
      </c>
      <c r="P6" s="107" t="s">
        <v>13</v>
      </c>
    </row>
    <row r="7" spans="1:16" x14ac:dyDescent="0.2">
      <c r="A7" s="102"/>
      <c r="B7" s="102"/>
      <c r="C7" s="104"/>
      <c r="D7" s="106"/>
      <c r="E7" s="102"/>
      <c r="F7" s="108"/>
      <c r="G7" s="110"/>
      <c r="H7" s="110"/>
      <c r="I7" s="110"/>
      <c r="J7" s="110"/>
      <c r="K7" s="110"/>
      <c r="L7" s="102"/>
      <c r="M7" s="108"/>
      <c r="N7" s="108"/>
      <c r="O7" s="102"/>
      <c r="P7" s="108"/>
    </row>
    <row r="8" spans="1:16" x14ac:dyDescent="0.2">
      <c r="A8" s="3" t="s">
        <v>14</v>
      </c>
      <c r="B8" s="4" t="s">
        <v>15</v>
      </c>
      <c r="C8" s="5"/>
      <c r="D8" s="5"/>
      <c r="E8" s="6"/>
      <c r="F8" s="7"/>
      <c r="G8" s="7"/>
      <c r="H8" s="7"/>
      <c r="I8" s="7"/>
      <c r="J8" s="7"/>
      <c r="K8" s="7"/>
      <c r="L8" s="7"/>
      <c r="M8" s="61"/>
      <c r="N8" s="61"/>
      <c r="O8" s="5"/>
      <c r="P8" s="5"/>
    </row>
    <row r="9" spans="1:16" outlineLevel="1" x14ac:dyDescent="0.2">
      <c r="A9" s="8" t="s">
        <v>16</v>
      </c>
      <c r="B9" s="9" t="s">
        <v>17</v>
      </c>
      <c r="C9" s="10"/>
      <c r="D9" s="10"/>
      <c r="E9" s="11"/>
      <c r="F9" s="12"/>
      <c r="G9" s="12"/>
      <c r="H9" s="12"/>
      <c r="I9" s="12"/>
      <c r="J9" s="12"/>
      <c r="K9" s="12"/>
      <c r="L9" s="12"/>
      <c r="M9" s="62"/>
      <c r="N9" s="62">
        <f>SUM($N$239,$N$254,$N$209,$N$142,$N$110,$N$71,$N$10)</f>
        <v>0</v>
      </c>
      <c r="O9" s="10"/>
      <c r="P9" s="10"/>
    </row>
    <row r="10" spans="1:16" outlineLevel="2" x14ac:dyDescent="0.2">
      <c r="A10" s="13" t="s">
        <v>18</v>
      </c>
      <c r="B10" s="14" t="s">
        <v>19</v>
      </c>
      <c r="C10" s="15"/>
      <c r="D10" s="15"/>
      <c r="E10" s="16"/>
      <c r="F10" s="17"/>
      <c r="G10" s="18"/>
      <c r="H10" s="18"/>
      <c r="I10" s="18"/>
      <c r="J10" s="18"/>
      <c r="K10" s="18"/>
      <c r="L10" s="18"/>
      <c r="M10" s="63"/>
      <c r="N10" s="63">
        <f>SUM($N$11)</f>
        <v>0</v>
      </c>
      <c r="O10" s="19"/>
      <c r="P10" s="19"/>
    </row>
    <row r="11" spans="1:16" outlineLevel="3" x14ac:dyDescent="0.2">
      <c r="A11" s="13" t="s">
        <v>20</v>
      </c>
      <c r="B11" s="14" t="s">
        <v>19</v>
      </c>
      <c r="C11" s="15"/>
      <c r="D11" s="15"/>
      <c r="E11" s="16"/>
      <c r="F11" s="17"/>
      <c r="G11" s="18"/>
      <c r="H11" s="18"/>
      <c r="I11" s="18"/>
      <c r="J11" s="18"/>
      <c r="K11" s="18"/>
      <c r="L11" s="18"/>
      <c r="M11" s="63"/>
      <c r="N11" s="63">
        <f>SUM($N$69,$N$67,$N$65,$N$63,$N$61,$N$59,$N$57,$N$55,$N$53,$N$51,$N$47,$N$45,$N$42,$N$40,$N$35,$N$33,$N$30,$N$28,$N$25,$N$23,$N$18,$N$16,$N$14,$N$12)</f>
        <v>0</v>
      </c>
      <c r="O11" s="19"/>
      <c r="P11" s="19"/>
    </row>
    <row r="12" spans="1:16" outlineLevel="4" x14ac:dyDescent="0.2">
      <c r="A12" s="20"/>
      <c r="B12" s="14" t="s">
        <v>21</v>
      </c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64"/>
      <c r="N12" s="65">
        <f>SUM($N$13)</f>
        <v>0</v>
      </c>
      <c r="O12" s="18"/>
      <c r="P12" s="22"/>
    </row>
    <row r="13" spans="1:16" outlineLevel="4" x14ac:dyDescent="0.2">
      <c r="A13" s="23"/>
      <c r="B13" s="24" t="s">
        <v>22</v>
      </c>
      <c r="C13" s="25"/>
      <c r="D13" s="25"/>
      <c r="E13" s="26" t="s">
        <v>23</v>
      </c>
      <c r="F13" s="27"/>
      <c r="G13" s="28">
        <v>180</v>
      </c>
      <c r="H13" s="28">
        <v>525</v>
      </c>
      <c r="I13" s="28">
        <v>372</v>
      </c>
      <c r="J13" s="29">
        <v>1000</v>
      </c>
      <c r="K13" s="28">
        <v>581</v>
      </c>
      <c r="L13" s="29">
        <f>SUM($G$13:$K$13)</f>
        <v>2658</v>
      </c>
      <c r="M13" s="32">
        <f t="array" ref="M13">INDEX(Р[Цена за ед., руб],MATCH(1,IF(($B13=Р[Наименование])*($O13=Р[Примечание]),{1},($B13=Р[Наименование])*($O13=Р[Примечание])),0))</f>
        <v>0</v>
      </c>
      <c r="N13" s="32">
        <f>ROUND($L$13*$M$13,2)</f>
        <v>0</v>
      </c>
      <c r="O13" s="25"/>
      <c r="P13" s="25"/>
    </row>
    <row r="14" spans="1:16" outlineLevel="4" x14ac:dyDescent="0.2">
      <c r="A14" s="20"/>
      <c r="B14" s="14" t="s">
        <v>21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64"/>
      <c r="N14" s="65">
        <f>SUM($N$15)</f>
        <v>0</v>
      </c>
      <c r="O14" s="18"/>
      <c r="P14" s="22"/>
    </row>
    <row r="15" spans="1:16" outlineLevel="4" x14ac:dyDescent="0.2">
      <c r="A15" s="23"/>
      <c r="B15" s="24" t="s">
        <v>24</v>
      </c>
      <c r="C15" s="25"/>
      <c r="D15" s="25"/>
      <c r="E15" s="26" t="s">
        <v>23</v>
      </c>
      <c r="F15" s="27"/>
      <c r="G15" s="28">
        <v>40</v>
      </c>
      <c r="H15" s="28">
        <v>98</v>
      </c>
      <c r="I15" s="28">
        <v>63</v>
      </c>
      <c r="J15" s="28">
        <v>118</v>
      </c>
      <c r="K15" s="28">
        <v>94</v>
      </c>
      <c r="L15" s="28">
        <f>SUM($G$15:$K$15)</f>
        <v>413</v>
      </c>
      <c r="M15" s="32">
        <f t="array" ref="M15">INDEX(Р[Цена за ед., руб],MATCH(1,IF(($B15=Р[Наименование])*($O15=Р[Примечание]),{1},($B15=Р[Наименование])*($O15=Р[Примечание])),0))</f>
        <v>0</v>
      </c>
      <c r="N15" s="32">
        <f>ROUND($L$15*$M$15,2)</f>
        <v>0</v>
      </c>
      <c r="O15" s="25"/>
      <c r="P15" s="25"/>
    </row>
    <row r="16" spans="1:16" outlineLevel="4" x14ac:dyDescent="0.2">
      <c r="A16" s="20"/>
      <c r="B16" s="14" t="s">
        <v>21</v>
      </c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64"/>
      <c r="N16" s="65">
        <f>SUM($N$17)</f>
        <v>0</v>
      </c>
      <c r="O16" s="18"/>
      <c r="P16" s="22"/>
    </row>
    <row r="17" spans="1:16" outlineLevel="4" x14ac:dyDescent="0.2">
      <c r="A17" s="23"/>
      <c r="B17" s="24" t="s">
        <v>25</v>
      </c>
      <c r="C17" s="25"/>
      <c r="D17" s="25"/>
      <c r="E17" s="26" t="s">
        <v>26</v>
      </c>
      <c r="F17" s="27"/>
      <c r="G17" s="30">
        <v>131.6</v>
      </c>
      <c r="H17" s="31">
        <v>281.58999999999997</v>
      </c>
      <c r="I17" s="31">
        <v>248.55</v>
      </c>
      <c r="J17" s="28">
        <v>592</v>
      </c>
      <c r="K17" s="31">
        <v>291.75</v>
      </c>
      <c r="L17" s="32">
        <f>SUM($G$17:$K$17)</f>
        <v>1545.49</v>
      </c>
      <c r="M17" s="32">
        <f t="array" ref="M17">INDEX(Р[Цена за ед., руб],MATCH(1,IF(($B17=Р[Наименование])*($O17=Р[Примечание]),{1},($B17=Р[Наименование])*($O17=Р[Примечание])),0))</f>
        <v>0</v>
      </c>
      <c r="N17" s="32">
        <f>ROUND($L$17*$M$17,2)</f>
        <v>0</v>
      </c>
      <c r="O17" s="25"/>
      <c r="P17" s="25"/>
    </row>
    <row r="18" spans="1:16" outlineLevel="4" x14ac:dyDescent="0.2">
      <c r="A18" s="20"/>
      <c r="B18" s="14" t="s">
        <v>27</v>
      </c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64"/>
      <c r="N18" s="65">
        <f>SUM($N$19:$N$22)</f>
        <v>0</v>
      </c>
      <c r="O18" s="18"/>
      <c r="P18" s="22"/>
    </row>
    <row r="19" spans="1:16" ht="33.75" outlineLevel="4" x14ac:dyDescent="0.2">
      <c r="A19" s="23" t="s">
        <v>28</v>
      </c>
      <c r="B19" s="24" t="s">
        <v>29</v>
      </c>
      <c r="C19" s="25"/>
      <c r="D19" s="25" t="s">
        <v>30</v>
      </c>
      <c r="E19" s="26" t="s">
        <v>31</v>
      </c>
      <c r="F19" s="27"/>
      <c r="G19" s="28">
        <v>56</v>
      </c>
      <c r="H19" s="28">
        <v>66</v>
      </c>
      <c r="I19" s="28">
        <v>69</v>
      </c>
      <c r="J19" s="28">
        <v>70</v>
      </c>
      <c r="K19" s="28">
        <v>69</v>
      </c>
      <c r="L19" s="28">
        <f>SUM($G$19:$K$19)</f>
        <v>330</v>
      </c>
      <c r="M19" s="32">
        <f t="array" ref="M19">INDEX(М[Цена за ед., руб],MATCH(1,IF(($B19=М[Наим.])*($C19=М[Артикул, марка, произв.])*($D19=М[Хар-ка])*($O19=М[Прим.]),{1},($B19=М[Наим.])*($C19=М[Артикул, марка, произв.])*($D19=М[Хар-ка])*($O19=М[Прим.])),0))</f>
        <v>0</v>
      </c>
      <c r="N19" s="32">
        <f>ROUND($L$19*$M$19,2)</f>
        <v>0</v>
      </c>
      <c r="O19" s="25"/>
      <c r="P19" s="25">
        <f t="array" ref="P19">INDEX(М[Форма закупа],MATCH(1,IF(($B19=М[Наим.])*($C19=М[Артикул, марка, произв.])*($D19=М[Хар-ка])*($O19=М[Прим.]),{1},($B19=М[Наим.])*($C19=М[Артикул, марка, произв.])*($D19=М[Хар-ка])*($O19=М[Прим.])),0))</f>
        <v>0</v>
      </c>
    </row>
    <row r="20" spans="1:16" ht="33.75" outlineLevel="4" x14ac:dyDescent="0.2">
      <c r="A20" s="23" t="s">
        <v>32</v>
      </c>
      <c r="B20" s="24" t="s">
        <v>29</v>
      </c>
      <c r="C20" s="25"/>
      <c r="D20" s="25" t="s">
        <v>33</v>
      </c>
      <c r="E20" s="26" t="s">
        <v>31</v>
      </c>
      <c r="F20" s="27"/>
      <c r="G20" s="30">
        <v>59.4</v>
      </c>
      <c r="H20" s="31">
        <v>173.25</v>
      </c>
      <c r="I20" s="31">
        <v>122.76</v>
      </c>
      <c r="J20" s="28">
        <v>330</v>
      </c>
      <c r="K20" s="31">
        <v>191.73</v>
      </c>
      <c r="L20" s="31">
        <f>SUM($G$20:$K$20)</f>
        <v>877.14</v>
      </c>
      <c r="M20" s="32">
        <f t="array" ref="M20">INDEX(М[Цена за ед., руб],MATCH(1,IF(($B20=М[Наим.])*($C20=М[Артикул, марка, произв.])*($D20=М[Хар-ка])*($O20=М[Прим.]),{1},($B20=М[Наим.])*($C20=М[Артикул, марка, произв.])*($D20=М[Хар-ка])*($O20=М[Прим.])),0))</f>
        <v>0</v>
      </c>
      <c r="N20" s="32">
        <f>ROUND($L$20*$M$20,2)</f>
        <v>0</v>
      </c>
      <c r="O20" s="25"/>
      <c r="P20" s="25">
        <f t="array" ref="P20">INDEX(М[Форма закупа],MATCH(1,IF(($B20=М[Наим.])*($C20=М[Артикул, марка, произв.])*($D20=М[Хар-ка])*($O20=М[Прим.]),{1},($B20=М[Наим.])*($C20=М[Артикул, марка, произв.])*($D20=М[Хар-ка])*($O20=М[Прим.])),0))</f>
        <v>0</v>
      </c>
    </row>
    <row r="21" spans="1:16" ht="33.75" outlineLevel="4" x14ac:dyDescent="0.2">
      <c r="A21" s="23" t="s">
        <v>34</v>
      </c>
      <c r="B21" s="24" t="s">
        <v>29</v>
      </c>
      <c r="C21" s="25"/>
      <c r="D21" s="25" t="s">
        <v>35</v>
      </c>
      <c r="E21" s="26" t="s">
        <v>31</v>
      </c>
      <c r="F21" s="27"/>
      <c r="G21" s="30">
        <v>13.2</v>
      </c>
      <c r="H21" s="31">
        <v>32.340000000000003</v>
      </c>
      <c r="I21" s="31">
        <v>20.79</v>
      </c>
      <c r="J21" s="27"/>
      <c r="K21" s="31">
        <v>31.02</v>
      </c>
      <c r="L21" s="31">
        <f>SUM($G$21:$K$21)</f>
        <v>97.35</v>
      </c>
      <c r="M21" s="32">
        <f t="array" ref="M21">INDEX(М[Цена за ед., руб],MATCH(1,IF(($B21=М[Наим.])*($C21=М[Артикул, марка, произв.])*($D21=М[Хар-ка])*($O21=М[Прим.]),{1},($B21=М[Наим.])*($C21=М[Артикул, марка, произв.])*($D21=М[Хар-ка])*($O21=М[Прим.])),0))</f>
        <v>0</v>
      </c>
      <c r="N21" s="32">
        <f>ROUND($L$21*$M$21,2)</f>
        <v>0</v>
      </c>
      <c r="O21" s="25"/>
      <c r="P21" s="25">
        <f t="array" ref="P21">INDEX(М[Форма закупа],MATCH(1,IF(($B21=М[Наим.])*($C21=М[Артикул, марка, произв.])*($D21=М[Хар-ка])*($O21=М[Прим.]),{1},($B21=М[Наим.])*($C21=М[Артикул, марка, произв.])*($D21=М[Хар-ка])*($O21=М[Прим.])),0))</f>
        <v>0</v>
      </c>
    </row>
    <row r="22" spans="1:16" ht="45" outlineLevel="4" x14ac:dyDescent="0.2">
      <c r="A22" s="23" t="s">
        <v>36</v>
      </c>
      <c r="B22" s="24" t="s">
        <v>29</v>
      </c>
      <c r="C22" s="25"/>
      <c r="D22" s="25" t="s">
        <v>37</v>
      </c>
      <c r="E22" s="26" t="s">
        <v>31</v>
      </c>
      <c r="F22" s="27"/>
      <c r="G22" s="28">
        <v>3</v>
      </c>
      <c r="H22" s="28">
        <v>10</v>
      </c>
      <c r="I22" s="28">
        <v>36</v>
      </c>
      <c r="J22" s="28">
        <v>192</v>
      </c>
      <c r="K22" s="27"/>
      <c r="L22" s="28">
        <f>SUM($G$22:$K$22)</f>
        <v>241</v>
      </c>
      <c r="M22" s="32">
        <f t="array" ref="M22">INDEX(М[Цена за ед., руб],MATCH(1,IF(($B22=М[Наим.])*($C22=М[Артикул, марка, произв.])*($D22=М[Хар-ка])*($O22=М[Прим.]),{1},($B22=М[Наим.])*($C22=М[Артикул, марка, произв.])*($D22=М[Хар-ка])*($O22=М[Прим.])),0))</f>
        <v>0</v>
      </c>
      <c r="N22" s="32">
        <f>ROUND($L$22*$M$22,2)</f>
        <v>0</v>
      </c>
      <c r="O22" s="25"/>
      <c r="P22" s="25">
        <f t="array" ref="P22">INDEX(М[Форма закупа],MATCH(1,IF(($B22=М[Наим.])*($C22=М[Артикул, марка, произв.])*($D22=М[Хар-ка])*($O22=М[Прим.]),{1},($B22=М[Наим.])*($C22=М[Артикул, марка, произв.])*($D22=М[Хар-ка])*($O22=М[Прим.])),0))</f>
        <v>0</v>
      </c>
    </row>
    <row r="23" spans="1:16" outlineLevel="4" x14ac:dyDescent="0.2">
      <c r="A23" s="20"/>
      <c r="B23" s="14" t="s">
        <v>21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64"/>
      <c r="N23" s="65">
        <f>SUM($N$24)</f>
        <v>0</v>
      </c>
      <c r="O23" s="18"/>
      <c r="P23" s="22"/>
    </row>
    <row r="24" spans="1:16" outlineLevel="4" x14ac:dyDescent="0.2">
      <c r="A24" s="23"/>
      <c r="B24" s="24" t="s">
        <v>38</v>
      </c>
      <c r="C24" s="25"/>
      <c r="D24" s="25"/>
      <c r="E24" s="26" t="s">
        <v>23</v>
      </c>
      <c r="F24" s="27"/>
      <c r="G24" s="28">
        <v>6</v>
      </c>
      <c r="H24" s="28">
        <v>8</v>
      </c>
      <c r="I24" s="28">
        <v>8</v>
      </c>
      <c r="J24" s="28">
        <v>20</v>
      </c>
      <c r="K24" s="28">
        <v>7</v>
      </c>
      <c r="L24" s="28">
        <f>SUM($G$24:$K$24)</f>
        <v>49</v>
      </c>
      <c r="M24" s="32">
        <f t="array" ref="M24">INDEX(Р[Цена за ед., руб],MATCH(1,IF(($B24=Р[Наименование])*($O24=Р[Примечание]),{1},($B24=Р[Наименование])*($O24=Р[Примечание])),0))</f>
        <v>0</v>
      </c>
      <c r="N24" s="32">
        <f>ROUND($L$24*$M$24,2)</f>
        <v>0</v>
      </c>
      <c r="O24" s="25"/>
      <c r="P24" s="25"/>
    </row>
    <row r="25" spans="1:16" outlineLevel="4" x14ac:dyDescent="0.2">
      <c r="A25" s="20"/>
      <c r="B25" s="14" t="s">
        <v>27</v>
      </c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64"/>
      <c r="N25" s="65">
        <f>SUM($N$26:$N$27)</f>
        <v>0</v>
      </c>
      <c r="O25" s="18"/>
      <c r="P25" s="22"/>
    </row>
    <row r="26" spans="1:16" outlineLevel="4" x14ac:dyDescent="0.2">
      <c r="A26" s="23" t="s">
        <v>28</v>
      </c>
      <c r="B26" s="24" t="s">
        <v>39</v>
      </c>
      <c r="C26" s="25"/>
      <c r="D26" s="25" t="s">
        <v>40</v>
      </c>
      <c r="E26" s="26" t="s">
        <v>23</v>
      </c>
      <c r="F26" s="27"/>
      <c r="G26" s="28">
        <v>4</v>
      </c>
      <c r="H26" s="28">
        <v>6</v>
      </c>
      <c r="I26" s="28">
        <v>6</v>
      </c>
      <c r="J26" s="28">
        <v>16</v>
      </c>
      <c r="K26" s="28">
        <v>5</v>
      </c>
      <c r="L26" s="28">
        <f>SUM($G$26:$K$26)</f>
        <v>37</v>
      </c>
      <c r="M26" s="32">
        <f t="array" ref="M26">INDEX(М[Цена за ед., руб],MATCH(1,IF(($B26=М[Наим.])*($C26=М[Артикул, марка, произв.])*($D26=М[Хар-ка])*($O26=М[Прим.]),{1},($B26=М[Наим.])*($C26=М[Артикул, марка, произв.])*($D26=М[Хар-ка])*($O26=М[Прим.])),0))</f>
        <v>0</v>
      </c>
      <c r="N26" s="32">
        <f>ROUND($L$26*$M$26,2)</f>
        <v>0</v>
      </c>
      <c r="O26" s="25"/>
      <c r="P26" s="25">
        <f t="array" ref="P26">INDEX(М[Форма закупа],MATCH(1,IF(($B26=М[Наим.])*($C26=М[Артикул, марка, произв.])*($D26=М[Хар-ка])*($O26=М[Прим.]),{1},($B26=М[Наим.])*($C26=М[Артикул, марка, произв.])*($D26=М[Хар-ка])*($O26=М[Прим.])),0))</f>
        <v>0</v>
      </c>
    </row>
    <row r="27" spans="1:16" ht="22.5" outlineLevel="4" x14ac:dyDescent="0.2">
      <c r="A27" s="23" t="s">
        <v>32</v>
      </c>
      <c r="B27" s="24" t="s">
        <v>39</v>
      </c>
      <c r="C27" s="25"/>
      <c r="D27" s="25" t="s">
        <v>41</v>
      </c>
      <c r="E27" s="26" t="s">
        <v>23</v>
      </c>
      <c r="F27" s="27"/>
      <c r="G27" s="28">
        <v>2</v>
      </c>
      <c r="H27" s="28">
        <v>2</v>
      </c>
      <c r="I27" s="28">
        <v>2</v>
      </c>
      <c r="J27" s="28">
        <v>4</v>
      </c>
      <c r="K27" s="28">
        <v>2</v>
      </c>
      <c r="L27" s="28">
        <f>SUM($G$27:$K$27)</f>
        <v>12</v>
      </c>
      <c r="M27" s="32">
        <f t="array" ref="M27">INDEX(М[Цена за ед., руб],MATCH(1,IF(($B27=М[Наим.])*($C27=М[Артикул, марка, произв.])*($D27=М[Хар-ка])*($O27=М[Прим.]),{1},($B27=М[Наим.])*($C27=М[Артикул, марка, произв.])*($D27=М[Хар-ка])*($O27=М[Прим.])),0))</f>
        <v>0</v>
      </c>
      <c r="N27" s="32">
        <f>ROUND($L$27*$M$27,2)</f>
        <v>0</v>
      </c>
      <c r="O27" s="25"/>
      <c r="P27" s="25">
        <f t="array" ref="P27">INDEX(М[Форма закупа],MATCH(1,IF(($B27=М[Наим.])*($C27=М[Артикул, марка, произв.])*($D27=М[Хар-ка])*($O27=М[Прим.]),{1},($B27=М[Наим.])*($C27=М[Артикул, марка, произв.])*($D27=М[Хар-ка])*($O27=М[Прим.])),0))</f>
        <v>0</v>
      </c>
    </row>
    <row r="28" spans="1:16" outlineLevel="4" x14ac:dyDescent="0.2">
      <c r="A28" s="20"/>
      <c r="B28" s="14" t="s">
        <v>21</v>
      </c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64"/>
      <c r="N28" s="65">
        <f>SUM($N$29)</f>
        <v>0</v>
      </c>
      <c r="O28" s="18"/>
      <c r="P28" s="22"/>
    </row>
    <row r="29" spans="1:16" outlineLevel="4" x14ac:dyDescent="0.2">
      <c r="A29" s="23"/>
      <c r="B29" s="24" t="s">
        <v>42</v>
      </c>
      <c r="C29" s="25"/>
      <c r="D29" s="25"/>
      <c r="E29" s="26" t="s">
        <v>23</v>
      </c>
      <c r="F29" s="27"/>
      <c r="G29" s="28">
        <v>220</v>
      </c>
      <c r="H29" s="28">
        <v>618</v>
      </c>
      <c r="I29" s="28">
        <v>418</v>
      </c>
      <c r="J29" s="29">
        <v>1118</v>
      </c>
      <c r="K29" s="28">
        <v>671</v>
      </c>
      <c r="L29" s="29">
        <f>SUM($G$29:$K$29)</f>
        <v>3045</v>
      </c>
      <c r="M29" s="32">
        <f t="array" ref="M29">INDEX(Р[Цена за ед., руб],MATCH(1,IF(($B29=Р[Наименование])*($O29=Р[Примечание]),{1},($B29=Р[Наименование])*($O29=Р[Примечание])),0))</f>
        <v>0</v>
      </c>
      <c r="N29" s="32">
        <f>ROUND($L$29*$M$29,2)</f>
        <v>0</v>
      </c>
      <c r="O29" s="25"/>
      <c r="P29" s="25"/>
    </row>
    <row r="30" spans="1:16" outlineLevel="4" x14ac:dyDescent="0.2">
      <c r="A30" s="20"/>
      <c r="B30" s="14" t="s">
        <v>27</v>
      </c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64"/>
      <c r="N30" s="65">
        <f>SUM($N$31:$N$32)</f>
        <v>0</v>
      </c>
      <c r="O30" s="18"/>
      <c r="P30" s="22"/>
    </row>
    <row r="31" spans="1:16" outlineLevel="4" x14ac:dyDescent="0.2">
      <c r="A31" s="23" t="s">
        <v>28</v>
      </c>
      <c r="B31" s="24" t="s">
        <v>43</v>
      </c>
      <c r="C31" s="25"/>
      <c r="D31" s="25" t="s">
        <v>44</v>
      </c>
      <c r="E31" s="26" t="s">
        <v>23</v>
      </c>
      <c r="F31" s="27"/>
      <c r="G31" s="28">
        <v>40</v>
      </c>
      <c r="H31" s="28">
        <v>93</v>
      </c>
      <c r="I31" s="28">
        <v>63</v>
      </c>
      <c r="J31" s="28">
        <v>118</v>
      </c>
      <c r="K31" s="28">
        <v>90</v>
      </c>
      <c r="L31" s="28">
        <f>SUM($G$31:$K$31)</f>
        <v>404</v>
      </c>
      <c r="M31" s="32">
        <f t="array" ref="M31">INDEX(М[Цена за ед., руб],MATCH(1,IF(($B31=М[Наим.])*($C31=М[Артикул, марка, произв.])*($D31=М[Хар-ка])*($O31=М[Прим.]),{1},($B31=М[Наим.])*($C31=М[Артикул, марка, произв.])*($D31=М[Хар-ка])*($O31=М[Прим.])),0))</f>
        <v>0</v>
      </c>
      <c r="N31" s="32">
        <f>ROUND($L$31*$M$31,2)</f>
        <v>0</v>
      </c>
      <c r="O31" s="25"/>
      <c r="P31" s="25">
        <f t="array" ref="P31">INDEX(М[Форма закупа],MATCH(1,IF(($B31=М[Наим.])*($C31=М[Артикул, марка, произв.])*($D31=М[Хар-ка])*($O31=М[Прим.]),{1},($B31=М[Наим.])*($C31=М[Артикул, марка, произв.])*($D31=М[Хар-ка])*($O31=М[Прим.])),0))</f>
        <v>0</v>
      </c>
    </row>
    <row r="32" spans="1:16" outlineLevel="4" x14ac:dyDescent="0.2">
      <c r="A32" s="23" t="s">
        <v>32</v>
      </c>
      <c r="B32" s="24" t="s">
        <v>43</v>
      </c>
      <c r="C32" s="25"/>
      <c r="D32" s="25" t="s">
        <v>45</v>
      </c>
      <c r="E32" s="26" t="s">
        <v>23</v>
      </c>
      <c r="F32" s="27"/>
      <c r="G32" s="28">
        <v>180</v>
      </c>
      <c r="H32" s="28">
        <v>525</v>
      </c>
      <c r="I32" s="28">
        <v>355</v>
      </c>
      <c r="J32" s="29">
        <v>1000</v>
      </c>
      <c r="K32" s="28">
        <v>581</v>
      </c>
      <c r="L32" s="29">
        <f>SUM($G$32:$K$32)</f>
        <v>2641</v>
      </c>
      <c r="M32" s="32">
        <f t="array" ref="M32">INDEX(М[Цена за ед., руб],MATCH(1,IF(($B32=М[Наим.])*($C32=М[Артикул, марка, произв.])*($D32=М[Хар-ка])*($O32=М[Прим.]),{1},($B32=М[Наим.])*($C32=М[Артикул, марка, произв.])*($D32=М[Хар-ка])*($O32=М[Прим.])),0))</f>
        <v>0</v>
      </c>
      <c r="N32" s="32">
        <f>ROUND($L$32*$M$32,2)</f>
        <v>0</v>
      </c>
      <c r="O32" s="25"/>
      <c r="P32" s="25">
        <f t="array" ref="P32">INDEX(М[Форма закупа],MATCH(1,IF(($B32=М[Наим.])*($C32=М[Артикул, марка, произв.])*($D32=М[Хар-ка])*($O32=М[Прим.]),{1},($B32=М[Наим.])*($C32=М[Артикул, марка, произв.])*($D32=М[Хар-ка])*($O32=М[Прим.])),0))</f>
        <v>0</v>
      </c>
    </row>
    <row r="33" spans="1:16" outlineLevel="4" x14ac:dyDescent="0.2">
      <c r="A33" s="20"/>
      <c r="B33" s="14" t="s">
        <v>21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64"/>
      <c r="N33" s="65">
        <f>SUM($N$34)</f>
        <v>0</v>
      </c>
      <c r="O33" s="18"/>
      <c r="P33" s="22"/>
    </row>
    <row r="34" spans="1:16" outlineLevel="4" x14ac:dyDescent="0.2">
      <c r="A34" s="23"/>
      <c r="B34" s="24" t="s">
        <v>46</v>
      </c>
      <c r="C34" s="25"/>
      <c r="D34" s="25"/>
      <c r="E34" s="26" t="s">
        <v>23</v>
      </c>
      <c r="F34" s="27"/>
      <c r="G34" s="28">
        <v>62</v>
      </c>
      <c r="H34" s="28">
        <v>166</v>
      </c>
      <c r="I34" s="28">
        <v>122</v>
      </c>
      <c r="J34" s="28">
        <v>264</v>
      </c>
      <c r="K34" s="28">
        <v>182</v>
      </c>
      <c r="L34" s="28">
        <f>SUM($G$34:$K$34)</f>
        <v>796</v>
      </c>
      <c r="M34" s="32">
        <f t="array" ref="M34">INDEX(Р[Цена за ед., руб],MATCH(1,IF(($B34=Р[Наименование])*($O34=Р[Примечание]),{1},($B34=Р[Наименование])*($O34=Р[Примечание])),0))</f>
        <v>0</v>
      </c>
      <c r="N34" s="32">
        <f>ROUND($L$34*$M$34,2)</f>
        <v>0</v>
      </c>
      <c r="O34" s="25"/>
      <c r="P34" s="25"/>
    </row>
    <row r="35" spans="1:16" outlineLevel="4" x14ac:dyDescent="0.2">
      <c r="A35" s="20"/>
      <c r="B35" s="14" t="s">
        <v>27</v>
      </c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64"/>
      <c r="N35" s="65">
        <f>SUM($N$36:$N$39)</f>
        <v>0</v>
      </c>
      <c r="O35" s="18"/>
      <c r="P35" s="22"/>
    </row>
    <row r="36" spans="1:16" ht="33.75" outlineLevel="4" x14ac:dyDescent="0.2">
      <c r="A36" s="23" t="s">
        <v>28</v>
      </c>
      <c r="B36" s="24" t="s">
        <v>47</v>
      </c>
      <c r="C36" s="25"/>
      <c r="D36" s="25" t="s">
        <v>48</v>
      </c>
      <c r="E36" s="26" t="s">
        <v>23</v>
      </c>
      <c r="F36" s="27"/>
      <c r="G36" s="28">
        <v>6</v>
      </c>
      <c r="H36" s="28">
        <v>14</v>
      </c>
      <c r="I36" s="28">
        <v>10</v>
      </c>
      <c r="J36" s="28">
        <v>16</v>
      </c>
      <c r="K36" s="28">
        <v>14</v>
      </c>
      <c r="L36" s="28">
        <f>SUM($G$36:$K$36)</f>
        <v>60</v>
      </c>
      <c r="M36" s="32">
        <f t="array" ref="M36">INDEX(М[Цена за ед., руб],MATCH(1,IF(($B36=М[Наим.])*($C36=М[Артикул, марка, произв.])*($D36=М[Хар-ка])*($O36=М[Прим.]),{1},($B36=М[Наим.])*($C36=М[Артикул, марка, произв.])*($D36=М[Хар-ка])*($O36=М[Прим.])),0))</f>
        <v>0</v>
      </c>
      <c r="N36" s="32">
        <f>ROUND($L$36*$M$36,2)</f>
        <v>0</v>
      </c>
      <c r="O36" s="25"/>
      <c r="P36" s="25">
        <f t="array" ref="P36">INDEX(М[Форма закупа],MATCH(1,IF(($B36=М[Наим.])*($C36=М[Артикул, марка, произв.])*($D36=М[Хар-ка])*($O36=М[Прим.]),{1},($B36=М[Наим.])*($C36=М[Артикул, марка, произв.])*($D36=М[Хар-ка])*($O36=М[Прим.])),0))</f>
        <v>0</v>
      </c>
    </row>
    <row r="37" spans="1:16" ht="45" outlineLevel="4" x14ac:dyDescent="0.2">
      <c r="A37" s="23" t="s">
        <v>32</v>
      </c>
      <c r="B37" s="24" t="s">
        <v>47</v>
      </c>
      <c r="C37" s="25"/>
      <c r="D37" s="25" t="s">
        <v>49</v>
      </c>
      <c r="E37" s="26" t="s">
        <v>23</v>
      </c>
      <c r="F37" s="27"/>
      <c r="G37" s="27"/>
      <c r="H37" s="27"/>
      <c r="I37" s="27"/>
      <c r="J37" s="28">
        <v>6</v>
      </c>
      <c r="K37" s="27"/>
      <c r="L37" s="28">
        <f>SUM($G$37:$K$37)</f>
        <v>6</v>
      </c>
      <c r="M37" s="32">
        <f t="array" ref="M37">INDEX(М[Цена за ед., руб],MATCH(1,IF(($B37=М[Наим.])*($C37=М[Артикул, марка, произв.])*($D37=М[Хар-ка])*($O37=М[Прим.]),{1},($B37=М[Наим.])*($C37=М[Артикул, марка, произв.])*($D37=М[Хар-ка])*($O37=М[Прим.])),0))</f>
        <v>0</v>
      </c>
      <c r="N37" s="32">
        <f>ROUND($L$37*$M$37,2)</f>
        <v>0</v>
      </c>
      <c r="O37" s="25"/>
      <c r="P37" s="25">
        <f t="array" ref="P37">INDEX(М[Форма закупа],MATCH(1,IF(($B37=М[Наим.])*($C37=М[Артикул, марка, произв.])*($D37=М[Хар-ка])*($O37=М[Прим.]),{1},($B37=М[Наим.])*($C37=М[Артикул, марка, произв.])*($D37=М[Хар-ка])*($O37=М[Прим.])),0))</f>
        <v>0</v>
      </c>
    </row>
    <row r="38" spans="1:16" ht="33.75" outlineLevel="4" x14ac:dyDescent="0.2">
      <c r="A38" s="23" t="s">
        <v>34</v>
      </c>
      <c r="B38" s="24" t="s">
        <v>47</v>
      </c>
      <c r="C38" s="25"/>
      <c r="D38" s="25" t="s">
        <v>50</v>
      </c>
      <c r="E38" s="26" t="s">
        <v>23</v>
      </c>
      <c r="F38" s="27"/>
      <c r="G38" s="27"/>
      <c r="H38" s="28">
        <v>1</v>
      </c>
      <c r="I38" s="28">
        <v>4</v>
      </c>
      <c r="J38" s="28">
        <v>2</v>
      </c>
      <c r="K38" s="27"/>
      <c r="L38" s="28">
        <f>SUM($G$38:$K$38)</f>
        <v>7</v>
      </c>
      <c r="M38" s="32">
        <f t="array" ref="M38">INDEX(М[Цена за ед., руб],MATCH(1,IF(($B38=М[Наим.])*($C38=М[Артикул, марка, произв.])*($D38=М[Хар-ка])*($O38=М[Прим.]),{1},($B38=М[Наим.])*($C38=М[Артикул, марка, произв.])*($D38=М[Хар-ка])*($O38=М[Прим.])),0))</f>
        <v>0</v>
      </c>
      <c r="N38" s="32">
        <f>ROUND($L$38*$M$38,2)</f>
        <v>0</v>
      </c>
      <c r="O38" s="25"/>
      <c r="P38" s="25">
        <f t="array" ref="P38">INDEX(М[Форма закупа],MATCH(1,IF(($B38=М[Наим.])*($C38=М[Артикул, марка, произв.])*($D38=М[Хар-ка])*($O38=М[Прим.]),{1},($B38=М[Наим.])*($C38=М[Артикул, марка, произв.])*($D38=М[Хар-ка])*($O38=М[Прим.])),0))</f>
        <v>0</v>
      </c>
    </row>
    <row r="39" spans="1:16" ht="33.75" outlineLevel="4" x14ac:dyDescent="0.2">
      <c r="A39" s="23" t="s">
        <v>36</v>
      </c>
      <c r="B39" s="24" t="s">
        <v>47</v>
      </c>
      <c r="C39" s="25"/>
      <c r="D39" s="25" t="s">
        <v>51</v>
      </c>
      <c r="E39" s="26" t="s">
        <v>23</v>
      </c>
      <c r="F39" s="27"/>
      <c r="G39" s="28">
        <v>56</v>
      </c>
      <c r="H39" s="28">
        <v>151</v>
      </c>
      <c r="I39" s="28">
        <v>108</v>
      </c>
      <c r="J39" s="28">
        <v>240</v>
      </c>
      <c r="K39" s="28">
        <v>168</v>
      </c>
      <c r="L39" s="28">
        <f>SUM($G$39:$K$39)</f>
        <v>723</v>
      </c>
      <c r="M39" s="32">
        <f t="array" ref="M39">INDEX(М[Цена за ед., руб],MATCH(1,IF(($B39=М[Наим.])*($C39=М[Артикул, марка, произв.])*($D39=М[Хар-ка])*($O39=М[Прим.]),{1},($B39=М[Наим.])*($C39=М[Артикул, марка, произв.])*($D39=М[Хар-ка])*($O39=М[Прим.])),0))</f>
        <v>0</v>
      </c>
      <c r="N39" s="32">
        <f>ROUND($L$39*$M$39,2)</f>
        <v>0</v>
      </c>
      <c r="O39" s="25"/>
      <c r="P39" s="25">
        <f t="array" ref="P39">INDEX(М[Форма закупа],MATCH(1,IF(($B39=М[Наим.])*($C39=М[Артикул, марка, произв.])*($D39=М[Хар-ка])*($O39=М[Прим.]),{1},($B39=М[Наим.])*($C39=М[Артикул, марка, произв.])*($D39=М[Хар-ка])*($O39=М[Прим.])),0))</f>
        <v>0</v>
      </c>
    </row>
    <row r="40" spans="1:16" outlineLevel="4" x14ac:dyDescent="0.2">
      <c r="A40" s="20"/>
      <c r="B40" s="14" t="s">
        <v>21</v>
      </c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64"/>
      <c r="N40" s="65">
        <f>SUM($N$41)</f>
        <v>0</v>
      </c>
      <c r="O40" s="18"/>
      <c r="P40" s="22"/>
    </row>
    <row r="41" spans="1:16" outlineLevel="4" x14ac:dyDescent="0.2">
      <c r="A41" s="23"/>
      <c r="B41" s="24" t="s">
        <v>52</v>
      </c>
      <c r="C41" s="25"/>
      <c r="D41" s="25"/>
      <c r="E41" s="26" t="s">
        <v>23</v>
      </c>
      <c r="F41" s="27"/>
      <c r="G41" s="28">
        <v>18</v>
      </c>
      <c r="H41" s="28">
        <v>46</v>
      </c>
      <c r="I41" s="28">
        <v>32</v>
      </c>
      <c r="J41" s="28">
        <v>118</v>
      </c>
      <c r="K41" s="28">
        <v>22</v>
      </c>
      <c r="L41" s="28">
        <f>SUM($G$41:$K$41)</f>
        <v>236</v>
      </c>
      <c r="M41" s="32">
        <f t="array" ref="M41">INDEX(Р[Цена за ед., руб],MATCH(1,IF(($B41=Р[Наименование])*($O41=Р[Примечание]),{1},($B41=Р[Наименование])*($O41=Р[Примечание])),0))</f>
        <v>0</v>
      </c>
      <c r="N41" s="32">
        <f>ROUND($L$41*$M$41,2)</f>
        <v>0</v>
      </c>
      <c r="O41" s="25"/>
      <c r="P41" s="25"/>
    </row>
    <row r="42" spans="1:16" outlineLevel="4" x14ac:dyDescent="0.2">
      <c r="A42" s="20"/>
      <c r="B42" s="14" t="s">
        <v>27</v>
      </c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64"/>
      <c r="N42" s="65">
        <f>SUM($N$43:$N$44)</f>
        <v>0</v>
      </c>
      <c r="O42" s="18"/>
      <c r="P42" s="22"/>
    </row>
    <row r="43" spans="1:16" ht="22.5" outlineLevel="4" x14ac:dyDescent="0.2">
      <c r="A43" s="23" t="s">
        <v>28</v>
      </c>
      <c r="B43" s="24" t="s">
        <v>53</v>
      </c>
      <c r="C43" s="25"/>
      <c r="D43" s="25" t="s">
        <v>54</v>
      </c>
      <c r="E43" s="26" t="s">
        <v>23</v>
      </c>
      <c r="F43" s="27"/>
      <c r="G43" s="28">
        <v>18</v>
      </c>
      <c r="H43" s="28">
        <v>46</v>
      </c>
      <c r="I43" s="28">
        <v>30</v>
      </c>
      <c r="J43" s="28">
        <v>116</v>
      </c>
      <c r="K43" s="28">
        <v>22</v>
      </c>
      <c r="L43" s="28">
        <f>SUM($G$43:$K$43)</f>
        <v>232</v>
      </c>
      <c r="M43" s="32">
        <f t="array" ref="M43">INDEX(М[Цена за ед., руб],MATCH(1,IF(($B43=М[Наим.])*($C43=М[Артикул, марка, произв.])*($D43=М[Хар-ка])*($O43=М[Прим.]),{1},($B43=М[Наим.])*($C43=М[Артикул, марка, произв.])*($D43=М[Хар-ка])*($O43=М[Прим.])),0))</f>
        <v>0</v>
      </c>
      <c r="N43" s="32">
        <f>ROUND($L$43*$M$43,2)</f>
        <v>0</v>
      </c>
      <c r="O43" s="25"/>
      <c r="P43" s="25">
        <f t="array" ref="P43">INDEX(М[Форма закупа],MATCH(1,IF(($B43=М[Наим.])*($C43=М[Артикул, марка, произв.])*($D43=М[Хар-ка])*($O43=М[Прим.]),{1},($B43=М[Наим.])*($C43=М[Артикул, марка, произв.])*($D43=М[Хар-ка])*($O43=М[Прим.])),0))</f>
        <v>0</v>
      </c>
    </row>
    <row r="44" spans="1:16" ht="33.75" outlineLevel="4" x14ac:dyDescent="0.2">
      <c r="A44" s="23" t="s">
        <v>32</v>
      </c>
      <c r="B44" s="24" t="s">
        <v>53</v>
      </c>
      <c r="C44" s="25"/>
      <c r="D44" s="25" t="s">
        <v>55</v>
      </c>
      <c r="E44" s="26" t="s">
        <v>23</v>
      </c>
      <c r="F44" s="27"/>
      <c r="G44" s="27"/>
      <c r="H44" s="27"/>
      <c r="I44" s="28">
        <v>2</v>
      </c>
      <c r="J44" s="28">
        <v>2</v>
      </c>
      <c r="K44" s="27"/>
      <c r="L44" s="28">
        <f>SUM($G$44:$K$44)</f>
        <v>4</v>
      </c>
      <c r="M44" s="32">
        <f t="array" ref="M44">INDEX(М[Цена за ед., руб],MATCH(1,IF(($B44=М[Наим.])*($C44=М[Артикул, марка, произв.])*($D44=М[Хар-ка])*($O44=М[Прим.]),{1},($B44=М[Наим.])*($C44=М[Артикул, марка, произв.])*($D44=М[Хар-ка])*($O44=М[Прим.])),0))</f>
        <v>0</v>
      </c>
      <c r="N44" s="32">
        <f>ROUND($L$44*$M$44,2)</f>
        <v>0</v>
      </c>
      <c r="O44" s="25" t="s">
        <v>56</v>
      </c>
      <c r="P44" s="25">
        <f t="array" ref="P44">INDEX(М[Форма закупа],MATCH(1,IF(($B44=М[Наим.])*($C44=М[Артикул, марка, произв.])*($D44=М[Хар-ка])*($O44=М[Прим.]),{1},($B44=М[Наим.])*($C44=М[Артикул, марка, произв.])*($D44=М[Хар-ка])*($O44=М[Прим.])),0))</f>
        <v>0</v>
      </c>
    </row>
    <row r="45" spans="1:16" outlineLevel="4" x14ac:dyDescent="0.2">
      <c r="A45" s="20"/>
      <c r="B45" s="14" t="s">
        <v>21</v>
      </c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64"/>
      <c r="N45" s="65">
        <f>SUM($N$46)</f>
        <v>0</v>
      </c>
      <c r="O45" s="18"/>
      <c r="P45" s="22"/>
    </row>
    <row r="46" spans="1:16" ht="22.5" outlineLevel="4" x14ac:dyDescent="0.2">
      <c r="A46" s="23"/>
      <c r="B46" s="24" t="s">
        <v>57</v>
      </c>
      <c r="C46" s="25"/>
      <c r="D46" s="25"/>
      <c r="E46" s="26" t="s">
        <v>26</v>
      </c>
      <c r="F46" s="27"/>
      <c r="G46" s="30">
        <v>806.4</v>
      </c>
      <c r="H46" s="29">
        <v>2381</v>
      </c>
      <c r="I46" s="29">
        <v>1718</v>
      </c>
      <c r="J46" s="29">
        <v>3776</v>
      </c>
      <c r="K46" s="29">
        <v>2481</v>
      </c>
      <c r="L46" s="33">
        <f>SUM($G$46:$K$46)</f>
        <v>11162.4</v>
      </c>
      <c r="M46" s="32">
        <f t="array" ref="M46">INDEX(Р[Цена за ед., руб],MATCH(1,IF(($B46=Р[Наименование])*($O46=Р[Примечание]),{1},($B46=Р[Наименование])*($O46=Р[Примечание])),0))</f>
        <v>0</v>
      </c>
      <c r="N46" s="32">
        <f>ROUND($L$46*$M$46,2)</f>
        <v>0</v>
      </c>
      <c r="O46" s="25"/>
      <c r="P46" s="25"/>
    </row>
    <row r="47" spans="1:16" outlineLevel="4" x14ac:dyDescent="0.2">
      <c r="A47" s="20"/>
      <c r="B47" s="14" t="s">
        <v>27</v>
      </c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64"/>
      <c r="N47" s="65">
        <f>SUM($N$48:$N$50)</f>
        <v>0</v>
      </c>
      <c r="O47" s="18"/>
      <c r="P47" s="22"/>
    </row>
    <row r="48" spans="1:16" ht="22.5" outlineLevel="4" x14ac:dyDescent="0.2">
      <c r="A48" s="84" t="s">
        <v>28</v>
      </c>
      <c r="B48" s="24" t="s">
        <v>58</v>
      </c>
      <c r="C48" s="25"/>
      <c r="D48" s="25" t="s">
        <v>59</v>
      </c>
      <c r="E48" s="26" t="s">
        <v>31</v>
      </c>
      <c r="F48" s="27"/>
      <c r="G48" s="30">
        <v>641.9</v>
      </c>
      <c r="H48" s="29">
        <v>1866</v>
      </c>
      <c r="I48" s="29">
        <v>1354</v>
      </c>
      <c r="J48" s="29">
        <v>3053</v>
      </c>
      <c r="K48" s="29">
        <v>1978</v>
      </c>
      <c r="L48" s="33">
        <f>SUM($G$48:$K$48)</f>
        <v>8892.9</v>
      </c>
      <c r="M48" s="32">
        <f t="array" ref="M48">INDEX(М[Цена за ед., руб],MATCH(1,IF(($B48=М[Наим.])*($C48=М[Артикул, марка, произв.])*($D48=М[Хар-ка])*($O48=М[Прим.]),{1},($B48=М[Наим.])*($C48=М[Артикул, марка, произв.])*($D48=М[Хар-ка])*($O48=М[Прим.])),0))</f>
        <v>0</v>
      </c>
      <c r="N48" s="32">
        <f>ROUND($L$48*$M$48,2)</f>
        <v>0</v>
      </c>
      <c r="O48" s="25" t="s">
        <v>60</v>
      </c>
      <c r="P48" s="25">
        <f t="array" ref="P48">INDEX(М[Форма закупа],MATCH(1,IF(($B48=М[Наим.])*($C48=М[Артикул, марка, произв.])*($D48=М[Хар-ка])*($O48=М[Прим.]),{1},($B48=М[Наим.])*($C48=М[Артикул, марка, произв.])*($D48=М[Хар-ка])*($O48=М[Прим.])),0))</f>
        <v>0</v>
      </c>
    </row>
    <row r="49" spans="1:16" ht="22.5" outlineLevel="4" x14ac:dyDescent="0.2">
      <c r="A49" s="84" t="s">
        <v>32</v>
      </c>
      <c r="B49" s="24" t="s">
        <v>58</v>
      </c>
      <c r="C49" s="25"/>
      <c r="D49" s="25" t="s">
        <v>61</v>
      </c>
      <c r="E49" s="26" t="s">
        <v>31</v>
      </c>
      <c r="F49" s="27"/>
      <c r="G49" s="30">
        <v>76.5</v>
      </c>
      <c r="H49" s="28">
        <v>345</v>
      </c>
      <c r="I49" s="28">
        <v>225</v>
      </c>
      <c r="J49" s="28">
        <v>498</v>
      </c>
      <c r="K49" s="28">
        <v>363</v>
      </c>
      <c r="L49" s="33">
        <f>SUM($G$49:$K$49)</f>
        <v>1507.5</v>
      </c>
      <c r="M49" s="32">
        <f t="array" ref="M49">INDEX(М[Цена за ед., руб],MATCH(1,IF(($B49=М[Наим.])*($C49=М[Артикул, марка, произв.])*($D49=М[Хар-ка])*($O49=М[Прим.]),{1},($B49=М[Наим.])*($C49=М[Артикул, марка, произв.])*($D49=М[Хар-ка])*($O49=М[Прим.])),0))</f>
        <v>0</v>
      </c>
      <c r="N49" s="32">
        <f>ROUND($L$49*$M$49,2)</f>
        <v>0</v>
      </c>
      <c r="O49" s="25" t="s">
        <v>60</v>
      </c>
      <c r="P49" s="25">
        <f t="array" ref="P49">INDEX(М[Форма закупа],MATCH(1,IF(($B49=М[Наим.])*($C49=М[Артикул, марка, произв.])*($D49=М[Хар-ка])*($O49=М[Прим.]),{1},($B49=М[Наим.])*($C49=М[Артикул, марка, произв.])*($D49=М[Хар-ка])*($O49=М[Прим.])),0))</f>
        <v>0</v>
      </c>
    </row>
    <row r="50" spans="1:16" ht="33.75" outlineLevel="4" x14ac:dyDescent="0.2">
      <c r="A50" s="84" t="s">
        <v>34</v>
      </c>
      <c r="B50" s="24" t="s">
        <v>58</v>
      </c>
      <c r="C50" s="25"/>
      <c r="D50" s="25" t="s">
        <v>62</v>
      </c>
      <c r="E50" s="26" t="s">
        <v>31</v>
      </c>
      <c r="F50" s="27"/>
      <c r="G50" s="28">
        <v>88</v>
      </c>
      <c r="H50" s="28">
        <v>170</v>
      </c>
      <c r="I50" s="28">
        <v>139</v>
      </c>
      <c r="J50" s="28">
        <v>225</v>
      </c>
      <c r="K50" s="28">
        <v>140</v>
      </c>
      <c r="L50" s="28">
        <f>SUM($G$50:$K$50)</f>
        <v>762</v>
      </c>
      <c r="M50" s="32">
        <f t="array" ref="M50">INDEX(М[Цена за ед., руб],MATCH(1,IF(($B50=М[Наим.])*($C50=М[Артикул, марка, произв.])*($D50=М[Хар-ка])*($O50=М[Прим.]),{1},($B50=М[Наим.])*($C50=М[Артикул, марка, произв.])*($D50=М[Хар-ка])*($O50=М[Прим.])),0))</f>
        <v>0</v>
      </c>
      <c r="N50" s="32">
        <f>ROUND($L$50*$M$50,2)</f>
        <v>0</v>
      </c>
      <c r="O50" s="25" t="s">
        <v>60</v>
      </c>
      <c r="P50" s="25">
        <f t="array" ref="P50">INDEX(М[Форма закупа],MATCH(1,IF(($B50=М[Наим.])*($C50=М[Артикул, марка, произв.])*($D50=М[Хар-ка])*($O50=М[Прим.]),{1},($B50=М[Наим.])*($C50=М[Артикул, марка, произв.])*($D50=М[Хар-ка])*($O50=М[Прим.])),0))</f>
        <v>0</v>
      </c>
    </row>
    <row r="51" spans="1:16" outlineLevel="4" x14ac:dyDescent="0.2">
      <c r="A51" s="20"/>
      <c r="B51" s="14" t="s">
        <v>21</v>
      </c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64"/>
      <c r="N51" s="65">
        <f>SUM($N$52)</f>
        <v>0</v>
      </c>
      <c r="O51" s="18"/>
      <c r="P51" s="22"/>
    </row>
    <row r="52" spans="1:16" outlineLevel="4" x14ac:dyDescent="0.2">
      <c r="A52" s="23"/>
      <c r="B52" s="24" t="s">
        <v>63</v>
      </c>
      <c r="C52" s="25"/>
      <c r="D52" s="25"/>
      <c r="E52" s="26" t="s">
        <v>26</v>
      </c>
      <c r="F52" s="27"/>
      <c r="G52" s="28">
        <v>56</v>
      </c>
      <c r="H52" s="28">
        <v>66</v>
      </c>
      <c r="I52" s="28">
        <v>69</v>
      </c>
      <c r="J52" s="28">
        <v>70</v>
      </c>
      <c r="K52" s="28">
        <v>69</v>
      </c>
      <c r="L52" s="28">
        <f>SUM($G$52:$K$52)</f>
        <v>330</v>
      </c>
      <c r="M52" s="32">
        <f t="array" ref="M52">INDEX(Р[Цена за ед., руб],MATCH(1,IF(($B52=Р[Наименование])*($O52=Р[Примечание]),{1},($B52=Р[Наименование])*($O52=Р[Примечание])),0))</f>
        <v>0</v>
      </c>
      <c r="N52" s="32">
        <f>ROUND($L$52*$M$52,2)</f>
        <v>0</v>
      </c>
      <c r="O52" s="25"/>
      <c r="P52" s="25"/>
    </row>
    <row r="53" spans="1:16" outlineLevel="4" x14ac:dyDescent="0.2">
      <c r="A53" s="20"/>
      <c r="B53" s="14" t="s">
        <v>27</v>
      </c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64"/>
      <c r="N53" s="65">
        <f>SUM($N$54)</f>
        <v>0</v>
      </c>
      <c r="O53" s="18"/>
      <c r="P53" s="22"/>
    </row>
    <row r="54" spans="1:16" ht="22.5" outlineLevel="4" x14ac:dyDescent="0.2">
      <c r="A54" s="84" t="s">
        <v>28</v>
      </c>
      <c r="B54" s="24" t="s">
        <v>64</v>
      </c>
      <c r="C54" s="25"/>
      <c r="D54" s="25" t="s">
        <v>65</v>
      </c>
      <c r="E54" s="26" t="s">
        <v>31</v>
      </c>
      <c r="F54" s="27"/>
      <c r="G54" s="28">
        <v>56</v>
      </c>
      <c r="H54" s="28">
        <v>66</v>
      </c>
      <c r="I54" s="28">
        <v>69</v>
      </c>
      <c r="J54" s="28">
        <v>70</v>
      </c>
      <c r="K54" s="28">
        <v>69</v>
      </c>
      <c r="L54" s="28">
        <f>SUM($G$54:$K$54)</f>
        <v>330</v>
      </c>
      <c r="M54" s="32">
        <f t="array" ref="M54">INDEX(М[Цена за ед., руб],MATCH(1,IF(($B54=М[Наим.])*($C54=М[Артикул, марка, произв.])*($D54=М[Хар-ка])*($O54=М[Прим.]),{1},($B54=М[Наим.])*($C54=М[Артикул, марка, произв.])*($D54=М[Хар-ка])*($O54=М[Прим.])),0))</f>
        <v>0</v>
      </c>
      <c r="N54" s="32">
        <f>ROUND($L$54*$M$54,2)</f>
        <v>0</v>
      </c>
      <c r="O54" s="25" t="s">
        <v>66</v>
      </c>
      <c r="P54" s="25">
        <f t="array" ref="P54">INDEX(М[Форма закупа],MATCH(1,IF(($B54=М[Наим.])*($C54=М[Артикул, марка, произв.])*($D54=М[Хар-ка])*($O54=М[Прим.]),{1},($B54=М[Наим.])*($C54=М[Артикул, марка, произв.])*($D54=М[Хар-ка])*($O54=М[Прим.])),0))</f>
        <v>0</v>
      </c>
    </row>
    <row r="55" spans="1:16" outlineLevel="4" x14ac:dyDescent="0.2">
      <c r="A55" s="20"/>
      <c r="B55" s="14" t="s">
        <v>21</v>
      </c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64"/>
      <c r="N55" s="65">
        <f>SUM($N$56)</f>
        <v>0</v>
      </c>
      <c r="O55" s="18"/>
      <c r="P55" s="22"/>
    </row>
    <row r="56" spans="1:16" outlineLevel="4" x14ac:dyDescent="0.2">
      <c r="A56" s="23"/>
      <c r="B56" s="24" t="s">
        <v>67</v>
      </c>
      <c r="C56" s="25"/>
      <c r="D56" s="25"/>
      <c r="E56" s="26" t="s">
        <v>31</v>
      </c>
      <c r="F56" s="27"/>
      <c r="G56" s="28">
        <v>3</v>
      </c>
      <c r="H56" s="28">
        <v>10</v>
      </c>
      <c r="I56" s="28">
        <v>36</v>
      </c>
      <c r="J56" s="28">
        <v>365</v>
      </c>
      <c r="K56" s="27"/>
      <c r="L56" s="28">
        <f>SUM($G$56:$K$56)</f>
        <v>414</v>
      </c>
      <c r="M56" s="32">
        <f t="array" ref="M56">INDEX(Р[Цена за ед., руб],MATCH(1,IF(($B56=Р[Наименование])*($O56=Р[Примечание]),{1},($B56=Р[Наименование])*($O56=Р[Примечание])),0))</f>
        <v>0</v>
      </c>
      <c r="N56" s="32">
        <f>ROUND($L$56*$M$56,2)</f>
        <v>0</v>
      </c>
      <c r="O56" s="25"/>
      <c r="P56" s="25"/>
    </row>
    <row r="57" spans="1:16" outlineLevel="4" x14ac:dyDescent="0.2">
      <c r="A57" s="20"/>
      <c r="B57" s="14" t="s">
        <v>27</v>
      </c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64"/>
      <c r="N57" s="65">
        <f>SUM($N$58)</f>
        <v>0</v>
      </c>
      <c r="O57" s="18"/>
      <c r="P57" s="22"/>
    </row>
    <row r="58" spans="1:16" outlineLevel="4" x14ac:dyDescent="0.2">
      <c r="A58" s="84" t="s">
        <v>28</v>
      </c>
      <c r="B58" s="24" t="s">
        <v>68</v>
      </c>
      <c r="C58" s="25"/>
      <c r="D58" s="25" t="s">
        <v>69</v>
      </c>
      <c r="E58" s="26" t="s">
        <v>31</v>
      </c>
      <c r="F58" s="27"/>
      <c r="G58" s="28">
        <v>3</v>
      </c>
      <c r="H58" s="28">
        <v>10</v>
      </c>
      <c r="I58" s="28">
        <v>36</v>
      </c>
      <c r="J58" s="28">
        <v>365</v>
      </c>
      <c r="K58" s="27"/>
      <c r="L58" s="28">
        <f>SUM($G$58:$K$58)</f>
        <v>414</v>
      </c>
      <c r="M58" s="32">
        <f t="array" ref="M58">INDEX(М[Цена за ед., руб],MATCH(1,IF(($B58=М[Наим.])*($C58=М[Артикул, марка, произв.])*($D58=М[Хар-ка])*($O58=М[Прим.]),{1},($B58=М[Наим.])*($C58=М[Артикул, марка, произв.])*($D58=М[Хар-ка])*($O58=М[Прим.])),0))</f>
        <v>0</v>
      </c>
      <c r="N58" s="32">
        <f>ROUND($L$58*$M$58,2)</f>
        <v>0</v>
      </c>
      <c r="O58" s="25"/>
      <c r="P58" s="25">
        <f t="array" ref="P58">INDEX(М[Форма закупа],MATCH(1,IF(($B58=М[Наим.])*($C58=М[Артикул, марка, произв.])*($D58=М[Хар-ка])*($O58=М[Прим.]),{1},($B58=М[Наим.])*($C58=М[Артикул, марка, произв.])*($D58=М[Хар-ка])*($O58=М[Прим.])),0))</f>
        <v>0</v>
      </c>
    </row>
    <row r="59" spans="1:16" outlineLevel="4" x14ac:dyDescent="0.2">
      <c r="A59" s="20"/>
      <c r="B59" s="14" t="s">
        <v>21</v>
      </c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64"/>
      <c r="N59" s="65">
        <f>SUM($N$60)</f>
        <v>0</v>
      </c>
      <c r="O59" s="18"/>
      <c r="P59" s="22"/>
    </row>
    <row r="60" spans="1:16" outlineLevel="4" x14ac:dyDescent="0.2">
      <c r="A60" s="23"/>
      <c r="B60" s="24" t="s">
        <v>70</v>
      </c>
      <c r="C60" s="25"/>
      <c r="D60" s="25"/>
      <c r="E60" s="26" t="s">
        <v>23</v>
      </c>
      <c r="F60" s="27"/>
      <c r="G60" s="28">
        <v>51</v>
      </c>
      <c r="H60" s="28">
        <v>230</v>
      </c>
      <c r="I60" s="28">
        <v>150</v>
      </c>
      <c r="J60" s="28">
        <v>332</v>
      </c>
      <c r="K60" s="28">
        <v>242</v>
      </c>
      <c r="L60" s="29">
        <f>SUM($G$60:$K$60)</f>
        <v>1005</v>
      </c>
      <c r="M60" s="32">
        <f t="array" ref="M60">INDEX(Р[Цена за ед., руб],MATCH(1,IF(($B60=Р[Наименование])*($O60=Р[Примечание]),{1},($B60=Р[Наименование])*($O60=Р[Примечание])),0))</f>
        <v>0</v>
      </c>
      <c r="N60" s="32">
        <f>ROUND($L$60*$M$60,2)</f>
        <v>0</v>
      </c>
      <c r="O60" s="25"/>
      <c r="P60" s="25"/>
    </row>
    <row r="61" spans="1:16" outlineLevel="4" x14ac:dyDescent="0.2">
      <c r="A61" s="20"/>
      <c r="B61" s="14" t="s">
        <v>27</v>
      </c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64"/>
      <c r="N61" s="65">
        <f>SUM($N$62)</f>
        <v>0</v>
      </c>
      <c r="O61" s="18"/>
      <c r="P61" s="22"/>
    </row>
    <row r="62" spans="1:16" ht="22.5" outlineLevel="4" x14ac:dyDescent="0.2">
      <c r="A62" s="23" t="s">
        <v>28</v>
      </c>
      <c r="B62" s="24" t="s">
        <v>71</v>
      </c>
      <c r="C62" s="25"/>
      <c r="D62" s="25" t="s">
        <v>72</v>
      </c>
      <c r="E62" s="26" t="s">
        <v>23</v>
      </c>
      <c r="F62" s="27"/>
      <c r="G62" s="28">
        <v>51</v>
      </c>
      <c r="H62" s="28">
        <v>230</v>
      </c>
      <c r="I62" s="28">
        <v>150</v>
      </c>
      <c r="J62" s="28">
        <v>332</v>
      </c>
      <c r="K62" s="28">
        <v>242</v>
      </c>
      <c r="L62" s="29">
        <f>SUM($G$62:$K$62)</f>
        <v>1005</v>
      </c>
      <c r="M62" s="32">
        <f t="array" ref="M62">INDEX(М[Цена за ед., руб],MATCH(1,IF(($B62=М[Наим.])*($C62=М[Артикул, марка, произв.])*($D62=М[Хар-ка])*($O62=М[Прим.]),{1},($B62=М[Наим.])*($C62=М[Артикул, марка, произв.])*($D62=М[Хар-ка])*($O62=М[Прим.])),0))</f>
        <v>0</v>
      </c>
      <c r="N62" s="32">
        <f>ROUND($L$62*$M$62,2)</f>
        <v>0</v>
      </c>
      <c r="O62" s="25" t="s">
        <v>73</v>
      </c>
      <c r="P62" s="25">
        <f t="array" ref="P62">INDEX(М[Форма закупа],MATCH(1,IF(($B62=М[Наим.])*($C62=М[Артикул, марка, произв.])*($D62=М[Хар-ка])*($O62=М[Прим.]),{1},($B62=М[Наим.])*($C62=М[Артикул, марка, произв.])*($D62=М[Хар-ка])*($O62=М[Прим.])),0))</f>
        <v>0</v>
      </c>
    </row>
    <row r="63" spans="1:16" outlineLevel="4" x14ac:dyDescent="0.2">
      <c r="A63" s="20"/>
      <c r="B63" s="14" t="s">
        <v>21</v>
      </c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64"/>
      <c r="N63" s="65">
        <f>SUM($N$64)</f>
        <v>0</v>
      </c>
      <c r="O63" s="18"/>
      <c r="P63" s="22"/>
    </row>
    <row r="64" spans="1:16" outlineLevel="4" x14ac:dyDescent="0.2">
      <c r="A64" s="23"/>
      <c r="B64" s="24" t="s">
        <v>74</v>
      </c>
      <c r="C64" s="25"/>
      <c r="D64" s="25"/>
      <c r="E64" s="26" t="s">
        <v>23</v>
      </c>
      <c r="F64" s="27"/>
      <c r="G64" s="28">
        <v>51</v>
      </c>
      <c r="H64" s="28">
        <v>230</v>
      </c>
      <c r="I64" s="28">
        <v>150</v>
      </c>
      <c r="J64" s="28">
        <v>332</v>
      </c>
      <c r="K64" s="28">
        <v>242</v>
      </c>
      <c r="L64" s="29">
        <f>SUM($G$64:$K$64)</f>
        <v>1005</v>
      </c>
      <c r="M64" s="32">
        <f t="array" ref="M64">INDEX(Р[Цена за ед., руб],MATCH(1,IF(($B64=Р[Наименование])*($O64=Р[Примечание]),{1},($B64=Р[Наименование])*($O64=Р[Примечание])),0))</f>
        <v>0</v>
      </c>
      <c r="N64" s="32">
        <f>ROUND($L$64*$M$64,2)</f>
        <v>0</v>
      </c>
      <c r="O64" s="25"/>
      <c r="P64" s="25"/>
    </row>
    <row r="65" spans="1:16" outlineLevel="4" x14ac:dyDescent="0.2">
      <c r="A65" s="20"/>
      <c r="B65" s="14" t="s">
        <v>27</v>
      </c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64"/>
      <c r="N65" s="65">
        <f>SUM($N$66)</f>
        <v>0</v>
      </c>
      <c r="O65" s="18"/>
      <c r="P65" s="22"/>
    </row>
    <row r="66" spans="1:16" ht="33.75" outlineLevel="4" x14ac:dyDescent="0.2">
      <c r="A66" s="23" t="s">
        <v>28</v>
      </c>
      <c r="B66" s="24" t="s">
        <v>75</v>
      </c>
      <c r="C66" s="25"/>
      <c r="D66" s="25" t="s">
        <v>76</v>
      </c>
      <c r="E66" s="26" t="s">
        <v>23</v>
      </c>
      <c r="F66" s="27"/>
      <c r="G66" s="28">
        <v>51</v>
      </c>
      <c r="H66" s="28">
        <v>230</v>
      </c>
      <c r="I66" s="28">
        <v>150</v>
      </c>
      <c r="J66" s="28">
        <v>332</v>
      </c>
      <c r="K66" s="28">
        <v>242</v>
      </c>
      <c r="L66" s="29">
        <f>SUM($G$66:$K$66)</f>
        <v>1005</v>
      </c>
      <c r="M66" s="32">
        <f t="array" ref="M66">INDEX(М[Цена за ед., руб],MATCH(1,IF(($B66=М[Наим.])*($C66=М[Артикул, марка, произв.])*($D66=М[Хар-ка])*($O66=М[Прим.]),{1},($B66=М[Наим.])*($C66=М[Артикул, марка, произв.])*($D66=М[Хар-ка])*($O66=М[Прим.])),0))</f>
        <v>0</v>
      </c>
      <c r="N66" s="32">
        <f>ROUND($L$66*$M$66,2)</f>
        <v>0</v>
      </c>
      <c r="O66" s="25" t="s">
        <v>73</v>
      </c>
      <c r="P66" s="25">
        <f t="array" ref="P66">INDEX(М[Форма закупа],MATCH(1,IF(($B66=М[Наим.])*($C66=М[Артикул, марка, произв.])*($D66=М[Хар-ка])*($O66=М[Прим.]),{1},($B66=М[Наим.])*($C66=М[Артикул, марка, произв.])*($D66=М[Хар-ка])*($O66=М[Прим.])),0))</f>
        <v>0</v>
      </c>
    </row>
    <row r="67" spans="1:16" outlineLevel="4" x14ac:dyDescent="0.2">
      <c r="A67" s="20"/>
      <c r="B67" s="14" t="s">
        <v>21</v>
      </c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64"/>
      <c r="N67" s="65">
        <f>SUM($N$68)</f>
        <v>0</v>
      </c>
      <c r="O67" s="18"/>
      <c r="P67" s="22"/>
    </row>
    <row r="68" spans="1:16" outlineLevel="4" x14ac:dyDescent="0.2">
      <c r="A68" s="23"/>
      <c r="B68" s="24" t="s">
        <v>77</v>
      </c>
      <c r="C68" s="25"/>
      <c r="D68" s="25"/>
      <c r="E68" s="26" t="s">
        <v>23</v>
      </c>
      <c r="F68" s="27"/>
      <c r="G68" s="28">
        <v>51</v>
      </c>
      <c r="H68" s="28">
        <v>230</v>
      </c>
      <c r="I68" s="28">
        <v>150</v>
      </c>
      <c r="J68" s="28">
        <v>332</v>
      </c>
      <c r="K68" s="28">
        <v>242</v>
      </c>
      <c r="L68" s="29">
        <f>SUM($G$68:$K$68)</f>
        <v>1005</v>
      </c>
      <c r="M68" s="32">
        <f t="array" ref="M68">INDEX(Р[Цена за ед., руб],MATCH(1,IF(($B68=Р[Наименование])*($O68=Р[Примечание]),{1},($B68=Р[Наименование])*($O68=Р[Примечание])),0))</f>
        <v>0</v>
      </c>
      <c r="N68" s="32">
        <f>ROUND($L$68*$M$68,2)</f>
        <v>0</v>
      </c>
      <c r="O68" s="25"/>
      <c r="P68" s="25"/>
    </row>
    <row r="69" spans="1:16" outlineLevel="4" x14ac:dyDescent="0.2">
      <c r="A69" s="20"/>
      <c r="B69" s="14" t="s">
        <v>27</v>
      </c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64"/>
      <c r="N69" s="65">
        <f>SUM($N$70)</f>
        <v>0</v>
      </c>
      <c r="O69" s="18"/>
      <c r="P69" s="22"/>
    </row>
    <row r="70" spans="1:16" ht="22.5" outlineLevel="4" x14ac:dyDescent="0.2">
      <c r="A70" s="23" t="s">
        <v>28</v>
      </c>
      <c r="B70" s="24" t="s">
        <v>78</v>
      </c>
      <c r="C70" s="25"/>
      <c r="D70" s="25" t="s">
        <v>79</v>
      </c>
      <c r="E70" s="26" t="s">
        <v>23</v>
      </c>
      <c r="F70" s="27"/>
      <c r="G70" s="28">
        <v>51</v>
      </c>
      <c r="H70" s="28">
        <v>230</v>
      </c>
      <c r="I70" s="28">
        <v>150</v>
      </c>
      <c r="J70" s="28">
        <v>332</v>
      </c>
      <c r="K70" s="28">
        <v>242</v>
      </c>
      <c r="L70" s="29">
        <f>SUM($G$70:$K$70)</f>
        <v>1005</v>
      </c>
      <c r="M70" s="32">
        <f t="array" ref="M70">INDEX(М[Цена за ед., руб],MATCH(1,IF(($B70=М[Наим.])*($C70=М[Артикул, марка, произв.])*($D70=М[Хар-ка])*($O70=М[Прим.]),{1},($B70=М[Наим.])*($C70=М[Артикул, марка, произв.])*($D70=М[Хар-ка])*($O70=М[Прим.])),0))</f>
        <v>0</v>
      </c>
      <c r="N70" s="32">
        <f>ROUND($L$70*$M$70,2)</f>
        <v>0</v>
      </c>
      <c r="O70" s="25" t="s">
        <v>73</v>
      </c>
      <c r="P70" s="25">
        <f t="array" ref="P70">INDEX(М[Форма закупа],MATCH(1,IF(($B70=М[Наим.])*($C70=М[Артикул, марка, произв.])*($D70=М[Хар-ка])*($O70=М[Прим.]),{1},($B70=М[Наим.])*($C70=М[Артикул, марка, произв.])*($D70=М[Хар-ка])*($O70=М[Прим.])),0))</f>
        <v>0</v>
      </c>
    </row>
    <row r="71" spans="1:16" outlineLevel="2" x14ac:dyDescent="0.2">
      <c r="A71" s="13" t="s">
        <v>81</v>
      </c>
      <c r="B71" s="14" t="s">
        <v>82</v>
      </c>
      <c r="C71" s="15"/>
      <c r="D71" s="15"/>
      <c r="E71" s="16"/>
      <c r="F71" s="17"/>
      <c r="G71" s="18"/>
      <c r="H71" s="18"/>
      <c r="I71" s="18"/>
      <c r="J71" s="18"/>
      <c r="K71" s="18"/>
      <c r="L71" s="18"/>
      <c r="M71" s="63"/>
      <c r="N71" s="63">
        <f>SUM($N$72)</f>
        <v>0</v>
      </c>
      <c r="O71" s="19"/>
      <c r="P71" s="19"/>
    </row>
    <row r="72" spans="1:16" outlineLevel="3" x14ac:dyDescent="0.2">
      <c r="A72" s="13" t="s">
        <v>83</v>
      </c>
      <c r="B72" s="14" t="s">
        <v>82</v>
      </c>
      <c r="C72" s="15"/>
      <c r="D72" s="15"/>
      <c r="E72" s="16"/>
      <c r="F72" s="17"/>
      <c r="G72" s="18"/>
      <c r="H72" s="18"/>
      <c r="I72" s="18"/>
      <c r="J72" s="18"/>
      <c r="K72" s="18"/>
      <c r="L72" s="18"/>
      <c r="M72" s="63"/>
      <c r="N72" s="63">
        <f>SUM($N$104,$N$102,$N$97,$N$95,$N$89,$N$87,$N$85,$N$83,$N$77,$N$75,$N$73)</f>
        <v>0</v>
      </c>
      <c r="O72" s="19"/>
      <c r="P72" s="19"/>
    </row>
    <row r="73" spans="1:16" outlineLevel="4" x14ac:dyDescent="0.2">
      <c r="A73" s="20"/>
      <c r="B73" s="14" t="s">
        <v>21</v>
      </c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64"/>
      <c r="N73" s="65">
        <f>SUM($N$74)</f>
        <v>0</v>
      </c>
      <c r="O73" s="18"/>
      <c r="P73" s="22"/>
    </row>
    <row r="74" spans="1:16" outlineLevel="4" x14ac:dyDescent="0.2">
      <c r="A74" s="23"/>
      <c r="B74" s="24" t="s">
        <v>84</v>
      </c>
      <c r="C74" s="25"/>
      <c r="D74" s="25"/>
      <c r="E74" s="26" t="s">
        <v>23</v>
      </c>
      <c r="F74" s="27"/>
      <c r="G74" s="28">
        <v>22</v>
      </c>
      <c r="H74" s="28">
        <v>75</v>
      </c>
      <c r="I74" s="28">
        <v>35</v>
      </c>
      <c r="J74" s="28">
        <v>78</v>
      </c>
      <c r="K74" s="28">
        <v>104</v>
      </c>
      <c r="L74" s="28">
        <f>SUM($G$74:$K$74)</f>
        <v>314</v>
      </c>
      <c r="M74" s="32">
        <f t="array" ref="M74">INDEX(Р[Цена за ед., руб],MATCH(1,IF(($B74=Р[Наименование])*($O74=Р[Примечание]),{1},($B74=Р[Наименование])*($O74=Р[Примечание])),0))</f>
        <v>0</v>
      </c>
      <c r="N74" s="32">
        <f>ROUND($L$74*$M$74,2)</f>
        <v>0</v>
      </c>
      <c r="O74" s="25"/>
      <c r="P74" s="25"/>
    </row>
    <row r="75" spans="1:16" outlineLevel="4" x14ac:dyDescent="0.2">
      <c r="A75" s="20"/>
      <c r="B75" s="14" t="s">
        <v>21</v>
      </c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64"/>
      <c r="N75" s="65">
        <f>SUM($N$76)</f>
        <v>0</v>
      </c>
      <c r="O75" s="18"/>
      <c r="P75" s="22"/>
    </row>
    <row r="76" spans="1:16" outlineLevel="4" x14ac:dyDescent="0.2">
      <c r="A76" s="23"/>
      <c r="B76" s="24" t="s">
        <v>25</v>
      </c>
      <c r="C76" s="25"/>
      <c r="D76" s="25"/>
      <c r="E76" s="26" t="s">
        <v>23</v>
      </c>
      <c r="F76" s="27"/>
      <c r="G76" s="30">
        <v>23.6</v>
      </c>
      <c r="H76" s="28">
        <v>47</v>
      </c>
      <c r="I76" s="30">
        <v>58.6</v>
      </c>
      <c r="J76" s="31">
        <v>278.74</v>
      </c>
      <c r="K76" s="31">
        <v>91.82</v>
      </c>
      <c r="L76" s="31">
        <f>SUM($G$76:$K$76)</f>
        <v>499.76</v>
      </c>
      <c r="M76" s="32">
        <f t="array" ref="M76">INDEX(Р[Цена за ед., руб],MATCH(1,IF(($B76=Р[Наименование])*($O76=Р[Примечание]),{1},($B76=Р[Наименование])*($O76=Р[Примечание])),0))</f>
        <v>0</v>
      </c>
      <c r="N76" s="32">
        <f>ROUND($L$76*$M$76,2)</f>
        <v>0</v>
      </c>
      <c r="O76" s="25"/>
      <c r="P76" s="25"/>
    </row>
    <row r="77" spans="1:16" outlineLevel="4" x14ac:dyDescent="0.2">
      <c r="A77" s="20"/>
      <c r="B77" s="14" t="s">
        <v>27</v>
      </c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64"/>
      <c r="N77" s="65">
        <f>SUM($N$78:$N$82)</f>
        <v>0</v>
      </c>
      <c r="O77" s="18"/>
      <c r="P77" s="22"/>
    </row>
    <row r="78" spans="1:16" ht="33.75" outlineLevel="4" x14ac:dyDescent="0.2">
      <c r="A78" s="23" t="s">
        <v>28</v>
      </c>
      <c r="B78" s="24" t="s">
        <v>85</v>
      </c>
      <c r="C78" s="25"/>
      <c r="D78" s="25" t="s">
        <v>86</v>
      </c>
      <c r="E78" s="26" t="s">
        <v>31</v>
      </c>
      <c r="F78" s="27"/>
      <c r="G78" s="30">
        <v>8.6</v>
      </c>
      <c r="H78" s="28">
        <v>25</v>
      </c>
      <c r="I78" s="30">
        <v>39.6</v>
      </c>
      <c r="J78" s="31">
        <v>25.74</v>
      </c>
      <c r="K78" s="31">
        <v>34.32</v>
      </c>
      <c r="L78" s="31">
        <f>SUM($G$78:$K$78)</f>
        <v>133.26</v>
      </c>
      <c r="M78" s="32">
        <f t="array" ref="M78">INDEX(М[Цена за ед., руб],MATCH(1,IF(($B78=М[Наим.])*($C78=М[Артикул, марка, произв.])*($D78=М[Хар-ка])*($O78=М[Прим.]),{1},($B78=М[Наим.])*($C78=М[Артикул, марка, произв.])*($D78=М[Хар-ка])*($O78=М[Прим.])),0))</f>
        <v>0</v>
      </c>
      <c r="N78" s="32">
        <f>ROUND($L$78*$M$78,2)</f>
        <v>0</v>
      </c>
      <c r="O78" s="25"/>
      <c r="P78" s="25">
        <f t="array" ref="P78">INDEX(М[Форма закупа],MATCH(1,IF(($B78=М[Наим.])*($C78=М[Артикул, марка, произв.])*($D78=М[Хар-ка])*($O78=М[Прим.]),{1},($B78=М[Наим.])*($C78=М[Артикул, марка, произв.])*($D78=М[Хар-ка])*($O78=М[Прим.])),0))</f>
        <v>0</v>
      </c>
    </row>
    <row r="79" spans="1:16" ht="33.75" outlineLevel="4" x14ac:dyDescent="0.2">
      <c r="A79" s="23" t="s">
        <v>32</v>
      </c>
      <c r="B79" s="24" t="s">
        <v>29</v>
      </c>
      <c r="C79" s="25"/>
      <c r="D79" s="25" t="s">
        <v>30</v>
      </c>
      <c r="E79" s="26" t="s">
        <v>31</v>
      </c>
      <c r="F79" s="27"/>
      <c r="G79" s="28">
        <v>15</v>
      </c>
      <c r="H79" s="28">
        <v>22</v>
      </c>
      <c r="I79" s="28">
        <v>17</v>
      </c>
      <c r="J79" s="28">
        <v>68</v>
      </c>
      <c r="K79" s="30">
        <v>57.5</v>
      </c>
      <c r="L79" s="30">
        <f>SUM($G$79:$K$79)</f>
        <v>179.5</v>
      </c>
      <c r="M79" s="32">
        <f t="array" ref="M79">INDEX(М[Цена за ед., руб],MATCH(1,IF(($B79=М[Наим.])*($C79=М[Артикул, марка, произв.])*($D79=М[Хар-ка])*($O79=М[Прим.]),{1},($B79=М[Наим.])*($C79=М[Артикул, марка, произв.])*($D79=М[Хар-ка])*($O79=М[Прим.])),0))</f>
        <v>0</v>
      </c>
      <c r="N79" s="32">
        <f>ROUND($L$79*$M$79,2)</f>
        <v>0</v>
      </c>
      <c r="O79" s="25"/>
      <c r="P79" s="25">
        <f t="array" ref="P79">INDEX(М[Форма закупа],MATCH(1,IF(($B79=М[Наим.])*($C79=М[Артикул, марка, произв.])*($D79=М[Хар-ка])*($O79=М[Прим.]),{1},($B79=М[Наим.])*($C79=М[Артикул, марка, произв.])*($D79=М[Хар-ка])*($O79=М[Прим.])),0))</f>
        <v>0</v>
      </c>
    </row>
    <row r="80" spans="1:16" ht="45" outlineLevel="4" x14ac:dyDescent="0.2">
      <c r="A80" s="23" t="s">
        <v>34</v>
      </c>
      <c r="B80" s="24" t="s">
        <v>29</v>
      </c>
      <c r="C80" s="25"/>
      <c r="D80" s="25" t="s">
        <v>87</v>
      </c>
      <c r="E80" s="26" t="s">
        <v>31</v>
      </c>
      <c r="F80" s="27"/>
      <c r="G80" s="27"/>
      <c r="H80" s="27"/>
      <c r="I80" s="27"/>
      <c r="J80" s="28">
        <v>108</v>
      </c>
      <c r="K80" s="27"/>
      <c r="L80" s="28">
        <f>SUM($G$80:$K$80)</f>
        <v>108</v>
      </c>
      <c r="M80" s="32">
        <f t="array" ref="M80">INDEX(М[Цена за ед., руб],MATCH(1,IF(($B80=М[Наим.])*($C80=М[Артикул, марка, произв.])*($D80=М[Хар-ка])*($O80=М[Прим.]),{1},($B80=М[Наим.])*($C80=М[Артикул, марка, произв.])*($D80=М[Хар-ка])*($O80=М[Прим.])),0))</f>
        <v>0</v>
      </c>
      <c r="N80" s="32">
        <f>ROUND($L$80*$M$80,2)</f>
        <v>0</v>
      </c>
      <c r="O80" s="25"/>
      <c r="P80" s="25">
        <f t="array" ref="P80">INDEX(М[Форма закупа],MATCH(1,IF(($B80=М[Наим.])*($C80=М[Артикул, марка, произв.])*($D80=М[Хар-ка])*($O80=М[Прим.]),{1},($B80=М[Наим.])*($C80=М[Артикул, марка, произв.])*($D80=М[Хар-ка])*($O80=М[Прим.])),0))</f>
        <v>0</v>
      </c>
    </row>
    <row r="81" spans="1:16" ht="45" outlineLevel="4" x14ac:dyDescent="0.2">
      <c r="A81" s="23" t="s">
        <v>36</v>
      </c>
      <c r="B81" s="24" t="s">
        <v>29</v>
      </c>
      <c r="C81" s="25"/>
      <c r="D81" s="25" t="s">
        <v>37</v>
      </c>
      <c r="E81" s="26" t="s">
        <v>31</v>
      </c>
      <c r="F81" s="27"/>
      <c r="G81" s="27"/>
      <c r="H81" s="27"/>
      <c r="I81" s="28">
        <v>2</v>
      </c>
      <c r="J81" s="28">
        <v>63</v>
      </c>
      <c r="K81" s="27"/>
      <c r="L81" s="28">
        <f>SUM($G$81:$K$81)</f>
        <v>65</v>
      </c>
      <c r="M81" s="32">
        <f t="array" ref="M81">INDEX(М[Цена за ед., руб],MATCH(1,IF(($B81=М[Наим.])*($C81=М[Артикул, марка, произв.])*($D81=М[Хар-ка])*($O81=М[Прим.]),{1},($B81=М[Наим.])*($C81=М[Артикул, марка, произв.])*($D81=М[Хар-ка])*($O81=М[Прим.])),0))</f>
        <v>0</v>
      </c>
      <c r="N81" s="32">
        <f>ROUND($L$81*$M$81,2)</f>
        <v>0</v>
      </c>
      <c r="O81" s="25"/>
      <c r="P81" s="25">
        <f t="array" ref="P81">INDEX(М[Форма закупа],MATCH(1,IF(($B81=М[Наим.])*($C81=М[Артикул, марка, произв.])*($D81=М[Хар-ка])*($O81=М[Прим.]),{1},($B81=М[Наим.])*($C81=М[Артикул, марка, произв.])*($D81=М[Хар-ка])*($O81=М[Прим.])),0))</f>
        <v>0</v>
      </c>
    </row>
    <row r="82" spans="1:16" ht="45" outlineLevel="4" x14ac:dyDescent="0.2">
      <c r="A82" s="23" t="s">
        <v>88</v>
      </c>
      <c r="B82" s="24" t="s">
        <v>29</v>
      </c>
      <c r="C82" s="25"/>
      <c r="D82" s="25" t="s">
        <v>89</v>
      </c>
      <c r="E82" s="26" t="s">
        <v>31</v>
      </c>
      <c r="F82" s="27"/>
      <c r="G82" s="27"/>
      <c r="H82" s="27"/>
      <c r="I82" s="27"/>
      <c r="J82" s="28">
        <v>14</v>
      </c>
      <c r="K82" s="27"/>
      <c r="L82" s="28">
        <f>SUM($G$82:$K$82)</f>
        <v>14</v>
      </c>
      <c r="M82" s="32">
        <f t="array" ref="M82">INDEX(М[Цена за ед., руб],MATCH(1,IF(($B82=М[Наим.])*($C82=М[Артикул, марка, произв.])*($D82=М[Хар-ка])*($O82=М[Прим.]),{1},($B82=М[Наим.])*($C82=М[Артикул, марка, произв.])*($D82=М[Хар-ка])*($O82=М[Прим.])),0))</f>
        <v>0</v>
      </c>
      <c r="N82" s="32">
        <f>ROUND($L$82*$M$82,2)</f>
        <v>0</v>
      </c>
      <c r="O82" s="25"/>
      <c r="P82" s="25">
        <f t="array" ref="P82">INDEX(М[Форма закупа],MATCH(1,IF(($B82=М[Наим.])*($C82=М[Артикул, марка, произв.])*($D82=М[Хар-ка])*($O82=М[Прим.]),{1},($B82=М[Наим.])*($C82=М[Артикул, марка, произв.])*($D82=М[Хар-ка])*($O82=М[Прим.])),0))</f>
        <v>0</v>
      </c>
    </row>
    <row r="83" spans="1:16" outlineLevel="4" x14ac:dyDescent="0.2">
      <c r="A83" s="20"/>
      <c r="B83" s="14" t="s">
        <v>21</v>
      </c>
      <c r="C83" s="21"/>
      <c r="D83" s="21"/>
      <c r="E83" s="21"/>
      <c r="F83" s="21"/>
      <c r="G83" s="21"/>
      <c r="H83" s="21"/>
      <c r="I83" s="21"/>
      <c r="J83" s="21"/>
      <c r="K83" s="21"/>
      <c r="L83" s="21"/>
      <c r="M83" s="64"/>
      <c r="N83" s="65">
        <f>SUM($N$84)</f>
        <v>0</v>
      </c>
      <c r="O83" s="18"/>
      <c r="P83" s="22"/>
    </row>
    <row r="84" spans="1:16" outlineLevel="4" x14ac:dyDescent="0.2">
      <c r="A84" s="23"/>
      <c r="B84" s="24" t="s">
        <v>42</v>
      </c>
      <c r="C84" s="25"/>
      <c r="D84" s="25"/>
      <c r="E84" s="26" t="s">
        <v>23</v>
      </c>
      <c r="F84" s="27"/>
      <c r="G84" s="28">
        <v>22</v>
      </c>
      <c r="H84" s="28">
        <v>75</v>
      </c>
      <c r="I84" s="28">
        <v>35</v>
      </c>
      <c r="J84" s="28">
        <v>78</v>
      </c>
      <c r="K84" s="28">
        <v>104</v>
      </c>
      <c r="L84" s="28">
        <f>SUM($G$84:$K$84)</f>
        <v>314</v>
      </c>
      <c r="M84" s="32">
        <f t="array" ref="M84">INDEX(Р[Цена за ед., руб],MATCH(1,IF(($B84=Р[Наименование])*($O84=Р[Примечание]),{1},($B84=Р[Наименование])*($O84=Р[Примечание])),0))</f>
        <v>0</v>
      </c>
      <c r="N84" s="32">
        <f>ROUND($L$84*$M$84,2)</f>
        <v>0</v>
      </c>
      <c r="O84" s="25"/>
      <c r="P84" s="25"/>
    </row>
    <row r="85" spans="1:16" outlineLevel="4" x14ac:dyDescent="0.2">
      <c r="A85" s="20"/>
      <c r="B85" s="14" t="s">
        <v>27</v>
      </c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64"/>
      <c r="N85" s="65">
        <f>SUM($N$86)</f>
        <v>0</v>
      </c>
      <c r="O85" s="18"/>
      <c r="P85" s="22"/>
    </row>
    <row r="86" spans="1:16" outlineLevel="4" x14ac:dyDescent="0.2">
      <c r="A86" s="23" t="s">
        <v>28</v>
      </c>
      <c r="B86" s="24" t="s">
        <v>43</v>
      </c>
      <c r="C86" s="25"/>
      <c r="D86" s="25" t="s">
        <v>45</v>
      </c>
      <c r="E86" s="26" t="s">
        <v>23</v>
      </c>
      <c r="F86" s="27"/>
      <c r="G86" s="28">
        <v>22</v>
      </c>
      <c r="H86" s="28">
        <v>75</v>
      </c>
      <c r="I86" s="28">
        <v>35</v>
      </c>
      <c r="J86" s="28">
        <v>78</v>
      </c>
      <c r="K86" s="28">
        <v>104</v>
      </c>
      <c r="L86" s="28">
        <f>SUM($G$86:$K$86)</f>
        <v>314</v>
      </c>
      <c r="M86" s="32">
        <f t="array" ref="M86">INDEX(М[Цена за ед., руб],MATCH(1,IF(($B86=М[Наим.])*($C86=М[Артикул, марка, произв.])*($D86=М[Хар-ка])*($O86=М[Прим.]),{1},($B86=М[Наим.])*($C86=М[Артикул, марка, произв.])*($D86=М[Хар-ка])*($O86=М[Прим.])),0))</f>
        <v>0</v>
      </c>
      <c r="N86" s="32">
        <f>ROUND($L$86*$M$86,2)</f>
        <v>0</v>
      </c>
      <c r="O86" s="25"/>
      <c r="P86" s="25">
        <f t="array" ref="P86">INDEX(М[Форма закупа],MATCH(1,IF(($B86=М[Наим.])*($C86=М[Артикул, марка, произв.])*($D86=М[Хар-ка])*($O86=М[Прим.]),{1},($B86=М[Наим.])*($C86=М[Артикул, марка, произв.])*($D86=М[Хар-ка])*($O86=М[Прим.])),0))</f>
        <v>0</v>
      </c>
    </row>
    <row r="87" spans="1:16" outlineLevel="4" x14ac:dyDescent="0.2">
      <c r="A87" s="20"/>
      <c r="B87" s="14" t="s">
        <v>21</v>
      </c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64"/>
      <c r="N87" s="65">
        <f>SUM($N$88)</f>
        <v>0</v>
      </c>
      <c r="O87" s="18"/>
      <c r="P87" s="22"/>
    </row>
    <row r="88" spans="1:16" outlineLevel="4" x14ac:dyDescent="0.2">
      <c r="A88" s="23"/>
      <c r="B88" s="24" t="s">
        <v>46</v>
      </c>
      <c r="C88" s="25"/>
      <c r="D88" s="25"/>
      <c r="E88" s="26" t="s">
        <v>23</v>
      </c>
      <c r="F88" s="27"/>
      <c r="G88" s="28">
        <v>14</v>
      </c>
      <c r="H88" s="28">
        <v>30</v>
      </c>
      <c r="I88" s="28">
        <v>16</v>
      </c>
      <c r="J88" s="28">
        <v>28</v>
      </c>
      <c r="K88" s="28">
        <v>28</v>
      </c>
      <c r="L88" s="28">
        <f>SUM($G$88:$K$88)</f>
        <v>116</v>
      </c>
      <c r="M88" s="32">
        <f t="array" ref="M88">INDEX(Р[Цена за ед., руб],MATCH(1,IF(($B88=Р[Наименование])*($O88=Р[Примечание]),{1},($B88=Р[Наименование])*($O88=Р[Примечание])),0))</f>
        <v>0</v>
      </c>
      <c r="N88" s="32">
        <f>ROUND($L$88*$M$88,2)</f>
        <v>0</v>
      </c>
      <c r="O88" s="25"/>
      <c r="P88" s="25"/>
    </row>
    <row r="89" spans="1:16" outlineLevel="4" x14ac:dyDescent="0.2">
      <c r="A89" s="20"/>
      <c r="B89" s="14" t="s">
        <v>27</v>
      </c>
      <c r="C89" s="21"/>
      <c r="D89" s="21"/>
      <c r="E89" s="21"/>
      <c r="F89" s="21"/>
      <c r="G89" s="21"/>
      <c r="H89" s="21"/>
      <c r="I89" s="21"/>
      <c r="J89" s="21"/>
      <c r="K89" s="21"/>
      <c r="L89" s="21"/>
      <c r="M89" s="64"/>
      <c r="N89" s="65">
        <f>SUM($N$90:$N$94)</f>
        <v>0</v>
      </c>
      <c r="O89" s="18"/>
      <c r="P89" s="22"/>
    </row>
    <row r="90" spans="1:16" outlineLevel="4" x14ac:dyDescent="0.2">
      <c r="A90" s="23" t="s">
        <v>28</v>
      </c>
      <c r="B90" s="24" t="s">
        <v>47</v>
      </c>
      <c r="C90" s="25"/>
      <c r="D90" s="25" t="s">
        <v>90</v>
      </c>
      <c r="E90" s="26" t="s">
        <v>23</v>
      </c>
      <c r="F90" s="27"/>
      <c r="G90" s="28">
        <v>8</v>
      </c>
      <c r="H90" s="28">
        <v>24</v>
      </c>
      <c r="I90" s="28">
        <v>10</v>
      </c>
      <c r="J90" s="28">
        <v>16</v>
      </c>
      <c r="K90" s="28">
        <v>28</v>
      </c>
      <c r="L90" s="28">
        <f>SUM($G$90:$K$90)</f>
        <v>86</v>
      </c>
      <c r="M90" s="32">
        <f t="array" ref="M90">INDEX(М[Цена за ед., руб],MATCH(1,IF(($B90=М[Наим.])*($C90=М[Артикул, марка, произв.])*($D90=М[Хар-ка])*($O90=М[Прим.]),{1},($B90=М[Наим.])*($C90=М[Артикул, марка, произв.])*($D90=М[Хар-ка])*($O90=М[Прим.])),0))</f>
        <v>0</v>
      </c>
      <c r="N90" s="32">
        <f>ROUND($L$90*$M$90,2)</f>
        <v>0</v>
      </c>
      <c r="O90" s="25"/>
      <c r="P90" s="25">
        <f t="array" ref="P90">INDEX(М[Форма закупа],MATCH(1,IF(($B90=М[Наим.])*($C90=М[Артикул, марка, произв.])*($D90=М[Хар-ка])*($O90=М[Прим.]),{1},($B90=М[Наим.])*($C90=М[Артикул, марка, произв.])*($D90=М[Хар-ка])*($O90=М[Прим.])),0))</f>
        <v>0</v>
      </c>
    </row>
    <row r="91" spans="1:16" ht="45" outlineLevel="4" x14ac:dyDescent="0.2">
      <c r="A91" s="23" t="s">
        <v>32</v>
      </c>
      <c r="B91" s="24" t="s">
        <v>47</v>
      </c>
      <c r="C91" s="25"/>
      <c r="D91" s="25" t="s">
        <v>91</v>
      </c>
      <c r="E91" s="26" t="s">
        <v>23</v>
      </c>
      <c r="F91" s="27"/>
      <c r="G91" s="27"/>
      <c r="H91" s="27"/>
      <c r="I91" s="27"/>
      <c r="J91" s="28">
        <v>3</v>
      </c>
      <c r="K91" s="27"/>
      <c r="L91" s="28">
        <f>SUM($G$91:$K$91)</f>
        <v>3</v>
      </c>
      <c r="M91" s="32">
        <f t="array" ref="M91">INDEX(М[Цена за ед., руб],MATCH(1,IF(($B91=М[Наим.])*($C91=М[Артикул, марка, произв.])*($D91=М[Хар-ка])*($O91=М[Прим.]),{1},($B91=М[Наим.])*($C91=М[Артикул, марка, произв.])*($D91=М[Хар-ка])*($O91=М[Прим.])),0))</f>
        <v>0</v>
      </c>
      <c r="N91" s="32">
        <f>ROUND($L$91*$M$91,2)</f>
        <v>0</v>
      </c>
      <c r="O91" s="25"/>
      <c r="P91" s="25">
        <f t="array" ref="P91">INDEX(М[Форма закупа],MATCH(1,IF(($B91=М[Наим.])*($C91=М[Артикул, марка, произв.])*($D91=М[Хар-ка])*($O91=М[Прим.]),{1},($B91=М[Наим.])*($C91=М[Артикул, марка, произв.])*($D91=М[Хар-ка])*($O91=М[Прим.])),0))</f>
        <v>0</v>
      </c>
    </row>
    <row r="92" spans="1:16" ht="45" outlineLevel="4" x14ac:dyDescent="0.2">
      <c r="A92" s="23" t="s">
        <v>34</v>
      </c>
      <c r="B92" s="24" t="s">
        <v>47</v>
      </c>
      <c r="C92" s="25"/>
      <c r="D92" s="25" t="s">
        <v>92</v>
      </c>
      <c r="E92" s="26" t="s">
        <v>23</v>
      </c>
      <c r="F92" s="27"/>
      <c r="G92" s="27"/>
      <c r="H92" s="27"/>
      <c r="I92" s="27"/>
      <c r="J92" s="28">
        <v>1</v>
      </c>
      <c r="K92" s="27"/>
      <c r="L92" s="28">
        <f>SUM($G$92:$K$92)</f>
        <v>1</v>
      </c>
      <c r="M92" s="32">
        <f t="array" ref="M92">INDEX(М[Цена за ед., руб],MATCH(1,IF(($B92=М[Наим.])*($C92=М[Артикул, марка, произв.])*($D92=М[Хар-ка])*($O92=М[Прим.]),{1},($B92=М[Наим.])*($C92=М[Артикул, марка, произв.])*($D92=М[Хар-ка])*($O92=М[Прим.])),0))</f>
        <v>0</v>
      </c>
      <c r="N92" s="32">
        <f>ROUND($L$92*$M$92,2)</f>
        <v>0</v>
      </c>
      <c r="O92" s="25"/>
      <c r="P92" s="25">
        <f t="array" ref="P92">INDEX(М[Форма закупа],MATCH(1,IF(($B92=М[Наим.])*($C92=М[Артикул, марка, произв.])*($D92=М[Хар-ка])*($O92=М[Прим.]),{1},($B92=М[Наим.])*($C92=М[Артикул, марка, произв.])*($D92=М[Хар-ка])*($O92=М[Прим.])),0))</f>
        <v>0</v>
      </c>
    </row>
    <row r="93" spans="1:16" ht="33.75" outlineLevel="4" x14ac:dyDescent="0.2">
      <c r="A93" s="23" t="s">
        <v>36</v>
      </c>
      <c r="B93" s="24" t="s">
        <v>47</v>
      </c>
      <c r="C93" s="25"/>
      <c r="D93" s="25" t="s">
        <v>50</v>
      </c>
      <c r="E93" s="26" t="s">
        <v>23</v>
      </c>
      <c r="F93" s="27"/>
      <c r="G93" s="27"/>
      <c r="H93" s="27"/>
      <c r="I93" s="27"/>
      <c r="J93" s="28">
        <v>8</v>
      </c>
      <c r="K93" s="27"/>
      <c r="L93" s="28">
        <f>SUM($G$93:$K$93)</f>
        <v>8</v>
      </c>
      <c r="M93" s="32">
        <f t="array" ref="M93">INDEX(М[Цена за ед., руб],MATCH(1,IF(($B93=М[Наим.])*($C93=М[Артикул, марка, произв.])*($D93=М[Хар-ка])*($O93=М[Прим.]),{1},($B93=М[Наим.])*($C93=М[Артикул, марка, произв.])*($D93=М[Хар-ка])*($O93=М[Прим.])),0))</f>
        <v>0</v>
      </c>
      <c r="N93" s="32">
        <f>ROUND($L$93*$M$93,2)</f>
        <v>0</v>
      </c>
      <c r="O93" s="25"/>
      <c r="P93" s="25">
        <f t="array" ref="P93">INDEX(М[Форма закупа],MATCH(1,IF(($B93=М[Наим.])*($C93=М[Артикул, марка, произв.])*($D93=М[Хар-ка])*($O93=М[Прим.]),{1},($B93=М[Наим.])*($C93=М[Артикул, марка, произв.])*($D93=М[Хар-ка])*($O93=М[Прим.])),0))</f>
        <v>0</v>
      </c>
    </row>
    <row r="94" spans="1:16" outlineLevel="4" x14ac:dyDescent="0.2">
      <c r="A94" s="23" t="s">
        <v>88</v>
      </c>
      <c r="B94" s="24" t="s">
        <v>47</v>
      </c>
      <c r="C94" s="25"/>
      <c r="D94" s="25" t="s">
        <v>93</v>
      </c>
      <c r="E94" s="26" t="s">
        <v>23</v>
      </c>
      <c r="F94" s="27"/>
      <c r="G94" s="28">
        <v>6</v>
      </c>
      <c r="H94" s="28">
        <v>6</v>
      </c>
      <c r="I94" s="28">
        <v>6</v>
      </c>
      <c r="J94" s="27"/>
      <c r="K94" s="27"/>
      <c r="L94" s="28">
        <f>SUM($G$94:$K$94)</f>
        <v>18</v>
      </c>
      <c r="M94" s="32">
        <f t="array" ref="M94">INDEX(М[Цена за ед., руб],MATCH(1,IF(($B94=М[Наим.])*($C94=М[Артикул, марка, произв.])*($D94=М[Хар-ка])*($O94=М[Прим.]),{1},($B94=М[Наим.])*($C94=М[Артикул, марка, произв.])*($D94=М[Хар-ка])*($O94=М[Прим.])),0))</f>
        <v>0</v>
      </c>
      <c r="N94" s="32">
        <f>ROUND($L$94*$M$94,2)</f>
        <v>0</v>
      </c>
      <c r="O94" s="25"/>
      <c r="P94" s="25">
        <f t="array" ref="P94">INDEX(М[Форма закупа],MATCH(1,IF(($B94=М[Наим.])*($C94=М[Артикул, марка, произв.])*($D94=М[Хар-ка])*($O94=М[Прим.]),{1},($B94=М[Наим.])*($C94=М[Артикул, марка, произв.])*($D94=М[Хар-ка])*($O94=М[Прим.])),0))</f>
        <v>0</v>
      </c>
    </row>
    <row r="95" spans="1:16" outlineLevel="4" x14ac:dyDescent="0.2">
      <c r="A95" s="20"/>
      <c r="B95" s="14" t="s">
        <v>21</v>
      </c>
      <c r="C95" s="21"/>
      <c r="D95" s="21"/>
      <c r="E95" s="21"/>
      <c r="F95" s="21"/>
      <c r="G95" s="21"/>
      <c r="H95" s="21"/>
      <c r="I95" s="21"/>
      <c r="J95" s="21"/>
      <c r="K95" s="21"/>
      <c r="L95" s="21"/>
      <c r="M95" s="64"/>
      <c r="N95" s="65">
        <f>SUM($N$96)</f>
        <v>0</v>
      </c>
      <c r="O95" s="18"/>
      <c r="P95" s="22"/>
    </row>
    <row r="96" spans="1:16" outlineLevel="4" x14ac:dyDescent="0.2">
      <c r="A96" s="23"/>
      <c r="B96" s="24" t="s">
        <v>94</v>
      </c>
      <c r="C96" s="25"/>
      <c r="D96" s="25"/>
      <c r="E96" s="26" t="s">
        <v>26</v>
      </c>
      <c r="F96" s="27"/>
      <c r="G96" s="28">
        <v>161</v>
      </c>
      <c r="H96" s="28">
        <v>370</v>
      </c>
      <c r="I96" s="28">
        <v>242</v>
      </c>
      <c r="J96" s="28">
        <v>289</v>
      </c>
      <c r="K96" s="30">
        <v>398.5</v>
      </c>
      <c r="L96" s="33">
        <f>SUM($G$96:$K$96)</f>
        <v>1460.5</v>
      </c>
      <c r="M96" s="32">
        <f t="array" ref="M96">INDEX(Р[Цена за ед., руб],MATCH(1,IF(($B96=Р[Наименование])*($O96=Р[Примечание]),{1},($B96=Р[Наименование])*($O96=Р[Примечание])),0))</f>
        <v>0</v>
      </c>
      <c r="N96" s="32">
        <f>ROUND($L$96*$M$96,2)</f>
        <v>0</v>
      </c>
      <c r="O96" s="25"/>
      <c r="P96" s="25"/>
    </row>
    <row r="97" spans="1:16" outlineLevel="4" x14ac:dyDescent="0.2">
      <c r="A97" s="20"/>
      <c r="B97" s="14" t="s">
        <v>27</v>
      </c>
      <c r="C97" s="21"/>
      <c r="D97" s="21"/>
      <c r="E97" s="21"/>
      <c r="F97" s="21"/>
      <c r="G97" s="21"/>
      <c r="H97" s="21"/>
      <c r="I97" s="21"/>
      <c r="J97" s="21"/>
      <c r="K97" s="21"/>
      <c r="L97" s="21"/>
      <c r="M97" s="64"/>
      <c r="N97" s="65">
        <f>SUM($N$98:$N$101)</f>
        <v>0</v>
      </c>
      <c r="O97" s="18"/>
      <c r="P97" s="22"/>
    </row>
    <row r="98" spans="1:16" ht="22.5" outlineLevel="4" x14ac:dyDescent="0.2">
      <c r="A98" s="84" t="s">
        <v>28</v>
      </c>
      <c r="B98" s="24" t="s">
        <v>95</v>
      </c>
      <c r="C98" s="25"/>
      <c r="D98" s="25" t="s">
        <v>96</v>
      </c>
      <c r="E98" s="26" t="s">
        <v>31</v>
      </c>
      <c r="F98" s="27"/>
      <c r="G98" s="28">
        <v>82</v>
      </c>
      <c r="H98" s="30">
        <v>276.5</v>
      </c>
      <c r="I98" s="28">
        <v>147</v>
      </c>
      <c r="J98" s="28">
        <v>247</v>
      </c>
      <c r="K98" s="30">
        <v>366.5</v>
      </c>
      <c r="L98" s="29">
        <f>SUM($G$98:$K$98)</f>
        <v>1119</v>
      </c>
      <c r="M98" s="32">
        <f t="array" ref="M98">INDEX(М[Цена за ед., руб],MATCH(1,IF(($B98=М[Наим.])*($C98=М[Артикул, марка, произв.])*($D98=М[Хар-ка])*($O98=М[Прим.]),{1},($B98=М[Наим.])*($C98=М[Артикул, марка, произв.])*($D98=М[Хар-ка])*($O98=М[Прим.])),0))</f>
        <v>0</v>
      </c>
      <c r="N98" s="32">
        <f>ROUND($L$98*$M$98,2)</f>
        <v>0</v>
      </c>
      <c r="O98" s="25"/>
      <c r="P98" s="25">
        <f t="array" ref="P98">INDEX(М[Форма закупа],MATCH(1,IF(($B98=М[Наим.])*($C98=М[Артикул, марка, произв.])*($D98=М[Хар-ка])*($O98=М[Прим.]),{1},($B98=М[Наим.])*($C98=М[Артикул, марка, произв.])*($D98=М[Хар-ка])*($O98=М[Прим.])),0))</f>
        <v>0</v>
      </c>
    </row>
    <row r="99" spans="1:16" ht="22.5" outlineLevel="4" x14ac:dyDescent="0.2">
      <c r="A99" s="84" t="s">
        <v>32</v>
      </c>
      <c r="B99" s="24" t="s">
        <v>95</v>
      </c>
      <c r="C99" s="25"/>
      <c r="D99" s="25" t="s">
        <v>97</v>
      </c>
      <c r="E99" s="26" t="s">
        <v>31</v>
      </c>
      <c r="F99" s="27"/>
      <c r="G99" s="27"/>
      <c r="H99" s="27"/>
      <c r="I99" s="27"/>
      <c r="J99" s="28">
        <v>42</v>
      </c>
      <c r="K99" s="27"/>
      <c r="L99" s="28">
        <f>SUM($G$99:$K$99)</f>
        <v>42</v>
      </c>
      <c r="M99" s="32">
        <f t="array" ref="M99">INDEX(М[Цена за ед., руб],MATCH(1,IF(($B99=М[Наим.])*($C99=М[Артикул, марка, произв.])*($D99=М[Хар-ка])*($O99=М[Прим.]),{1},($B99=М[Наим.])*($C99=М[Артикул, марка, произв.])*($D99=М[Хар-ка])*($O99=М[Прим.])),0))</f>
        <v>0</v>
      </c>
      <c r="N99" s="32">
        <f>ROUND($L$99*$M$99,2)</f>
        <v>0</v>
      </c>
      <c r="O99" s="25"/>
      <c r="P99" s="25">
        <f t="array" ref="P99">INDEX(М[Форма закупа],MATCH(1,IF(($B99=М[Наим.])*($C99=М[Артикул, марка, произв.])*($D99=М[Хар-ка])*($O99=М[Прим.]),{1},($B99=М[Наим.])*($C99=М[Артикул, марка, произв.])*($D99=М[Хар-ка])*($O99=М[Прим.])),0))</f>
        <v>0</v>
      </c>
    </row>
    <row r="100" spans="1:16" ht="22.5" outlineLevel="4" x14ac:dyDescent="0.2">
      <c r="A100" s="84" t="s">
        <v>34</v>
      </c>
      <c r="B100" s="24" t="s">
        <v>95</v>
      </c>
      <c r="C100" s="25"/>
      <c r="D100" s="25" t="s">
        <v>98</v>
      </c>
      <c r="E100" s="26" t="s">
        <v>31</v>
      </c>
      <c r="F100" s="27"/>
      <c r="G100" s="28">
        <v>8</v>
      </c>
      <c r="H100" s="30">
        <v>16.5</v>
      </c>
      <c r="I100" s="28">
        <v>4</v>
      </c>
      <c r="J100" s="27"/>
      <c r="K100" s="28">
        <v>32</v>
      </c>
      <c r="L100" s="30">
        <f>SUM($G$100:$K$100)</f>
        <v>60.5</v>
      </c>
      <c r="M100" s="32">
        <f t="array" ref="M100">INDEX(М[Цена за ед., руб],MATCH(1,IF(($B100=М[Наим.])*($C100=М[Артикул, марка, произв.])*($D100=М[Хар-ка])*($O100=М[Прим.]),{1},($B100=М[Наим.])*($C100=М[Артикул, марка, произв.])*($D100=М[Хар-ка])*($O100=М[Прим.])),0))</f>
        <v>0</v>
      </c>
      <c r="N100" s="32">
        <f>ROUND($L$100*$M$100,2)</f>
        <v>0</v>
      </c>
      <c r="O100" s="25"/>
      <c r="P100" s="25">
        <f t="array" ref="P100">INDEX(М[Форма закупа],MATCH(1,IF(($B100=М[Наим.])*($C100=М[Артикул, марка, произв.])*($D100=М[Хар-ка])*($O100=М[Прим.]),{1},($B100=М[Наим.])*($C100=М[Артикул, марка, произв.])*($D100=М[Хар-ка])*($O100=М[Прим.])),0))</f>
        <v>0</v>
      </c>
    </row>
    <row r="101" spans="1:16" ht="22.5" outlineLevel="4" x14ac:dyDescent="0.2">
      <c r="A101" s="84" t="s">
        <v>36</v>
      </c>
      <c r="B101" s="24" t="s">
        <v>95</v>
      </c>
      <c r="C101" s="25"/>
      <c r="D101" s="25" t="s">
        <v>99</v>
      </c>
      <c r="E101" s="26" t="s">
        <v>31</v>
      </c>
      <c r="F101" s="27"/>
      <c r="G101" s="28">
        <v>71</v>
      </c>
      <c r="H101" s="28">
        <v>77</v>
      </c>
      <c r="I101" s="28">
        <v>91</v>
      </c>
      <c r="J101" s="27"/>
      <c r="K101" s="27"/>
      <c r="L101" s="28">
        <f>SUM($G$101:$K$101)</f>
        <v>239</v>
      </c>
      <c r="M101" s="32">
        <f t="array" ref="M101">INDEX(М[Цена за ед., руб],MATCH(1,IF(($B101=М[Наим.])*($C101=М[Артикул, марка, произв.])*($D101=М[Хар-ка])*($O101=М[Прим.]),{1},($B101=М[Наим.])*($C101=М[Артикул, марка, произв.])*($D101=М[Хар-ка])*($O101=М[Прим.])),0))</f>
        <v>0</v>
      </c>
      <c r="N101" s="32">
        <f>ROUND($L$101*$M$101,2)</f>
        <v>0</v>
      </c>
      <c r="O101" s="25"/>
      <c r="P101" s="25">
        <f t="array" ref="P101">INDEX(М[Форма закупа],MATCH(1,IF(($B101=М[Наим.])*($C101=М[Артикул, марка, произв.])*($D101=М[Хар-ка])*($O101=М[Прим.]),{1},($B101=М[Наим.])*($C101=М[Артикул, марка, произв.])*($D101=М[Хар-ка])*($O101=М[Прим.])),0))</f>
        <v>0</v>
      </c>
    </row>
    <row r="102" spans="1:16" outlineLevel="4" x14ac:dyDescent="0.2">
      <c r="A102" s="20"/>
      <c r="B102" s="14" t="s">
        <v>21</v>
      </c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64"/>
      <c r="N102" s="65">
        <f>SUM($N$103)</f>
        <v>0</v>
      </c>
      <c r="O102" s="18"/>
      <c r="P102" s="22"/>
    </row>
    <row r="103" spans="1:16" outlineLevel="4" x14ac:dyDescent="0.2">
      <c r="A103" s="23"/>
      <c r="B103" s="24" t="s">
        <v>67</v>
      </c>
      <c r="C103" s="25"/>
      <c r="D103" s="25"/>
      <c r="E103" s="26" t="s">
        <v>31</v>
      </c>
      <c r="F103" s="27"/>
      <c r="G103" s="28">
        <v>14</v>
      </c>
      <c r="H103" s="27"/>
      <c r="I103" s="28">
        <v>2</v>
      </c>
      <c r="J103" s="28">
        <v>206</v>
      </c>
      <c r="K103" s="27"/>
      <c r="L103" s="28">
        <f>SUM($G$103:$K$103)</f>
        <v>222</v>
      </c>
      <c r="M103" s="32">
        <f t="array" ref="M103">INDEX(Р[Цена за ед., руб],MATCH(1,IF(($B103=Р[Наименование])*($O103=Р[Примечание]),{1},($B103=Р[Наименование])*($O103=Р[Примечание])),0))</f>
        <v>0</v>
      </c>
      <c r="N103" s="32">
        <f>ROUND($L$103*$M$103,2)</f>
        <v>0</v>
      </c>
      <c r="O103" s="25"/>
      <c r="P103" s="25"/>
    </row>
    <row r="104" spans="1:16" outlineLevel="4" x14ac:dyDescent="0.2">
      <c r="A104" s="20"/>
      <c r="B104" s="14" t="s">
        <v>27</v>
      </c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64"/>
      <c r="N104" s="65">
        <f>SUM($N$105:$N$109)</f>
        <v>0</v>
      </c>
      <c r="O104" s="18"/>
      <c r="P104" s="22"/>
    </row>
    <row r="105" spans="1:16" outlineLevel="4" x14ac:dyDescent="0.2">
      <c r="A105" s="84" t="s">
        <v>28</v>
      </c>
      <c r="B105" s="24" t="s">
        <v>68</v>
      </c>
      <c r="C105" s="25"/>
      <c r="D105" s="25" t="s">
        <v>69</v>
      </c>
      <c r="E105" s="26" t="s">
        <v>31</v>
      </c>
      <c r="F105" s="27"/>
      <c r="G105" s="27"/>
      <c r="H105" s="27"/>
      <c r="I105" s="28">
        <v>2</v>
      </c>
      <c r="J105" s="28">
        <v>63</v>
      </c>
      <c r="K105" s="27"/>
      <c r="L105" s="28">
        <f>SUM($G$105:$K$105)</f>
        <v>65</v>
      </c>
      <c r="M105" s="32">
        <f t="array" ref="M105">INDEX(М[Цена за ед., руб],MATCH(1,IF(($B105=М[Наим.])*($C105=М[Артикул, марка, произв.])*($D105=М[Хар-ка])*($O105=М[Прим.]),{1},($B105=М[Наим.])*($C105=М[Артикул, марка, произв.])*($D105=М[Хар-ка])*($O105=М[Прим.])),0))</f>
        <v>0</v>
      </c>
      <c r="N105" s="32">
        <f>ROUND($L$105*$M$105,2)</f>
        <v>0</v>
      </c>
      <c r="O105" s="25"/>
      <c r="P105" s="25">
        <f t="array" ref="P105">INDEX(М[Форма закупа],MATCH(1,IF(($B105=М[Наим.])*($C105=М[Артикул, марка, произв.])*($D105=М[Хар-ка])*($O105=М[Прим.]),{1},($B105=М[Наим.])*($C105=М[Артикул, марка, произв.])*($D105=М[Хар-ка])*($O105=М[Прим.])),0))</f>
        <v>0</v>
      </c>
    </row>
    <row r="106" spans="1:16" outlineLevel="4" x14ac:dyDescent="0.2">
      <c r="A106" s="84" t="s">
        <v>32</v>
      </c>
      <c r="B106" s="24" t="s">
        <v>68</v>
      </c>
      <c r="C106" s="25"/>
      <c r="D106" s="25" t="s">
        <v>100</v>
      </c>
      <c r="E106" s="26" t="s">
        <v>31</v>
      </c>
      <c r="F106" s="27"/>
      <c r="G106" s="27"/>
      <c r="H106" s="27"/>
      <c r="I106" s="27"/>
      <c r="J106" s="28">
        <v>8</v>
      </c>
      <c r="K106" s="27"/>
      <c r="L106" s="28">
        <f>SUM($G$106:$K$106)</f>
        <v>8</v>
      </c>
      <c r="M106" s="32">
        <f t="array" ref="M106">INDEX(М[Цена за ед., руб],MATCH(1,IF(($B106=М[Наим.])*($C106=М[Артикул, марка, произв.])*($D106=М[Хар-ка])*($O106=М[Прим.]),{1},($B106=М[Наим.])*($C106=М[Артикул, марка, произв.])*($D106=М[Хар-ка])*($O106=М[Прим.])),0))</f>
        <v>0</v>
      </c>
      <c r="N106" s="32">
        <f>ROUND($L$106*$M$106,2)</f>
        <v>0</v>
      </c>
      <c r="O106" s="25"/>
      <c r="P106" s="25">
        <f t="array" ref="P106">INDEX(М[Форма закупа],MATCH(1,IF(($B106=М[Наим.])*($C106=М[Артикул, марка, произв.])*($D106=М[Хар-ка])*($O106=М[Прим.]),{1},($B106=М[Наим.])*($C106=М[Артикул, марка, произв.])*($D106=М[Хар-ка])*($O106=М[Прим.])),0))</f>
        <v>0</v>
      </c>
    </row>
    <row r="107" spans="1:16" outlineLevel="4" x14ac:dyDescent="0.2">
      <c r="A107" s="84" t="s">
        <v>34</v>
      </c>
      <c r="B107" s="24" t="s">
        <v>68</v>
      </c>
      <c r="C107" s="25"/>
      <c r="D107" s="25" t="s">
        <v>101</v>
      </c>
      <c r="E107" s="26" t="s">
        <v>31</v>
      </c>
      <c r="F107" s="27"/>
      <c r="G107" s="27"/>
      <c r="H107" s="27"/>
      <c r="I107" s="27"/>
      <c r="J107" s="28">
        <v>114</v>
      </c>
      <c r="K107" s="27"/>
      <c r="L107" s="28">
        <f>SUM($G$107:$K$107)</f>
        <v>114</v>
      </c>
      <c r="M107" s="32">
        <f t="array" ref="M107">INDEX(М[Цена за ед., руб],MATCH(1,IF(($B107=М[Наим.])*($C107=М[Артикул, марка, произв.])*($D107=М[Хар-ка])*($O107=М[Прим.]),{1},($B107=М[Наим.])*($C107=М[Артикул, марка, произв.])*($D107=М[Хар-ка])*($O107=М[Прим.])),0))</f>
        <v>0</v>
      </c>
      <c r="N107" s="32">
        <f>ROUND($L$107*$M$107,2)</f>
        <v>0</v>
      </c>
      <c r="O107" s="25"/>
      <c r="P107" s="25">
        <f t="array" ref="P107">INDEX(М[Форма закупа],MATCH(1,IF(($B107=М[Наим.])*($C107=М[Артикул, марка, произв.])*($D107=М[Хар-ка])*($O107=М[Прим.]),{1},($B107=М[Наим.])*($C107=М[Артикул, марка, произв.])*($D107=М[Хар-ка])*($O107=М[Прим.])),0))</f>
        <v>0</v>
      </c>
    </row>
    <row r="108" spans="1:16" outlineLevel="4" x14ac:dyDescent="0.2">
      <c r="A108" s="84" t="s">
        <v>36</v>
      </c>
      <c r="B108" s="24" t="s">
        <v>68</v>
      </c>
      <c r="C108" s="25"/>
      <c r="D108" s="25" t="s">
        <v>102</v>
      </c>
      <c r="E108" s="26" t="s">
        <v>31</v>
      </c>
      <c r="F108" s="27"/>
      <c r="G108" s="27"/>
      <c r="H108" s="27"/>
      <c r="I108" s="27"/>
      <c r="J108" s="28">
        <v>21</v>
      </c>
      <c r="K108" s="27"/>
      <c r="L108" s="28">
        <f>SUM($G$108:$K$108)</f>
        <v>21</v>
      </c>
      <c r="M108" s="32">
        <f t="array" ref="M108">INDEX(М[Цена за ед., руб],MATCH(1,IF(($B108=М[Наим.])*($C108=М[Артикул, марка, произв.])*($D108=М[Хар-ка])*($O108=М[Прим.]),{1},($B108=М[Наим.])*($C108=М[Артикул, марка, произв.])*($D108=М[Хар-ка])*($O108=М[Прим.])),0))</f>
        <v>0</v>
      </c>
      <c r="N108" s="32">
        <f>ROUND($L$108*$M$108,2)</f>
        <v>0</v>
      </c>
      <c r="O108" s="25"/>
      <c r="P108" s="25">
        <f t="array" ref="P108">INDEX(М[Форма закупа],MATCH(1,IF(($B108=М[Наим.])*($C108=М[Артикул, марка, произв.])*($D108=М[Хар-ка])*($O108=М[Прим.]),{1},($B108=М[Наим.])*($C108=М[Артикул, марка, произв.])*($D108=М[Хар-ка])*($O108=М[Прим.])),0))</f>
        <v>0</v>
      </c>
    </row>
    <row r="109" spans="1:16" outlineLevel="4" x14ac:dyDescent="0.2">
      <c r="A109" s="84" t="s">
        <v>88</v>
      </c>
      <c r="B109" s="24" t="s">
        <v>68</v>
      </c>
      <c r="C109" s="25"/>
      <c r="D109" s="25" t="s">
        <v>103</v>
      </c>
      <c r="E109" s="26" t="s">
        <v>31</v>
      </c>
      <c r="F109" s="27"/>
      <c r="G109" s="28">
        <v>14</v>
      </c>
      <c r="H109" s="27"/>
      <c r="I109" s="27"/>
      <c r="J109" s="27"/>
      <c r="K109" s="27"/>
      <c r="L109" s="28">
        <f>SUM($G$109:$K$109)</f>
        <v>14</v>
      </c>
      <c r="M109" s="32">
        <f t="array" ref="M109">INDEX(М[Цена за ед., руб],MATCH(1,IF(($B109=М[Наим.])*($C109=М[Артикул, марка, произв.])*($D109=М[Хар-ка])*($O109=М[Прим.]),{1},($B109=М[Наим.])*($C109=М[Артикул, марка, произв.])*($D109=М[Хар-ка])*($O109=М[Прим.])),0))</f>
        <v>0</v>
      </c>
      <c r="N109" s="32">
        <f>ROUND($L$109*$M$109,2)</f>
        <v>0</v>
      </c>
      <c r="O109" s="25"/>
      <c r="P109" s="25">
        <f t="array" ref="P109">INDEX(М[Форма закупа],MATCH(1,IF(($B109=М[Наим.])*($C109=М[Артикул, марка, произв.])*($D109=М[Хар-ка])*($O109=М[Прим.]),{1},($B109=М[Наим.])*($C109=М[Артикул, марка, произв.])*($D109=М[Хар-ка])*($O109=М[Прим.])),0))</f>
        <v>0</v>
      </c>
    </row>
    <row r="110" spans="1:16" outlineLevel="2" x14ac:dyDescent="0.2">
      <c r="A110" s="13" t="s">
        <v>104</v>
      </c>
      <c r="B110" s="14" t="s">
        <v>105</v>
      </c>
      <c r="C110" s="15"/>
      <c r="D110" s="15"/>
      <c r="E110" s="16"/>
      <c r="F110" s="17"/>
      <c r="G110" s="18"/>
      <c r="H110" s="18"/>
      <c r="I110" s="18"/>
      <c r="J110" s="18"/>
      <c r="K110" s="18"/>
      <c r="L110" s="18"/>
      <c r="M110" s="63"/>
      <c r="N110" s="63">
        <f>SUM($N$111)</f>
        <v>0</v>
      </c>
      <c r="O110" s="19"/>
      <c r="P110" s="19"/>
    </row>
    <row r="111" spans="1:16" outlineLevel="3" x14ac:dyDescent="0.2">
      <c r="A111" s="13" t="s">
        <v>106</v>
      </c>
      <c r="B111" s="14" t="s">
        <v>105</v>
      </c>
      <c r="C111" s="15"/>
      <c r="D111" s="15"/>
      <c r="E111" s="16"/>
      <c r="F111" s="17"/>
      <c r="G111" s="18"/>
      <c r="H111" s="18"/>
      <c r="I111" s="18"/>
      <c r="J111" s="18"/>
      <c r="K111" s="18"/>
      <c r="L111" s="18"/>
      <c r="M111" s="63"/>
      <c r="N111" s="63">
        <f>SUM($N$140,$N$138,$N$136,$N$134,$N$130,$N$128,$N$126,$N$124,$N$122,$N$118,$N$116,$N$114,$N$112)</f>
        <v>0</v>
      </c>
      <c r="O111" s="19"/>
      <c r="P111" s="19"/>
    </row>
    <row r="112" spans="1:16" outlineLevel="4" x14ac:dyDescent="0.2">
      <c r="A112" s="20"/>
      <c r="B112" s="14" t="s">
        <v>21</v>
      </c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64"/>
      <c r="N112" s="65">
        <f>SUM($N$113)</f>
        <v>0</v>
      </c>
      <c r="O112" s="18"/>
      <c r="P112" s="22"/>
    </row>
    <row r="113" spans="1:16" outlineLevel="4" x14ac:dyDescent="0.2">
      <c r="A113" s="23"/>
      <c r="B113" s="24" t="s">
        <v>107</v>
      </c>
      <c r="C113" s="25"/>
      <c r="D113" s="25"/>
      <c r="E113" s="26" t="s">
        <v>23</v>
      </c>
      <c r="F113" s="27"/>
      <c r="G113" s="28">
        <v>59</v>
      </c>
      <c r="H113" s="28">
        <v>258</v>
      </c>
      <c r="I113" s="28">
        <v>160</v>
      </c>
      <c r="J113" s="28">
        <v>344</v>
      </c>
      <c r="K113" s="28">
        <v>253</v>
      </c>
      <c r="L113" s="29">
        <f>SUM($G$113:$K$113)</f>
        <v>1074</v>
      </c>
      <c r="M113" s="32">
        <f t="array" ref="M113">INDEX(Р[Цена за ед., руб],MATCH(1,IF(($B113=Р[Наименование])*($O113=Р[Примечание]),{1},($B113=Р[Наименование])*($O113=Р[Примечание])),0))</f>
        <v>0</v>
      </c>
      <c r="N113" s="32">
        <f>ROUND($L$113*$M$113,2)</f>
        <v>0</v>
      </c>
      <c r="O113" s="25"/>
      <c r="P113" s="25"/>
    </row>
    <row r="114" spans="1:16" outlineLevel="4" x14ac:dyDescent="0.2">
      <c r="A114" s="20"/>
      <c r="B114" s="14" t="s">
        <v>21</v>
      </c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64"/>
      <c r="N114" s="65">
        <f>SUM($N$115)</f>
        <v>0</v>
      </c>
      <c r="O114" s="18"/>
      <c r="P114" s="22"/>
    </row>
    <row r="115" spans="1:16" outlineLevel="4" x14ac:dyDescent="0.2">
      <c r="A115" s="23"/>
      <c r="B115" s="24" t="s">
        <v>24</v>
      </c>
      <c r="C115" s="25"/>
      <c r="D115" s="25"/>
      <c r="E115" s="26" t="s">
        <v>23</v>
      </c>
      <c r="F115" s="27"/>
      <c r="G115" s="28">
        <v>2</v>
      </c>
      <c r="H115" s="27"/>
      <c r="I115" s="28">
        <v>3</v>
      </c>
      <c r="J115" s="28">
        <v>3</v>
      </c>
      <c r="K115" s="28">
        <v>4</v>
      </c>
      <c r="L115" s="28">
        <f>SUM($G$115:$K$115)</f>
        <v>12</v>
      </c>
      <c r="M115" s="32">
        <f t="array" ref="M115">INDEX(Р[Цена за ед., руб],MATCH(1,IF(($B115=Р[Наименование])*($O115=Р[Примечание]),{1},($B115=Р[Наименование])*($O115=Р[Примечание])),0))</f>
        <v>0</v>
      </c>
      <c r="N115" s="32">
        <f>ROUND($L$115*$M$115,2)</f>
        <v>0</v>
      </c>
      <c r="O115" s="25"/>
      <c r="P115" s="25"/>
    </row>
    <row r="116" spans="1:16" outlineLevel="4" x14ac:dyDescent="0.2">
      <c r="A116" s="20"/>
      <c r="B116" s="14" t="s">
        <v>21</v>
      </c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64"/>
      <c r="N116" s="65">
        <f>SUM($N$117)</f>
        <v>0</v>
      </c>
      <c r="O116" s="18"/>
      <c r="P116" s="22"/>
    </row>
    <row r="117" spans="1:16" outlineLevel="4" x14ac:dyDescent="0.2">
      <c r="A117" s="23"/>
      <c r="B117" s="24" t="s">
        <v>25</v>
      </c>
      <c r="C117" s="25"/>
      <c r="D117" s="25"/>
      <c r="E117" s="26" t="s">
        <v>26</v>
      </c>
      <c r="F117" s="27"/>
      <c r="G117" s="31">
        <v>473.13</v>
      </c>
      <c r="H117" s="32">
        <v>2270.14</v>
      </c>
      <c r="I117" s="32">
        <v>1505.79</v>
      </c>
      <c r="J117" s="32">
        <v>3473.52</v>
      </c>
      <c r="K117" s="31">
        <v>84.81</v>
      </c>
      <c r="L117" s="32">
        <f>SUM($G$117:$K$117)</f>
        <v>7807.39</v>
      </c>
      <c r="M117" s="32">
        <f t="array" ref="M117">INDEX(Р[Цена за ед., руб],MATCH(1,IF(($B117=Р[Наименование])*($O117=Р[Примечание]),{1},($B117=Р[Наименование])*($O117=Р[Примечание])),0))</f>
        <v>0</v>
      </c>
      <c r="N117" s="32">
        <f>ROUND($L$117*$M$117,2)</f>
        <v>0</v>
      </c>
      <c r="O117" s="25"/>
      <c r="P117" s="25"/>
    </row>
    <row r="118" spans="1:16" outlineLevel="4" x14ac:dyDescent="0.2">
      <c r="A118" s="20"/>
      <c r="B118" s="14" t="s">
        <v>27</v>
      </c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64"/>
      <c r="N118" s="65">
        <f>SUM($N$119:$N$121)</f>
        <v>0</v>
      </c>
      <c r="O118" s="18"/>
      <c r="P118" s="22"/>
    </row>
    <row r="119" spans="1:16" outlineLevel="4" x14ac:dyDescent="0.2">
      <c r="A119" s="23" t="s">
        <v>28</v>
      </c>
      <c r="B119" s="24" t="s">
        <v>108</v>
      </c>
      <c r="C119" s="25"/>
      <c r="D119" s="25" t="s">
        <v>109</v>
      </c>
      <c r="E119" s="26" t="s">
        <v>31</v>
      </c>
      <c r="F119" s="27"/>
      <c r="G119" s="28">
        <v>453</v>
      </c>
      <c r="H119" s="29">
        <v>2185</v>
      </c>
      <c r="I119" s="29">
        <v>1452</v>
      </c>
      <c r="J119" s="29">
        <v>3360</v>
      </c>
      <c r="K119" s="27"/>
      <c r="L119" s="29">
        <f>SUM($G$119:$K$119)</f>
        <v>7450</v>
      </c>
      <c r="M119" s="32">
        <f t="array" ref="M119">INDEX(М[Цена за ед., руб],MATCH(1,IF(($B119=М[Наим.])*($C119=М[Артикул, марка, произв.])*($D119=М[Хар-ка])*($O119=М[Прим.]),{1},($B119=М[Наим.])*($C119=М[Артикул, марка, произв.])*($D119=М[Хар-ка])*($O119=М[Прим.])),0))</f>
        <v>0</v>
      </c>
      <c r="N119" s="32">
        <f>ROUND($L$119*$M$119,2)</f>
        <v>0</v>
      </c>
      <c r="O119" s="25"/>
      <c r="P119" s="25">
        <f t="array" ref="P119">INDEX(М[Форма закупа],MATCH(1,IF(($B119=М[Наим.])*($C119=М[Артикул, марка, произв.])*($D119=М[Хар-ка])*($O119=М[Прим.]),{1},($B119=М[Наим.])*($C119=М[Артикул, марка, произв.])*($D119=М[Хар-ка])*($O119=М[Прим.])),0))</f>
        <v>0</v>
      </c>
    </row>
    <row r="120" spans="1:16" ht="33.75" outlineLevel="4" x14ac:dyDescent="0.2">
      <c r="A120" s="23" t="s">
        <v>32</v>
      </c>
      <c r="B120" s="24" t="s">
        <v>29</v>
      </c>
      <c r="C120" s="25"/>
      <c r="D120" s="25" t="s">
        <v>110</v>
      </c>
      <c r="E120" s="26" t="s">
        <v>31</v>
      </c>
      <c r="F120" s="27"/>
      <c r="G120" s="31">
        <v>19.47</v>
      </c>
      <c r="H120" s="30">
        <v>82.5</v>
      </c>
      <c r="I120" s="30">
        <v>52.8</v>
      </c>
      <c r="J120" s="31">
        <v>113.52</v>
      </c>
      <c r="K120" s="31">
        <v>83.49</v>
      </c>
      <c r="L120" s="31">
        <f>SUM($G$120:$K$120)</f>
        <v>351.78</v>
      </c>
      <c r="M120" s="32">
        <f t="array" ref="M120">INDEX(М[Цена за ед., руб],MATCH(1,IF(($B120=М[Наим.])*($C120=М[Артикул, марка, произв.])*($D120=М[Хар-ка])*($O120=М[Прим.]),{1},($B120=М[Наим.])*($C120=М[Артикул, марка, произв.])*($D120=М[Хар-ка])*($O120=М[Прим.])),0))</f>
        <v>0</v>
      </c>
      <c r="N120" s="32">
        <f>ROUND($L$120*$M$120,2)</f>
        <v>0</v>
      </c>
      <c r="O120" s="25"/>
      <c r="P120" s="25">
        <f t="array" ref="P120">INDEX(М[Форма закупа],MATCH(1,IF(($B120=М[Наим.])*($C120=М[Артикул, марка, произв.])*($D120=М[Хар-ка])*($O120=М[Прим.]),{1},($B120=М[Наим.])*($C120=М[Артикул, марка, произв.])*($D120=М[Хар-ка])*($O120=М[Прим.])),0))</f>
        <v>0</v>
      </c>
    </row>
    <row r="121" spans="1:16" ht="33.75" outlineLevel="4" x14ac:dyDescent="0.2">
      <c r="A121" s="23" t="s">
        <v>34</v>
      </c>
      <c r="B121" s="24" t="s">
        <v>29</v>
      </c>
      <c r="C121" s="25"/>
      <c r="D121" s="25" t="s">
        <v>111</v>
      </c>
      <c r="E121" s="26" t="s">
        <v>31</v>
      </c>
      <c r="F121" s="27"/>
      <c r="G121" s="31">
        <v>0.66</v>
      </c>
      <c r="H121" s="31">
        <v>2.64</v>
      </c>
      <c r="I121" s="31">
        <v>0.99</v>
      </c>
      <c r="J121" s="27"/>
      <c r="K121" s="31">
        <v>1.32</v>
      </c>
      <c r="L121" s="31">
        <f>SUM($G$121:$K$121)</f>
        <v>5.61</v>
      </c>
      <c r="M121" s="32">
        <f t="array" ref="M121">INDEX(М[Цена за ед., руб],MATCH(1,IF(($B121=М[Наим.])*($C121=М[Артикул, марка, произв.])*($D121=М[Хар-ка])*($O121=М[Прим.]),{1},($B121=М[Наим.])*($C121=М[Артикул, марка, произв.])*($D121=М[Хар-ка])*($O121=М[Прим.])),0))</f>
        <v>0</v>
      </c>
      <c r="N121" s="32">
        <f>ROUND($L$121*$M$121,2)</f>
        <v>0</v>
      </c>
      <c r="O121" s="25"/>
      <c r="P121" s="25">
        <f t="array" ref="P121">INDEX(М[Форма закупа],MATCH(1,IF(($B121=М[Наим.])*($C121=М[Артикул, марка, произв.])*($D121=М[Хар-ка])*($O121=М[Прим.]),{1},($B121=М[Наим.])*($C121=М[Артикул, марка, произв.])*($D121=М[Хар-ка])*($O121=М[Прим.])),0))</f>
        <v>0</v>
      </c>
    </row>
    <row r="122" spans="1:16" outlineLevel="4" x14ac:dyDescent="0.2">
      <c r="A122" s="20"/>
      <c r="B122" s="14" t="s">
        <v>21</v>
      </c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M122" s="64"/>
      <c r="N122" s="65">
        <f>SUM($N$123)</f>
        <v>0</v>
      </c>
      <c r="O122" s="18"/>
      <c r="P122" s="22"/>
    </row>
    <row r="123" spans="1:16" outlineLevel="4" x14ac:dyDescent="0.2">
      <c r="A123" s="23"/>
      <c r="B123" s="24" t="s">
        <v>46</v>
      </c>
      <c r="C123" s="25"/>
      <c r="D123" s="25"/>
      <c r="E123" s="26" t="s">
        <v>23</v>
      </c>
      <c r="F123" s="27"/>
      <c r="G123" s="27"/>
      <c r="H123" s="27"/>
      <c r="I123" s="28">
        <v>1</v>
      </c>
      <c r="J123" s="28">
        <v>1</v>
      </c>
      <c r="K123" s="27"/>
      <c r="L123" s="28">
        <f>SUM($G$123:$K$123)</f>
        <v>2</v>
      </c>
      <c r="M123" s="32">
        <f t="array" ref="M123">INDEX(Р[Цена за ед., руб],MATCH(1,IF(($B123=Р[Наименование])*($O123=Р[Примечание]),{1},($B123=Р[Наименование])*($O123=Р[Примечание])),0))</f>
        <v>0</v>
      </c>
      <c r="N123" s="32">
        <f>ROUND($L$123*$M$123,2)</f>
        <v>0</v>
      </c>
      <c r="O123" s="25"/>
      <c r="P123" s="25"/>
    </row>
    <row r="124" spans="1:16" outlineLevel="4" x14ac:dyDescent="0.2">
      <c r="A124" s="20"/>
      <c r="B124" s="14" t="s">
        <v>27</v>
      </c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64"/>
      <c r="N124" s="65">
        <f>SUM($N$125)</f>
        <v>0</v>
      </c>
      <c r="O124" s="18"/>
      <c r="P124" s="22"/>
    </row>
    <row r="125" spans="1:16" ht="33.75" outlineLevel="4" x14ac:dyDescent="0.2">
      <c r="A125" s="23" t="s">
        <v>28</v>
      </c>
      <c r="B125" s="24" t="s">
        <v>47</v>
      </c>
      <c r="C125" s="25"/>
      <c r="D125" s="25" t="s">
        <v>112</v>
      </c>
      <c r="E125" s="26" t="s">
        <v>23</v>
      </c>
      <c r="F125" s="27"/>
      <c r="G125" s="27"/>
      <c r="H125" s="27"/>
      <c r="I125" s="28">
        <v>1</v>
      </c>
      <c r="J125" s="28">
        <v>1</v>
      </c>
      <c r="K125" s="27"/>
      <c r="L125" s="28">
        <f>SUM($G$125:$K$125)</f>
        <v>2</v>
      </c>
      <c r="M125" s="32">
        <f t="array" ref="M125">INDEX(М[Цена за ед., руб],MATCH(1,IF(($B125=М[Наим.])*($C125=М[Артикул, марка, произв.])*($D125=М[Хар-ка])*($O125=М[Прим.]),{1},($B125=М[Наим.])*($C125=М[Артикул, марка, произв.])*($D125=М[Хар-ка])*($O125=М[Прим.])),0))</f>
        <v>0</v>
      </c>
      <c r="N125" s="32">
        <f>ROUND($L$125*$M$125,2)</f>
        <v>0</v>
      </c>
      <c r="O125" s="25"/>
      <c r="P125" s="25">
        <f t="array" ref="P125">INDEX(М[Форма закупа],MATCH(1,IF(($B125=М[Наим.])*($C125=М[Артикул, марка, произв.])*($D125=М[Хар-ка])*($O125=М[Прим.]),{1},($B125=М[Наим.])*($C125=М[Артикул, марка, произв.])*($D125=М[Хар-ка])*($O125=М[Прим.])),0))</f>
        <v>0</v>
      </c>
    </row>
    <row r="126" spans="1:16" outlineLevel="4" x14ac:dyDescent="0.2">
      <c r="A126" s="20"/>
      <c r="B126" s="14" t="s">
        <v>21</v>
      </c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64"/>
      <c r="N126" s="65">
        <f>SUM($N$127)</f>
        <v>0</v>
      </c>
      <c r="O126" s="18"/>
      <c r="P126" s="22"/>
    </row>
    <row r="127" spans="1:16" outlineLevel="4" x14ac:dyDescent="0.2">
      <c r="A127" s="23"/>
      <c r="B127" s="24" t="s">
        <v>113</v>
      </c>
      <c r="C127" s="25"/>
      <c r="D127" s="25"/>
      <c r="E127" s="26" t="s">
        <v>23</v>
      </c>
      <c r="F127" s="27"/>
      <c r="G127" s="28">
        <v>114</v>
      </c>
      <c r="H127" s="28">
        <v>500</v>
      </c>
      <c r="I127" s="28">
        <v>320</v>
      </c>
      <c r="J127" s="28">
        <v>688</v>
      </c>
      <c r="K127" s="28">
        <v>506</v>
      </c>
      <c r="L127" s="29">
        <f>SUM($G$127:$K$127)</f>
        <v>2128</v>
      </c>
      <c r="M127" s="32">
        <f t="array" ref="M127">INDEX(Р[Цена за ед., руб],MATCH(1,IF(($B127=Р[Наименование])*($O127=Р[Примечание]),{1},($B127=Р[Наименование])*($O127=Р[Примечание])),0))</f>
        <v>0</v>
      </c>
      <c r="N127" s="32">
        <f>ROUND($L$127*$M$127,2)</f>
        <v>0</v>
      </c>
      <c r="O127" s="25"/>
      <c r="P127" s="25"/>
    </row>
    <row r="128" spans="1:16" outlineLevel="4" x14ac:dyDescent="0.2">
      <c r="A128" s="20"/>
      <c r="B128" s="14" t="s">
        <v>21</v>
      </c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64"/>
      <c r="N128" s="65">
        <f>SUM($N$129)</f>
        <v>0</v>
      </c>
      <c r="O128" s="18"/>
      <c r="P128" s="22"/>
    </row>
    <row r="129" spans="1:16" outlineLevel="4" x14ac:dyDescent="0.2">
      <c r="A129" s="23"/>
      <c r="B129" s="24" t="s">
        <v>114</v>
      </c>
      <c r="C129" s="25"/>
      <c r="D129" s="25"/>
      <c r="E129" s="26" t="s">
        <v>26</v>
      </c>
      <c r="F129" s="27"/>
      <c r="G129" s="28">
        <v>222</v>
      </c>
      <c r="H129" s="28">
        <v>892</v>
      </c>
      <c r="I129" s="30">
        <v>577.5</v>
      </c>
      <c r="J129" s="29">
        <v>1142</v>
      </c>
      <c r="K129" s="30">
        <v>878.2</v>
      </c>
      <c r="L129" s="33">
        <f>SUM($G$129:$K$129)</f>
        <v>3711.7</v>
      </c>
      <c r="M129" s="32">
        <f t="array" ref="M129">INDEX(Р[Цена за ед., руб],MATCH(1,IF(($B129=Р[Наименование])*($O129=Р[Примечание]),{1},($B129=Р[Наименование])*($O129=Р[Примечание])),0))</f>
        <v>0</v>
      </c>
      <c r="N129" s="32">
        <f>ROUND($L$129*$M$129,2)</f>
        <v>0</v>
      </c>
      <c r="O129" s="25"/>
      <c r="P129" s="25"/>
    </row>
    <row r="130" spans="1:16" outlineLevel="4" x14ac:dyDescent="0.2">
      <c r="A130" s="20"/>
      <c r="B130" s="14" t="s">
        <v>27</v>
      </c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64"/>
      <c r="N130" s="65">
        <f>SUM($N$131:$N$133)</f>
        <v>0</v>
      </c>
      <c r="O130" s="18"/>
      <c r="P130" s="22"/>
    </row>
    <row r="131" spans="1:16" ht="22.5" outlineLevel="4" x14ac:dyDescent="0.2">
      <c r="A131" s="84" t="s">
        <v>28</v>
      </c>
      <c r="B131" s="24" t="s">
        <v>115</v>
      </c>
      <c r="C131" s="25"/>
      <c r="D131" s="25" t="s">
        <v>116</v>
      </c>
      <c r="E131" s="26" t="s">
        <v>31</v>
      </c>
      <c r="F131" s="27"/>
      <c r="G131" s="28">
        <v>176</v>
      </c>
      <c r="H131" s="28">
        <v>790</v>
      </c>
      <c r="I131" s="28">
        <v>498</v>
      </c>
      <c r="J131" s="29">
        <v>1043</v>
      </c>
      <c r="K131" s="28">
        <v>793</v>
      </c>
      <c r="L131" s="29">
        <f>SUM($G$131:$K$131)</f>
        <v>3300</v>
      </c>
      <c r="M131" s="32">
        <f t="array" ref="M131">INDEX(М[Цена за ед., руб],MATCH(1,IF(($B131=М[Наим.])*($C131=М[Артикул, марка, произв.])*($D131=М[Хар-ка])*($O131=М[Прим.]),{1},($B131=М[Наим.])*($C131=М[Артикул, марка, произв.])*($D131=М[Хар-ка])*($O131=М[Прим.])),0))</f>
        <v>0</v>
      </c>
      <c r="N131" s="32">
        <f>ROUND($L$131*$M$131,2)</f>
        <v>0</v>
      </c>
      <c r="O131" s="25"/>
      <c r="P131" s="25">
        <f t="array" ref="P131">INDEX(М[Форма закупа],MATCH(1,IF(($B131=М[Наим.])*($C131=М[Артикул, марка, произв.])*($D131=М[Хар-ка])*($O131=М[Прим.]),{1},($B131=М[Наим.])*($C131=М[Артикул, марка, произв.])*($D131=М[Хар-ка])*($O131=М[Прим.])),0))</f>
        <v>0</v>
      </c>
    </row>
    <row r="132" spans="1:16" ht="22.5" outlineLevel="4" x14ac:dyDescent="0.2">
      <c r="A132" s="84" t="s">
        <v>32</v>
      </c>
      <c r="B132" s="24" t="s">
        <v>115</v>
      </c>
      <c r="C132" s="25"/>
      <c r="D132" s="25" t="s">
        <v>117</v>
      </c>
      <c r="E132" s="26" t="s">
        <v>31</v>
      </c>
      <c r="F132" s="27"/>
      <c r="G132" s="28">
        <v>6</v>
      </c>
      <c r="H132" s="28">
        <v>48</v>
      </c>
      <c r="I132" s="28">
        <v>16</v>
      </c>
      <c r="J132" s="28">
        <v>35</v>
      </c>
      <c r="K132" s="30">
        <v>24.2</v>
      </c>
      <c r="L132" s="30">
        <f>SUM($G$132:$K$132)</f>
        <v>129.19999999999999</v>
      </c>
      <c r="M132" s="32">
        <f t="array" ref="M132">INDEX(М[Цена за ед., руб],MATCH(1,IF(($B132=М[Наим.])*($C132=М[Артикул, марка, произв.])*($D132=М[Хар-ка])*($O132=М[Прим.]),{1},($B132=М[Наим.])*($C132=М[Артикул, марка, произв.])*($D132=М[Хар-ка])*($O132=М[Прим.])),0))</f>
        <v>0</v>
      </c>
      <c r="N132" s="32">
        <f>ROUND($L$132*$M$132,2)</f>
        <v>0</v>
      </c>
      <c r="O132" s="25"/>
      <c r="P132" s="25">
        <f t="array" ref="P132">INDEX(М[Форма закупа],MATCH(1,IF(($B132=М[Наим.])*($C132=М[Артикул, марка, произв.])*($D132=М[Хар-ка])*($O132=М[Прим.]),{1},($B132=М[Наим.])*($C132=М[Артикул, марка, произв.])*($D132=М[Хар-ка])*($O132=М[Прим.])),0))</f>
        <v>0</v>
      </c>
    </row>
    <row r="133" spans="1:16" ht="22.5" outlineLevel="4" x14ac:dyDescent="0.2">
      <c r="A133" s="84" t="s">
        <v>34</v>
      </c>
      <c r="B133" s="24" t="s">
        <v>115</v>
      </c>
      <c r="C133" s="25"/>
      <c r="D133" s="25" t="s">
        <v>118</v>
      </c>
      <c r="E133" s="26" t="s">
        <v>31</v>
      </c>
      <c r="F133" s="27"/>
      <c r="G133" s="28">
        <v>40</v>
      </c>
      <c r="H133" s="28">
        <v>54</v>
      </c>
      <c r="I133" s="30">
        <v>63.5</v>
      </c>
      <c r="J133" s="28">
        <v>64</v>
      </c>
      <c r="K133" s="28">
        <v>61</v>
      </c>
      <c r="L133" s="30">
        <f>SUM($G$133:$K$133)</f>
        <v>282.5</v>
      </c>
      <c r="M133" s="32">
        <f t="array" ref="M133">INDEX(М[Цена за ед., руб],MATCH(1,IF(($B133=М[Наим.])*($C133=М[Артикул, марка, произв.])*($D133=М[Хар-ка])*($O133=М[Прим.]),{1},($B133=М[Наим.])*($C133=М[Артикул, марка, произв.])*($D133=М[Хар-ка])*($O133=М[Прим.])),0))</f>
        <v>0</v>
      </c>
      <c r="N133" s="32">
        <f>ROUND($L$133*$M$133,2)</f>
        <v>0</v>
      </c>
      <c r="O133" s="25"/>
      <c r="P133" s="25">
        <f t="array" ref="P133">INDEX(М[Форма закупа],MATCH(1,IF(($B133=М[Наим.])*($C133=М[Артикул, марка, произв.])*($D133=М[Хар-ка])*($O133=М[Прим.]),{1},($B133=М[Наим.])*($C133=М[Артикул, марка, произв.])*($D133=М[Хар-ка])*($O133=М[Прим.])),0))</f>
        <v>0</v>
      </c>
    </row>
    <row r="134" spans="1:16" outlineLevel="4" x14ac:dyDescent="0.2">
      <c r="A134" s="20"/>
      <c r="B134" s="14" t="s">
        <v>21</v>
      </c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64"/>
      <c r="N134" s="65">
        <f>SUM($N$135)</f>
        <v>0</v>
      </c>
      <c r="O134" s="18"/>
      <c r="P134" s="22"/>
    </row>
    <row r="135" spans="1:16" outlineLevel="4" x14ac:dyDescent="0.2">
      <c r="A135" s="23"/>
      <c r="B135" s="24" t="s">
        <v>119</v>
      </c>
      <c r="C135" s="25"/>
      <c r="D135" s="25"/>
      <c r="E135" s="26" t="s">
        <v>26</v>
      </c>
      <c r="F135" s="27"/>
      <c r="G135" s="28">
        <v>453</v>
      </c>
      <c r="H135" s="29">
        <v>2185</v>
      </c>
      <c r="I135" s="29">
        <v>1452</v>
      </c>
      <c r="J135" s="29">
        <v>3480</v>
      </c>
      <c r="K135" s="29">
        <v>2200</v>
      </c>
      <c r="L135" s="29">
        <f>SUM($G$135:$K$135)</f>
        <v>9770</v>
      </c>
      <c r="M135" s="32">
        <f t="array" ref="M135">INDEX(Р[Цена за ед., руб],MATCH(1,IF(($B135=Р[Наименование])*($O135=Р[Примечание]),{1},($B135=Р[Наименование])*($O135=Р[Примечание])),0))</f>
        <v>0</v>
      </c>
      <c r="N135" s="32">
        <f>ROUND($L$135*$M$135,2)</f>
        <v>0</v>
      </c>
      <c r="O135" s="25"/>
      <c r="P135" s="25"/>
    </row>
    <row r="136" spans="1:16" outlineLevel="4" x14ac:dyDescent="0.2">
      <c r="A136" s="20"/>
      <c r="B136" s="14" t="s">
        <v>27</v>
      </c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64"/>
      <c r="N136" s="65">
        <f>SUM($N$137)</f>
        <v>0</v>
      </c>
      <c r="O136" s="18"/>
      <c r="P136" s="22"/>
    </row>
    <row r="137" spans="1:16" ht="22.5" outlineLevel="4" x14ac:dyDescent="0.2">
      <c r="A137" s="84" t="s">
        <v>28</v>
      </c>
      <c r="B137" s="24" t="s">
        <v>120</v>
      </c>
      <c r="C137" s="25"/>
      <c r="D137" s="25" t="s">
        <v>121</v>
      </c>
      <c r="E137" s="26" t="s">
        <v>31</v>
      </c>
      <c r="F137" s="27"/>
      <c r="G137" s="28">
        <v>453</v>
      </c>
      <c r="H137" s="29">
        <v>2185</v>
      </c>
      <c r="I137" s="29">
        <v>1452</v>
      </c>
      <c r="J137" s="29">
        <v>3480</v>
      </c>
      <c r="K137" s="29">
        <v>2200</v>
      </c>
      <c r="L137" s="29">
        <f>SUM($G$137:$K$137)</f>
        <v>9770</v>
      </c>
      <c r="M137" s="32">
        <f t="array" ref="M137">INDEX(М[Цена за ед., руб],MATCH(1,IF(($B137=М[Наим.])*($C137=М[Артикул, марка, произв.])*($D137=М[Хар-ка])*($O137=М[Прим.]),{1},($B137=М[Наим.])*($C137=М[Артикул, марка, произв.])*($D137=М[Хар-ка])*($O137=М[Прим.])),0))</f>
        <v>0</v>
      </c>
      <c r="N137" s="32">
        <f>ROUND($L$137*$M$137,2)</f>
        <v>0</v>
      </c>
      <c r="O137" s="25"/>
      <c r="P137" s="25">
        <f t="array" ref="P137">INDEX(М[Форма закупа],MATCH(1,IF(($B137=М[Наим.])*($C137=М[Артикул, марка, произв.])*($D137=М[Хар-ка])*($O137=М[Прим.]),{1},($B137=М[Наим.])*($C137=М[Артикул, марка, произв.])*($D137=М[Хар-ка])*($O137=М[Прим.])),0))</f>
        <v>0</v>
      </c>
    </row>
    <row r="138" spans="1:16" outlineLevel="4" x14ac:dyDescent="0.2">
      <c r="A138" s="20"/>
      <c r="B138" s="14" t="s">
        <v>21</v>
      </c>
      <c r="C138" s="21"/>
      <c r="D138" s="21"/>
      <c r="E138" s="21"/>
      <c r="F138" s="21"/>
      <c r="G138" s="21"/>
      <c r="H138" s="21"/>
      <c r="I138" s="21"/>
      <c r="J138" s="21"/>
      <c r="K138" s="21"/>
      <c r="L138" s="21"/>
      <c r="M138" s="64"/>
      <c r="N138" s="65">
        <f>SUM($N$139)</f>
        <v>0</v>
      </c>
      <c r="O138" s="18"/>
      <c r="P138" s="22"/>
    </row>
    <row r="139" spans="1:16" outlineLevel="4" x14ac:dyDescent="0.2">
      <c r="A139" s="23"/>
      <c r="B139" s="24" t="s">
        <v>67</v>
      </c>
      <c r="C139" s="25"/>
      <c r="D139" s="25"/>
      <c r="E139" s="26" t="s">
        <v>31</v>
      </c>
      <c r="F139" s="27"/>
      <c r="G139" s="27"/>
      <c r="H139" s="27"/>
      <c r="I139" s="28">
        <v>17</v>
      </c>
      <c r="J139" s="28">
        <v>6</v>
      </c>
      <c r="K139" s="27"/>
      <c r="L139" s="28">
        <f>SUM($G$139:$K$139)</f>
        <v>23</v>
      </c>
      <c r="M139" s="32">
        <f t="array" ref="M139">INDEX(Р[Цена за ед., руб],MATCH(1,IF(($B139=Р[Наименование])*($O139=Р[Примечание]),{1},($B139=Р[Наименование])*($O139=Р[Примечание])),0))</f>
        <v>0</v>
      </c>
      <c r="N139" s="32">
        <f>ROUND($L$139*$M$139,2)</f>
        <v>0</v>
      </c>
      <c r="O139" s="25"/>
      <c r="P139" s="25"/>
    </row>
    <row r="140" spans="1:16" outlineLevel="4" x14ac:dyDescent="0.2">
      <c r="A140" s="20"/>
      <c r="B140" s="14" t="s">
        <v>27</v>
      </c>
      <c r="C140" s="21"/>
      <c r="D140" s="21"/>
      <c r="E140" s="21"/>
      <c r="F140" s="21"/>
      <c r="G140" s="21"/>
      <c r="H140" s="21"/>
      <c r="I140" s="21"/>
      <c r="J140" s="21"/>
      <c r="K140" s="21"/>
      <c r="L140" s="21"/>
      <c r="M140" s="64"/>
      <c r="N140" s="65">
        <f>SUM($N$141)</f>
        <v>0</v>
      </c>
      <c r="O140" s="18"/>
      <c r="P140" s="22"/>
    </row>
    <row r="141" spans="1:16" outlineLevel="4" x14ac:dyDescent="0.2">
      <c r="A141" s="84" t="s">
        <v>28</v>
      </c>
      <c r="B141" s="24" t="s">
        <v>68</v>
      </c>
      <c r="C141" s="25"/>
      <c r="D141" s="25" t="s">
        <v>103</v>
      </c>
      <c r="E141" s="26" t="s">
        <v>31</v>
      </c>
      <c r="F141" s="27"/>
      <c r="G141" s="27"/>
      <c r="H141" s="27"/>
      <c r="I141" s="28">
        <v>17</v>
      </c>
      <c r="J141" s="28">
        <v>6</v>
      </c>
      <c r="K141" s="27"/>
      <c r="L141" s="28">
        <f>SUM($G$141:$K$141)</f>
        <v>23</v>
      </c>
      <c r="M141" s="32">
        <f t="array" ref="M141">INDEX(М[Цена за ед., руб],MATCH(1,IF(($B141=М[Наим.])*($C141=М[Артикул, марка, произв.])*($D141=М[Хар-ка])*($O141=М[Прим.]),{1},($B141=М[Наим.])*($C141=М[Артикул, марка, произв.])*($D141=М[Хар-ка])*($O141=М[Прим.])),0))</f>
        <v>0</v>
      </c>
      <c r="N141" s="32">
        <f>ROUND($L$141*$M$141,2)</f>
        <v>0</v>
      </c>
      <c r="O141" s="25"/>
      <c r="P141" s="25">
        <f t="array" ref="P141">INDEX(М[Форма закупа],MATCH(1,IF(($B141=М[Наим.])*($C141=М[Артикул, марка, произв.])*($D141=М[Хар-ка])*($O141=М[Прим.]),{1},($B141=М[Наим.])*($C141=М[Артикул, марка, произв.])*($D141=М[Хар-ка])*($O141=М[Прим.])),0))</f>
        <v>0</v>
      </c>
    </row>
    <row r="142" spans="1:16" outlineLevel="2" x14ac:dyDescent="0.2">
      <c r="A142" s="13" t="s">
        <v>122</v>
      </c>
      <c r="B142" s="14" t="s">
        <v>123</v>
      </c>
      <c r="C142" s="15"/>
      <c r="D142" s="15"/>
      <c r="E142" s="16"/>
      <c r="F142" s="17"/>
      <c r="G142" s="18"/>
      <c r="H142" s="18"/>
      <c r="I142" s="18"/>
      <c r="J142" s="18"/>
      <c r="K142" s="18"/>
      <c r="L142" s="18"/>
      <c r="M142" s="63"/>
      <c r="N142" s="63">
        <f>SUM($N$143)</f>
        <v>0</v>
      </c>
      <c r="O142" s="19"/>
      <c r="P142" s="19"/>
    </row>
    <row r="143" spans="1:16" outlineLevel="3" x14ac:dyDescent="0.2">
      <c r="A143" s="13" t="s">
        <v>124</v>
      </c>
      <c r="B143" s="14" t="s">
        <v>123</v>
      </c>
      <c r="C143" s="15"/>
      <c r="D143" s="15"/>
      <c r="E143" s="16"/>
      <c r="F143" s="17"/>
      <c r="G143" s="18"/>
      <c r="H143" s="18"/>
      <c r="I143" s="18"/>
      <c r="J143" s="18"/>
      <c r="K143" s="18"/>
      <c r="L143" s="18"/>
      <c r="M143" s="63"/>
      <c r="N143" s="63">
        <f>SUM($N$207,$N$205,$N$201,$N$199,$N$197,$N$195,$N$193,$N$191,$N$189,$N$187,$N$185,$N$183,$N$181,$N$179,$N$177,$N$175,$N$172,$N$170,$N$168,$N$166,$N$164,$N$162,$N$160,$N$158,$N$155,$N$153,$N$150,$N$148,$N$146,$N$144)</f>
        <v>0</v>
      </c>
      <c r="O143" s="19"/>
      <c r="P143" s="19"/>
    </row>
    <row r="144" spans="1:16" outlineLevel="4" x14ac:dyDescent="0.2">
      <c r="A144" s="20"/>
      <c r="B144" s="14" t="s">
        <v>21</v>
      </c>
      <c r="C144" s="21"/>
      <c r="D144" s="21"/>
      <c r="E144" s="21"/>
      <c r="F144" s="21"/>
      <c r="G144" s="21"/>
      <c r="H144" s="21"/>
      <c r="I144" s="21"/>
      <c r="J144" s="21"/>
      <c r="K144" s="21"/>
      <c r="L144" s="21"/>
      <c r="M144" s="64"/>
      <c r="N144" s="65">
        <f>SUM($N$145)</f>
        <v>0</v>
      </c>
      <c r="O144" s="18"/>
      <c r="P144" s="22"/>
    </row>
    <row r="145" spans="1:16" outlineLevel="4" x14ac:dyDescent="0.2">
      <c r="A145" s="23"/>
      <c r="B145" s="24" t="s">
        <v>22</v>
      </c>
      <c r="C145" s="25"/>
      <c r="D145" s="25"/>
      <c r="E145" s="26" t="s">
        <v>23</v>
      </c>
      <c r="F145" s="27"/>
      <c r="G145" s="28">
        <v>3</v>
      </c>
      <c r="H145" s="28">
        <v>7</v>
      </c>
      <c r="I145" s="28">
        <v>2</v>
      </c>
      <c r="J145" s="28">
        <v>2</v>
      </c>
      <c r="K145" s="28">
        <v>5</v>
      </c>
      <c r="L145" s="28">
        <f>SUM($G$145:$K$145)</f>
        <v>19</v>
      </c>
      <c r="M145" s="32">
        <f t="array" ref="M145">INDEX(Р[Цена за ед., руб],MATCH(1,IF(($B145=Р[Наименование])*($O145=Р[Примечание]),{1},($B145=Р[Наименование])*($O145=Р[Примечание])),0))</f>
        <v>0</v>
      </c>
      <c r="N145" s="32">
        <f>ROUND($L$145*$M$145,2)</f>
        <v>0</v>
      </c>
      <c r="O145" s="25"/>
      <c r="P145" s="25"/>
    </row>
    <row r="146" spans="1:16" outlineLevel="4" x14ac:dyDescent="0.2">
      <c r="A146" s="20"/>
      <c r="B146" s="14" t="s">
        <v>21</v>
      </c>
      <c r="C146" s="21"/>
      <c r="D146" s="21"/>
      <c r="E146" s="21"/>
      <c r="F146" s="21"/>
      <c r="G146" s="21"/>
      <c r="H146" s="21"/>
      <c r="I146" s="21"/>
      <c r="J146" s="21"/>
      <c r="K146" s="21"/>
      <c r="L146" s="21"/>
      <c r="M146" s="64"/>
      <c r="N146" s="65">
        <f>SUM($N$147)</f>
        <v>0</v>
      </c>
      <c r="O146" s="18"/>
      <c r="P146" s="22"/>
    </row>
    <row r="147" spans="1:16" outlineLevel="4" x14ac:dyDescent="0.2">
      <c r="A147" s="23"/>
      <c r="B147" s="24" t="s">
        <v>24</v>
      </c>
      <c r="C147" s="25"/>
      <c r="D147" s="25"/>
      <c r="E147" s="26" t="s">
        <v>23</v>
      </c>
      <c r="F147" s="27"/>
      <c r="G147" s="28">
        <v>3</v>
      </c>
      <c r="H147" s="28">
        <v>1</v>
      </c>
      <c r="I147" s="28">
        <v>8</v>
      </c>
      <c r="J147" s="27"/>
      <c r="K147" s="28">
        <v>6</v>
      </c>
      <c r="L147" s="28">
        <f>SUM($G$147:$K$147)</f>
        <v>18</v>
      </c>
      <c r="M147" s="32">
        <f t="array" ref="M147">INDEX(Р[Цена за ед., руб],MATCH(1,IF(($B147=Р[Наименование])*($O147=Р[Примечание]),{1},($B147=Р[Наименование])*($O147=Р[Примечание])),0))</f>
        <v>0</v>
      </c>
      <c r="N147" s="32">
        <f>ROUND($L$147*$M$147,2)</f>
        <v>0</v>
      </c>
      <c r="O147" s="25"/>
      <c r="P147" s="25"/>
    </row>
    <row r="148" spans="1:16" outlineLevel="4" x14ac:dyDescent="0.2">
      <c r="A148" s="20"/>
      <c r="B148" s="14" t="s">
        <v>21</v>
      </c>
      <c r="C148" s="21"/>
      <c r="D148" s="21"/>
      <c r="E148" s="21"/>
      <c r="F148" s="21"/>
      <c r="G148" s="21"/>
      <c r="H148" s="21"/>
      <c r="I148" s="21"/>
      <c r="J148" s="21"/>
      <c r="K148" s="21"/>
      <c r="L148" s="21"/>
      <c r="M148" s="64"/>
      <c r="N148" s="65">
        <f>SUM($N$149)</f>
        <v>0</v>
      </c>
      <c r="O148" s="18"/>
      <c r="P148" s="22"/>
    </row>
    <row r="149" spans="1:16" outlineLevel="4" x14ac:dyDescent="0.2">
      <c r="A149" s="23"/>
      <c r="B149" s="24" t="s">
        <v>25</v>
      </c>
      <c r="C149" s="25"/>
      <c r="D149" s="25"/>
      <c r="E149" s="26" t="s">
        <v>26</v>
      </c>
      <c r="F149" s="27"/>
      <c r="G149" s="31">
        <v>1.99</v>
      </c>
      <c r="H149" s="31">
        <v>2.64</v>
      </c>
      <c r="I149" s="31">
        <v>1.65</v>
      </c>
      <c r="J149" s="31">
        <v>0.66</v>
      </c>
      <c r="K149" s="31">
        <v>1.98</v>
      </c>
      <c r="L149" s="31">
        <f>SUM($G$149:$K$149)</f>
        <v>8.92</v>
      </c>
      <c r="M149" s="32">
        <f t="array" ref="M149">INDEX(Р[Цена за ед., руб],MATCH(1,IF(($B149=Р[Наименование])*($O149=Р[Примечание]),{1},($B149=Р[Наименование])*($O149=Р[Примечание])),0))</f>
        <v>0</v>
      </c>
      <c r="N149" s="32">
        <f>ROUND($L$149*$M$149,2)</f>
        <v>0</v>
      </c>
      <c r="O149" s="25"/>
      <c r="P149" s="25"/>
    </row>
    <row r="150" spans="1:16" outlineLevel="4" x14ac:dyDescent="0.2">
      <c r="A150" s="20"/>
      <c r="B150" s="14" t="s">
        <v>27</v>
      </c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M150" s="64"/>
      <c r="N150" s="65">
        <f>SUM($N$151:$N$152)</f>
        <v>0</v>
      </c>
      <c r="O150" s="18"/>
      <c r="P150" s="22"/>
    </row>
    <row r="151" spans="1:16" ht="33.75" outlineLevel="4" x14ac:dyDescent="0.2">
      <c r="A151" s="23" t="s">
        <v>28</v>
      </c>
      <c r="B151" s="24" t="s">
        <v>29</v>
      </c>
      <c r="C151" s="25"/>
      <c r="D151" s="25" t="s">
        <v>33</v>
      </c>
      <c r="E151" s="26" t="s">
        <v>31</v>
      </c>
      <c r="F151" s="27"/>
      <c r="G151" s="31">
        <v>0.99</v>
      </c>
      <c r="H151" s="31">
        <v>2.31</v>
      </c>
      <c r="I151" s="31">
        <v>0.66</v>
      </c>
      <c r="J151" s="31">
        <v>0.66</v>
      </c>
      <c r="K151" s="27"/>
      <c r="L151" s="31">
        <f>SUM($G$151:$K$151)</f>
        <v>4.62</v>
      </c>
      <c r="M151" s="32">
        <f t="array" ref="M151">INDEX(М[Цена за ед., руб],MATCH(1,IF(($B151=М[Наим.])*($C151=М[Артикул, марка, произв.])*($D151=М[Хар-ка])*($O151=М[Прим.]),{1},($B151=М[Наим.])*($C151=М[Артикул, марка, произв.])*($D151=М[Хар-ка])*($O151=М[Прим.])),0))</f>
        <v>0</v>
      </c>
      <c r="N151" s="32">
        <f>ROUND($L$151*$M$151,2)</f>
        <v>0</v>
      </c>
      <c r="O151" s="25"/>
      <c r="P151" s="25">
        <f t="array" ref="P151">INDEX(М[Форма закупа],MATCH(1,IF(($B151=М[Наим.])*($C151=М[Артикул, марка, произв.])*($D151=М[Хар-ка])*($O151=М[Прим.]),{1},($B151=М[Наим.])*($C151=М[Артикул, марка, произв.])*($D151=М[Хар-ка])*($O151=М[Прим.])),0))</f>
        <v>0</v>
      </c>
    </row>
    <row r="152" spans="1:16" ht="33.75" outlineLevel="4" x14ac:dyDescent="0.2">
      <c r="A152" s="23" t="s">
        <v>32</v>
      </c>
      <c r="B152" s="24" t="s">
        <v>29</v>
      </c>
      <c r="C152" s="25"/>
      <c r="D152" s="25" t="s">
        <v>125</v>
      </c>
      <c r="E152" s="26" t="s">
        <v>31</v>
      </c>
      <c r="F152" s="27"/>
      <c r="G152" s="28">
        <v>1</v>
      </c>
      <c r="H152" s="31">
        <v>0.33</v>
      </c>
      <c r="I152" s="31">
        <v>0.99</v>
      </c>
      <c r="J152" s="27"/>
      <c r="K152" s="31">
        <v>1.98</v>
      </c>
      <c r="L152" s="30">
        <f>SUM($G$152:$K$152)</f>
        <v>4.3</v>
      </c>
      <c r="M152" s="32">
        <f t="array" ref="M152">INDEX(М[Цена за ед., руб],MATCH(1,IF(($B152=М[Наим.])*($C152=М[Артикул, марка, произв.])*($D152=М[Хар-ка])*($O152=М[Прим.]),{1},($B152=М[Наим.])*($C152=М[Артикул, марка, произв.])*($D152=М[Хар-ка])*($O152=М[Прим.])),0))</f>
        <v>0</v>
      </c>
      <c r="N152" s="32">
        <f>ROUND($L$152*$M$152,2)</f>
        <v>0</v>
      </c>
      <c r="O152" s="25"/>
      <c r="P152" s="25">
        <f t="array" ref="P152">INDEX(М[Форма закупа],MATCH(1,IF(($B152=М[Наим.])*($C152=М[Артикул, марка, произв.])*($D152=М[Хар-ка])*($O152=М[Прим.]),{1},($B152=М[Наим.])*($C152=М[Артикул, марка, произв.])*($D152=М[Хар-ка])*($O152=М[Прим.])),0))</f>
        <v>0</v>
      </c>
    </row>
    <row r="153" spans="1:16" outlineLevel="4" x14ac:dyDescent="0.2">
      <c r="A153" s="20"/>
      <c r="B153" s="14" t="s">
        <v>21</v>
      </c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64"/>
      <c r="N153" s="65">
        <f>SUM($N$154)</f>
        <v>0</v>
      </c>
      <c r="O153" s="18"/>
      <c r="P153" s="22"/>
    </row>
    <row r="154" spans="1:16" outlineLevel="4" x14ac:dyDescent="0.2">
      <c r="A154" s="23"/>
      <c r="B154" s="24" t="s">
        <v>126</v>
      </c>
      <c r="C154" s="25"/>
      <c r="D154" s="25"/>
      <c r="E154" s="26" t="s">
        <v>23</v>
      </c>
      <c r="F154" s="27"/>
      <c r="G154" s="28">
        <v>5</v>
      </c>
      <c r="H154" s="28">
        <v>8</v>
      </c>
      <c r="I154" s="28">
        <v>6</v>
      </c>
      <c r="J154" s="28">
        <v>5</v>
      </c>
      <c r="K154" s="28">
        <v>6</v>
      </c>
      <c r="L154" s="28">
        <f>SUM($G$154:$K$154)</f>
        <v>30</v>
      </c>
      <c r="M154" s="32">
        <f t="array" ref="M154">INDEX(Р[Цена за ед., руб],MATCH(1,IF(($B154=Р[Наименование])*($O154=Р[Примечание]),{1},($B154=Р[Наименование])*($O154=Р[Примечание])),0))</f>
        <v>0</v>
      </c>
      <c r="N154" s="32">
        <f>ROUND($L$154*$M$154,2)</f>
        <v>0</v>
      </c>
      <c r="O154" s="25"/>
      <c r="P154" s="25"/>
    </row>
    <row r="155" spans="1:16" outlineLevel="4" x14ac:dyDescent="0.2">
      <c r="A155" s="20"/>
      <c r="B155" s="14" t="s">
        <v>27</v>
      </c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64"/>
      <c r="N155" s="65">
        <f>SUM($N$156:$N$157)</f>
        <v>0</v>
      </c>
      <c r="O155" s="18"/>
      <c r="P155" s="22"/>
    </row>
    <row r="156" spans="1:16" ht="45" outlineLevel="4" x14ac:dyDescent="0.2">
      <c r="A156" s="23" t="s">
        <v>28</v>
      </c>
      <c r="B156" s="24" t="s">
        <v>127</v>
      </c>
      <c r="C156" s="25"/>
      <c r="D156" s="25" t="s">
        <v>128</v>
      </c>
      <c r="E156" s="26" t="s">
        <v>23</v>
      </c>
      <c r="F156" s="27"/>
      <c r="G156" s="27"/>
      <c r="H156" s="27"/>
      <c r="I156" s="28">
        <v>4</v>
      </c>
      <c r="J156" s="27"/>
      <c r="K156" s="27"/>
      <c r="L156" s="28">
        <f>SUM($G$156:$K$156)</f>
        <v>4</v>
      </c>
      <c r="M156" s="32">
        <f t="array" ref="M156">INDEX(М[Цена за ед., руб],MATCH(1,IF(($B156=М[Наим.])*($C156=М[Артикул, марка, произв.])*($D156=М[Хар-ка])*($O156=М[Прим.]),{1},($B156=М[Наим.])*($C156=М[Артикул, марка, произв.])*($D156=М[Хар-ка])*($O156=М[Прим.])),0))</f>
        <v>0</v>
      </c>
      <c r="N156" s="32">
        <f>ROUND($L$156*$M$156,2)</f>
        <v>0</v>
      </c>
      <c r="O156" s="25" t="s">
        <v>129</v>
      </c>
      <c r="P156" s="25">
        <f t="array" ref="P156">INDEX(М[Форма закупа],MATCH(1,IF(($B156=М[Наим.])*($C156=М[Артикул, марка, произв.])*($D156=М[Хар-ка])*($O156=М[Прим.]),{1},($B156=М[Наим.])*($C156=М[Артикул, марка, произв.])*($D156=М[Хар-ка])*($O156=М[Прим.])),0))</f>
        <v>0</v>
      </c>
    </row>
    <row r="157" spans="1:16" ht="33.75" outlineLevel="4" x14ac:dyDescent="0.2">
      <c r="A157" s="23" t="s">
        <v>32</v>
      </c>
      <c r="B157" s="24" t="s">
        <v>127</v>
      </c>
      <c r="C157" s="25"/>
      <c r="D157" s="25" t="s">
        <v>130</v>
      </c>
      <c r="E157" s="26" t="s">
        <v>23</v>
      </c>
      <c r="F157" s="27"/>
      <c r="G157" s="28">
        <v>5</v>
      </c>
      <c r="H157" s="28">
        <v>8</v>
      </c>
      <c r="I157" s="28">
        <v>2</v>
      </c>
      <c r="J157" s="28">
        <v>5</v>
      </c>
      <c r="K157" s="28">
        <v>6</v>
      </c>
      <c r="L157" s="28">
        <f>SUM($G$157:$K$157)</f>
        <v>26</v>
      </c>
      <c r="M157" s="32">
        <f t="array" ref="M157">INDEX(М[Цена за ед., руб],MATCH(1,IF(($B157=М[Наим.])*($C157=М[Артикул, марка, произв.])*($D157=М[Хар-ка])*($O157=М[Прим.]),{1},($B157=М[Наим.])*($C157=М[Артикул, марка, произв.])*($D157=М[Хар-ка])*($O157=М[Прим.])),0))</f>
        <v>0</v>
      </c>
      <c r="N157" s="32">
        <f>ROUND($L$157*$M$157,2)</f>
        <v>0</v>
      </c>
      <c r="O157" s="25" t="s">
        <v>131</v>
      </c>
      <c r="P157" s="25">
        <f t="array" ref="P157">INDEX(М[Форма закупа],MATCH(1,IF(($B157=М[Наим.])*($C157=М[Артикул, марка, произв.])*($D157=М[Хар-ка])*($O157=М[Прим.]),{1},($B157=М[Наим.])*($C157=М[Артикул, марка, произв.])*($D157=М[Хар-ка])*($O157=М[Прим.])),0))</f>
        <v>0</v>
      </c>
    </row>
    <row r="158" spans="1:16" outlineLevel="4" x14ac:dyDescent="0.2">
      <c r="A158" s="20"/>
      <c r="B158" s="14" t="s">
        <v>21</v>
      </c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64"/>
      <c r="N158" s="65">
        <f>SUM($N$159)</f>
        <v>0</v>
      </c>
      <c r="O158" s="18"/>
      <c r="P158" s="22"/>
    </row>
    <row r="159" spans="1:16" ht="22.5" outlineLevel="4" x14ac:dyDescent="0.2">
      <c r="A159" s="23"/>
      <c r="B159" s="24" t="s">
        <v>132</v>
      </c>
      <c r="C159" s="25"/>
      <c r="D159" s="25"/>
      <c r="E159" s="26" t="s">
        <v>23</v>
      </c>
      <c r="F159" s="27"/>
      <c r="G159" s="27"/>
      <c r="H159" s="27"/>
      <c r="I159" s="28">
        <v>4</v>
      </c>
      <c r="J159" s="27"/>
      <c r="K159" s="27"/>
      <c r="L159" s="28">
        <f>SUM($G$159:$K$159)</f>
        <v>4</v>
      </c>
      <c r="M159" s="32">
        <f t="array" ref="M159">INDEX(Р[Цена за ед., руб],MATCH(1,IF(($B159=Р[Наименование])*($O159=Р[Примечание]),{1},($B159=Р[Наименование])*($O159=Р[Примечание])),0))</f>
        <v>0</v>
      </c>
      <c r="N159" s="32">
        <f>ROUND($L$159*$M$159,2)</f>
        <v>0</v>
      </c>
      <c r="O159" s="25"/>
      <c r="P159" s="25"/>
    </row>
    <row r="160" spans="1:16" outlineLevel="4" x14ac:dyDescent="0.2">
      <c r="A160" s="20"/>
      <c r="B160" s="14" t="s">
        <v>27</v>
      </c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64"/>
      <c r="N160" s="65">
        <f>SUM($N$161)</f>
        <v>0</v>
      </c>
      <c r="O160" s="18"/>
      <c r="P160" s="22"/>
    </row>
    <row r="161" spans="1:16" ht="22.5" outlineLevel="4" x14ac:dyDescent="0.2">
      <c r="A161" s="23" t="s">
        <v>28</v>
      </c>
      <c r="B161" s="24" t="s">
        <v>133</v>
      </c>
      <c r="C161" s="25"/>
      <c r="D161" s="25" t="s">
        <v>134</v>
      </c>
      <c r="E161" s="26" t="s">
        <v>23</v>
      </c>
      <c r="F161" s="27"/>
      <c r="G161" s="27"/>
      <c r="H161" s="27"/>
      <c r="I161" s="28">
        <v>4</v>
      </c>
      <c r="J161" s="27"/>
      <c r="K161" s="27"/>
      <c r="L161" s="28">
        <f>SUM($G$161:$K$161)</f>
        <v>4</v>
      </c>
      <c r="M161" s="32">
        <f t="array" ref="M161">INDEX(М[Цена за ед., руб],MATCH(1,IF(($B161=М[Наим.])*($C161=М[Артикул, марка, произв.])*($D161=М[Хар-ка])*($O161=М[Прим.]),{1},($B161=М[Наим.])*($C161=М[Артикул, марка, произв.])*($D161=М[Хар-ка])*($O161=М[Прим.])),0))</f>
        <v>0</v>
      </c>
      <c r="N161" s="32">
        <f>ROUND($L$161*$M$161,2)</f>
        <v>0</v>
      </c>
      <c r="O161" s="25"/>
      <c r="P161" s="25">
        <f t="array" ref="P161">INDEX(М[Форма закупа],MATCH(1,IF(($B161=М[Наим.])*($C161=М[Артикул, марка, произв.])*($D161=М[Хар-ка])*($O161=М[Прим.]),{1},($B161=М[Наим.])*($C161=М[Артикул, марка, произв.])*($D161=М[Хар-ка])*($O161=М[Прим.])),0))</f>
        <v>0</v>
      </c>
    </row>
    <row r="162" spans="1:16" outlineLevel="4" x14ac:dyDescent="0.2">
      <c r="A162" s="20"/>
      <c r="B162" s="14" t="s">
        <v>21</v>
      </c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64"/>
      <c r="N162" s="65">
        <f>SUM($N$163)</f>
        <v>0</v>
      </c>
      <c r="O162" s="18"/>
      <c r="P162" s="22"/>
    </row>
    <row r="163" spans="1:16" ht="22.5" outlineLevel="4" x14ac:dyDescent="0.2">
      <c r="A163" s="23"/>
      <c r="B163" s="24" t="s">
        <v>135</v>
      </c>
      <c r="C163" s="25"/>
      <c r="D163" s="25"/>
      <c r="E163" s="26" t="s">
        <v>23</v>
      </c>
      <c r="F163" s="27"/>
      <c r="G163" s="28">
        <v>5</v>
      </c>
      <c r="H163" s="28">
        <v>8</v>
      </c>
      <c r="I163" s="27"/>
      <c r="J163" s="28">
        <v>5</v>
      </c>
      <c r="K163" s="28">
        <v>6</v>
      </c>
      <c r="L163" s="28">
        <f>SUM($G$163:$K$163)</f>
        <v>24</v>
      </c>
      <c r="M163" s="32">
        <f t="array" ref="M163">INDEX(Р[Цена за ед., руб],MATCH(1,IF(($B163=Р[Наименование])*($O163=Р[Примечание]),{1},($B163=Р[Наименование])*($O163=Р[Примечание])),0))</f>
        <v>0</v>
      </c>
      <c r="N163" s="32">
        <f>ROUND($L$163*$M$163,2)</f>
        <v>0</v>
      </c>
      <c r="O163" s="25"/>
      <c r="P163" s="25"/>
    </row>
    <row r="164" spans="1:16" outlineLevel="4" x14ac:dyDescent="0.2">
      <c r="A164" s="20"/>
      <c r="B164" s="14" t="s">
        <v>27</v>
      </c>
      <c r="C164" s="21"/>
      <c r="D164" s="21"/>
      <c r="E164" s="21"/>
      <c r="F164" s="21"/>
      <c r="G164" s="21"/>
      <c r="H164" s="21"/>
      <c r="I164" s="21"/>
      <c r="J164" s="21"/>
      <c r="K164" s="21"/>
      <c r="L164" s="21"/>
      <c r="M164" s="64"/>
      <c r="N164" s="65">
        <f>SUM($N$165)</f>
        <v>0</v>
      </c>
      <c r="O164" s="18"/>
      <c r="P164" s="22"/>
    </row>
    <row r="165" spans="1:16" ht="22.5" outlineLevel="4" x14ac:dyDescent="0.2">
      <c r="A165" s="23" t="s">
        <v>28</v>
      </c>
      <c r="B165" s="24" t="s">
        <v>133</v>
      </c>
      <c r="C165" s="25"/>
      <c r="D165" s="25" t="s">
        <v>136</v>
      </c>
      <c r="E165" s="26" t="s">
        <v>23</v>
      </c>
      <c r="F165" s="27"/>
      <c r="G165" s="28">
        <v>5</v>
      </c>
      <c r="H165" s="28">
        <v>8</v>
      </c>
      <c r="I165" s="27"/>
      <c r="J165" s="28">
        <v>5</v>
      </c>
      <c r="K165" s="28">
        <v>6</v>
      </c>
      <c r="L165" s="28">
        <f>SUM($G$165:$K$165)</f>
        <v>24</v>
      </c>
      <c r="M165" s="32">
        <f t="array" ref="M165">INDEX(М[Цена за ед., руб],MATCH(1,IF(($B165=М[Наим.])*($C165=М[Артикул, марка, произв.])*($D165=М[Хар-ка])*($O165=М[Прим.]),{1},($B165=М[Наим.])*($C165=М[Артикул, марка, произв.])*($D165=М[Хар-ка])*($O165=М[Прим.])),0))</f>
        <v>0</v>
      </c>
      <c r="N165" s="32">
        <f>ROUND($L$165*$M$165,2)</f>
        <v>0</v>
      </c>
      <c r="O165" s="25"/>
      <c r="P165" s="25">
        <f t="array" ref="P165">INDEX(М[Форма закупа],MATCH(1,IF(($B165=М[Наим.])*($C165=М[Артикул, марка, произв.])*($D165=М[Хар-ка])*($O165=М[Прим.]),{1},($B165=М[Наим.])*($C165=М[Артикул, марка, произв.])*($D165=М[Хар-ка])*($O165=М[Прим.])),0))</f>
        <v>0</v>
      </c>
    </row>
    <row r="166" spans="1:16" outlineLevel="4" x14ac:dyDescent="0.2">
      <c r="A166" s="20"/>
      <c r="B166" s="14" t="s">
        <v>21</v>
      </c>
      <c r="C166" s="21"/>
      <c r="D166" s="21"/>
      <c r="E166" s="21"/>
      <c r="F166" s="21"/>
      <c r="G166" s="21"/>
      <c r="H166" s="21"/>
      <c r="I166" s="21"/>
      <c r="J166" s="21"/>
      <c r="K166" s="21"/>
      <c r="L166" s="21"/>
      <c r="M166" s="64"/>
      <c r="N166" s="65">
        <f>SUM($N$167)</f>
        <v>0</v>
      </c>
      <c r="O166" s="18"/>
      <c r="P166" s="22"/>
    </row>
    <row r="167" spans="1:16" ht="22.5" outlineLevel="4" x14ac:dyDescent="0.2">
      <c r="A167" s="23"/>
      <c r="B167" s="24" t="s">
        <v>137</v>
      </c>
      <c r="C167" s="25"/>
      <c r="D167" s="25"/>
      <c r="E167" s="26" t="s">
        <v>23</v>
      </c>
      <c r="F167" s="27"/>
      <c r="G167" s="27"/>
      <c r="H167" s="27"/>
      <c r="I167" s="28">
        <v>4</v>
      </c>
      <c r="J167" s="27"/>
      <c r="K167" s="27"/>
      <c r="L167" s="28">
        <f>SUM($G$167:$K$167)</f>
        <v>4</v>
      </c>
      <c r="M167" s="32">
        <f t="array" ref="M167">INDEX(Р[Цена за ед., руб],MATCH(1,IF(($B167=Р[Наименование])*($O167=Р[Примечание]),{1},($B167=Р[Наименование])*($O167=Р[Примечание])),0))</f>
        <v>0</v>
      </c>
      <c r="N167" s="32">
        <f>ROUND($L$167*$M$167,2)</f>
        <v>0</v>
      </c>
      <c r="O167" s="25"/>
      <c r="P167" s="25"/>
    </row>
    <row r="168" spans="1:16" outlineLevel="4" x14ac:dyDescent="0.2">
      <c r="A168" s="20"/>
      <c r="B168" s="14" t="s">
        <v>27</v>
      </c>
      <c r="C168" s="21"/>
      <c r="D168" s="21"/>
      <c r="E168" s="21"/>
      <c r="F168" s="21"/>
      <c r="G168" s="21"/>
      <c r="H168" s="21"/>
      <c r="I168" s="21"/>
      <c r="J168" s="21"/>
      <c r="K168" s="21"/>
      <c r="L168" s="21"/>
      <c r="M168" s="64"/>
      <c r="N168" s="65">
        <f>SUM($N$169)</f>
        <v>0</v>
      </c>
      <c r="O168" s="18"/>
      <c r="P168" s="22"/>
    </row>
    <row r="169" spans="1:16" ht="33.75" outlineLevel="4" x14ac:dyDescent="0.2">
      <c r="A169" s="23" t="s">
        <v>28</v>
      </c>
      <c r="B169" s="24" t="s">
        <v>138</v>
      </c>
      <c r="C169" s="25"/>
      <c r="D169" s="25" t="s">
        <v>139</v>
      </c>
      <c r="E169" s="26" t="s">
        <v>23</v>
      </c>
      <c r="F169" s="27"/>
      <c r="G169" s="27"/>
      <c r="H169" s="27"/>
      <c r="I169" s="28">
        <v>4</v>
      </c>
      <c r="J169" s="27"/>
      <c r="K169" s="27"/>
      <c r="L169" s="28">
        <f>SUM($G$169:$K$169)</f>
        <v>4</v>
      </c>
      <c r="M169" s="32">
        <f t="array" ref="M169">INDEX(М[Цена за ед., руб],MATCH(1,IF(($B169=М[Наим.])*($C169=М[Артикул, марка, произв.])*($D169=М[Хар-ка])*($O169=М[Прим.]),{1},($B169=М[Наим.])*($C169=М[Артикул, марка, произв.])*($D169=М[Хар-ка])*($O169=М[Прим.])),0))</f>
        <v>0</v>
      </c>
      <c r="N169" s="32">
        <f>ROUND($L$169*$M$169,2)</f>
        <v>0</v>
      </c>
      <c r="O169" s="25"/>
      <c r="P169" s="25">
        <f t="array" ref="P169">INDEX(М[Форма закупа],MATCH(1,IF(($B169=М[Наим.])*($C169=М[Артикул, марка, произв.])*($D169=М[Хар-ка])*($O169=М[Прим.]),{1},($B169=М[Наим.])*($C169=М[Артикул, марка, произв.])*($D169=М[Хар-ка])*($O169=М[Прим.])),0))</f>
        <v>0</v>
      </c>
    </row>
    <row r="170" spans="1:16" outlineLevel="4" x14ac:dyDescent="0.2">
      <c r="A170" s="20"/>
      <c r="B170" s="14" t="s">
        <v>21</v>
      </c>
      <c r="C170" s="21"/>
      <c r="D170" s="21"/>
      <c r="E170" s="21"/>
      <c r="F170" s="21"/>
      <c r="G170" s="21"/>
      <c r="H170" s="21"/>
      <c r="I170" s="21"/>
      <c r="J170" s="21"/>
      <c r="K170" s="21"/>
      <c r="L170" s="21"/>
      <c r="M170" s="64"/>
      <c r="N170" s="65">
        <f>SUM($N$171)</f>
        <v>0</v>
      </c>
      <c r="O170" s="18"/>
      <c r="P170" s="22"/>
    </row>
    <row r="171" spans="1:16" ht="22.5" outlineLevel="4" x14ac:dyDescent="0.2">
      <c r="A171" s="23"/>
      <c r="B171" s="24" t="s">
        <v>140</v>
      </c>
      <c r="C171" s="25"/>
      <c r="D171" s="25"/>
      <c r="E171" s="26" t="s">
        <v>23</v>
      </c>
      <c r="F171" s="27"/>
      <c r="G171" s="28">
        <v>5</v>
      </c>
      <c r="H171" s="28">
        <v>12</v>
      </c>
      <c r="I171" s="28">
        <v>4</v>
      </c>
      <c r="J171" s="28">
        <v>5</v>
      </c>
      <c r="K171" s="28">
        <v>10</v>
      </c>
      <c r="L171" s="28">
        <f>SUM($G$171:$K$171)</f>
        <v>36</v>
      </c>
      <c r="M171" s="32">
        <f t="array" ref="M171">INDEX(Р[Цена за ед., руб],MATCH(1,IF(($B171=Р[Наименование])*($O171=Р[Примечание]),{1},($B171=Р[Наименование])*($O171=Р[Примечание])),0))</f>
        <v>0</v>
      </c>
      <c r="N171" s="32">
        <f>ROUND($L$171*$M$171,2)</f>
        <v>0</v>
      </c>
      <c r="O171" s="25"/>
      <c r="P171" s="25"/>
    </row>
    <row r="172" spans="1:16" outlineLevel="4" x14ac:dyDescent="0.2">
      <c r="A172" s="20"/>
      <c r="B172" s="14" t="s">
        <v>27</v>
      </c>
      <c r="C172" s="21"/>
      <c r="D172" s="21"/>
      <c r="E172" s="21"/>
      <c r="F172" s="21"/>
      <c r="G172" s="21"/>
      <c r="H172" s="21"/>
      <c r="I172" s="21"/>
      <c r="J172" s="21"/>
      <c r="K172" s="21"/>
      <c r="L172" s="21"/>
      <c r="M172" s="64"/>
      <c r="N172" s="65">
        <f>SUM($N$173:$N$174)</f>
        <v>0</v>
      </c>
      <c r="O172" s="18"/>
      <c r="P172" s="22"/>
    </row>
    <row r="173" spans="1:16" ht="22.5" outlineLevel="4" x14ac:dyDescent="0.2">
      <c r="A173" s="23" t="s">
        <v>28</v>
      </c>
      <c r="B173" s="24" t="s">
        <v>138</v>
      </c>
      <c r="C173" s="25"/>
      <c r="D173" s="25" t="s">
        <v>141</v>
      </c>
      <c r="E173" s="26" t="s">
        <v>23</v>
      </c>
      <c r="F173" s="27"/>
      <c r="G173" s="28">
        <v>5</v>
      </c>
      <c r="H173" s="28">
        <v>8</v>
      </c>
      <c r="I173" s="28">
        <v>2</v>
      </c>
      <c r="J173" s="28">
        <v>5</v>
      </c>
      <c r="K173" s="28">
        <v>6</v>
      </c>
      <c r="L173" s="28">
        <f>SUM($G$173:$K$173)</f>
        <v>26</v>
      </c>
      <c r="M173" s="32">
        <f t="array" ref="M173">INDEX(М[Цена за ед., руб],MATCH(1,IF(($B173=М[Наим.])*($C173=М[Артикул, марка, произв.])*($D173=М[Хар-ка])*($O173=М[Прим.]),{1},($B173=М[Наим.])*($C173=М[Артикул, марка, произв.])*($D173=М[Хар-ка])*($O173=М[Прим.])),0))</f>
        <v>0</v>
      </c>
      <c r="N173" s="32">
        <f>ROUND($L$173*$M$173,2)</f>
        <v>0</v>
      </c>
      <c r="O173" s="25"/>
      <c r="P173" s="25">
        <f t="array" ref="P173">INDEX(М[Форма закупа],MATCH(1,IF(($B173=М[Наим.])*($C173=М[Артикул, марка, произв.])*($D173=М[Хар-ка])*($O173=М[Прим.]),{1},($B173=М[Наим.])*($C173=М[Артикул, марка, произв.])*($D173=М[Хар-ка])*($O173=М[Прим.])),0))</f>
        <v>0</v>
      </c>
    </row>
    <row r="174" spans="1:16" outlineLevel="4" x14ac:dyDescent="0.2">
      <c r="A174" s="23" t="s">
        <v>32</v>
      </c>
      <c r="B174" s="24" t="s">
        <v>138</v>
      </c>
      <c r="C174" s="25"/>
      <c r="D174" s="25" t="s">
        <v>142</v>
      </c>
      <c r="E174" s="26" t="s">
        <v>23</v>
      </c>
      <c r="F174" s="27"/>
      <c r="G174" s="27"/>
      <c r="H174" s="28">
        <v>4</v>
      </c>
      <c r="I174" s="28">
        <v>2</v>
      </c>
      <c r="J174" s="27"/>
      <c r="K174" s="28">
        <v>4</v>
      </c>
      <c r="L174" s="28">
        <f>SUM($G$174:$K$174)</f>
        <v>10</v>
      </c>
      <c r="M174" s="32">
        <f t="array" ref="M174">INDEX(М[Цена за ед., руб],MATCH(1,IF(($B174=М[Наим.])*($C174=М[Артикул, марка, произв.])*($D174=М[Хар-ка])*($O174=М[Прим.]),{1},($B174=М[Наим.])*($C174=М[Артикул, марка, произв.])*($D174=М[Хар-ка])*($O174=М[Прим.])),0))</f>
        <v>0</v>
      </c>
      <c r="N174" s="32">
        <f>ROUND($L$174*$M$174,2)</f>
        <v>0</v>
      </c>
      <c r="O174" s="25"/>
      <c r="P174" s="25">
        <f t="array" ref="P174">INDEX(М[Форма закупа],MATCH(1,IF(($B174=М[Наим.])*($C174=М[Артикул, марка, произв.])*($D174=М[Хар-ка])*($O174=М[Прим.]),{1},($B174=М[Наим.])*($C174=М[Артикул, марка, произв.])*($D174=М[Хар-ка])*($O174=М[Прим.])),0))</f>
        <v>0</v>
      </c>
    </row>
    <row r="175" spans="1:16" outlineLevel="4" x14ac:dyDescent="0.2">
      <c r="A175" s="20"/>
      <c r="B175" s="14" t="s">
        <v>21</v>
      </c>
      <c r="C175" s="21"/>
      <c r="D175" s="21"/>
      <c r="E175" s="21"/>
      <c r="F175" s="21"/>
      <c r="G175" s="21"/>
      <c r="H175" s="21"/>
      <c r="I175" s="21"/>
      <c r="J175" s="21"/>
      <c r="K175" s="21"/>
      <c r="L175" s="21"/>
      <c r="M175" s="64"/>
      <c r="N175" s="65">
        <f>SUM($N$176)</f>
        <v>0</v>
      </c>
      <c r="O175" s="18"/>
      <c r="P175" s="22"/>
    </row>
    <row r="176" spans="1:16" outlineLevel="4" x14ac:dyDescent="0.2">
      <c r="A176" s="23"/>
      <c r="B176" s="24" t="s">
        <v>42</v>
      </c>
      <c r="C176" s="25"/>
      <c r="D176" s="25"/>
      <c r="E176" s="26" t="s">
        <v>23</v>
      </c>
      <c r="F176" s="27"/>
      <c r="G176" s="28">
        <v>3</v>
      </c>
      <c r="H176" s="28">
        <v>7</v>
      </c>
      <c r="I176" s="28">
        <v>2</v>
      </c>
      <c r="J176" s="28">
        <v>2</v>
      </c>
      <c r="K176" s="28">
        <v>5</v>
      </c>
      <c r="L176" s="28">
        <f>SUM($G$176:$K$176)</f>
        <v>19</v>
      </c>
      <c r="M176" s="32">
        <f t="array" ref="M176">INDEX(Р[Цена за ед., руб],MATCH(1,IF(($B176=Р[Наименование])*($O176=Р[Примечание]),{1},($B176=Р[Наименование])*($O176=Р[Примечание])),0))</f>
        <v>0</v>
      </c>
      <c r="N176" s="32">
        <f>ROUND($L$176*$M$176,2)</f>
        <v>0</v>
      </c>
      <c r="O176" s="25"/>
      <c r="P176" s="25"/>
    </row>
    <row r="177" spans="1:16" outlineLevel="4" x14ac:dyDescent="0.2">
      <c r="A177" s="20"/>
      <c r="B177" s="14" t="s">
        <v>27</v>
      </c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64"/>
      <c r="N177" s="65">
        <f>SUM($N$178)</f>
        <v>0</v>
      </c>
      <c r="O177" s="18"/>
      <c r="P177" s="22"/>
    </row>
    <row r="178" spans="1:16" outlineLevel="4" x14ac:dyDescent="0.2">
      <c r="A178" s="23" t="s">
        <v>28</v>
      </c>
      <c r="B178" s="24" t="s">
        <v>43</v>
      </c>
      <c r="C178" s="25"/>
      <c r="D178" s="25" t="s">
        <v>45</v>
      </c>
      <c r="E178" s="26" t="s">
        <v>23</v>
      </c>
      <c r="F178" s="27"/>
      <c r="G178" s="28">
        <v>3</v>
      </c>
      <c r="H178" s="28">
        <v>7</v>
      </c>
      <c r="I178" s="28">
        <v>2</v>
      </c>
      <c r="J178" s="28">
        <v>2</v>
      </c>
      <c r="K178" s="28">
        <v>5</v>
      </c>
      <c r="L178" s="28">
        <f>SUM($G$178:$K$178)</f>
        <v>19</v>
      </c>
      <c r="M178" s="32">
        <f t="array" ref="M178">INDEX(М[Цена за ед., руб],MATCH(1,IF(($B178=М[Наим.])*($C178=М[Артикул, марка, произв.])*($D178=М[Хар-ка])*($O178=М[Прим.]),{1},($B178=М[Наим.])*($C178=М[Артикул, марка, произв.])*($D178=М[Хар-ка])*($O178=М[Прим.])),0))</f>
        <v>0</v>
      </c>
      <c r="N178" s="32">
        <f>ROUND($L$178*$M$178,2)</f>
        <v>0</v>
      </c>
      <c r="O178" s="25"/>
      <c r="P178" s="25">
        <f t="array" ref="P178">INDEX(М[Форма закупа],MATCH(1,IF(($B178=М[Наим.])*($C178=М[Артикул, марка, произв.])*($D178=М[Хар-ка])*($O178=М[Прим.]),{1},($B178=М[Наим.])*($C178=М[Артикул, марка, произв.])*($D178=М[Хар-ка])*($O178=М[Прим.])),0))</f>
        <v>0</v>
      </c>
    </row>
    <row r="179" spans="1:16" outlineLevel="4" x14ac:dyDescent="0.2">
      <c r="A179" s="20"/>
      <c r="B179" s="14" t="s">
        <v>21</v>
      </c>
      <c r="C179" s="21"/>
      <c r="D179" s="21"/>
      <c r="E179" s="21"/>
      <c r="F179" s="21"/>
      <c r="G179" s="21"/>
      <c r="H179" s="21"/>
      <c r="I179" s="21"/>
      <c r="J179" s="21"/>
      <c r="K179" s="21"/>
      <c r="L179" s="21"/>
      <c r="M179" s="64"/>
      <c r="N179" s="65">
        <f>SUM($N$180)</f>
        <v>0</v>
      </c>
      <c r="O179" s="18"/>
      <c r="P179" s="22"/>
    </row>
    <row r="180" spans="1:16" outlineLevel="4" x14ac:dyDescent="0.2">
      <c r="A180" s="23"/>
      <c r="B180" s="24" t="s">
        <v>52</v>
      </c>
      <c r="C180" s="25"/>
      <c r="D180" s="25"/>
      <c r="E180" s="26" t="s">
        <v>23</v>
      </c>
      <c r="F180" s="27"/>
      <c r="G180" s="28">
        <v>3</v>
      </c>
      <c r="H180" s="28">
        <v>7</v>
      </c>
      <c r="I180" s="28">
        <v>2</v>
      </c>
      <c r="J180" s="28">
        <v>2</v>
      </c>
      <c r="K180" s="28">
        <v>5</v>
      </c>
      <c r="L180" s="28">
        <f>SUM($G$180:$K$180)</f>
        <v>19</v>
      </c>
      <c r="M180" s="32">
        <f t="array" ref="M180">INDEX(Р[Цена за ед., руб],MATCH(1,IF(($B180=Р[Наименование])*($O180=Р[Примечание]),{1},($B180=Р[Наименование])*($O180=Р[Примечание])),0))</f>
        <v>0</v>
      </c>
      <c r="N180" s="32">
        <f>ROUND($L$180*$M$180,2)</f>
        <v>0</v>
      </c>
      <c r="O180" s="25"/>
      <c r="P180" s="25"/>
    </row>
    <row r="181" spans="1:16" outlineLevel="4" x14ac:dyDescent="0.2">
      <c r="A181" s="20"/>
      <c r="B181" s="14" t="s">
        <v>27</v>
      </c>
      <c r="C181" s="21"/>
      <c r="D181" s="21"/>
      <c r="E181" s="21"/>
      <c r="F181" s="21"/>
      <c r="G181" s="21"/>
      <c r="H181" s="21"/>
      <c r="I181" s="21"/>
      <c r="J181" s="21"/>
      <c r="K181" s="21"/>
      <c r="L181" s="21"/>
      <c r="M181" s="64"/>
      <c r="N181" s="65">
        <f>SUM($N$182)</f>
        <v>0</v>
      </c>
      <c r="O181" s="18"/>
      <c r="P181" s="22"/>
    </row>
    <row r="182" spans="1:16" ht="33.75" outlineLevel="4" x14ac:dyDescent="0.2">
      <c r="A182" s="23" t="s">
        <v>28</v>
      </c>
      <c r="B182" s="24" t="s">
        <v>53</v>
      </c>
      <c r="C182" s="25"/>
      <c r="D182" s="25" t="s">
        <v>55</v>
      </c>
      <c r="E182" s="26" t="s">
        <v>23</v>
      </c>
      <c r="F182" s="27"/>
      <c r="G182" s="28">
        <v>3</v>
      </c>
      <c r="H182" s="28">
        <v>7</v>
      </c>
      <c r="I182" s="28">
        <v>2</v>
      </c>
      <c r="J182" s="28">
        <v>2</v>
      </c>
      <c r="K182" s="28">
        <v>5</v>
      </c>
      <c r="L182" s="28">
        <f>SUM($G$182:$K$182)</f>
        <v>19</v>
      </c>
      <c r="M182" s="32">
        <f t="array" ref="M182">INDEX(М[Цена за ед., руб],MATCH(1,IF(($B182=М[Наим.])*($C182=М[Артикул, марка, произв.])*($D182=М[Хар-ка])*($O182=М[Прим.]),{1},($B182=М[Наим.])*($C182=М[Артикул, марка, произв.])*($D182=М[Хар-ка])*($O182=М[Прим.])),0))</f>
        <v>0</v>
      </c>
      <c r="N182" s="32">
        <f>ROUND($L$182*$M$182,2)</f>
        <v>0</v>
      </c>
      <c r="O182" s="25"/>
      <c r="P182" s="25">
        <f t="array" ref="P182">INDEX(М[Форма закупа],MATCH(1,IF(($B182=М[Наим.])*($C182=М[Артикул, марка, произв.])*($D182=М[Хар-ка])*($O182=М[Прим.]),{1},($B182=М[Наим.])*($C182=М[Артикул, марка, произв.])*($D182=М[Хар-ка])*($O182=М[Прим.])),0))</f>
        <v>0</v>
      </c>
    </row>
    <row r="183" spans="1:16" outlineLevel="4" x14ac:dyDescent="0.2">
      <c r="A183" s="20"/>
      <c r="B183" s="14" t="s">
        <v>21</v>
      </c>
      <c r="C183" s="21"/>
      <c r="D183" s="21"/>
      <c r="E183" s="21"/>
      <c r="F183" s="21"/>
      <c r="G183" s="21"/>
      <c r="H183" s="21"/>
      <c r="I183" s="21"/>
      <c r="J183" s="21"/>
      <c r="K183" s="21"/>
      <c r="L183" s="21"/>
      <c r="M183" s="64"/>
      <c r="N183" s="65">
        <f>SUM($N$184)</f>
        <v>0</v>
      </c>
      <c r="O183" s="18"/>
      <c r="P183" s="22"/>
    </row>
    <row r="184" spans="1:16" ht="22.5" outlineLevel="4" x14ac:dyDescent="0.2">
      <c r="A184" s="23"/>
      <c r="B184" s="24" t="s">
        <v>57</v>
      </c>
      <c r="C184" s="25"/>
      <c r="D184" s="25"/>
      <c r="E184" s="26" t="s">
        <v>26</v>
      </c>
      <c r="F184" s="27"/>
      <c r="G184" s="28">
        <v>12</v>
      </c>
      <c r="H184" s="28">
        <v>28</v>
      </c>
      <c r="I184" s="28">
        <v>8</v>
      </c>
      <c r="J184" s="28">
        <v>36</v>
      </c>
      <c r="K184" s="28">
        <v>28</v>
      </c>
      <c r="L184" s="28">
        <f>SUM($G$184:$K$184)</f>
        <v>112</v>
      </c>
      <c r="M184" s="32">
        <f t="array" ref="M184">INDEX(Р[Цена за ед., руб],MATCH(1,IF(($B184=Р[Наименование])*($O184=Р[Примечание]),{1},($B184=Р[Наименование])*($O184=Р[Примечание])),0))</f>
        <v>0</v>
      </c>
      <c r="N184" s="32">
        <f>ROUND($L$184*$M$184,2)</f>
        <v>0</v>
      </c>
      <c r="O184" s="25"/>
      <c r="P184" s="25"/>
    </row>
    <row r="185" spans="1:16" outlineLevel="4" x14ac:dyDescent="0.2">
      <c r="A185" s="20"/>
      <c r="B185" s="14" t="s">
        <v>27</v>
      </c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64"/>
      <c r="N185" s="65">
        <f>SUM($N$186)</f>
        <v>0</v>
      </c>
      <c r="O185" s="18"/>
      <c r="P185" s="22"/>
    </row>
    <row r="186" spans="1:16" ht="33.75" outlineLevel="4" x14ac:dyDescent="0.2">
      <c r="A186" s="84" t="s">
        <v>28</v>
      </c>
      <c r="B186" s="24" t="s">
        <v>58</v>
      </c>
      <c r="C186" s="25"/>
      <c r="D186" s="25" t="s">
        <v>143</v>
      </c>
      <c r="E186" s="26" t="s">
        <v>31</v>
      </c>
      <c r="F186" s="27"/>
      <c r="G186" s="28">
        <v>12</v>
      </c>
      <c r="H186" s="28">
        <v>28</v>
      </c>
      <c r="I186" s="28">
        <v>8</v>
      </c>
      <c r="J186" s="28">
        <v>36</v>
      </c>
      <c r="K186" s="28">
        <v>28</v>
      </c>
      <c r="L186" s="28">
        <f>SUM($G$186:$K$186)</f>
        <v>112</v>
      </c>
      <c r="M186" s="32">
        <f t="array" ref="M186">INDEX(М[Цена за ед., руб],MATCH(1,IF(($B186=М[Наим.])*($C186=М[Артикул, марка, произв.])*($D186=М[Хар-ка])*($O186=М[Прим.]),{1},($B186=М[Наим.])*($C186=М[Артикул, марка, произв.])*($D186=М[Хар-ка])*($O186=М[Прим.])),0))</f>
        <v>0</v>
      </c>
      <c r="N186" s="32">
        <f>ROUND($L$186*$M$186,2)</f>
        <v>0</v>
      </c>
      <c r="O186" s="25"/>
      <c r="P186" s="25">
        <f t="array" ref="P186">INDEX(М[Форма закупа],MATCH(1,IF(($B186=М[Наим.])*($C186=М[Артикул, марка, произв.])*($D186=М[Хар-ка])*($O186=М[Прим.]),{1},($B186=М[Наим.])*($C186=М[Артикул, марка, произв.])*($D186=М[Хар-ка])*($O186=М[Прим.])),0))</f>
        <v>0</v>
      </c>
    </row>
    <row r="187" spans="1:16" outlineLevel="4" x14ac:dyDescent="0.2">
      <c r="A187" s="20"/>
      <c r="B187" s="14" t="s">
        <v>21</v>
      </c>
      <c r="C187" s="21"/>
      <c r="D187" s="21"/>
      <c r="E187" s="21"/>
      <c r="F187" s="21"/>
      <c r="G187" s="21"/>
      <c r="H187" s="21"/>
      <c r="I187" s="21"/>
      <c r="J187" s="21"/>
      <c r="K187" s="21"/>
      <c r="L187" s="21"/>
      <c r="M187" s="64"/>
      <c r="N187" s="65">
        <f>SUM($N$188)</f>
        <v>0</v>
      </c>
      <c r="O187" s="18"/>
      <c r="P187" s="22"/>
    </row>
    <row r="188" spans="1:16" outlineLevel="4" x14ac:dyDescent="0.2">
      <c r="A188" s="23"/>
      <c r="B188" s="24" t="s">
        <v>94</v>
      </c>
      <c r="C188" s="25"/>
      <c r="D188" s="25"/>
      <c r="E188" s="26" t="s">
        <v>31</v>
      </c>
      <c r="F188" s="27"/>
      <c r="G188" s="27"/>
      <c r="H188" s="30">
        <v>4.5</v>
      </c>
      <c r="I188" s="28">
        <v>4</v>
      </c>
      <c r="J188" s="27"/>
      <c r="K188" s="28">
        <v>4</v>
      </c>
      <c r="L188" s="30">
        <f>SUM($G$188:$K$188)</f>
        <v>12.5</v>
      </c>
      <c r="M188" s="32">
        <f t="array" ref="M188">INDEX(Р[Цена за ед., руб],MATCH(1,IF(($B188=Р[Наименование])*($O188=Р[Примечание]),{1},($B188=Р[Наименование])*($O188=Р[Примечание])),0))</f>
        <v>0</v>
      </c>
      <c r="N188" s="32">
        <f>ROUND($L$188*$M$188,2)</f>
        <v>0</v>
      </c>
      <c r="O188" s="25"/>
      <c r="P188" s="25"/>
    </row>
    <row r="189" spans="1:16" outlineLevel="4" x14ac:dyDescent="0.2">
      <c r="A189" s="20"/>
      <c r="B189" s="14" t="s">
        <v>27</v>
      </c>
      <c r="C189" s="21"/>
      <c r="D189" s="21"/>
      <c r="E189" s="21"/>
      <c r="F189" s="21"/>
      <c r="G189" s="21"/>
      <c r="H189" s="21"/>
      <c r="I189" s="21"/>
      <c r="J189" s="21"/>
      <c r="K189" s="21"/>
      <c r="L189" s="21"/>
      <c r="M189" s="64"/>
      <c r="N189" s="65">
        <f>SUM($N$190)</f>
        <v>0</v>
      </c>
      <c r="O189" s="18"/>
      <c r="P189" s="22"/>
    </row>
    <row r="190" spans="1:16" ht="22.5" outlineLevel="4" x14ac:dyDescent="0.2">
      <c r="A190" s="84" t="s">
        <v>28</v>
      </c>
      <c r="B190" s="24" t="s">
        <v>95</v>
      </c>
      <c r="C190" s="25"/>
      <c r="D190" s="25" t="s">
        <v>96</v>
      </c>
      <c r="E190" s="26" t="s">
        <v>31</v>
      </c>
      <c r="F190" s="27"/>
      <c r="G190" s="27"/>
      <c r="H190" s="30">
        <v>4.5</v>
      </c>
      <c r="I190" s="28">
        <v>4</v>
      </c>
      <c r="J190" s="27"/>
      <c r="K190" s="28">
        <v>4</v>
      </c>
      <c r="L190" s="30">
        <f>SUM($G$190:$K$190)</f>
        <v>12.5</v>
      </c>
      <c r="M190" s="32">
        <f t="array" ref="M190">INDEX(М[Цена за ед., руб],MATCH(1,IF(($B190=М[Наим.])*($C190=М[Артикул, марка, произв.])*($D190=М[Хар-ка])*($O190=М[Прим.]),{1},($B190=М[Наим.])*($C190=М[Артикул, марка, произв.])*($D190=М[Хар-ка])*($O190=М[Прим.])),0))</f>
        <v>0</v>
      </c>
      <c r="N190" s="32">
        <f>ROUND($L$190*$M$190,2)</f>
        <v>0</v>
      </c>
      <c r="O190" s="25"/>
      <c r="P190" s="25">
        <f t="array" ref="P190">INDEX(М[Форма закупа],MATCH(1,IF(($B190=М[Наим.])*($C190=М[Артикул, марка, произв.])*($D190=М[Хар-ка])*($O190=М[Прим.]),{1},($B190=М[Наим.])*($C190=М[Артикул, марка, произв.])*($D190=М[Хар-ка])*($O190=М[Прим.])),0))</f>
        <v>0</v>
      </c>
    </row>
    <row r="191" spans="1:16" outlineLevel="4" x14ac:dyDescent="0.2">
      <c r="A191" s="20"/>
      <c r="B191" s="14" t="s">
        <v>21</v>
      </c>
      <c r="C191" s="21"/>
      <c r="D191" s="21"/>
      <c r="E191" s="21"/>
      <c r="F191" s="21"/>
      <c r="G191" s="21"/>
      <c r="H191" s="21"/>
      <c r="I191" s="21"/>
      <c r="J191" s="21"/>
      <c r="K191" s="21"/>
      <c r="L191" s="21"/>
      <c r="M191" s="64"/>
      <c r="N191" s="65">
        <f>SUM($N$192)</f>
        <v>0</v>
      </c>
      <c r="O191" s="18"/>
      <c r="P191" s="22"/>
    </row>
    <row r="192" spans="1:16" outlineLevel="4" x14ac:dyDescent="0.2">
      <c r="A192" s="23"/>
      <c r="B192" s="24" t="s">
        <v>114</v>
      </c>
      <c r="C192" s="25"/>
      <c r="D192" s="25"/>
      <c r="E192" s="26" t="s">
        <v>26</v>
      </c>
      <c r="F192" s="27"/>
      <c r="G192" s="28">
        <v>110</v>
      </c>
      <c r="H192" s="28">
        <v>120</v>
      </c>
      <c r="I192" s="28">
        <v>82</v>
      </c>
      <c r="J192" s="28">
        <v>78</v>
      </c>
      <c r="K192" s="28">
        <v>121</v>
      </c>
      <c r="L192" s="28">
        <f>SUM($G$192:$K$192)</f>
        <v>511</v>
      </c>
      <c r="M192" s="32">
        <f t="array" ref="M192">INDEX(Р[Цена за ед., руб],MATCH(1,IF(($B192=Р[Наименование])*($O192=Р[Примечание]),{1},($B192=Р[Наименование])*($O192=Р[Примечание])),0))</f>
        <v>0</v>
      </c>
      <c r="N192" s="32">
        <f>ROUND($L$192*$M$192,2)</f>
        <v>0</v>
      </c>
      <c r="O192" s="25"/>
      <c r="P192" s="25"/>
    </row>
    <row r="193" spans="1:16" outlineLevel="4" x14ac:dyDescent="0.2">
      <c r="A193" s="20"/>
      <c r="B193" s="14" t="s">
        <v>27</v>
      </c>
      <c r="C193" s="21"/>
      <c r="D193" s="21"/>
      <c r="E193" s="21"/>
      <c r="F193" s="21"/>
      <c r="G193" s="21"/>
      <c r="H193" s="21"/>
      <c r="I193" s="21"/>
      <c r="J193" s="21"/>
      <c r="K193" s="21"/>
      <c r="L193" s="21"/>
      <c r="M193" s="64"/>
      <c r="N193" s="65">
        <f>SUM($N$194)</f>
        <v>0</v>
      </c>
      <c r="O193" s="18"/>
      <c r="P193" s="22"/>
    </row>
    <row r="194" spans="1:16" ht="22.5" outlineLevel="4" x14ac:dyDescent="0.2">
      <c r="A194" s="84" t="s">
        <v>28</v>
      </c>
      <c r="B194" s="24" t="s">
        <v>115</v>
      </c>
      <c r="C194" s="25"/>
      <c r="D194" s="25" t="s">
        <v>144</v>
      </c>
      <c r="E194" s="26" t="s">
        <v>31</v>
      </c>
      <c r="F194" s="27"/>
      <c r="G194" s="28">
        <v>110</v>
      </c>
      <c r="H194" s="28">
        <v>120</v>
      </c>
      <c r="I194" s="28">
        <v>82</v>
      </c>
      <c r="J194" s="28">
        <v>78</v>
      </c>
      <c r="K194" s="28">
        <v>121</v>
      </c>
      <c r="L194" s="28">
        <f>SUM($G$194:$K$194)</f>
        <v>511</v>
      </c>
      <c r="M194" s="32">
        <f t="array" ref="M194">INDEX(М[Цена за ед., руб],MATCH(1,IF(($B194=М[Наим.])*($C194=М[Артикул, марка, произв.])*($D194=М[Хар-ка])*($O194=М[Прим.]),{1},($B194=М[Наим.])*($C194=М[Артикул, марка, произв.])*($D194=М[Хар-ка])*($O194=М[Прим.])),0))</f>
        <v>0</v>
      </c>
      <c r="N194" s="32">
        <f>ROUND($L$194*$M$194,2)</f>
        <v>0</v>
      </c>
      <c r="O194" s="25"/>
      <c r="P194" s="25">
        <f t="array" ref="P194">INDEX(М[Форма закупа],MATCH(1,IF(($B194=М[Наим.])*($C194=М[Артикул, марка, произв.])*($D194=М[Хар-ка])*($O194=М[Прим.]),{1},($B194=М[Наим.])*($C194=М[Артикул, марка, произв.])*($D194=М[Хар-ка])*($O194=М[Прим.])),0))</f>
        <v>0</v>
      </c>
    </row>
    <row r="195" spans="1:16" outlineLevel="4" x14ac:dyDescent="0.2">
      <c r="A195" s="20"/>
      <c r="B195" s="14" t="s">
        <v>21</v>
      </c>
      <c r="C195" s="21"/>
      <c r="D195" s="21"/>
      <c r="E195" s="21"/>
      <c r="F195" s="21"/>
      <c r="G195" s="21"/>
      <c r="H195" s="21"/>
      <c r="I195" s="21"/>
      <c r="J195" s="21"/>
      <c r="K195" s="21"/>
      <c r="L195" s="21"/>
      <c r="M195" s="64"/>
      <c r="N195" s="65">
        <f>SUM($N$196)</f>
        <v>0</v>
      </c>
      <c r="O195" s="18"/>
      <c r="P195" s="22"/>
    </row>
    <row r="196" spans="1:16" outlineLevel="4" x14ac:dyDescent="0.2">
      <c r="A196" s="23"/>
      <c r="B196" s="24" t="s">
        <v>145</v>
      </c>
      <c r="C196" s="25"/>
      <c r="D196" s="25"/>
      <c r="E196" s="26" t="s">
        <v>31</v>
      </c>
      <c r="F196" s="27"/>
      <c r="G196" s="27"/>
      <c r="H196" s="27"/>
      <c r="I196" s="28">
        <v>6</v>
      </c>
      <c r="J196" s="27"/>
      <c r="K196" s="27"/>
      <c r="L196" s="28">
        <f>SUM($G$196:$K$196)</f>
        <v>6</v>
      </c>
      <c r="M196" s="32">
        <f t="array" ref="M196">INDEX(Р[Цена за ед., руб],MATCH(1,IF(($B196=Р[Наименование])*($O196=Р[Примечание]),{1},($B196=Р[Наименование])*($O196=Р[Примечание])),0))</f>
        <v>0</v>
      </c>
      <c r="N196" s="32">
        <f>ROUND($L$196*$M$196,2)</f>
        <v>0</v>
      </c>
      <c r="O196" s="25"/>
      <c r="P196" s="25"/>
    </row>
    <row r="197" spans="1:16" outlineLevel="4" x14ac:dyDescent="0.2">
      <c r="A197" s="20"/>
      <c r="B197" s="14" t="s">
        <v>27</v>
      </c>
      <c r="C197" s="21"/>
      <c r="D197" s="21"/>
      <c r="E197" s="21"/>
      <c r="F197" s="21"/>
      <c r="G197" s="21"/>
      <c r="H197" s="21"/>
      <c r="I197" s="21"/>
      <c r="J197" s="21"/>
      <c r="K197" s="21"/>
      <c r="L197" s="21"/>
      <c r="M197" s="64"/>
      <c r="N197" s="65">
        <f>SUM($N$198)</f>
        <v>0</v>
      </c>
      <c r="O197" s="18"/>
      <c r="P197" s="22"/>
    </row>
    <row r="198" spans="1:16" ht="22.5" outlineLevel="4" x14ac:dyDescent="0.2">
      <c r="A198" s="84" t="s">
        <v>28</v>
      </c>
      <c r="B198" s="24" t="s">
        <v>146</v>
      </c>
      <c r="C198" s="25"/>
      <c r="D198" s="25" t="s">
        <v>147</v>
      </c>
      <c r="E198" s="26" t="s">
        <v>31</v>
      </c>
      <c r="F198" s="27"/>
      <c r="G198" s="27"/>
      <c r="H198" s="27"/>
      <c r="I198" s="28">
        <v>6</v>
      </c>
      <c r="J198" s="27"/>
      <c r="K198" s="27"/>
      <c r="L198" s="28">
        <f>SUM($G$198:$K$198)</f>
        <v>6</v>
      </c>
      <c r="M198" s="32">
        <f t="array" ref="M198">INDEX(М[Цена за ед., руб],MATCH(1,IF(($B198=М[Наим.])*($C198=М[Артикул, марка, произв.])*($D198=М[Хар-ка])*($O198=М[Прим.]),{1},($B198=М[Наим.])*($C198=М[Артикул, марка, произв.])*($D198=М[Хар-ка])*($O198=М[Прим.])),0))</f>
        <v>0</v>
      </c>
      <c r="N198" s="32">
        <f>ROUND($L$198*$M$198,2)</f>
        <v>0</v>
      </c>
      <c r="O198" s="25"/>
      <c r="P198" s="25">
        <f t="array" ref="P198">INDEX(М[Форма закупа],MATCH(1,IF(($B198=М[Наим.])*($C198=М[Артикул, марка, произв.])*($D198=М[Хар-ка])*($O198=М[Прим.]),{1},($B198=М[Наим.])*($C198=М[Артикул, марка, произв.])*($D198=М[Хар-ка])*($O198=М[Прим.])),0))</f>
        <v>0</v>
      </c>
    </row>
    <row r="199" spans="1:16" outlineLevel="4" x14ac:dyDescent="0.2">
      <c r="A199" s="20"/>
      <c r="B199" s="14" t="s">
        <v>21</v>
      </c>
      <c r="C199" s="21"/>
      <c r="D199" s="21"/>
      <c r="E199" s="21"/>
      <c r="F199" s="21"/>
      <c r="G199" s="21"/>
      <c r="H199" s="21"/>
      <c r="I199" s="21"/>
      <c r="J199" s="21"/>
      <c r="K199" s="21"/>
      <c r="L199" s="21"/>
      <c r="M199" s="64"/>
      <c r="N199" s="65">
        <f>SUM($N$200)</f>
        <v>0</v>
      </c>
      <c r="O199" s="18"/>
      <c r="P199" s="22"/>
    </row>
    <row r="200" spans="1:16" outlineLevel="4" x14ac:dyDescent="0.2">
      <c r="A200" s="23"/>
      <c r="B200" s="24" t="s">
        <v>148</v>
      </c>
      <c r="C200" s="25"/>
      <c r="D200" s="25"/>
      <c r="E200" s="26" t="s">
        <v>31</v>
      </c>
      <c r="F200" s="27"/>
      <c r="G200" s="27"/>
      <c r="H200" s="30">
        <v>65.5</v>
      </c>
      <c r="I200" s="31">
        <v>116.98</v>
      </c>
      <c r="J200" s="28">
        <v>48</v>
      </c>
      <c r="K200" s="31">
        <v>217.32</v>
      </c>
      <c r="L200" s="30">
        <f>SUM($G$200:$K$200)</f>
        <v>447.8</v>
      </c>
      <c r="M200" s="32">
        <f t="array" ref="M200">INDEX(Р[Цена за ед., руб],MATCH(1,IF(($B200=Р[Наименование])*($O200=Р[Примечание]),{1},($B200=Р[Наименование])*($O200=Р[Примечание])),0))</f>
        <v>0</v>
      </c>
      <c r="N200" s="32">
        <f>ROUND($L$200*$M$200,2)</f>
        <v>0</v>
      </c>
      <c r="O200" s="25"/>
      <c r="P200" s="25"/>
    </row>
    <row r="201" spans="1:16" outlineLevel="4" x14ac:dyDescent="0.2">
      <c r="A201" s="20"/>
      <c r="B201" s="14" t="s">
        <v>27</v>
      </c>
      <c r="C201" s="21"/>
      <c r="D201" s="21"/>
      <c r="E201" s="21"/>
      <c r="F201" s="21"/>
      <c r="G201" s="21"/>
      <c r="H201" s="21"/>
      <c r="I201" s="21"/>
      <c r="J201" s="21"/>
      <c r="K201" s="21"/>
      <c r="L201" s="21"/>
      <c r="M201" s="64"/>
      <c r="N201" s="65">
        <f>SUM($N$202:$N$204)</f>
        <v>0</v>
      </c>
      <c r="O201" s="18"/>
      <c r="P201" s="22"/>
    </row>
    <row r="202" spans="1:16" ht="22.5" outlineLevel="4" x14ac:dyDescent="0.2">
      <c r="A202" s="84" t="s">
        <v>28</v>
      </c>
      <c r="B202" s="24" t="s">
        <v>149</v>
      </c>
      <c r="C202" s="25"/>
      <c r="D202" s="25" t="s">
        <v>150</v>
      </c>
      <c r="E202" s="26" t="s">
        <v>31</v>
      </c>
      <c r="F202" s="27"/>
      <c r="G202" s="27"/>
      <c r="H202" s="30">
        <v>0.5</v>
      </c>
      <c r="I202" s="31">
        <v>1.98</v>
      </c>
      <c r="J202" s="27"/>
      <c r="K202" s="31">
        <v>1.32</v>
      </c>
      <c r="L202" s="30">
        <f>SUM($G$202:$K$202)</f>
        <v>3.8</v>
      </c>
      <c r="M202" s="32">
        <f t="array" ref="M202">INDEX(М[Цена за ед., руб],MATCH(1,IF(($B202=М[Наим.])*($C202=М[Артикул, марка, произв.])*($D202=М[Хар-ка])*($O202=М[Прим.]),{1},($B202=М[Наим.])*($C202=М[Артикул, марка, произв.])*($D202=М[Хар-ка])*($O202=М[Прим.])),0))</f>
        <v>0</v>
      </c>
      <c r="N202" s="32">
        <f>ROUND($L$202*$M$202,2)</f>
        <v>0</v>
      </c>
      <c r="O202" s="25" t="s">
        <v>151</v>
      </c>
      <c r="P202" s="25">
        <f t="array" ref="P202">INDEX(М[Форма закупа],MATCH(1,IF(($B202=М[Наим.])*($C202=М[Артикул, марка, произв.])*($D202=М[Хар-ка])*($O202=М[Прим.]),{1},($B202=М[Наим.])*($C202=М[Артикул, марка, произв.])*($D202=М[Хар-ка])*($O202=М[Прим.])),0))</f>
        <v>0</v>
      </c>
    </row>
    <row r="203" spans="1:16" ht="22.5" outlineLevel="4" x14ac:dyDescent="0.2">
      <c r="A203" s="84" t="s">
        <v>32</v>
      </c>
      <c r="B203" s="24" t="s">
        <v>149</v>
      </c>
      <c r="C203" s="25"/>
      <c r="D203" s="25" t="s">
        <v>152</v>
      </c>
      <c r="E203" s="26" t="s">
        <v>31</v>
      </c>
      <c r="F203" s="27"/>
      <c r="G203" s="27"/>
      <c r="H203" s="27"/>
      <c r="I203" s="28">
        <v>4</v>
      </c>
      <c r="J203" s="27"/>
      <c r="K203" s="27"/>
      <c r="L203" s="28">
        <f>SUM($G$203:$K$203)</f>
        <v>4</v>
      </c>
      <c r="M203" s="32">
        <f t="array" ref="M203">INDEX(М[Цена за ед., руб],MATCH(1,IF(($B203=М[Наим.])*($C203=М[Артикул, марка, произв.])*($D203=М[Хар-ка])*($O203=М[Прим.]),{1},($B203=М[Наим.])*($C203=М[Артикул, марка, произв.])*($D203=М[Хар-ка])*($O203=М[Прим.])),0))</f>
        <v>0</v>
      </c>
      <c r="N203" s="32">
        <f>ROUND($L$203*$M$203,2)</f>
        <v>0</v>
      </c>
      <c r="O203" s="25"/>
      <c r="P203" s="25">
        <f t="array" ref="P203">INDEX(М[Форма закупа],MATCH(1,IF(($B203=М[Наим.])*($C203=М[Артикул, марка, произв.])*($D203=М[Хар-ка])*($O203=М[Прим.]),{1},($B203=М[Наим.])*($C203=М[Артикул, марка, произв.])*($D203=М[Хар-ка])*($O203=М[Прим.])),0))</f>
        <v>0</v>
      </c>
    </row>
    <row r="204" spans="1:16" ht="22.5" outlineLevel="4" x14ac:dyDescent="0.2">
      <c r="A204" s="84" t="s">
        <v>34</v>
      </c>
      <c r="B204" s="24" t="s">
        <v>149</v>
      </c>
      <c r="C204" s="25"/>
      <c r="D204" s="25" t="s">
        <v>153</v>
      </c>
      <c r="E204" s="26" t="s">
        <v>31</v>
      </c>
      <c r="F204" s="27"/>
      <c r="G204" s="27"/>
      <c r="H204" s="28">
        <v>65</v>
      </c>
      <c r="I204" s="28">
        <v>111</v>
      </c>
      <c r="J204" s="28">
        <v>48</v>
      </c>
      <c r="K204" s="28">
        <v>216</v>
      </c>
      <c r="L204" s="28">
        <f>SUM($G$204:$K$204)</f>
        <v>440</v>
      </c>
      <c r="M204" s="32">
        <f t="array" ref="M204">INDEX(М[Цена за ед., руб],MATCH(1,IF(($B204=М[Наим.])*($C204=М[Артикул, марка, произв.])*($D204=М[Хар-ка])*($O204=М[Прим.]),{1},($B204=М[Наим.])*($C204=М[Артикул, марка, произв.])*($D204=М[Хар-ка])*($O204=М[Прим.])),0))</f>
        <v>0</v>
      </c>
      <c r="N204" s="32">
        <f>ROUND($L$204*$M$204,2)</f>
        <v>0</v>
      </c>
      <c r="O204" s="25"/>
      <c r="P204" s="25">
        <f t="array" ref="P204">INDEX(М[Форма закупа],MATCH(1,IF(($B204=М[Наим.])*($C204=М[Артикул, марка, произв.])*($D204=М[Хар-ка])*($O204=М[Прим.]),{1},($B204=М[Наим.])*($C204=М[Артикул, марка, произв.])*($D204=М[Хар-ка])*($O204=М[Прим.])),0))</f>
        <v>0</v>
      </c>
    </row>
    <row r="205" spans="1:16" outlineLevel="4" x14ac:dyDescent="0.2">
      <c r="A205" s="20"/>
      <c r="B205" s="14" t="s">
        <v>21</v>
      </c>
      <c r="C205" s="21"/>
      <c r="D205" s="21"/>
      <c r="E205" s="21"/>
      <c r="F205" s="21"/>
      <c r="G205" s="21"/>
      <c r="H205" s="21"/>
      <c r="I205" s="21"/>
      <c r="J205" s="21"/>
      <c r="K205" s="21"/>
      <c r="L205" s="21"/>
      <c r="M205" s="64"/>
      <c r="N205" s="65">
        <f>SUM($N$206)</f>
        <v>0</v>
      </c>
      <c r="O205" s="18"/>
      <c r="P205" s="22"/>
    </row>
    <row r="206" spans="1:16" outlineLevel="4" x14ac:dyDescent="0.2">
      <c r="A206" s="23"/>
      <c r="B206" s="24" t="s">
        <v>67</v>
      </c>
      <c r="C206" s="25"/>
      <c r="D206" s="25"/>
      <c r="E206" s="26" t="s">
        <v>31</v>
      </c>
      <c r="F206" s="27"/>
      <c r="G206" s="27"/>
      <c r="H206" s="28">
        <v>6</v>
      </c>
      <c r="I206" s="27"/>
      <c r="J206" s="27"/>
      <c r="K206" s="27"/>
      <c r="L206" s="28">
        <f>SUM($G$206:$K$206)</f>
        <v>6</v>
      </c>
      <c r="M206" s="32">
        <f t="array" ref="M206">INDEX(Р[Цена за ед., руб],MATCH(1,IF(($B206=Р[Наименование])*($O206=Р[Примечание]),{1},($B206=Р[Наименование])*($O206=Р[Примечание])),0))</f>
        <v>0</v>
      </c>
      <c r="N206" s="32">
        <f>ROUND($L$206*$M$206,2)</f>
        <v>0</v>
      </c>
      <c r="O206" s="25"/>
      <c r="P206" s="25"/>
    </row>
    <row r="207" spans="1:16" outlineLevel="4" x14ac:dyDescent="0.2">
      <c r="A207" s="20"/>
      <c r="B207" s="14" t="s">
        <v>27</v>
      </c>
      <c r="C207" s="21"/>
      <c r="D207" s="21"/>
      <c r="E207" s="21"/>
      <c r="F207" s="21"/>
      <c r="G207" s="21"/>
      <c r="H207" s="21"/>
      <c r="I207" s="21"/>
      <c r="J207" s="21"/>
      <c r="K207" s="21"/>
      <c r="L207" s="21"/>
      <c r="M207" s="64"/>
      <c r="N207" s="65">
        <f>SUM($N$208)</f>
        <v>0</v>
      </c>
      <c r="O207" s="18"/>
      <c r="P207" s="22"/>
    </row>
    <row r="208" spans="1:16" outlineLevel="4" x14ac:dyDescent="0.2">
      <c r="A208" s="84" t="s">
        <v>28</v>
      </c>
      <c r="B208" s="24" t="s">
        <v>68</v>
      </c>
      <c r="C208" s="25"/>
      <c r="D208" s="25" t="s">
        <v>69</v>
      </c>
      <c r="E208" s="26" t="s">
        <v>31</v>
      </c>
      <c r="F208" s="27"/>
      <c r="G208" s="27"/>
      <c r="H208" s="28">
        <v>6</v>
      </c>
      <c r="I208" s="27"/>
      <c r="J208" s="27"/>
      <c r="K208" s="27"/>
      <c r="L208" s="28">
        <f>SUM($G$208:$K$208)</f>
        <v>6</v>
      </c>
      <c r="M208" s="32">
        <f t="array" ref="M208">INDEX(М[Цена за ед., руб],MATCH(1,IF(($B208=М[Наим.])*($C208=М[Артикул, марка, произв.])*($D208=М[Хар-ка])*($O208=М[Прим.]),{1},($B208=М[Наим.])*($C208=М[Артикул, марка, произв.])*($D208=М[Хар-ка])*($O208=М[Прим.])),0))</f>
        <v>0</v>
      </c>
      <c r="N208" s="32">
        <f>ROUND($L$208*$M$208,2)</f>
        <v>0</v>
      </c>
      <c r="O208" s="25"/>
      <c r="P208" s="25">
        <f t="array" ref="P208">INDEX(М[Форма закупа],MATCH(1,IF(($B208=М[Наим.])*($C208=М[Артикул, марка, произв.])*($D208=М[Хар-ка])*($O208=М[Прим.]),{1},($B208=М[Наим.])*($C208=М[Артикул, марка, произв.])*($D208=М[Хар-ка])*($O208=М[Прим.])),0))</f>
        <v>0</v>
      </c>
    </row>
    <row r="209" spans="1:16" outlineLevel="2" x14ac:dyDescent="0.2">
      <c r="A209" s="13" t="s">
        <v>154</v>
      </c>
      <c r="B209" s="14" t="s">
        <v>155</v>
      </c>
      <c r="C209" s="15"/>
      <c r="D209" s="15"/>
      <c r="E209" s="16"/>
      <c r="F209" s="17"/>
      <c r="G209" s="18"/>
      <c r="H209" s="18"/>
      <c r="I209" s="18"/>
      <c r="J209" s="18"/>
      <c r="K209" s="18"/>
      <c r="L209" s="18"/>
      <c r="M209" s="63"/>
      <c r="N209" s="63">
        <f>SUM($N$210)</f>
        <v>0</v>
      </c>
      <c r="O209" s="19"/>
      <c r="P209" s="19"/>
    </row>
    <row r="210" spans="1:16" outlineLevel="3" x14ac:dyDescent="0.2">
      <c r="A210" s="13" t="s">
        <v>156</v>
      </c>
      <c r="B210" s="14" t="s">
        <v>155</v>
      </c>
      <c r="C210" s="15"/>
      <c r="D210" s="15"/>
      <c r="E210" s="16"/>
      <c r="F210" s="17"/>
      <c r="G210" s="18"/>
      <c r="H210" s="18"/>
      <c r="I210" s="18"/>
      <c r="J210" s="18"/>
      <c r="K210" s="18"/>
      <c r="L210" s="18"/>
      <c r="M210" s="63"/>
      <c r="N210" s="63">
        <f>SUM(,$N$237,$N$235,$N$232,$N$230,$N$228,$N$226,$N$224,$N$222,$N$219,$N$217,$N$215,$N$213,$N$211)</f>
        <v>0</v>
      </c>
      <c r="O210" s="19"/>
      <c r="P210" s="19"/>
    </row>
    <row r="211" spans="1:16" outlineLevel="4" x14ac:dyDescent="0.2">
      <c r="A211" s="20"/>
      <c r="B211" s="14" t="s">
        <v>21</v>
      </c>
      <c r="C211" s="21"/>
      <c r="D211" s="21"/>
      <c r="E211" s="21"/>
      <c r="F211" s="21"/>
      <c r="G211" s="21"/>
      <c r="H211" s="21"/>
      <c r="I211" s="21"/>
      <c r="J211" s="21"/>
      <c r="K211" s="21"/>
      <c r="L211" s="21"/>
      <c r="M211" s="64"/>
      <c r="N211" s="65">
        <f>SUM($N$212)</f>
        <v>0</v>
      </c>
      <c r="O211" s="18"/>
      <c r="P211" s="22"/>
    </row>
    <row r="212" spans="1:16" outlineLevel="4" x14ac:dyDescent="0.2">
      <c r="A212" s="23"/>
      <c r="B212" s="24" t="s">
        <v>22</v>
      </c>
      <c r="C212" s="25"/>
      <c r="D212" s="25"/>
      <c r="E212" s="26" t="s">
        <v>23</v>
      </c>
      <c r="F212" s="27"/>
      <c r="G212" s="28">
        <v>1</v>
      </c>
      <c r="H212" s="28">
        <v>1</v>
      </c>
      <c r="I212" s="28">
        <v>3</v>
      </c>
      <c r="J212" s="28">
        <v>3</v>
      </c>
      <c r="K212" s="27"/>
      <c r="L212" s="28">
        <f>SUM($G$212:$K$212)</f>
        <v>8</v>
      </c>
      <c r="M212" s="32">
        <f t="array" ref="M212">INDEX(Р[Цена за ед., руб],MATCH(1,IF(($B212=Р[Наименование])*($O212=Р[Примечание]),{1},($B212=Р[Наименование])*($O212=Р[Примечание])),0))</f>
        <v>0</v>
      </c>
      <c r="N212" s="32">
        <f>ROUND($L$212*$M$212,2)</f>
        <v>0</v>
      </c>
      <c r="O212" s="25"/>
      <c r="P212" s="25"/>
    </row>
    <row r="213" spans="1:16" outlineLevel="4" x14ac:dyDescent="0.2">
      <c r="A213" s="20"/>
      <c r="B213" s="14" t="s">
        <v>21</v>
      </c>
      <c r="C213" s="21"/>
      <c r="D213" s="21"/>
      <c r="E213" s="21"/>
      <c r="F213" s="21"/>
      <c r="G213" s="21"/>
      <c r="H213" s="21"/>
      <c r="I213" s="21"/>
      <c r="J213" s="21"/>
      <c r="K213" s="21"/>
      <c r="L213" s="21"/>
      <c r="M213" s="64"/>
      <c r="N213" s="65">
        <f>SUM($N$214)</f>
        <v>0</v>
      </c>
      <c r="O213" s="18"/>
      <c r="P213" s="22"/>
    </row>
    <row r="214" spans="1:16" outlineLevel="4" x14ac:dyDescent="0.2">
      <c r="A214" s="23"/>
      <c r="B214" s="24" t="s">
        <v>42</v>
      </c>
      <c r="C214" s="25"/>
      <c r="D214" s="25"/>
      <c r="E214" s="26" t="s">
        <v>23</v>
      </c>
      <c r="F214" s="27"/>
      <c r="G214" s="28">
        <v>1</v>
      </c>
      <c r="H214" s="28">
        <v>1</v>
      </c>
      <c r="I214" s="28">
        <v>2</v>
      </c>
      <c r="J214" s="28">
        <v>1</v>
      </c>
      <c r="K214" s="28">
        <v>1</v>
      </c>
      <c r="L214" s="28">
        <f>SUM($G$214:$K$214)</f>
        <v>6</v>
      </c>
      <c r="M214" s="32">
        <f t="array" ref="M214">INDEX(Р[Цена за ед., руб],MATCH(1,IF(($B214=Р[Наименование])*($O214=Р[Примечание]),{1},($B214=Р[Наименование])*($O214=Р[Примечание])),0))</f>
        <v>0</v>
      </c>
      <c r="N214" s="32">
        <f>ROUND($L$214*$M$214,2)</f>
        <v>0</v>
      </c>
      <c r="O214" s="25"/>
      <c r="P214" s="25"/>
    </row>
    <row r="215" spans="1:16" outlineLevel="4" x14ac:dyDescent="0.2">
      <c r="A215" s="20"/>
      <c r="B215" s="14" t="s">
        <v>27</v>
      </c>
      <c r="C215" s="21"/>
      <c r="D215" s="21"/>
      <c r="E215" s="21"/>
      <c r="F215" s="21"/>
      <c r="G215" s="21"/>
      <c r="H215" s="21"/>
      <c r="I215" s="21"/>
      <c r="J215" s="21"/>
      <c r="K215" s="21"/>
      <c r="L215" s="21"/>
      <c r="M215" s="64"/>
      <c r="N215" s="65">
        <f>SUM($N$216)</f>
        <v>0</v>
      </c>
      <c r="O215" s="18"/>
      <c r="P215" s="22"/>
    </row>
    <row r="216" spans="1:16" outlineLevel="4" x14ac:dyDescent="0.2">
      <c r="A216" s="23" t="s">
        <v>28</v>
      </c>
      <c r="B216" s="24" t="s">
        <v>43</v>
      </c>
      <c r="C216" s="25"/>
      <c r="D216" s="25" t="s">
        <v>45</v>
      </c>
      <c r="E216" s="26" t="s">
        <v>23</v>
      </c>
      <c r="F216" s="27"/>
      <c r="G216" s="28">
        <v>1</v>
      </c>
      <c r="H216" s="28">
        <v>1</v>
      </c>
      <c r="I216" s="28">
        <v>2</v>
      </c>
      <c r="J216" s="28">
        <v>1</v>
      </c>
      <c r="K216" s="28">
        <v>1</v>
      </c>
      <c r="L216" s="28">
        <f>SUM($G$216:$K$216)</f>
        <v>6</v>
      </c>
      <c r="M216" s="32">
        <f t="array" ref="M216">INDEX(М[Цена за ед., руб],MATCH(1,IF(($B216=М[Наим.])*($C216=М[Артикул, марка, произв.])*($D216=М[Хар-ка])*($O216=М[Прим.]),{1},($B216=М[Наим.])*($C216=М[Артикул, марка, произв.])*($D216=М[Хар-ка])*($O216=М[Прим.])),0))</f>
        <v>0</v>
      </c>
      <c r="N216" s="32">
        <f>ROUND($L$216*$M$216,2)</f>
        <v>0</v>
      </c>
      <c r="O216" s="25"/>
      <c r="P216" s="25">
        <f t="array" ref="P216">INDEX(М[Форма закупа],MATCH(1,IF(($B216=М[Наим.])*($C216=М[Артикул, марка, произв.])*($D216=М[Хар-ка])*($O216=М[Прим.]),{1},($B216=М[Наим.])*($C216=М[Артикул, марка, произв.])*($D216=М[Хар-ка])*($O216=М[Прим.])),0))</f>
        <v>0</v>
      </c>
    </row>
    <row r="217" spans="1:16" outlineLevel="4" x14ac:dyDescent="0.2">
      <c r="A217" s="20"/>
      <c r="B217" s="14" t="s">
        <v>21</v>
      </c>
      <c r="C217" s="21"/>
      <c r="D217" s="21"/>
      <c r="E217" s="21"/>
      <c r="F217" s="21"/>
      <c r="G217" s="21"/>
      <c r="H217" s="21"/>
      <c r="I217" s="21"/>
      <c r="J217" s="21"/>
      <c r="K217" s="21"/>
      <c r="L217" s="21"/>
      <c r="M217" s="64"/>
      <c r="N217" s="65">
        <f>SUM($N$218)</f>
        <v>0</v>
      </c>
      <c r="O217" s="18"/>
      <c r="P217" s="22"/>
    </row>
    <row r="218" spans="1:16" ht="22.5" outlineLevel="4" x14ac:dyDescent="0.2">
      <c r="A218" s="23"/>
      <c r="B218" s="24" t="s">
        <v>57</v>
      </c>
      <c r="C218" s="25"/>
      <c r="D218" s="25"/>
      <c r="E218" s="26" t="s">
        <v>26</v>
      </c>
      <c r="F218" s="27"/>
      <c r="G218" s="28">
        <v>7</v>
      </c>
      <c r="H218" s="28">
        <v>7</v>
      </c>
      <c r="I218" s="28">
        <v>11</v>
      </c>
      <c r="J218" s="28">
        <v>15</v>
      </c>
      <c r="K218" s="28">
        <v>7</v>
      </c>
      <c r="L218" s="28">
        <f>SUM($G$218:$K$218)</f>
        <v>47</v>
      </c>
      <c r="M218" s="32">
        <f t="array" ref="M218">INDEX(Р[Цена за ед., руб],MATCH(1,IF(($B218=Р[Наименование])*($O218=Р[Примечание]),{1},($B218=Р[Наименование])*($O218=Р[Примечание])),0))</f>
        <v>0</v>
      </c>
      <c r="N218" s="32">
        <f>ROUND($L$218*$M$218,2)</f>
        <v>0</v>
      </c>
      <c r="O218" s="25"/>
      <c r="P218" s="25"/>
    </row>
    <row r="219" spans="1:16" outlineLevel="4" x14ac:dyDescent="0.2">
      <c r="A219" s="20"/>
      <c r="B219" s="14" t="s">
        <v>27</v>
      </c>
      <c r="C219" s="21"/>
      <c r="D219" s="21"/>
      <c r="E219" s="21"/>
      <c r="F219" s="21"/>
      <c r="G219" s="21"/>
      <c r="H219" s="21"/>
      <c r="I219" s="21"/>
      <c r="J219" s="21"/>
      <c r="K219" s="21"/>
      <c r="L219" s="21"/>
      <c r="M219" s="64"/>
      <c r="N219" s="65">
        <f>SUM($N$220:$N$221)</f>
        <v>0</v>
      </c>
      <c r="O219" s="18"/>
      <c r="P219" s="22"/>
    </row>
    <row r="220" spans="1:16" ht="22.5" outlineLevel="4" x14ac:dyDescent="0.2">
      <c r="A220" s="84" t="s">
        <v>28</v>
      </c>
      <c r="B220" s="24" t="s">
        <v>58</v>
      </c>
      <c r="C220" s="25"/>
      <c r="D220" s="25" t="s">
        <v>59</v>
      </c>
      <c r="E220" s="26" t="s">
        <v>31</v>
      </c>
      <c r="F220" s="27"/>
      <c r="G220" s="28">
        <v>2</v>
      </c>
      <c r="H220" s="28">
        <v>2</v>
      </c>
      <c r="I220" s="28">
        <v>6</v>
      </c>
      <c r="J220" s="28">
        <v>8</v>
      </c>
      <c r="K220" s="28">
        <v>2</v>
      </c>
      <c r="L220" s="28">
        <f>SUM($G$220:$K$220)</f>
        <v>20</v>
      </c>
      <c r="M220" s="32">
        <f t="array" ref="M220">INDEX(М[Цена за ед., руб],MATCH(1,IF(($B220=М[Наим.])*($C220=М[Артикул, марка, произв.])*($D220=М[Хар-ка])*($O220=М[Прим.]),{1},($B220=М[Наим.])*($C220=М[Артикул, марка, произв.])*($D220=М[Хар-ка])*($O220=М[Прим.])),0))</f>
        <v>0</v>
      </c>
      <c r="N220" s="32">
        <f>ROUND($L$220*$M$220,2)</f>
        <v>0</v>
      </c>
      <c r="O220" s="25" t="s">
        <v>157</v>
      </c>
      <c r="P220" s="25">
        <f t="array" ref="P220">INDEX(М[Форма закупа],MATCH(1,IF(($B220=М[Наим.])*($C220=М[Артикул, марка, произв.])*($D220=М[Хар-ка])*($O220=М[Прим.]),{1},($B220=М[Наим.])*($C220=М[Артикул, марка, произв.])*($D220=М[Хар-ка])*($O220=М[Прим.])),0))</f>
        <v>0</v>
      </c>
    </row>
    <row r="221" spans="1:16" ht="22.5" outlineLevel="4" x14ac:dyDescent="0.2">
      <c r="A221" s="84" t="s">
        <v>32</v>
      </c>
      <c r="B221" s="24" t="s">
        <v>58</v>
      </c>
      <c r="C221" s="25"/>
      <c r="D221" s="25" t="s">
        <v>61</v>
      </c>
      <c r="E221" s="26" t="s">
        <v>31</v>
      </c>
      <c r="F221" s="27"/>
      <c r="G221" s="28">
        <v>5</v>
      </c>
      <c r="H221" s="28">
        <v>5</v>
      </c>
      <c r="I221" s="28">
        <v>5</v>
      </c>
      <c r="J221" s="28">
        <v>7</v>
      </c>
      <c r="K221" s="28">
        <v>5</v>
      </c>
      <c r="L221" s="28">
        <f>SUM($G$221:$K$221)</f>
        <v>27</v>
      </c>
      <c r="M221" s="32">
        <f t="array" ref="M221">INDEX(М[Цена за ед., руб],MATCH(1,IF(($B221=М[Наим.])*($C221=М[Артикул, марка, произв.])*($D221=М[Хар-ка])*($O221=М[Прим.]),{1},($B221=М[Наим.])*($C221=М[Артикул, марка, произв.])*($D221=М[Хар-ка])*($O221=М[Прим.])),0))</f>
        <v>0</v>
      </c>
      <c r="N221" s="32">
        <f>ROUND($L$221*$M$221,2)</f>
        <v>0</v>
      </c>
      <c r="O221" s="25" t="s">
        <v>158</v>
      </c>
      <c r="P221" s="25">
        <f t="array" ref="P221">INDEX(М[Форма закупа],MATCH(1,IF(($B221=М[Наим.])*($C221=М[Артикул, марка, произв.])*($D221=М[Хар-ка])*($O221=М[Прим.]),{1},($B221=М[Наим.])*($C221=М[Артикул, марка, произв.])*($D221=М[Хар-ка])*($O221=М[Прим.])),0))</f>
        <v>0</v>
      </c>
    </row>
    <row r="222" spans="1:16" outlineLevel="4" x14ac:dyDescent="0.2">
      <c r="A222" s="20"/>
      <c r="B222" s="14" t="s">
        <v>21</v>
      </c>
      <c r="C222" s="21"/>
      <c r="D222" s="21"/>
      <c r="E222" s="21"/>
      <c r="F222" s="21"/>
      <c r="G222" s="21"/>
      <c r="H222" s="21"/>
      <c r="I222" s="21"/>
      <c r="J222" s="21"/>
      <c r="K222" s="21"/>
      <c r="L222" s="21"/>
      <c r="M222" s="64"/>
      <c r="N222" s="65">
        <f>SUM($N$223)</f>
        <v>0</v>
      </c>
      <c r="O222" s="18"/>
      <c r="P222" s="22"/>
    </row>
    <row r="223" spans="1:16" outlineLevel="4" x14ac:dyDescent="0.2">
      <c r="A223" s="23"/>
      <c r="B223" s="24" t="s">
        <v>159</v>
      </c>
      <c r="C223" s="25"/>
      <c r="D223" s="25"/>
      <c r="E223" s="26" t="s">
        <v>23</v>
      </c>
      <c r="F223" s="27"/>
      <c r="G223" s="28">
        <v>1</v>
      </c>
      <c r="H223" s="28">
        <v>1</v>
      </c>
      <c r="I223" s="28">
        <v>3</v>
      </c>
      <c r="J223" s="28">
        <v>3</v>
      </c>
      <c r="K223" s="28">
        <v>1</v>
      </c>
      <c r="L223" s="28">
        <f>SUM($G$223:$K$223)</f>
        <v>9</v>
      </c>
      <c r="M223" s="32">
        <f t="array" ref="M223">INDEX(Р[Цена за ед., руб],MATCH(1,IF(($B223=Р[Наименование])*($O223=Р[Примечание]),{1},($B223=Р[Наименование])*($O223=Р[Примечание])),0))</f>
        <v>0</v>
      </c>
      <c r="N223" s="32">
        <f>ROUND($L$223*$M$223,2)</f>
        <v>0</v>
      </c>
      <c r="O223" s="25"/>
      <c r="P223" s="25"/>
    </row>
    <row r="224" spans="1:16" outlineLevel="4" x14ac:dyDescent="0.2">
      <c r="A224" s="20"/>
      <c r="B224" s="14" t="s">
        <v>27</v>
      </c>
      <c r="C224" s="21"/>
      <c r="D224" s="21"/>
      <c r="E224" s="21"/>
      <c r="F224" s="21"/>
      <c r="G224" s="21"/>
      <c r="H224" s="21"/>
      <c r="I224" s="21"/>
      <c r="J224" s="21"/>
      <c r="K224" s="21"/>
      <c r="L224" s="21"/>
      <c r="M224" s="64"/>
      <c r="N224" s="65">
        <f>SUM($N$225)</f>
        <v>0</v>
      </c>
      <c r="O224" s="18"/>
      <c r="P224" s="22"/>
    </row>
    <row r="225" spans="1:16" ht="22.5" outlineLevel="4" x14ac:dyDescent="0.2">
      <c r="A225" s="23" t="s">
        <v>28</v>
      </c>
      <c r="B225" s="24" t="s">
        <v>160</v>
      </c>
      <c r="C225" s="25"/>
      <c r="D225" s="25" t="s">
        <v>161</v>
      </c>
      <c r="E225" s="26" t="s">
        <v>23</v>
      </c>
      <c r="F225" s="27"/>
      <c r="G225" s="28">
        <v>1</v>
      </c>
      <c r="H225" s="28">
        <v>1</v>
      </c>
      <c r="I225" s="28">
        <v>3</v>
      </c>
      <c r="J225" s="28">
        <v>3</v>
      </c>
      <c r="K225" s="28">
        <v>1</v>
      </c>
      <c r="L225" s="28">
        <f>SUM($G$225:$K$225)</f>
        <v>9</v>
      </c>
      <c r="M225" s="32">
        <f t="array" ref="M225">INDEX(М[Цена за ед., руб],MATCH(1,IF(($B225=М[Наим.])*($C225=М[Артикул, марка, произв.])*($D225=М[Хар-ка])*($O225=М[Прим.]),{1},($B225=М[Наим.])*($C225=М[Артикул, марка, произв.])*($D225=М[Хар-ка])*($O225=М[Прим.])),0))</f>
        <v>0</v>
      </c>
      <c r="N225" s="32">
        <f>ROUND($L$225*$M$225,2)</f>
        <v>0</v>
      </c>
      <c r="O225" s="25" t="s">
        <v>162</v>
      </c>
      <c r="P225" s="25">
        <f t="array" ref="P225">INDEX(М[Форма закупа],MATCH(1,IF(($B225=М[Наим.])*($C225=М[Артикул, марка, произв.])*($D225=М[Хар-ка])*($O225=М[Прим.]),{1},($B225=М[Наим.])*($C225=М[Артикул, марка, произв.])*($D225=М[Хар-ка])*($O225=М[Прим.])),0))</f>
        <v>0</v>
      </c>
    </row>
    <row r="226" spans="1:16" outlineLevel="4" x14ac:dyDescent="0.2">
      <c r="A226" s="20"/>
      <c r="B226" s="14" t="s">
        <v>21</v>
      </c>
      <c r="C226" s="21"/>
      <c r="D226" s="21"/>
      <c r="E226" s="21"/>
      <c r="F226" s="21"/>
      <c r="G226" s="21"/>
      <c r="H226" s="21"/>
      <c r="I226" s="21"/>
      <c r="J226" s="21"/>
      <c r="K226" s="21"/>
      <c r="L226" s="21"/>
      <c r="M226" s="64"/>
      <c r="N226" s="65">
        <f>SUM($N$227)</f>
        <v>0</v>
      </c>
      <c r="O226" s="18"/>
      <c r="P226" s="22"/>
    </row>
    <row r="227" spans="1:16" outlineLevel="4" x14ac:dyDescent="0.2">
      <c r="A227" s="23"/>
      <c r="B227" s="24" t="s">
        <v>70</v>
      </c>
      <c r="C227" s="25"/>
      <c r="D227" s="25"/>
      <c r="E227" s="26" t="s">
        <v>23</v>
      </c>
      <c r="F227" s="27"/>
      <c r="G227" s="28">
        <v>1</v>
      </c>
      <c r="H227" s="28">
        <v>1</v>
      </c>
      <c r="I227" s="28">
        <v>1</v>
      </c>
      <c r="J227" s="28">
        <v>2</v>
      </c>
      <c r="K227" s="28">
        <v>1</v>
      </c>
      <c r="L227" s="28">
        <f>SUM($G$227:$K$227)</f>
        <v>6</v>
      </c>
      <c r="M227" s="32">
        <f t="array" ref="M227">INDEX(Р[Цена за ед., руб],MATCH(1,IF(($B227=Р[Наименование])*($O227=Р[Примечание]),{1},($B227=Р[Наименование])*($O227=Р[Примечание])),0))</f>
        <v>0</v>
      </c>
      <c r="N227" s="32">
        <f>ROUND($L$227*$M$227,2)</f>
        <v>0</v>
      </c>
      <c r="O227" s="25"/>
      <c r="P227" s="25"/>
    </row>
    <row r="228" spans="1:16" outlineLevel="4" x14ac:dyDescent="0.2">
      <c r="A228" s="20"/>
      <c r="B228" s="14" t="s">
        <v>27</v>
      </c>
      <c r="C228" s="21"/>
      <c r="D228" s="21"/>
      <c r="E228" s="21"/>
      <c r="F228" s="21"/>
      <c r="G228" s="21"/>
      <c r="H228" s="21"/>
      <c r="I228" s="21"/>
      <c r="J228" s="21"/>
      <c r="K228" s="21"/>
      <c r="L228" s="21"/>
      <c r="M228" s="64"/>
      <c r="N228" s="65">
        <f>SUM($N$229)</f>
        <v>0</v>
      </c>
      <c r="O228" s="18"/>
      <c r="P228" s="22"/>
    </row>
    <row r="229" spans="1:16" ht="22.5" outlineLevel="4" x14ac:dyDescent="0.2">
      <c r="A229" s="23" t="s">
        <v>28</v>
      </c>
      <c r="B229" s="24" t="s">
        <v>71</v>
      </c>
      <c r="C229" s="25"/>
      <c r="D229" s="25" t="s">
        <v>72</v>
      </c>
      <c r="E229" s="26" t="s">
        <v>23</v>
      </c>
      <c r="F229" s="27"/>
      <c r="G229" s="28">
        <v>1</v>
      </c>
      <c r="H229" s="28">
        <v>1</v>
      </c>
      <c r="I229" s="28">
        <v>1</v>
      </c>
      <c r="J229" s="28">
        <v>2</v>
      </c>
      <c r="K229" s="28">
        <v>1</v>
      </c>
      <c r="L229" s="28">
        <f>SUM($G$229:$K$229)</f>
        <v>6</v>
      </c>
      <c r="M229" s="32">
        <f t="array" ref="M229">INDEX(М[Цена за ед., руб],MATCH(1,IF(($B229=М[Наим.])*($C229=М[Артикул, марка, произв.])*($D229=М[Хар-ка])*($O229=М[Прим.]),{1},($B229=М[Наим.])*($C229=М[Артикул, марка, произв.])*($D229=М[Хар-ка])*($O229=М[Прим.])),0))</f>
        <v>0</v>
      </c>
      <c r="N229" s="32">
        <f>ROUND($L$229*$M$229,2)</f>
        <v>0</v>
      </c>
      <c r="O229" s="25" t="s">
        <v>157</v>
      </c>
      <c r="P229" s="25">
        <f t="array" ref="P229">INDEX(М[Форма закупа],MATCH(1,IF(($B229=М[Наим.])*($C229=М[Артикул, марка, произв.])*($D229=М[Хар-ка])*($O229=М[Прим.]),{1},($B229=М[Наим.])*($C229=М[Артикул, марка, произв.])*($D229=М[Хар-ка])*($O229=М[Прим.])),0))</f>
        <v>0</v>
      </c>
    </row>
    <row r="230" spans="1:16" outlineLevel="4" x14ac:dyDescent="0.2">
      <c r="A230" s="20"/>
      <c r="B230" s="14" t="s">
        <v>21</v>
      </c>
      <c r="C230" s="21"/>
      <c r="D230" s="21"/>
      <c r="E230" s="21"/>
      <c r="F230" s="21"/>
      <c r="G230" s="21"/>
      <c r="H230" s="21"/>
      <c r="I230" s="21"/>
      <c r="J230" s="21"/>
      <c r="K230" s="21"/>
      <c r="L230" s="21"/>
      <c r="M230" s="64"/>
      <c r="N230" s="65">
        <f>SUM($N$231)</f>
        <v>0</v>
      </c>
      <c r="O230" s="18"/>
      <c r="P230" s="22"/>
    </row>
    <row r="231" spans="1:16" outlineLevel="4" x14ac:dyDescent="0.2">
      <c r="A231" s="23"/>
      <c r="B231" s="24" t="s">
        <v>74</v>
      </c>
      <c r="C231" s="25"/>
      <c r="D231" s="25"/>
      <c r="E231" s="26" t="s">
        <v>23</v>
      </c>
      <c r="F231" s="27"/>
      <c r="G231" s="28">
        <v>2</v>
      </c>
      <c r="H231" s="28">
        <v>2</v>
      </c>
      <c r="I231" s="28">
        <v>4</v>
      </c>
      <c r="J231" s="28">
        <v>5</v>
      </c>
      <c r="K231" s="28">
        <v>2</v>
      </c>
      <c r="L231" s="28">
        <f>SUM($G$231:$K$231)</f>
        <v>15</v>
      </c>
      <c r="M231" s="32">
        <f t="array" ref="M231">INDEX(Р[Цена за ед., руб],MATCH(1,IF(($B231=Р[Наименование])*($O231=Р[Примечание]),{1},($B231=Р[Наименование])*($O231=Р[Примечание])),0))</f>
        <v>0</v>
      </c>
      <c r="N231" s="32">
        <f>ROUND($L$231*$M$231,2)</f>
        <v>0</v>
      </c>
      <c r="O231" s="25"/>
      <c r="P231" s="25"/>
    </row>
    <row r="232" spans="1:16" outlineLevel="4" x14ac:dyDescent="0.2">
      <c r="A232" s="20"/>
      <c r="B232" s="14" t="s">
        <v>27</v>
      </c>
      <c r="C232" s="21"/>
      <c r="D232" s="21"/>
      <c r="E232" s="21"/>
      <c r="F232" s="21"/>
      <c r="G232" s="21"/>
      <c r="H232" s="21"/>
      <c r="I232" s="21"/>
      <c r="J232" s="21"/>
      <c r="K232" s="21"/>
      <c r="L232" s="21"/>
      <c r="M232" s="64"/>
      <c r="N232" s="65">
        <f>SUM($N$233:$N$234)</f>
        <v>0</v>
      </c>
      <c r="O232" s="18"/>
      <c r="P232" s="22"/>
    </row>
    <row r="233" spans="1:16" ht="33.75" outlineLevel="4" x14ac:dyDescent="0.2">
      <c r="A233" s="23" t="s">
        <v>28</v>
      </c>
      <c r="B233" s="24" t="s">
        <v>75</v>
      </c>
      <c r="C233" s="25"/>
      <c r="D233" s="25" t="s">
        <v>76</v>
      </c>
      <c r="E233" s="26" t="s">
        <v>23</v>
      </c>
      <c r="F233" s="27"/>
      <c r="G233" s="28">
        <v>1</v>
      </c>
      <c r="H233" s="28">
        <v>1</v>
      </c>
      <c r="I233" s="28">
        <v>1</v>
      </c>
      <c r="J233" s="28">
        <v>2</v>
      </c>
      <c r="K233" s="28">
        <v>1</v>
      </c>
      <c r="L233" s="28">
        <f>SUM($G$233:$K$233)</f>
        <v>6</v>
      </c>
      <c r="M233" s="32">
        <f t="array" ref="M233">INDEX(М[Цена за ед., руб],MATCH(1,IF(($B233=М[Наим.])*($C233=М[Артикул, марка, произв.])*($D233=М[Хар-ка])*($O233=М[Прим.]),{1},($B233=М[Наим.])*($C233=М[Артикул, марка, произв.])*($D233=М[Хар-ка])*($O233=М[Прим.])),0))</f>
        <v>0</v>
      </c>
      <c r="N233" s="32">
        <f>ROUND($L$233*$M$233,2)</f>
        <v>0</v>
      </c>
      <c r="O233" s="25" t="s">
        <v>157</v>
      </c>
      <c r="P233" s="25">
        <f t="array" ref="P233">INDEX(М[Форма закупа],MATCH(1,IF(($B233=М[Наим.])*($C233=М[Артикул, марка, произв.])*($D233=М[Хар-ка])*($O233=М[Прим.]),{1},($B233=М[Наим.])*($C233=М[Артикул, марка, произв.])*($D233=М[Хар-ка])*($O233=М[Прим.])),0))</f>
        <v>0</v>
      </c>
    </row>
    <row r="234" spans="1:16" ht="33.75" outlineLevel="4" x14ac:dyDescent="0.2">
      <c r="A234" s="23" t="s">
        <v>32</v>
      </c>
      <c r="B234" s="24" t="s">
        <v>75</v>
      </c>
      <c r="C234" s="25"/>
      <c r="D234" s="25" t="s">
        <v>163</v>
      </c>
      <c r="E234" s="26" t="s">
        <v>23</v>
      </c>
      <c r="F234" s="27"/>
      <c r="G234" s="28">
        <v>1</v>
      </c>
      <c r="H234" s="28">
        <v>1</v>
      </c>
      <c r="I234" s="28">
        <v>3</v>
      </c>
      <c r="J234" s="28">
        <v>3</v>
      </c>
      <c r="K234" s="28">
        <v>1</v>
      </c>
      <c r="L234" s="28">
        <f>SUM($G$234:$K$234)</f>
        <v>9</v>
      </c>
      <c r="M234" s="32">
        <f t="array" ref="M234">INDEX(М[Цена за ед., руб],MATCH(1,IF(($B234=М[Наим.])*($C234=М[Артикул, марка, произв.])*($D234=М[Хар-ка])*($O234=М[Прим.]),{1},($B234=М[Наим.])*($C234=М[Артикул, марка, произв.])*($D234=М[Хар-ка])*($O234=М[Прим.])),0))</f>
        <v>0</v>
      </c>
      <c r="N234" s="32">
        <f>ROUND($L$234*$M$234,2)</f>
        <v>0</v>
      </c>
      <c r="O234" s="25" t="s">
        <v>162</v>
      </c>
      <c r="P234" s="25">
        <f t="array" ref="P234">INDEX(М[Форма закупа],MATCH(1,IF(($B234=М[Наим.])*($C234=М[Артикул, марка, произв.])*($D234=М[Хар-ка])*($O234=М[Прим.]),{1},($B234=М[Наим.])*($C234=М[Артикул, марка, произв.])*($D234=М[Хар-ка])*($O234=М[Прим.])),0))</f>
        <v>0</v>
      </c>
    </row>
    <row r="235" spans="1:16" outlineLevel="4" x14ac:dyDescent="0.2">
      <c r="A235" s="20"/>
      <c r="B235" s="14" t="s">
        <v>21</v>
      </c>
      <c r="C235" s="21"/>
      <c r="D235" s="21"/>
      <c r="E235" s="21"/>
      <c r="F235" s="21"/>
      <c r="G235" s="21"/>
      <c r="H235" s="21"/>
      <c r="I235" s="21"/>
      <c r="J235" s="21"/>
      <c r="K235" s="21"/>
      <c r="L235" s="21"/>
      <c r="M235" s="64"/>
      <c r="N235" s="65">
        <f>SUM($N$236)</f>
        <v>0</v>
      </c>
      <c r="O235" s="18"/>
      <c r="P235" s="22"/>
    </row>
    <row r="236" spans="1:16" outlineLevel="4" x14ac:dyDescent="0.2">
      <c r="A236" s="23"/>
      <c r="B236" s="24" t="s">
        <v>77</v>
      </c>
      <c r="C236" s="25"/>
      <c r="D236" s="25"/>
      <c r="E236" s="26" t="s">
        <v>23</v>
      </c>
      <c r="F236" s="27"/>
      <c r="G236" s="28">
        <v>1</v>
      </c>
      <c r="H236" s="28">
        <v>1</v>
      </c>
      <c r="I236" s="28">
        <v>1</v>
      </c>
      <c r="J236" s="28">
        <v>2</v>
      </c>
      <c r="K236" s="28">
        <v>1</v>
      </c>
      <c r="L236" s="28">
        <f>SUM($G$236:$K$236)</f>
        <v>6</v>
      </c>
      <c r="M236" s="32">
        <f t="array" ref="M236">INDEX(Р[Цена за ед., руб],MATCH(1,IF(($B236=Р[Наименование])*($O236=Р[Примечание]),{1},($B236=Р[Наименование])*($O236=Р[Примечание])),0))</f>
        <v>0</v>
      </c>
      <c r="N236" s="32">
        <f>ROUND($L$236*$M$236,2)</f>
        <v>0</v>
      </c>
      <c r="O236" s="25"/>
      <c r="P236" s="25"/>
    </row>
    <row r="237" spans="1:16" outlineLevel="4" x14ac:dyDescent="0.2">
      <c r="A237" s="20"/>
      <c r="B237" s="14" t="s">
        <v>27</v>
      </c>
      <c r="C237" s="21"/>
      <c r="D237" s="21"/>
      <c r="E237" s="21"/>
      <c r="F237" s="21"/>
      <c r="G237" s="21"/>
      <c r="H237" s="21"/>
      <c r="I237" s="21"/>
      <c r="J237" s="21"/>
      <c r="K237" s="21"/>
      <c r="L237" s="21"/>
      <c r="M237" s="64"/>
      <c r="N237" s="65">
        <f>SUM($N$238)</f>
        <v>0</v>
      </c>
      <c r="O237" s="18"/>
      <c r="P237" s="22"/>
    </row>
    <row r="238" spans="1:16" ht="22.5" outlineLevel="4" x14ac:dyDescent="0.2">
      <c r="A238" s="23" t="s">
        <v>28</v>
      </c>
      <c r="B238" s="24" t="s">
        <v>78</v>
      </c>
      <c r="C238" s="25"/>
      <c r="D238" s="25" t="s">
        <v>79</v>
      </c>
      <c r="E238" s="26" t="s">
        <v>23</v>
      </c>
      <c r="F238" s="27"/>
      <c r="G238" s="28">
        <v>1</v>
      </c>
      <c r="H238" s="28">
        <v>1</v>
      </c>
      <c r="I238" s="28">
        <v>1</v>
      </c>
      <c r="J238" s="28">
        <v>2</v>
      </c>
      <c r="K238" s="28">
        <v>1</v>
      </c>
      <c r="L238" s="28">
        <f>SUM($G$238:$K$238)</f>
        <v>6</v>
      </c>
      <c r="M238" s="32">
        <f t="array" ref="M238">INDEX(М[Цена за ед., руб],MATCH(1,IF(($B238=М[Наим.])*($C238=М[Артикул, марка, произв.])*($D238=М[Хар-ка])*($O238=М[Прим.]),{1},($B238=М[Наим.])*($C238=М[Артикул, марка, произв.])*($D238=М[Хар-ка])*($O238=М[Прим.])),0))</f>
        <v>0</v>
      </c>
      <c r="N238" s="32">
        <f>ROUND($L$238*$M$238,2)</f>
        <v>0</v>
      </c>
      <c r="O238" s="25" t="s">
        <v>157</v>
      </c>
      <c r="P238" s="25">
        <f t="array" ref="P238">INDEX(М[Форма закупа],MATCH(1,IF(($B238=М[Наим.])*($C238=М[Артикул, марка, произв.])*($D238=М[Хар-ка])*($O238=М[Прим.]),{1},($B238=М[Наим.])*($C238=М[Артикул, марка, произв.])*($D238=М[Хар-ка])*($O238=М[Прим.])),0))</f>
        <v>0</v>
      </c>
    </row>
    <row r="239" spans="1:16" outlineLevel="2" x14ac:dyDescent="0.2">
      <c r="A239" s="13" t="s">
        <v>169</v>
      </c>
      <c r="B239" s="14" t="s">
        <v>170</v>
      </c>
      <c r="C239" s="15"/>
      <c r="D239" s="15"/>
      <c r="E239" s="16"/>
      <c r="F239" s="17"/>
      <c r="G239" s="18"/>
      <c r="H239" s="18"/>
      <c r="I239" s="18"/>
      <c r="J239" s="18"/>
      <c r="K239" s="18"/>
      <c r="L239" s="18"/>
      <c r="M239" s="63"/>
      <c r="N239" s="63">
        <f>SUM($N$240)</f>
        <v>0</v>
      </c>
      <c r="O239" s="19"/>
      <c r="P239" s="19"/>
    </row>
    <row r="240" spans="1:16" outlineLevel="3" x14ac:dyDescent="0.2">
      <c r="A240" s="13" t="s">
        <v>171</v>
      </c>
      <c r="B240" s="14" t="s">
        <v>170</v>
      </c>
      <c r="C240" s="15"/>
      <c r="D240" s="15"/>
      <c r="E240" s="16"/>
      <c r="F240" s="17"/>
      <c r="G240" s="18"/>
      <c r="H240" s="18"/>
      <c r="I240" s="18"/>
      <c r="J240" s="18"/>
      <c r="K240" s="18"/>
      <c r="L240" s="18"/>
      <c r="M240" s="63"/>
      <c r="N240" s="63">
        <f>SUM($N$243,$N$241,N245)</f>
        <v>0</v>
      </c>
      <c r="O240" s="19"/>
      <c r="P240" s="19"/>
    </row>
    <row r="241" spans="1:16" outlineLevel="4" x14ac:dyDescent="0.2">
      <c r="A241" s="20"/>
      <c r="B241" s="14" t="s">
        <v>21</v>
      </c>
      <c r="C241" s="21"/>
      <c r="D241" s="21"/>
      <c r="E241" s="21"/>
      <c r="F241" s="21"/>
      <c r="G241" s="21"/>
      <c r="H241" s="21"/>
      <c r="I241" s="21"/>
      <c r="J241" s="21"/>
      <c r="K241" s="21"/>
      <c r="L241" s="21"/>
      <c r="M241" s="64"/>
      <c r="N241" s="65">
        <f>SUM($N$242)</f>
        <v>0</v>
      </c>
      <c r="O241" s="18"/>
      <c r="P241" s="22"/>
    </row>
    <row r="242" spans="1:16" outlineLevel="4" x14ac:dyDescent="0.2">
      <c r="A242" s="23"/>
      <c r="B242" s="24" t="s">
        <v>170</v>
      </c>
      <c r="C242" s="25"/>
      <c r="D242" s="25"/>
      <c r="E242" s="26" t="s">
        <v>168</v>
      </c>
      <c r="F242" s="27"/>
      <c r="G242" s="28">
        <v>1</v>
      </c>
      <c r="H242" s="28">
        <v>1</v>
      </c>
      <c r="I242" s="28">
        <v>1</v>
      </c>
      <c r="J242" s="28">
        <v>1</v>
      </c>
      <c r="K242" s="28">
        <v>1</v>
      </c>
      <c r="L242" s="28">
        <f>SUM($G$242:$K$242)</f>
        <v>5</v>
      </c>
      <c r="M242" s="32">
        <f t="array" ref="M242">INDEX(Р[Цена за ед., руб],MATCH(1,IF(($B242=Р[Наименование])*($O242=Р[Примечание]),{1},($B242=Р[Наименование])*($O242=Р[Примечание])),0))</f>
        <v>0</v>
      </c>
      <c r="N242" s="32">
        <f>ROUND($L$242*$M$242,2)</f>
        <v>0</v>
      </c>
      <c r="O242" s="25"/>
      <c r="P242" s="25"/>
    </row>
    <row r="243" spans="1:16" outlineLevel="4" x14ac:dyDescent="0.2">
      <c r="A243" s="20"/>
      <c r="B243" s="14" t="s">
        <v>27</v>
      </c>
      <c r="C243" s="21"/>
      <c r="D243" s="21"/>
      <c r="E243" s="21"/>
      <c r="F243" s="21"/>
      <c r="G243" s="21"/>
      <c r="H243" s="21"/>
      <c r="I243" s="21"/>
      <c r="J243" s="21"/>
      <c r="K243" s="21"/>
      <c r="L243" s="21"/>
      <c r="M243" s="64"/>
      <c r="N243" s="65">
        <f>SUM($N$244)</f>
        <v>0</v>
      </c>
      <c r="O243" s="18"/>
      <c r="P243" s="22"/>
    </row>
    <row r="244" spans="1:16" outlineLevel="4" x14ac:dyDescent="0.2">
      <c r="A244" s="23" t="s">
        <v>28</v>
      </c>
      <c r="B244" s="24" t="s">
        <v>172</v>
      </c>
      <c r="C244" s="25"/>
      <c r="D244" s="25" t="s">
        <v>173</v>
      </c>
      <c r="E244" s="26" t="s">
        <v>174</v>
      </c>
      <c r="F244" s="27"/>
      <c r="G244" s="31">
        <v>8.15</v>
      </c>
      <c r="H244" s="31">
        <v>43.56</v>
      </c>
      <c r="I244" s="31">
        <v>33.950000000000003</v>
      </c>
      <c r="J244" s="31">
        <v>65.73</v>
      </c>
      <c r="K244" s="31">
        <v>53.63</v>
      </c>
      <c r="L244" s="31">
        <f>SUM($G$244:$K$244)</f>
        <v>205.02</v>
      </c>
      <c r="M244" s="32">
        <f t="array" ref="M244">INDEX(М[Цена за ед., руб],MATCH(1,IF(($B244=М[Наим.])*($C244=М[Артикул, марка, произв.])*($D244=М[Хар-ка])*($O244=М[Прим.]),{1},($B244=М[Наим.])*($C244=М[Артикул, марка, произв.])*($D244=М[Хар-ка])*($O244=М[Прим.])),0))</f>
        <v>0</v>
      </c>
      <c r="N244" s="32">
        <f>ROUND($L$244*$M$244,2)</f>
        <v>0</v>
      </c>
      <c r="O244" s="25" t="s">
        <v>175</v>
      </c>
      <c r="P244" s="25">
        <f t="array" ref="P244">INDEX(М[Форма закупа],MATCH(1,IF(($B244=М[Наим.])*($C244=М[Артикул, марка, произв.])*($D244=М[Хар-ка])*($O244=М[Прим.]),{1},($B244=М[Наим.])*($C244=М[Артикул, марка, произв.])*($D244=М[Хар-ка])*($O244=М[Прим.])),0))</f>
        <v>0</v>
      </c>
    </row>
    <row r="245" spans="1:16" outlineLevel="4" x14ac:dyDescent="0.2">
      <c r="A245" s="67"/>
      <c r="B245" s="68" t="s">
        <v>27</v>
      </c>
      <c r="C245" s="75"/>
      <c r="D245" s="75"/>
      <c r="E245" s="75"/>
      <c r="F245" s="75"/>
      <c r="G245" s="75"/>
      <c r="H245" s="75"/>
      <c r="I245" s="75"/>
      <c r="J245" s="75"/>
      <c r="K245" s="75"/>
      <c r="L245" s="75"/>
      <c r="M245" s="76"/>
      <c r="N245" s="77">
        <f>SUM(N246:N253)</f>
        <v>0</v>
      </c>
      <c r="O245" s="78"/>
      <c r="P245" s="79"/>
    </row>
    <row r="246" spans="1:16" ht="22.5" outlineLevel="4" x14ac:dyDescent="0.2">
      <c r="A246" s="85">
        <v>1</v>
      </c>
      <c r="B246" s="69" t="s">
        <v>200</v>
      </c>
      <c r="C246" s="80"/>
      <c r="D246" s="80"/>
      <c r="E246" s="70" t="s">
        <v>80</v>
      </c>
      <c r="F246" s="81"/>
      <c r="G246" s="82"/>
      <c r="H246" s="82"/>
      <c r="I246" s="82"/>
      <c r="J246" s="82"/>
      <c r="K246" s="82"/>
      <c r="L246" s="71">
        <f>Материалы!E72</f>
        <v>0</v>
      </c>
      <c r="M246" s="83"/>
      <c r="N246" s="83">
        <f>ROUND(SUM(N131:N133,N194)*L246%,3)</f>
        <v>0</v>
      </c>
      <c r="O246" s="80" t="s">
        <v>209</v>
      </c>
      <c r="P246" s="80">
        <f t="array" ref="P246">INDEX(М[Форма закупа],MATCH(1,IF(($B246=М[Наим.])*($C246=М[Артикул, марка, произв.])*($D246=М[Хар-ка])*($O246=М[Прим.]),{1},($B246=М[Наим.])*($C246=М[Артикул, марка, произв.])*($D246=М[Хар-ка])*($O246=М[Прим.])),0))</f>
        <v>0</v>
      </c>
    </row>
    <row r="247" spans="1:16" ht="22.5" outlineLevel="4" x14ac:dyDescent="0.2">
      <c r="A247" s="85">
        <v>2</v>
      </c>
      <c r="B247" s="69" t="s">
        <v>201</v>
      </c>
      <c r="C247" s="80"/>
      <c r="D247" s="80"/>
      <c r="E247" s="70" t="s">
        <v>80</v>
      </c>
      <c r="F247" s="81"/>
      <c r="G247" s="82"/>
      <c r="H247" s="82"/>
      <c r="I247" s="82"/>
      <c r="J247" s="82"/>
      <c r="K247" s="82"/>
      <c r="L247" s="71">
        <f>Материалы!E73</f>
        <v>0</v>
      </c>
      <c r="M247" s="83"/>
      <c r="N247" s="83">
        <f>ROUND(SUM(N98:N101,N190)*L247%,3)</f>
        <v>0</v>
      </c>
      <c r="O247" s="80" t="s">
        <v>209</v>
      </c>
      <c r="P247" s="80">
        <f t="array" ref="P247">INDEX(М[Форма закупа],MATCH(1,IF(($B247=М[Наим.])*($C247=М[Артикул, марка, произв.])*($D247=М[Хар-ка])*($O247=М[Прим.]),{1},($B247=М[Наим.])*($C247=М[Артикул, марка, произв.])*($D247=М[Хар-ка])*($O247=М[Прим.])),0))</f>
        <v>0</v>
      </c>
    </row>
    <row r="248" spans="1:16" ht="22.5" outlineLevel="4" x14ac:dyDescent="0.2">
      <c r="A248" s="85">
        <v>3</v>
      </c>
      <c r="B248" s="69" t="s">
        <v>202</v>
      </c>
      <c r="C248" s="80"/>
      <c r="D248" s="80"/>
      <c r="E248" s="70" t="s">
        <v>80</v>
      </c>
      <c r="F248" s="81"/>
      <c r="G248" s="82"/>
      <c r="H248" s="82"/>
      <c r="I248" s="82"/>
      <c r="J248" s="82"/>
      <c r="K248" s="82"/>
      <c r="L248" s="71">
        <f>Материалы!E74</f>
        <v>0</v>
      </c>
      <c r="M248" s="83"/>
      <c r="N248" s="83">
        <f>ROUND(SUM(N54)*L248%,3)</f>
        <v>0</v>
      </c>
      <c r="O248" s="80" t="s">
        <v>209</v>
      </c>
      <c r="P248" s="80">
        <f t="array" ref="P248">INDEX(М[Форма закупа],MATCH(1,IF(($B248=М[Наим.])*($C248=М[Артикул, марка, произв.])*($D248=М[Хар-ка])*($O248=М[Прим.]),{1},($B248=М[Наим.])*($C248=М[Артикул, марка, произв.])*($D248=М[Хар-ка])*($O248=М[Прим.])),0))</f>
        <v>0</v>
      </c>
    </row>
    <row r="249" spans="1:16" ht="22.5" outlineLevel="4" x14ac:dyDescent="0.2">
      <c r="A249" s="85">
        <v>4</v>
      </c>
      <c r="B249" s="69" t="s">
        <v>203</v>
      </c>
      <c r="C249" s="80"/>
      <c r="D249" s="80"/>
      <c r="E249" s="70" t="s">
        <v>80</v>
      </c>
      <c r="F249" s="81"/>
      <c r="G249" s="82"/>
      <c r="H249" s="82"/>
      <c r="I249" s="82"/>
      <c r="J249" s="82"/>
      <c r="K249" s="82"/>
      <c r="L249" s="71">
        <f>Материалы!E75</f>
        <v>0</v>
      </c>
      <c r="M249" s="83"/>
      <c r="N249" s="83">
        <f>ROUND(SUM(N137)*L249%,3)</f>
        <v>0</v>
      </c>
      <c r="O249" s="80" t="s">
        <v>209</v>
      </c>
      <c r="P249" s="80">
        <f t="array" ref="P249">INDEX(М[Форма закупа],MATCH(1,IF(($B249=М[Наим.])*($C249=М[Артикул, марка, произв.])*($D249=М[Хар-ка])*($O249=М[Прим.]),{1},($B249=М[Наим.])*($C249=М[Артикул, марка, произв.])*($D249=М[Хар-ка])*($O249=М[Прим.])),0))</f>
        <v>0</v>
      </c>
    </row>
    <row r="250" spans="1:16" ht="22.5" outlineLevel="4" x14ac:dyDescent="0.2">
      <c r="A250" s="85">
        <v>5</v>
      </c>
      <c r="B250" s="69" t="s">
        <v>204</v>
      </c>
      <c r="C250" s="80"/>
      <c r="D250" s="80"/>
      <c r="E250" s="70" t="s">
        <v>80</v>
      </c>
      <c r="F250" s="81"/>
      <c r="G250" s="82"/>
      <c r="H250" s="82"/>
      <c r="I250" s="82"/>
      <c r="J250" s="82"/>
      <c r="K250" s="82"/>
      <c r="L250" s="71">
        <f>Материалы!E76</f>
        <v>0</v>
      </c>
      <c r="M250" s="83"/>
      <c r="N250" s="83">
        <f>ROUND(SUM(N48:N50,N186,N220:N221)*L250%,3)</f>
        <v>0</v>
      </c>
      <c r="O250" s="80" t="s">
        <v>209</v>
      </c>
      <c r="P250" s="80">
        <f t="array" ref="P250">INDEX(М[Форма закупа],MATCH(1,IF(($B250=М[Наим.])*($C250=М[Артикул, марка, произв.])*($D250=М[Хар-ка])*($O250=М[Прим.]),{1},($B250=М[Наим.])*($C250=М[Артикул, марка, произв.])*($D250=М[Хар-ка])*($O250=М[Прим.])),0))</f>
        <v>0</v>
      </c>
    </row>
    <row r="251" spans="1:16" ht="22.5" outlineLevel="4" x14ac:dyDescent="0.2">
      <c r="A251" s="85">
        <v>6</v>
      </c>
      <c r="B251" s="69" t="s">
        <v>205</v>
      </c>
      <c r="C251" s="80"/>
      <c r="D251" s="80"/>
      <c r="E251" s="70" t="s">
        <v>80</v>
      </c>
      <c r="F251" s="81"/>
      <c r="G251" s="82"/>
      <c r="H251" s="82"/>
      <c r="I251" s="82"/>
      <c r="J251" s="82"/>
      <c r="K251" s="82"/>
      <c r="L251" s="71">
        <f>Материалы!E77</f>
        <v>0</v>
      </c>
      <c r="M251" s="83"/>
      <c r="N251" s="83">
        <f>ROUND(SUM(N198,N202:N204)*L251%,3)</f>
        <v>0</v>
      </c>
      <c r="O251" s="80" t="s">
        <v>209</v>
      </c>
      <c r="P251" s="80">
        <f t="array" ref="P251">INDEX(М[Форма закупа],MATCH(1,IF(($B251=М[Наим.])*($C251=М[Артикул, марка, произв.])*($D251=М[Хар-ка])*($O251=М[Прим.]),{1},($B251=М[Наим.])*($C251=М[Артикул, марка, произв.])*($D251=М[Хар-ка])*($O251=М[Прим.])),0))</f>
        <v>0</v>
      </c>
    </row>
    <row r="252" spans="1:16" ht="22.5" outlineLevel="4" x14ac:dyDescent="0.2">
      <c r="A252" s="85">
        <v>7</v>
      </c>
      <c r="B252" s="69" t="s">
        <v>207</v>
      </c>
      <c r="C252" s="80"/>
      <c r="D252" s="80"/>
      <c r="E252" s="70" t="s">
        <v>80</v>
      </c>
      <c r="F252" s="81"/>
      <c r="G252" s="82"/>
      <c r="H252" s="82"/>
      <c r="I252" s="82"/>
      <c r="J252" s="82"/>
      <c r="K252" s="82"/>
      <c r="L252" s="71">
        <f>Материалы!E78</f>
        <v>0</v>
      </c>
      <c r="M252" s="83"/>
      <c r="N252" s="83">
        <f>ROUND(SUM(N58,N105:N109,N141,N208)*L252%,3)</f>
        <v>0</v>
      </c>
      <c r="O252" s="80" t="s">
        <v>209</v>
      </c>
      <c r="P252" s="80">
        <f t="array" ref="P252">INDEX(М[Форма закупа],MATCH(1,IF(($B252=М[Наим.])*($C252=М[Артикул, марка, произв.])*($D252=М[Хар-ка])*($O252=М[Прим.]),{1},($B252=М[Наим.])*($C252=М[Артикул, марка, произв.])*($D252=М[Хар-ка])*($O252=М[Прим.])),0))</f>
        <v>0</v>
      </c>
    </row>
    <row r="253" spans="1:16" ht="22.5" outlineLevel="4" x14ac:dyDescent="0.2">
      <c r="A253" s="85">
        <v>8</v>
      </c>
      <c r="B253" s="69" t="s">
        <v>206</v>
      </c>
      <c r="C253" s="80"/>
      <c r="D253" s="80"/>
      <c r="E253" s="70" t="s">
        <v>80</v>
      </c>
      <c r="F253" s="81"/>
      <c r="G253" s="82"/>
      <c r="H253" s="82"/>
      <c r="I253" s="82"/>
      <c r="J253" s="82"/>
      <c r="K253" s="82"/>
      <c r="L253" s="71">
        <f>Материалы!E79</f>
        <v>0</v>
      </c>
      <c r="M253" s="83"/>
      <c r="N253" s="83">
        <f>ROUND(SUM(N19:N22,N26:N27,N31:N32,N36:N39,N43:N44,N48:N50,N54,N58,N62,N66,N70,N78:N82,N86,N90:N94,N98:N101,N105:N109,N119:N121,N125,N131:N133,N137,N141,N151:N152,N156:N157,N161,N165,N169,N173:N174,N178,N182,N186,N190,N194,N198,N202:N204,N208,N216,N220:N221,N225,N229,N233:N234,N238,N244)*L253%,3)</f>
        <v>0</v>
      </c>
      <c r="O253" s="80" t="s">
        <v>209</v>
      </c>
      <c r="P253" s="80">
        <f t="array" ref="P253">INDEX(М[Форма закупа],MATCH(1,IF(($B253=М[Наим.])*($C253=М[Артикул, марка, произв.])*($D253=М[Хар-ка])*($O253=М[Прим.]),{1},($B253=М[Наим.])*($C253=М[Артикул, марка, произв.])*($D253=М[Хар-ка])*($O253=М[Прим.])),0))</f>
        <v>0</v>
      </c>
    </row>
    <row r="254" spans="1:16" outlineLevel="2" x14ac:dyDescent="0.2">
      <c r="A254" s="13" t="s">
        <v>164</v>
      </c>
      <c r="B254" s="14" t="s">
        <v>165</v>
      </c>
      <c r="C254" s="15"/>
      <c r="D254" s="15"/>
      <c r="E254" s="16"/>
      <c r="F254" s="17"/>
      <c r="G254" s="18"/>
      <c r="H254" s="18"/>
      <c r="I254" s="18"/>
      <c r="J254" s="18"/>
      <c r="K254" s="18"/>
      <c r="L254" s="18"/>
      <c r="M254" s="63"/>
      <c r="N254" s="63">
        <f>SUM($N$255)</f>
        <v>0</v>
      </c>
      <c r="O254" s="19"/>
      <c r="P254" s="19"/>
    </row>
    <row r="255" spans="1:16" outlineLevel="3" x14ac:dyDescent="0.2">
      <c r="A255" s="13" t="s">
        <v>166</v>
      </c>
      <c r="B255" s="14" t="s">
        <v>165</v>
      </c>
      <c r="C255" s="15"/>
      <c r="D255" s="15"/>
      <c r="E255" s="16"/>
      <c r="F255" s="17"/>
      <c r="G255" s="18"/>
      <c r="H255" s="18"/>
      <c r="I255" s="18"/>
      <c r="J255" s="18"/>
      <c r="K255" s="18"/>
      <c r="L255" s="18"/>
      <c r="M255" s="63"/>
      <c r="N255" s="63">
        <f>SUM($N$256)</f>
        <v>0</v>
      </c>
      <c r="O255" s="19"/>
      <c r="P255" s="19"/>
    </row>
    <row r="256" spans="1:16" outlineLevel="4" x14ac:dyDescent="0.2">
      <c r="A256" s="20"/>
      <c r="B256" s="14" t="s">
        <v>21</v>
      </c>
      <c r="C256" s="21"/>
      <c r="D256" s="21"/>
      <c r="E256" s="21"/>
      <c r="F256" s="21"/>
      <c r="G256" s="21"/>
      <c r="H256" s="21"/>
      <c r="I256" s="21"/>
      <c r="J256" s="21"/>
      <c r="K256" s="21"/>
      <c r="L256" s="21"/>
      <c r="M256" s="64"/>
      <c r="N256" s="65">
        <f>SUM($N$257)</f>
        <v>0</v>
      </c>
      <c r="O256" s="18"/>
      <c r="P256" s="22"/>
    </row>
    <row r="257" spans="1:128" ht="22.5" outlineLevel="4" x14ac:dyDescent="0.2">
      <c r="A257" s="23"/>
      <c r="B257" s="24" t="s">
        <v>167</v>
      </c>
      <c r="C257" s="25"/>
      <c r="D257" s="25"/>
      <c r="E257" s="26" t="s">
        <v>168</v>
      </c>
      <c r="F257" s="27"/>
      <c r="G257" s="28">
        <v>1</v>
      </c>
      <c r="H257" s="28">
        <v>1</v>
      </c>
      <c r="I257" s="28">
        <v>1</v>
      </c>
      <c r="J257" s="28">
        <v>1</v>
      </c>
      <c r="K257" s="28">
        <v>1</v>
      </c>
      <c r="L257" s="28">
        <f>SUM($G$257:$K$257)</f>
        <v>5</v>
      </c>
      <c r="M257" s="32">
        <f t="array" ref="M257">INDEX(Р[Цена за ед., руб],MATCH(1,IF(($B257=Р[Наименование])*($O257=Р[Примечание]),{1},($B257=Р[Наименование])*($O257=Р[Примечание])),0))</f>
        <v>0</v>
      </c>
      <c r="N257" s="32">
        <f>ROUND($L$257*$M$257,2)</f>
        <v>0</v>
      </c>
      <c r="O257" s="25"/>
      <c r="P257" s="25"/>
    </row>
    <row r="258" spans="1:128" x14ac:dyDescent="0.2">
      <c r="A258" s="34"/>
      <c r="B258" s="35"/>
      <c r="C258" s="35"/>
      <c r="D258" s="35"/>
      <c r="E258" s="35"/>
      <c r="F258" s="35"/>
      <c r="G258" s="36"/>
      <c r="H258" s="36"/>
      <c r="I258" s="36"/>
      <c r="J258" s="36"/>
      <c r="K258" s="36"/>
      <c r="L258" s="113" t="s">
        <v>176</v>
      </c>
      <c r="M258" s="114"/>
      <c r="N258" s="66">
        <f>$N$9</f>
        <v>0</v>
      </c>
      <c r="O258" s="37"/>
      <c r="P258" s="37"/>
    </row>
    <row r="259" spans="1:128" x14ac:dyDescent="0.2">
      <c r="A259" s="34"/>
      <c r="B259" s="35"/>
      <c r="C259" s="35"/>
      <c r="D259" s="35"/>
      <c r="E259" s="35"/>
      <c r="F259" s="35"/>
      <c r="G259" s="38"/>
      <c r="H259" s="38"/>
      <c r="I259" s="38"/>
      <c r="J259" s="38"/>
      <c r="K259" s="38"/>
      <c r="L259" s="115" t="s">
        <v>177</v>
      </c>
      <c r="M259" s="116"/>
      <c r="N259" s="66">
        <f>SUM($N$241,$N$256,$N$235,$N$230,$N$226,$N$222,$N$217,$N$213,$N$211,$N$205,$N$199,$N$195,$N$191,$N$187,$N$183,$N$179,$N$175,$N$170,$N$166,$N$162,$N$158,$N$153,$N$148,$N$146,$N$144,$N$138,$N$134,$N$128,$N$126,$N$122,$N$116,$N$114,$N$112,$N$102,$N$95,$N$87,$N$83,$N$75,$N$73,$N$67,$N$63,$N$59,$N$55,$N$51,$N$45,$N$40,$N$33,$N$28,$N$23,$N$16,$N$14,$N$12)</f>
        <v>0</v>
      </c>
      <c r="O259" s="37"/>
      <c r="P259" s="37"/>
    </row>
    <row r="260" spans="1:128" x14ac:dyDescent="0.2">
      <c r="A260" s="34"/>
      <c r="B260" s="35"/>
      <c r="C260" s="35"/>
      <c r="D260" s="35"/>
      <c r="E260" s="35"/>
      <c r="F260" s="35"/>
      <c r="G260" s="38"/>
      <c r="H260" s="38"/>
      <c r="I260" s="38"/>
      <c r="J260" s="38"/>
      <c r="K260" s="38"/>
      <c r="L260" s="115" t="s">
        <v>178</v>
      </c>
      <c r="M260" s="116"/>
      <c r="N260" s="66">
        <f>SUM($N$243,$N$237,$N$232,$N$228,$N$224,$N$219,$N$215,$N$207,$N$201,$N$197,$N$193,$N$189,$N$185,$N$181,$N$177,$N$172,$N$168,$N$164,$N$160,$N$155,$N$150,$N$140,$N$136,$N$130,$N$124,$N$118,$N$104,$N$97,$N$89,$N$85,$N$77,$N$69,$N$65,$N$61,$N$57,$N$53,$N$47,$N$42,$N$35,$N$30,$N$25,$N$18,N245)</f>
        <v>0</v>
      </c>
      <c r="O260" s="37"/>
      <c r="P260" s="37"/>
    </row>
    <row r="261" spans="1:128" x14ac:dyDescent="0.2">
      <c r="A261" s="39"/>
      <c r="B261" s="117" t="s">
        <v>179</v>
      </c>
      <c r="C261" s="117"/>
      <c r="D261" s="117"/>
      <c r="E261" s="117"/>
      <c r="F261" s="117"/>
      <c r="G261" s="117"/>
      <c r="H261" s="117"/>
      <c r="I261" s="117"/>
      <c r="J261" s="117"/>
      <c r="K261" s="117"/>
      <c r="L261" s="117"/>
      <c r="M261" s="118"/>
      <c r="N261" s="118"/>
      <c r="O261" s="117"/>
      <c r="P261" s="39"/>
    </row>
    <row r="262" spans="1:128" x14ac:dyDescent="0.2">
      <c r="B262" s="111"/>
      <c r="C262" s="111"/>
      <c r="D262" s="111"/>
      <c r="E262" s="111"/>
      <c r="F262" s="111"/>
      <c r="G262" s="111"/>
      <c r="H262" s="111"/>
      <c r="I262" s="111"/>
      <c r="J262" s="111"/>
      <c r="K262" s="111"/>
      <c r="L262" s="111"/>
      <c r="M262" s="112"/>
      <c r="N262" s="112"/>
      <c r="O262" s="111"/>
    </row>
    <row r="264" spans="1:128" s="93" customFormat="1" ht="30.75" customHeight="1" x14ac:dyDescent="0.2">
      <c r="A264" s="86"/>
      <c r="B264" s="87" t="s">
        <v>213</v>
      </c>
      <c r="C264" s="88"/>
      <c r="D264" s="88"/>
      <c r="E264" s="89"/>
      <c r="F264" s="89"/>
      <c r="G264" s="89"/>
      <c r="H264" s="89"/>
      <c r="I264" s="89"/>
      <c r="J264" s="89"/>
      <c r="K264" s="90"/>
      <c r="L264" s="89"/>
      <c r="M264" s="89"/>
      <c r="N264" s="88"/>
      <c r="O264" s="88"/>
      <c r="P264" s="91"/>
      <c r="Q264" s="92"/>
      <c r="W264" s="94"/>
      <c r="AE264" s="94"/>
      <c r="AM264" s="94"/>
      <c r="AU264" s="94"/>
      <c r="AV264" s="94"/>
      <c r="AW264" s="94"/>
      <c r="AX264" s="94"/>
      <c r="AY264" s="94"/>
      <c r="AZ264" s="94"/>
      <c r="BA264" s="94"/>
      <c r="BB264" s="94"/>
      <c r="BC264" s="94"/>
      <c r="BD264" s="94"/>
      <c r="BE264" s="94"/>
      <c r="BF264" s="94"/>
      <c r="BG264" s="94"/>
      <c r="BH264" s="94"/>
      <c r="BI264" s="94"/>
      <c r="BJ264" s="94"/>
      <c r="BK264" s="94"/>
      <c r="BL264" s="94"/>
      <c r="BM264" s="94"/>
      <c r="BN264" s="94"/>
      <c r="BO264" s="94"/>
      <c r="BP264" s="94"/>
      <c r="BQ264" s="94"/>
      <c r="BR264" s="94"/>
      <c r="BS264" s="94"/>
      <c r="BT264" s="94"/>
      <c r="BU264" s="94"/>
      <c r="BV264" s="94"/>
      <c r="BW264" s="94"/>
      <c r="BX264" s="94"/>
      <c r="BY264" s="94"/>
      <c r="BZ264" s="94"/>
      <c r="CA264" s="94"/>
      <c r="CB264" s="94"/>
      <c r="CC264" s="94"/>
      <c r="CD264" s="94"/>
      <c r="CE264" s="94"/>
      <c r="CF264" s="94"/>
      <c r="CG264" s="94"/>
      <c r="CH264" s="94"/>
      <c r="CI264" s="94"/>
      <c r="CJ264" s="94"/>
      <c r="CK264" s="94"/>
      <c r="CL264" s="94"/>
      <c r="CM264" s="94"/>
      <c r="CN264" s="94"/>
      <c r="CO264" s="94"/>
      <c r="CP264" s="94"/>
      <c r="CQ264" s="94"/>
      <c r="CR264" s="94"/>
      <c r="CS264" s="94"/>
      <c r="CT264" s="94"/>
      <c r="CU264" s="94"/>
      <c r="CV264" s="94"/>
      <c r="CW264" s="94"/>
      <c r="CX264" s="94"/>
      <c r="CY264" s="94"/>
      <c r="CZ264" s="94"/>
      <c r="DA264" s="94"/>
      <c r="DB264" s="94"/>
      <c r="DC264" s="94"/>
      <c r="DD264" s="94"/>
      <c r="DE264" s="94"/>
      <c r="DF264" s="94"/>
      <c r="DG264" s="94"/>
      <c r="DO264" s="94"/>
      <c r="DP264" s="94"/>
      <c r="DX264" s="94"/>
    </row>
    <row r="265" spans="1:128" s="93" customFormat="1" ht="30.75" customHeight="1" x14ac:dyDescent="0.2">
      <c r="A265" s="86"/>
      <c r="B265" s="120" t="s">
        <v>214</v>
      </c>
      <c r="C265" s="120"/>
      <c r="D265" s="120"/>
      <c r="E265" s="120"/>
      <c r="F265" s="120"/>
      <c r="G265" s="120"/>
      <c r="H265" s="120"/>
      <c r="I265" s="120"/>
      <c r="J265" s="120"/>
      <c r="K265" s="120"/>
      <c r="L265" s="89"/>
      <c r="M265" s="89"/>
      <c r="N265" s="88"/>
      <c r="O265" s="88"/>
      <c r="P265" s="91"/>
      <c r="Q265" s="92"/>
      <c r="W265" s="94"/>
      <c r="AE265" s="94"/>
      <c r="AM265" s="94"/>
      <c r="AU265" s="94"/>
      <c r="AV265" s="94"/>
      <c r="AW265" s="94"/>
      <c r="AX265" s="94"/>
      <c r="AY265" s="94"/>
      <c r="AZ265" s="94"/>
      <c r="BA265" s="94"/>
      <c r="BB265" s="94"/>
      <c r="BC265" s="94"/>
      <c r="BD265" s="94"/>
      <c r="BE265" s="94"/>
      <c r="BF265" s="94"/>
      <c r="BG265" s="94"/>
      <c r="BH265" s="94"/>
      <c r="BI265" s="94"/>
      <c r="BJ265" s="94"/>
      <c r="BK265" s="94"/>
      <c r="BL265" s="94"/>
      <c r="BM265" s="94"/>
      <c r="BN265" s="94"/>
      <c r="BO265" s="94"/>
      <c r="BP265" s="94"/>
      <c r="BQ265" s="94"/>
      <c r="BR265" s="94"/>
      <c r="BS265" s="94"/>
      <c r="BT265" s="94"/>
      <c r="BU265" s="94"/>
      <c r="BV265" s="94"/>
      <c r="BW265" s="94"/>
      <c r="BX265" s="94"/>
      <c r="BY265" s="94"/>
      <c r="BZ265" s="94"/>
      <c r="CA265" s="94"/>
      <c r="CB265" s="94"/>
      <c r="CC265" s="94"/>
      <c r="CD265" s="94"/>
      <c r="CE265" s="94"/>
      <c r="CF265" s="94"/>
      <c r="CG265" s="94"/>
      <c r="CH265" s="94"/>
      <c r="CI265" s="94"/>
      <c r="CJ265" s="94"/>
      <c r="CK265" s="94"/>
      <c r="CL265" s="94"/>
      <c r="CM265" s="94"/>
      <c r="CN265" s="94"/>
      <c r="CO265" s="94"/>
      <c r="CP265" s="94"/>
      <c r="CQ265" s="94"/>
      <c r="CR265" s="94"/>
      <c r="CS265" s="94"/>
      <c r="CT265" s="94"/>
      <c r="CU265" s="94"/>
      <c r="CV265" s="94"/>
      <c r="CW265" s="94"/>
      <c r="CX265" s="94"/>
      <c r="CY265" s="94"/>
      <c r="CZ265" s="94"/>
      <c r="DA265" s="94"/>
      <c r="DB265" s="94"/>
      <c r="DC265" s="94"/>
      <c r="DD265" s="94"/>
      <c r="DE265" s="94"/>
      <c r="DF265" s="94"/>
      <c r="DG265" s="94"/>
      <c r="DO265" s="94"/>
      <c r="DP265" s="94"/>
      <c r="DX265" s="94"/>
    </row>
    <row r="266" spans="1:128" s="93" customFormat="1" ht="30.75" customHeight="1" x14ac:dyDescent="0.2">
      <c r="A266" s="86" t="s">
        <v>215</v>
      </c>
      <c r="B266" s="121" t="s">
        <v>216</v>
      </c>
      <c r="C266" s="121"/>
      <c r="D266" s="121"/>
      <c r="E266" s="121"/>
      <c r="F266" s="121"/>
      <c r="G266" s="121"/>
      <c r="H266" s="121"/>
      <c r="I266" s="121"/>
      <c r="J266" s="121"/>
      <c r="K266" s="121"/>
      <c r="L266" s="121"/>
      <c r="M266" s="121"/>
      <c r="N266" s="121"/>
      <c r="O266" s="121"/>
      <c r="P266" s="95"/>
      <c r="Q266" s="95"/>
      <c r="W266" s="94"/>
      <c r="AE266" s="94"/>
      <c r="AM266" s="94"/>
      <c r="AU266" s="94"/>
      <c r="AV266" s="94"/>
      <c r="AW266" s="94"/>
      <c r="AX266" s="94"/>
      <c r="AY266" s="94"/>
      <c r="AZ266" s="94"/>
      <c r="BA266" s="94"/>
      <c r="BB266" s="94"/>
      <c r="BC266" s="94"/>
      <c r="BD266" s="94"/>
      <c r="BE266" s="94"/>
      <c r="BF266" s="94"/>
      <c r="BG266" s="94"/>
      <c r="BH266" s="94"/>
      <c r="BI266" s="94"/>
      <c r="BJ266" s="94"/>
      <c r="BK266" s="94"/>
      <c r="BL266" s="94"/>
      <c r="BM266" s="94"/>
      <c r="BN266" s="94"/>
      <c r="BO266" s="94"/>
      <c r="BP266" s="94"/>
      <c r="BQ266" s="94"/>
      <c r="BR266" s="94"/>
      <c r="BS266" s="94"/>
      <c r="BT266" s="94"/>
      <c r="BU266" s="94"/>
      <c r="BV266" s="94"/>
      <c r="BW266" s="94"/>
      <c r="BX266" s="94"/>
      <c r="BY266" s="94"/>
      <c r="BZ266" s="94"/>
      <c r="CA266" s="94"/>
      <c r="CB266" s="94"/>
      <c r="CC266" s="94"/>
      <c r="CD266" s="94"/>
      <c r="CE266" s="94"/>
      <c r="CF266" s="94"/>
      <c r="CG266" s="94"/>
      <c r="CH266" s="94"/>
      <c r="CI266" s="94"/>
      <c r="CJ266" s="94"/>
      <c r="CK266" s="94"/>
      <c r="CL266" s="94"/>
      <c r="CM266" s="94"/>
      <c r="CN266" s="94"/>
      <c r="CO266" s="94"/>
      <c r="CP266" s="94"/>
      <c r="CQ266" s="94"/>
      <c r="CR266" s="94"/>
      <c r="CS266" s="94"/>
      <c r="CT266" s="94"/>
      <c r="CU266" s="94"/>
      <c r="CV266" s="94"/>
      <c r="CW266" s="94"/>
      <c r="CX266" s="94"/>
      <c r="CY266" s="94"/>
      <c r="CZ266" s="94"/>
      <c r="DA266" s="94"/>
      <c r="DB266" s="94"/>
      <c r="DC266" s="94"/>
      <c r="DD266" s="94"/>
      <c r="DE266" s="94"/>
      <c r="DF266" s="94"/>
      <c r="DG266" s="94"/>
      <c r="DO266" s="94"/>
      <c r="DP266" s="94"/>
      <c r="DX266" s="94"/>
    </row>
    <row r="267" spans="1:128" s="93" customFormat="1" ht="51.75" customHeight="1" x14ac:dyDescent="0.2">
      <c r="A267" s="93" t="s">
        <v>215</v>
      </c>
      <c r="B267" s="121" t="s">
        <v>217</v>
      </c>
      <c r="C267" s="121"/>
      <c r="D267" s="121"/>
      <c r="E267" s="121"/>
      <c r="F267" s="121"/>
      <c r="G267" s="121"/>
      <c r="H267" s="121"/>
      <c r="I267" s="121"/>
      <c r="J267" s="121"/>
      <c r="K267" s="121"/>
      <c r="L267" s="121"/>
      <c r="M267" s="121"/>
      <c r="N267" s="121"/>
      <c r="O267" s="121"/>
      <c r="P267" s="96"/>
      <c r="Q267" s="92"/>
      <c r="W267" s="94"/>
      <c r="AE267" s="94"/>
      <c r="AM267" s="94"/>
      <c r="AU267" s="94"/>
      <c r="AV267" s="94"/>
      <c r="AW267" s="94"/>
      <c r="AX267" s="94"/>
      <c r="AY267" s="94"/>
      <c r="AZ267" s="94"/>
      <c r="BA267" s="94"/>
      <c r="BB267" s="94"/>
      <c r="BC267" s="94"/>
      <c r="BD267" s="94"/>
      <c r="BE267" s="94"/>
      <c r="BF267" s="94"/>
      <c r="BG267" s="94"/>
      <c r="BH267" s="94"/>
      <c r="BI267" s="94"/>
      <c r="BJ267" s="94"/>
      <c r="BK267" s="94"/>
      <c r="BL267" s="94"/>
      <c r="BM267" s="94"/>
      <c r="BN267" s="94"/>
      <c r="BO267" s="94"/>
      <c r="BP267" s="94"/>
      <c r="BQ267" s="94"/>
      <c r="BR267" s="94"/>
      <c r="BS267" s="94"/>
      <c r="BT267" s="94"/>
      <c r="BU267" s="94"/>
      <c r="BV267" s="94"/>
      <c r="BW267" s="94"/>
      <c r="BX267" s="94"/>
      <c r="BY267" s="94"/>
      <c r="BZ267" s="94"/>
      <c r="CA267" s="94"/>
      <c r="CB267" s="94"/>
      <c r="CC267" s="94"/>
      <c r="CD267" s="94"/>
      <c r="CE267" s="94"/>
      <c r="CF267" s="94"/>
      <c r="CG267" s="94"/>
      <c r="CH267" s="94"/>
      <c r="CI267" s="94"/>
      <c r="CJ267" s="94"/>
      <c r="CK267" s="94"/>
      <c r="CL267" s="94"/>
      <c r="CM267" s="94"/>
      <c r="CN267" s="94"/>
      <c r="CO267" s="94"/>
      <c r="CP267" s="94"/>
      <c r="CQ267" s="94"/>
      <c r="CR267" s="94"/>
      <c r="CS267" s="94"/>
      <c r="CT267" s="94"/>
      <c r="CU267" s="94"/>
      <c r="CV267" s="94"/>
      <c r="CW267" s="94"/>
      <c r="CX267" s="94"/>
      <c r="CY267" s="94"/>
      <c r="CZ267" s="94"/>
      <c r="DA267" s="94"/>
      <c r="DB267" s="94"/>
      <c r="DC267" s="94"/>
      <c r="DD267" s="94"/>
      <c r="DE267" s="94"/>
      <c r="DF267" s="94"/>
      <c r="DG267" s="94"/>
      <c r="DO267" s="94"/>
      <c r="DP267" s="94"/>
      <c r="DX267" s="94"/>
    </row>
    <row r="268" spans="1:128" s="93" customFormat="1" ht="30.75" customHeight="1" x14ac:dyDescent="0.2">
      <c r="A268" s="86" t="s">
        <v>215</v>
      </c>
      <c r="B268" s="122" t="s">
        <v>218</v>
      </c>
      <c r="C268" s="122"/>
      <c r="D268" s="122"/>
      <c r="E268" s="122"/>
      <c r="F268" s="122"/>
      <c r="G268" s="122"/>
      <c r="H268" s="122"/>
      <c r="I268" s="122"/>
      <c r="J268" s="122"/>
      <c r="K268" s="122"/>
      <c r="L268" s="122"/>
      <c r="M268" s="122"/>
      <c r="N268" s="122"/>
      <c r="O268" s="122"/>
      <c r="P268" s="97"/>
      <c r="Q268" s="97"/>
      <c r="W268" s="94"/>
      <c r="AE268" s="94"/>
      <c r="AM268" s="94"/>
      <c r="AU268" s="94"/>
      <c r="AV268" s="94"/>
      <c r="AW268" s="94"/>
      <c r="AX268" s="94"/>
      <c r="AY268" s="94"/>
      <c r="AZ268" s="94"/>
      <c r="BA268" s="94"/>
      <c r="BB268" s="94"/>
      <c r="BC268" s="94"/>
      <c r="BD268" s="94"/>
      <c r="BE268" s="94"/>
      <c r="BF268" s="94"/>
      <c r="BG268" s="94"/>
      <c r="BH268" s="94"/>
      <c r="BI268" s="94"/>
      <c r="BJ268" s="94"/>
      <c r="BK268" s="94"/>
      <c r="BL268" s="94"/>
      <c r="BM268" s="94"/>
      <c r="BN268" s="94"/>
      <c r="BO268" s="94"/>
      <c r="BP268" s="94"/>
      <c r="BQ268" s="94"/>
      <c r="BR268" s="94"/>
      <c r="BS268" s="94"/>
      <c r="BT268" s="94"/>
      <c r="BU268" s="94"/>
      <c r="BV268" s="94"/>
      <c r="BW268" s="94"/>
      <c r="BX268" s="94"/>
      <c r="BY268" s="94"/>
      <c r="BZ268" s="94"/>
      <c r="CA268" s="94"/>
      <c r="CB268" s="94"/>
      <c r="CC268" s="94"/>
      <c r="CD268" s="94"/>
      <c r="CE268" s="94"/>
      <c r="CF268" s="94"/>
      <c r="CG268" s="94"/>
      <c r="CH268" s="94"/>
      <c r="CI268" s="94"/>
      <c r="CJ268" s="94"/>
      <c r="CK268" s="94"/>
      <c r="CL268" s="94"/>
      <c r="CM268" s="94"/>
      <c r="CN268" s="94"/>
      <c r="CO268" s="94"/>
      <c r="CP268" s="94"/>
      <c r="CQ268" s="94"/>
      <c r="CR268" s="94"/>
      <c r="CS268" s="94"/>
      <c r="CT268" s="94"/>
      <c r="CU268" s="94"/>
      <c r="CV268" s="94"/>
      <c r="CW268" s="94"/>
      <c r="CX268" s="94"/>
      <c r="CY268" s="94"/>
      <c r="CZ268" s="94"/>
      <c r="DA268" s="94"/>
      <c r="DB268" s="94"/>
      <c r="DC268" s="94"/>
      <c r="DD268" s="94"/>
      <c r="DE268" s="94"/>
      <c r="DF268" s="94"/>
      <c r="DG268" s="94"/>
      <c r="DO268" s="94"/>
      <c r="DP268" s="94"/>
      <c r="DX268" s="94"/>
    </row>
    <row r="269" spans="1:128" ht="22.5" customHeight="1" x14ac:dyDescent="0.2">
      <c r="A269" s="98" t="s">
        <v>215</v>
      </c>
      <c r="B269" s="123" t="s">
        <v>219</v>
      </c>
      <c r="C269" s="123"/>
      <c r="D269" s="123"/>
      <c r="E269" s="123"/>
      <c r="F269" s="123"/>
      <c r="G269" s="123"/>
      <c r="H269" s="123"/>
      <c r="I269" s="123"/>
      <c r="J269" s="123"/>
      <c r="K269" s="123"/>
      <c r="L269" s="123"/>
      <c r="M269" s="123"/>
      <c r="N269" s="123"/>
      <c r="O269" s="123"/>
      <c r="P269"/>
    </row>
    <row r="270" spans="1:128" ht="36" customHeight="1" x14ac:dyDescent="0.2">
      <c r="B270" s="119" t="s">
        <v>220</v>
      </c>
      <c r="C270" s="119"/>
      <c r="D270" s="119"/>
      <c r="E270" s="119"/>
      <c r="F270" s="119"/>
      <c r="G270" s="119"/>
      <c r="H270" s="119"/>
      <c r="I270" s="119"/>
      <c r="J270" s="119"/>
      <c r="K270" s="119"/>
      <c r="L270" s="119"/>
      <c r="M270" s="119"/>
      <c r="N270" s="119"/>
      <c r="O270" s="119"/>
      <c r="P270" s="119"/>
      <c r="Q270" s="119"/>
      <c r="R270" s="119"/>
      <c r="S270" s="119"/>
    </row>
    <row r="271" spans="1:128" ht="11.45" customHeight="1" x14ac:dyDescent="0.2">
      <c r="P271"/>
    </row>
    <row r="272" spans="1:128" ht="11.45" customHeight="1" x14ac:dyDescent="0.2">
      <c r="P272"/>
    </row>
    <row r="273" spans="16:16" ht="11.45" customHeight="1" x14ac:dyDescent="0.2">
      <c r="P273"/>
    </row>
  </sheetData>
  <autoFilter ref="A7:P261" xr:uid="{00000000-0001-0000-0000-000000000000}"/>
  <mergeCells count="30">
    <mergeCell ref="B270:S270"/>
    <mergeCell ref="B265:K265"/>
    <mergeCell ref="B266:O266"/>
    <mergeCell ref="B267:O267"/>
    <mergeCell ref="B268:O268"/>
    <mergeCell ref="B269:O269"/>
    <mergeCell ref="B262:O262"/>
    <mergeCell ref="P6:P7"/>
    <mergeCell ref="L258:M258"/>
    <mergeCell ref="L259:M259"/>
    <mergeCell ref="L260:M260"/>
    <mergeCell ref="B261:O261"/>
    <mergeCell ref="K6:K7"/>
    <mergeCell ref="L6:L7"/>
    <mergeCell ref="M6:M7"/>
    <mergeCell ref="N6:N7"/>
    <mergeCell ref="O6:O7"/>
    <mergeCell ref="B2:J2"/>
    <mergeCell ref="B3:J3"/>
    <mergeCell ref="B4:J4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</mergeCells>
  <phoneticPr fontId="0" type="noConversion"/>
  <conditionalFormatting sqref="DQ264:DX268">
    <cfRule type="cellIs" dxfId="1" priority="1" operator="equal">
      <formula>0</formula>
    </cfRule>
    <cfRule type="cellIs" dxfId="0" priority="2" operator="lessThan">
      <formula>0</formula>
    </cfRule>
  </conditionalFormatting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R43"/>
  <sheetViews>
    <sheetView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A47" sqref="A47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ht="11.1" customHeight="1" x14ac:dyDescent="0.2">
      <c r="A1" s="124" t="s">
        <v>180</v>
      </c>
      <c r="B1" s="124"/>
      <c r="C1" s="124"/>
      <c r="D1" s="124"/>
      <c r="E1" s="124"/>
      <c r="F1" s="124"/>
    </row>
    <row r="3" spans="1:6" ht="11.1" customHeight="1" x14ac:dyDescent="0.2">
      <c r="A3" s="49" t="s">
        <v>2</v>
      </c>
      <c r="B3" s="2" t="s">
        <v>5</v>
      </c>
      <c r="C3" s="2" t="s">
        <v>9</v>
      </c>
      <c r="D3" s="56" t="s">
        <v>10</v>
      </c>
      <c r="E3" s="56" t="s">
        <v>11</v>
      </c>
      <c r="F3" s="50" t="s">
        <v>12</v>
      </c>
    </row>
    <row r="4" spans="1:6" ht="11.1" customHeight="1" x14ac:dyDescent="0.2">
      <c r="A4" s="47" t="s">
        <v>22</v>
      </c>
      <c r="B4" s="40" t="s">
        <v>23</v>
      </c>
      <c r="C4" s="41">
        <v>2685</v>
      </c>
      <c r="D4" s="57"/>
      <c r="E4" s="57">
        <f>ROUND(Р[[#This Row],[Количество]]*Р[[#This Row],[Цена за ед., руб]],2)</f>
        <v>0</v>
      </c>
      <c r="F4" s="48"/>
    </row>
    <row r="5" spans="1:6" ht="11.1" customHeight="1" x14ac:dyDescent="0.2">
      <c r="A5" s="47" t="s">
        <v>24</v>
      </c>
      <c r="B5" s="40" t="s">
        <v>23</v>
      </c>
      <c r="C5" s="43">
        <v>443</v>
      </c>
      <c r="D5" s="57"/>
      <c r="E5" s="57">
        <f>ROUND(Р[[#This Row],[Количество]]*Р[[#This Row],[Цена за ед., руб]],2)</f>
        <v>0</v>
      </c>
      <c r="F5" s="48"/>
    </row>
    <row r="6" spans="1:6" ht="11.1" customHeight="1" x14ac:dyDescent="0.2">
      <c r="A6" s="47" t="s">
        <v>25</v>
      </c>
      <c r="B6" s="40" t="s">
        <v>26</v>
      </c>
      <c r="C6" s="57">
        <v>9861.56</v>
      </c>
      <c r="D6" s="57"/>
      <c r="E6" s="57">
        <f>ROUND(Р[[#This Row],[Количество]]*Р[[#This Row],[Цена за ед., руб]],2)</f>
        <v>0</v>
      </c>
      <c r="F6" s="48"/>
    </row>
    <row r="7" spans="1:6" ht="11.1" customHeight="1" x14ac:dyDescent="0.2">
      <c r="A7" s="47" t="s">
        <v>38</v>
      </c>
      <c r="B7" s="40" t="s">
        <v>23</v>
      </c>
      <c r="C7" s="43">
        <v>49</v>
      </c>
      <c r="D7" s="57"/>
      <c r="E7" s="57">
        <f>ROUND(Р[[#This Row],[Количество]]*Р[[#This Row],[Цена за ед., руб]],2)</f>
        <v>0</v>
      </c>
      <c r="F7" s="48"/>
    </row>
    <row r="8" spans="1:6" ht="11.1" customHeight="1" x14ac:dyDescent="0.2">
      <c r="A8" s="47" t="s">
        <v>42</v>
      </c>
      <c r="B8" s="40" t="s">
        <v>23</v>
      </c>
      <c r="C8" s="41">
        <v>3384</v>
      </c>
      <c r="D8" s="57"/>
      <c r="E8" s="57">
        <f>ROUND(Р[[#This Row],[Количество]]*Р[[#This Row],[Цена за ед., руб]],2)</f>
        <v>0</v>
      </c>
      <c r="F8" s="48"/>
    </row>
    <row r="9" spans="1:6" ht="11.1" customHeight="1" x14ac:dyDescent="0.2">
      <c r="A9" s="47" t="s">
        <v>46</v>
      </c>
      <c r="B9" s="40" t="s">
        <v>23</v>
      </c>
      <c r="C9" s="43">
        <v>914</v>
      </c>
      <c r="D9" s="57"/>
      <c r="E9" s="57">
        <f>ROUND(Р[[#This Row],[Количество]]*Р[[#This Row],[Цена за ед., руб]],2)</f>
        <v>0</v>
      </c>
      <c r="F9" s="48"/>
    </row>
    <row r="10" spans="1:6" ht="11.1" customHeight="1" x14ac:dyDescent="0.2">
      <c r="A10" s="47" t="s">
        <v>52</v>
      </c>
      <c r="B10" s="40" t="s">
        <v>23</v>
      </c>
      <c r="C10" s="43">
        <v>255</v>
      </c>
      <c r="D10" s="57"/>
      <c r="E10" s="57">
        <f>ROUND(Р[[#This Row],[Количество]]*Р[[#This Row],[Цена за ед., руб]],2)</f>
        <v>0</v>
      </c>
      <c r="F10" s="48"/>
    </row>
    <row r="11" spans="1:6" ht="11.1" customHeight="1" x14ac:dyDescent="0.2">
      <c r="A11" s="47" t="s">
        <v>57</v>
      </c>
      <c r="B11" s="40" t="s">
        <v>26</v>
      </c>
      <c r="C11" s="44">
        <v>11321.4</v>
      </c>
      <c r="D11" s="57"/>
      <c r="E11" s="57">
        <f>ROUND(Р[[#This Row],[Количество]]*Р[[#This Row],[Цена за ед., руб]],2)</f>
        <v>0</v>
      </c>
      <c r="F11" s="48"/>
    </row>
    <row r="12" spans="1:6" ht="11.1" customHeight="1" x14ac:dyDescent="0.2">
      <c r="A12" s="47" t="s">
        <v>63</v>
      </c>
      <c r="B12" s="40" t="s">
        <v>26</v>
      </c>
      <c r="C12" s="43">
        <v>330</v>
      </c>
      <c r="D12" s="57"/>
      <c r="E12" s="57">
        <f>ROUND(Р[[#This Row],[Количество]]*Р[[#This Row],[Цена за ед., руб]],2)</f>
        <v>0</v>
      </c>
      <c r="F12" s="48"/>
    </row>
    <row r="13" spans="1:6" ht="11.1" customHeight="1" x14ac:dyDescent="0.2">
      <c r="A13" s="47" t="s">
        <v>67</v>
      </c>
      <c r="B13" s="40" t="s">
        <v>31</v>
      </c>
      <c r="C13" s="43">
        <v>665</v>
      </c>
      <c r="D13" s="57"/>
      <c r="E13" s="57">
        <f>ROUND(Р[[#This Row],[Количество]]*Р[[#This Row],[Цена за ед., руб]],2)</f>
        <v>0</v>
      </c>
      <c r="F13" s="48"/>
    </row>
    <row r="14" spans="1:6" ht="11.1" customHeight="1" x14ac:dyDescent="0.2">
      <c r="A14" s="47" t="s">
        <v>70</v>
      </c>
      <c r="B14" s="40" t="s">
        <v>23</v>
      </c>
      <c r="C14" s="41">
        <v>1011</v>
      </c>
      <c r="D14" s="57"/>
      <c r="E14" s="57">
        <f>ROUND(Р[[#This Row],[Количество]]*Р[[#This Row],[Цена за ед., руб]],2)</f>
        <v>0</v>
      </c>
      <c r="F14" s="48"/>
    </row>
    <row r="15" spans="1:6" ht="11.1" customHeight="1" x14ac:dyDescent="0.2">
      <c r="A15" s="47" t="s">
        <v>74</v>
      </c>
      <c r="B15" s="40" t="s">
        <v>23</v>
      </c>
      <c r="C15" s="41">
        <v>1020</v>
      </c>
      <c r="D15" s="57"/>
      <c r="E15" s="57">
        <f>ROUND(Р[[#This Row],[Количество]]*Р[[#This Row],[Цена за ед., руб]],2)</f>
        <v>0</v>
      </c>
      <c r="F15" s="48"/>
    </row>
    <row r="16" spans="1:6" ht="11.1" customHeight="1" x14ac:dyDescent="0.2">
      <c r="A16" s="47" t="s">
        <v>77</v>
      </c>
      <c r="B16" s="40" t="s">
        <v>23</v>
      </c>
      <c r="C16" s="41">
        <v>1011</v>
      </c>
      <c r="D16" s="57"/>
      <c r="E16" s="57">
        <f>ROUND(Р[[#This Row],[Количество]]*Р[[#This Row],[Цена за ед., руб]],2)</f>
        <v>0</v>
      </c>
      <c r="F16" s="48"/>
    </row>
    <row r="17" spans="1:6" ht="11.1" customHeight="1" x14ac:dyDescent="0.2">
      <c r="A17" s="47" t="s">
        <v>84</v>
      </c>
      <c r="B17" s="40" t="s">
        <v>23</v>
      </c>
      <c r="C17" s="43">
        <v>314</v>
      </c>
      <c r="D17" s="57"/>
      <c r="E17" s="57">
        <f>ROUND(Р[[#This Row],[Количество]]*Р[[#This Row],[Цена за ед., руб]],2)</f>
        <v>0</v>
      </c>
      <c r="F17" s="48"/>
    </row>
    <row r="18" spans="1:6" ht="11.1" customHeight="1" x14ac:dyDescent="0.2">
      <c r="A18" s="47" t="s">
        <v>94</v>
      </c>
      <c r="B18" s="40" t="s">
        <v>26</v>
      </c>
      <c r="C18" s="44">
        <v>1473</v>
      </c>
      <c r="D18" s="57"/>
      <c r="E18" s="57">
        <f>ROUND(Р[[#This Row],[Количество]]*Р[[#This Row],[Цена за ед., руб]],2)</f>
        <v>0</v>
      </c>
      <c r="F18" s="48"/>
    </row>
    <row r="19" spans="1:6" ht="11.1" customHeight="1" x14ac:dyDescent="0.2">
      <c r="A19" s="47" t="s">
        <v>107</v>
      </c>
      <c r="B19" s="40" t="s">
        <v>23</v>
      </c>
      <c r="C19" s="41">
        <v>1074</v>
      </c>
      <c r="D19" s="57"/>
      <c r="E19" s="57">
        <f>ROUND(Р[[#This Row],[Количество]]*Р[[#This Row],[Цена за ед., руб]],2)</f>
        <v>0</v>
      </c>
      <c r="F19" s="48"/>
    </row>
    <row r="20" spans="1:6" ht="11.1" customHeight="1" x14ac:dyDescent="0.2">
      <c r="A20" s="47" t="s">
        <v>113</v>
      </c>
      <c r="B20" s="40" t="s">
        <v>23</v>
      </c>
      <c r="C20" s="41">
        <v>2128</v>
      </c>
      <c r="D20" s="57"/>
      <c r="E20" s="57">
        <f>ROUND(Р[[#This Row],[Количество]]*Р[[#This Row],[Цена за ед., руб]],2)</f>
        <v>0</v>
      </c>
      <c r="F20" s="48"/>
    </row>
    <row r="21" spans="1:6" ht="11.1" customHeight="1" x14ac:dyDescent="0.2">
      <c r="A21" s="47" t="s">
        <v>114</v>
      </c>
      <c r="B21" s="40" t="s">
        <v>26</v>
      </c>
      <c r="C21" s="44">
        <v>4222.7</v>
      </c>
      <c r="D21" s="57"/>
      <c r="E21" s="57">
        <f>ROUND(Р[[#This Row],[Количество]]*Р[[#This Row],[Цена за ед., руб]],2)</f>
        <v>0</v>
      </c>
      <c r="F21" s="48"/>
    </row>
    <row r="22" spans="1:6" ht="11.1" customHeight="1" x14ac:dyDescent="0.2">
      <c r="A22" s="47" t="s">
        <v>119</v>
      </c>
      <c r="B22" s="40" t="s">
        <v>26</v>
      </c>
      <c r="C22" s="41">
        <v>9770</v>
      </c>
      <c r="D22" s="57"/>
      <c r="E22" s="57">
        <f>ROUND(Р[[#This Row],[Количество]]*Р[[#This Row],[Цена за ед., руб]],2)</f>
        <v>0</v>
      </c>
      <c r="F22" s="48"/>
    </row>
    <row r="23" spans="1:6" ht="11.1" customHeight="1" x14ac:dyDescent="0.2">
      <c r="A23" s="47" t="s">
        <v>126</v>
      </c>
      <c r="B23" s="40" t="s">
        <v>23</v>
      </c>
      <c r="C23" s="43">
        <v>30</v>
      </c>
      <c r="D23" s="57"/>
      <c r="E23" s="57">
        <f>ROUND(Р[[#This Row],[Количество]]*Р[[#This Row],[Цена за ед., руб]],2)</f>
        <v>0</v>
      </c>
      <c r="F23" s="48"/>
    </row>
    <row r="24" spans="1:6" ht="11.1" customHeight="1" x14ac:dyDescent="0.2">
      <c r="A24" s="47" t="s">
        <v>132</v>
      </c>
      <c r="B24" s="40" t="s">
        <v>23</v>
      </c>
      <c r="C24" s="43">
        <v>4</v>
      </c>
      <c r="D24" s="57"/>
      <c r="E24" s="57">
        <f>ROUND(Р[[#This Row],[Количество]]*Р[[#This Row],[Цена за ед., руб]],2)</f>
        <v>0</v>
      </c>
      <c r="F24" s="48"/>
    </row>
    <row r="25" spans="1:6" ht="11.1" customHeight="1" x14ac:dyDescent="0.2">
      <c r="A25" s="47" t="s">
        <v>135</v>
      </c>
      <c r="B25" s="40" t="s">
        <v>23</v>
      </c>
      <c r="C25" s="43">
        <v>24</v>
      </c>
      <c r="D25" s="57"/>
      <c r="E25" s="57">
        <f>ROUND(Р[[#This Row],[Количество]]*Р[[#This Row],[Цена за ед., руб]],2)</f>
        <v>0</v>
      </c>
      <c r="F25" s="48"/>
    </row>
    <row r="26" spans="1:6" ht="11.1" customHeight="1" x14ac:dyDescent="0.2">
      <c r="A26" s="47" t="s">
        <v>137</v>
      </c>
      <c r="B26" s="40" t="s">
        <v>23</v>
      </c>
      <c r="C26" s="43">
        <v>4</v>
      </c>
      <c r="D26" s="57"/>
      <c r="E26" s="57">
        <f>ROUND(Р[[#This Row],[Количество]]*Р[[#This Row],[Цена за ед., руб]],2)</f>
        <v>0</v>
      </c>
      <c r="F26" s="48"/>
    </row>
    <row r="27" spans="1:6" ht="11.1" customHeight="1" x14ac:dyDescent="0.2">
      <c r="A27" s="47" t="s">
        <v>140</v>
      </c>
      <c r="B27" s="40" t="s">
        <v>23</v>
      </c>
      <c r="C27" s="43">
        <v>36</v>
      </c>
      <c r="D27" s="57"/>
      <c r="E27" s="57">
        <f>ROUND(Р[[#This Row],[Количество]]*Р[[#This Row],[Цена за ед., руб]],2)</f>
        <v>0</v>
      </c>
      <c r="F27" s="48"/>
    </row>
    <row r="28" spans="1:6" ht="11.1" customHeight="1" x14ac:dyDescent="0.2">
      <c r="A28" s="47" t="s">
        <v>145</v>
      </c>
      <c r="B28" s="40" t="s">
        <v>31</v>
      </c>
      <c r="C28" s="43">
        <v>6</v>
      </c>
      <c r="D28" s="57"/>
      <c r="E28" s="57">
        <f>ROUND(Р[[#This Row],[Количество]]*Р[[#This Row],[Цена за ед., руб]],2)</f>
        <v>0</v>
      </c>
      <c r="F28" s="48"/>
    </row>
    <row r="29" spans="1:6" ht="11.1" customHeight="1" x14ac:dyDescent="0.2">
      <c r="A29" s="47" t="s">
        <v>148</v>
      </c>
      <c r="B29" s="40" t="s">
        <v>31</v>
      </c>
      <c r="C29" s="46">
        <v>447.8</v>
      </c>
      <c r="D29" s="57"/>
      <c r="E29" s="57">
        <f>ROUND(Р[[#This Row],[Количество]]*Р[[#This Row],[Цена за ед., руб]],2)</f>
        <v>0</v>
      </c>
      <c r="F29" s="48"/>
    </row>
    <row r="30" spans="1:6" ht="11.1" customHeight="1" x14ac:dyDescent="0.2">
      <c r="A30" s="47" t="s">
        <v>159</v>
      </c>
      <c r="B30" s="40" t="s">
        <v>23</v>
      </c>
      <c r="C30" s="43">
        <v>9</v>
      </c>
      <c r="D30" s="57"/>
      <c r="E30" s="57">
        <f>ROUND(Р[[#This Row],[Количество]]*Р[[#This Row],[Цена за ед., руб]],2)</f>
        <v>0</v>
      </c>
      <c r="F30" s="48"/>
    </row>
    <row r="31" spans="1:6" ht="11.1" customHeight="1" x14ac:dyDescent="0.2">
      <c r="A31" s="47" t="s">
        <v>167</v>
      </c>
      <c r="B31" s="40" t="s">
        <v>168</v>
      </c>
      <c r="C31" s="43">
        <v>5</v>
      </c>
      <c r="D31" s="57"/>
      <c r="E31" s="57">
        <f>ROUND(Р[[#This Row],[Количество]]*Р[[#This Row],[Цена за ед., руб]],2)</f>
        <v>0</v>
      </c>
      <c r="F31" s="48"/>
    </row>
    <row r="32" spans="1:6" ht="11.1" customHeight="1" x14ac:dyDescent="0.2">
      <c r="A32" s="51" t="s">
        <v>170</v>
      </c>
      <c r="B32" s="52" t="s">
        <v>168</v>
      </c>
      <c r="C32" s="53">
        <v>5</v>
      </c>
      <c r="D32" s="57"/>
      <c r="E32" s="58">
        <f>ROUND(Р[[#This Row],[Количество]]*Р[[#This Row],[Цена за ед., руб]],2)</f>
        <v>0</v>
      </c>
      <c r="F32" s="55"/>
    </row>
    <row r="33" spans="1:18" ht="11.45" customHeight="1" x14ac:dyDescent="0.2">
      <c r="A33" s="51" t="s">
        <v>199</v>
      </c>
      <c r="B33" s="52"/>
      <c r="C33" s="54"/>
      <c r="D33" s="58"/>
      <c r="E33" s="58">
        <f>SUBTOTAL(109,Р[Сумма, руб])</f>
        <v>0</v>
      </c>
      <c r="F33" s="55"/>
    </row>
    <row r="34" spans="1:18" ht="11.45" customHeight="1" x14ac:dyDescent="0.2">
      <c r="D34" s="72" t="s">
        <v>208</v>
      </c>
      <c r="E34" s="73">
        <f>ЛСР!N259-Р[[#Totals],[Сумма, руб]]</f>
        <v>0</v>
      </c>
    </row>
    <row r="36" spans="1:18" ht="12.75" x14ac:dyDescent="0.2">
      <c r="A36" s="87" t="s">
        <v>213</v>
      </c>
      <c r="B36" s="88"/>
      <c r="C36" s="88"/>
      <c r="D36" s="89"/>
      <c r="E36" s="89"/>
      <c r="F36" s="89"/>
      <c r="G36" s="89"/>
      <c r="H36" s="89"/>
      <c r="I36" s="89"/>
      <c r="J36" s="90"/>
      <c r="K36" s="89"/>
      <c r="L36" s="89"/>
      <c r="M36" s="88"/>
      <c r="N36" s="88"/>
      <c r="O36" s="91"/>
      <c r="P36" s="92"/>
      <c r="Q36" s="93"/>
      <c r="R36" s="93"/>
    </row>
    <row r="37" spans="1:18" ht="12.75" x14ac:dyDescent="0.2">
      <c r="A37" s="120" t="s">
        <v>214</v>
      </c>
      <c r="B37" s="120"/>
      <c r="C37" s="120"/>
      <c r="D37" s="120"/>
      <c r="E37" s="120"/>
      <c r="F37" s="120"/>
      <c r="G37" s="120"/>
      <c r="H37" s="120"/>
      <c r="I37" s="120"/>
      <c r="J37" s="120"/>
      <c r="K37" s="89"/>
      <c r="L37" s="89"/>
      <c r="M37" s="88"/>
      <c r="N37" s="88"/>
      <c r="O37" s="91"/>
      <c r="P37" s="92"/>
      <c r="Q37" s="93"/>
      <c r="R37" s="93"/>
    </row>
    <row r="38" spans="1:18" ht="12.75" x14ac:dyDescent="0.2">
      <c r="A38" s="121" t="s">
        <v>216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95"/>
      <c r="P38" s="95"/>
      <c r="Q38" s="93"/>
      <c r="R38" s="93"/>
    </row>
    <row r="39" spans="1:18" ht="12.75" x14ac:dyDescent="0.2">
      <c r="A39" s="121" t="s">
        <v>217</v>
      </c>
      <c r="B39" s="121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96"/>
      <c r="P39" s="92"/>
      <c r="Q39" s="93"/>
      <c r="R39" s="93"/>
    </row>
    <row r="40" spans="1:18" ht="12.75" x14ac:dyDescent="0.2">
      <c r="A40" s="122" t="s">
        <v>218</v>
      </c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97"/>
      <c r="P40" s="97"/>
      <c r="Q40" s="93"/>
      <c r="R40" s="93"/>
    </row>
    <row r="41" spans="1:18" ht="15.75" x14ac:dyDescent="0.2">
      <c r="A41" s="123" t="s">
        <v>219</v>
      </c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</row>
    <row r="42" spans="1:18" ht="15.75" x14ac:dyDescent="0.2">
      <c r="A42" s="119" t="s">
        <v>220</v>
      </c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</row>
    <row r="43" spans="1:18" ht="11.25" x14ac:dyDescent="0.2"/>
  </sheetData>
  <mergeCells count="7">
    <mergeCell ref="A41:N41"/>
    <mergeCell ref="A42:R42"/>
    <mergeCell ref="A1:F1"/>
    <mergeCell ref="A37:J37"/>
    <mergeCell ref="A38:N38"/>
    <mergeCell ref="A39:N39"/>
    <mergeCell ref="A40:N40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R90"/>
  <sheetViews>
    <sheetView zoomScale="85" zoomScaleNormal="85" workbookViewId="0">
      <pane xSplit="5" ySplit="3" topLeftCell="F53" activePane="bottomRight" state="frozen"/>
      <selection pane="topRight" activeCell="F1" sqref="F1"/>
      <selection pane="bottomLeft" activeCell="A4" sqref="A4"/>
      <selection pane="bottomRight" activeCell="A115" sqref="A115"/>
    </sheetView>
  </sheetViews>
  <sheetFormatPr defaultColWidth="10.5" defaultRowHeight="11.45" customHeight="1" x14ac:dyDescent="0.2"/>
  <cols>
    <col min="1" max="1" width="51.6640625" style="1" customWidth="1"/>
    <col min="2" max="2" width="26" style="1" customWidth="1"/>
    <col min="3" max="3" width="28.5" style="1" customWidth="1"/>
    <col min="4" max="4" width="10.6640625" style="1" customWidth="1"/>
    <col min="5" max="5" width="14.6640625" style="1" customWidth="1"/>
    <col min="6" max="6" width="18.33203125" style="1" customWidth="1"/>
    <col min="7" max="7" width="17" style="1" customWidth="1"/>
    <col min="8" max="8" width="36.5" style="1" customWidth="1"/>
    <col min="9" max="9" width="23.33203125" style="1" customWidth="1"/>
  </cols>
  <sheetData>
    <row r="1" spans="1:9" ht="11.1" customHeight="1" x14ac:dyDescent="0.2">
      <c r="A1" s="124" t="s">
        <v>181</v>
      </c>
      <c r="B1" s="124"/>
      <c r="C1" s="124"/>
      <c r="D1" s="124"/>
      <c r="E1" s="124"/>
      <c r="F1" s="124"/>
      <c r="G1" s="124"/>
      <c r="H1" s="124"/>
    </row>
    <row r="2" spans="1:9" ht="11.1" customHeight="1" x14ac:dyDescent="0.2"/>
    <row r="3" spans="1:9" ht="23.1" customHeight="1" x14ac:dyDescent="0.2">
      <c r="A3" s="49" t="s">
        <v>182</v>
      </c>
      <c r="B3" s="59" t="s">
        <v>183</v>
      </c>
      <c r="C3" s="50" t="s">
        <v>184</v>
      </c>
      <c r="D3" s="2" t="s">
        <v>5</v>
      </c>
      <c r="E3" s="2" t="s">
        <v>9</v>
      </c>
      <c r="F3" s="56" t="s">
        <v>10</v>
      </c>
      <c r="G3" s="56" t="s">
        <v>11</v>
      </c>
      <c r="H3" s="2" t="s">
        <v>185</v>
      </c>
      <c r="I3" s="50" t="s">
        <v>186</v>
      </c>
    </row>
    <row r="4" spans="1:9" ht="11.1" customHeight="1" x14ac:dyDescent="0.2">
      <c r="A4" s="47" t="s">
        <v>108</v>
      </c>
      <c r="B4" s="42"/>
      <c r="C4" s="42" t="s">
        <v>109</v>
      </c>
      <c r="D4" s="40" t="s">
        <v>31</v>
      </c>
      <c r="E4" s="41">
        <v>7450</v>
      </c>
      <c r="F4" s="57"/>
      <c r="G4" s="57">
        <f>ROUND(М[[#This Row],[Количество]]*М[[#This Row],[Цена за ед., руб]],2)</f>
        <v>0</v>
      </c>
      <c r="H4" s="42"/>
      <c r="I4" s="48"/>
    </row>
    <row r="5" spans="1:9" ht="23.1" customHeight="1" x14ac:dyDescent="0.2">
      <c r="A5" s="47" t="s">
        <v>53</v>
      </c>
      <c r="B5" s="42"/>
      <c r="C5" s="42" t="s">
        <v>54</v>
      </c>
      <c r="D5" s="40" t="s">
        <v>23</v>
      </c>
      <c r="E5" s="43">
        <v>232</v>
      </c>
      <c r="F5" s="57"/>
      <c r="G5" s="57">
        <f>ROUND(М[[#This Row],[Количество]]*М[[#This Row],[Цена за ед., руб]],2)</f>
        <v>0</v>
      </c>
      <c r="H5" s="42"/>
      <c r="I5" s="48"/>
    </row>
    <row r="6" spans="1:9" ht="23.1" customHeight="1" x14ac:dyDescent="0.2">
      <c r="A6" s="47" t="s">
        <v>53</v>
      </c>
      <c r="B6" s="42"/>
      <c r="C6" s="42" t="s">
        <v>55</v>
      </c>
      <c r="D6" s="40" t="s">
        <v>23</v>
      </c>
      <c r="E6" s="43">
        <v>4</v>
      </c>
      <c r="F6" s="57"/>
      <c r="G6" s="57">
        <f>ROUND(М[[#This Row],[Количество]]*М[[#This Row],[Цена за ед., руб]],2)</f>
        <v>0</v>
      </c>
      <c r="H6" s="42" t="s">
        <v>56</v>
      </c>
      <c r="I6" s="48"/>
    </row>
    <row r="7" spans="1:9" ht="23.1" customHeight="1" x14ac:dyDescent="0.2">
      <c r="A7" s="47" t="s">
        <v>53</v>
      </c>
      <c r="B7" s="42"/>
      <c r="C7" s="42" t="s">
        <v>55</v>
      </c>
      <c r="D7" s="40" t="s">
        <v>23</v>
      </c>
      <c r="E7" s="43">
        <v>19</v>
      </c>
      <c r="F7" s="57"/>
      <c r="G7" s="57">
        <f>ROUND(М[[#This Row],[Количество]]*М[[#This Row],[Цена за ед., руб]],2)</f>
        <v>0</v>
      </c>
      <c r="H7" s="42"/>
      <c r="I7" s="48"/>
    </row>
    <row r="8" spans="1:9" ht="23.1" customHeight="1" x14ac:dyDescent="0.2">
      <c r="A8" s="47" t="s">
        <v>85</v>
      </c>
      <c r="B8" s="42"/>
      <c r="C8" s="42" t="s">
        <v>86</v>
      </c>
      <c r="D8" s="40" t="s">
        <v>31</v>
      </c>
      <c r="E8" s="45">
        <v>133.26</v>
      </c>
      <c r="F8" s="57"/>
      <c r="G8" s="57">
        <f>ROUND(М[[#This Row],[Количество]]*М[[#This Row],[Цена за ед., руб]],2)</f>
        <v>0</v>
      </c>
      <c r="H8" s="42"/>
      <c r="I8" s="48"/>
    </row>
    <row r="9" spans="1:9" ht="11.1" customHeight="1" x14ac:dyDescent="0.2">
      <c r="A9" s="47" t="s">
        <v>39</v>
      </c>
      <c r="B9" s="42"/>
      <c r="C9" s="42" t="s">
        <v>40</v>
      </c>
      <c r="D9" s="40" t="s">
        <v>23</v>
      </c>
      <c r="E9" s="43">
        <v>37</v>
      </c>
      <c r="F9" s="57"/>
      <c r="G9" s="57">
        <f>ROUND(М[[#This Row],[Количество]]*М[[#This Row],[Цена за ед., руб]],2)</f>
        <v>0</v>
      </c>
      <c r="H9" s="42"/>
      <c r="I9" s="48"/>
    </row>
    <row r="10" spans="1:9" ht="11.1" customHeight="1" x14ac:dyDescent="0.2">
      <c r="A10" s="47" t="s">
        <v>39</v>
      </c>
      <c r="B10" s="42"/>
      <c r="C10" s="42" t="s">
        <v>41</v>
      </c>
      <c r="D10" s="40" t="s">
        <v>23</v>
      </c>
      <c r="E10" s="43">
        <v>12</v>
      </c>
      <c r="F10" s="57"/>
      <c r="G10" s="57">
        <f>ROUND(М[[#This Row],[Количество]]*М[[#This Row],[Цена за ед., руб]],2)</f>
        <v>0</v>
      </c>
      <c r="H10" s="42"/>
      <c r="I10" s="48"/>
    </row>
    <row r="11" spans="1:9" ht="11.1" customHeight="1" x14ac:dyDescent="0.2">
      <c r="A11" s="47" t="s">
        <v>95</v>
      </c>
      <c r="B11" s="42"/>
      <c r="C11" s="42" t="s">
        <v>96</v>
      </c>
      <c r="D11" s="40" t="s">
        <v>31</v>
      </c>
      <c r="E11" s="44">
        <v>1131.5</v>
      </c>
      <c r="F11" s="57"/>
      <c r="G11" s="57">
        <f>ROUND(М[[#This Row],[Количество]]*М[[#This Row],[Цена за ед., руб]],2)</f>
        <v>0</v>
      </c>
      <c r="H11" s="42"/>
      <c r="I11" s="48"/>
    </row>
    <row r="12" spans="1:9" ht="11.1" customHeight="1" x14ac:dyDescent="0.2">
      <c r="A12" s="47" t="s">
        <v>95</v>
      </c>
      <c r="B12" s="42"/>
      <c r="C12" s="42" t="s">
        <v>97</v>
      </c>
      <c r="D12" s="40" t="s">
        <v>31</v>
      </c>
      <c r="E12" s="43">
        <v>42</v>
      </c>
      <c r="F12" s="57"/>
      <c r="G12" s="57">
        <f>ROUND(М[[#This Row],[Количество]]*М[[#This Row],[Цена за ед., руб]],2)</f>
        <v>0</v>
      </c>
      <c r="H12" s="42"/>
      <c r="I12" s="48"/>
    </row>
    <row r="13" spans="1:9" ht="11.1" customHeight="1" x14ac:dyDescent="0.2">
      <c r="A13" s="47" t="s">
        <v>95</v>
      </c>
      <c r="B13" s="42"/>
      <c r="C13" s="42" t="s">
        <v>98</v>
      </c>
      <c r="D13" s="40" t="s">
        <v>31</v>
      </c>
      <c r="E13" s="46">
        <v>60.5</v>
      </c>
      <c r="F13" s="57"/>
      <c r="G13" s="57">
        <f>ROUND(М[[#This Row],[Количество]]*М[[#This Row],[Цена за ед., руб]],2)</f>
        <v>0</v>
      </c>
      <c r="H13" s="42"/>
      <c r="I13" s="48"/>
    </row>
    <row r="14" spans="1:9" ht="11.1" customHeight="1" x14ac:dyDescent="0.2">
      <c r="A14" s="47" t="s">
        <v>95</v>
      </c>
      <c r="B14" s="42"/>
      <c r="C14" s="42" t="s">
        <v>99</v>
      </c>
      <c r="D14" s="40" t="s">
        <v>31</v>
      </c>
      <c r="E14" s="43">
        <v>239</v>
      </c>
      <c r="F14" s="57"/>
      <c r="G14" s="57">
        <f>ROUND(М[[#This Row],[Количество]]*М[[#This Row],[Цена за ед., руб]],2)</f>
        <v>0</v>
      </c>
      <c r="H14" s="42"/>
      <c r="I14" s="48"/>
    </row>
    <row r="15" spans="1:9" ht="11.1" customHeight="1" x14ac:dyDescent="0.2">
      <c r="A15" s="47" t="s">
        <v>160</v>
      </c>
      <c r="B15" s="42"/>
      <c r="C15" s="42" t="s">
        <v>161</v>
      </c>
      <c r="D15" s="40" t="s">
        <v>23</v>
      </c>
      <c r="E15" s="43">
        <v>9</v>
      </c>
      <c r="F15" s="57"/>
      <c r="G15" s="57">
        <f>ROUND(М[[#This Row],[Количество]]*М[[#This Row],[Цена за ед., руб]],2)</f>
        <v>0</v>
      </c>
      <c r="H15" s="42" t="s">
        <v>162</v>
      </c>
      <c r="I15" s="48"/>
    </row>
    <row r="16" spans="1:9" ht="11.1" customHeight="1" x14ac:dyDescent="0.2">
      <c r="A16" s="47" t="s">
        <v>68</v>
      </c>
      <c r="B16" s="42"/>
      <c r="C16" s="42" t="s">
        <v>69</v>
      </c>
      <c r="D16" s="40" t="s">
        <v>31</v>
      </c>
      <c r="E16" s="43">
        <v>485</v>
      </c>
      <c r="F16" s="57"/>
      <c r="G16" s="57">
        <f>ROUND(М[[#This Row],[Количество]]*М[[#This Row],[Цена за ед., руб]],2)</f>
        <v>0</v>
      </c>
      <c r="H16" s="42"/>
      <c r="I16" s="48"/>
    </row>
    <row r="17" spans="1:9" ht="11.1" customHeight="1" x14ac:dyDescent="0.2">
      <c r="A17" s="47" t="s">
        <v>68</v>
      </c>
      <c r="B17" s="42"/>
      <c r="C17" s="42" t="s">
        <v>100</v>
      </c>
      <c r="D17" s="40" t="s">
        <v>31</v>
      </c>
      <c r="E17" s="43">
        <v>8</v>
      </c>
      <c r="F17" s="57"/>
      <c r="G17" s="57">
        <f>ROUND(М[[#This Row],[Количество]]*М[[#This Row],[Цена за ед., руб]],2)</f>
        <v>0</v>
      </c>
      <c r="H17" s="42"/>
      <c r="I17" s="48"/>
    </row>
    <row r="18" spans="1:9" ht="11.1" customHeight="1" x14ac:dyDescent="0.2">
      <c r="A18" s="47" t="s">
        <v>68</v>
      </c>
      <c r="B18" s="42"/>
      <c r="C18" s="42" t="s">
        <v>101</v>
      </c>
      <c r="D18" s="40" t="s">
        <v>31</v>
      </c>
      <c r="E18" s="43">
        <v>114</v>
      </c>
      <c r="F18" s="57"/>
      <c r="G18" s="57">
        <f>ROUND(М[[#This Row],[Количество]]*М[[#This Row],[Цена за ед., руб]],2)</f>
        <v>0</v>
      </c>
      <c r="H18" s="42"/>
      <c r="I18" s="48"/>
    </row>
    <row r="19" spans="1:9" ht="11.1" customHeight="1" x14ac:dyDescent="0.2">
      <c r="A19" s="47" t="s">
        <v>68</v>
      </c>
      <c r="B19" s="42"/>
      <c r="C19" s="42" t="s">
        <v>102</v>
      </c>
      <c r="D19" s="40" t="s">
        <v>31</v>
      </c>
      <c r="E19" s="43">
        <v>21</v>
      </c>
      <c r="F19" s="57"/>
      <c r="G19" s="57">
        <f>ROUND(М[[#This Row],[Количество]]*М[[#This Row],[Цена за ед., руб]],2)</f>
        <v>0</v>
      </c>
      <c r="H19" s="42"/>
      <c r="I19" s="48"/>
    </row>
    <row r="20" spans="1:9" ht="11.1" customHeight="1" x14ac:dyDescent="0.2">
      <c r="A20" s="47" t="s">
        <v>68</v>
      </c>
      <c r="B20" s="42"/>
      <c r="C20" s="42" t="s">
        <v>103</v>
      </c>
      <c r="D20" s="40" t="s">
        <v>31</v>
      </c>
      <c r="E20" s="43">
        <v>37</v>
      </c>
      <c r="F20" s="57"/>
      <c r="G20" s="57">
        <f>ROUND(М[[#This Row],[Количество]]*М[[#This Row],[Цена за ед., руб]],2)</f>
        <v>0</v>
      </c>
      <c r="H20" s="42"/>
      <c r="I20" s="48"/>
    </row>
    <row r="21" spans="1:9" ht="11.1" customHeight="1" x14ac:dyDescent="0.2">
      <c r="A21" s="47" t="s">
        <v>115</v>
      </c>
      <c r="B21" s="42"/>
      <c r="C21" s="42" t="s">
        <v>144</v>
      </c>
      <c r="D21" s="40" t="s">
        <v>31</v>
      </c>
      <c r="E21" s="43">
        <v>511</v>
      </c>
      <c r="F21" s="57"/>
      <c r="G21" s="57">
        <f>ROUND(М[[#This Row],[Количество]]*М[[#This Row],[Цена за ед., руб]],2)</f>
        <v>0</v>
      </c>
      <c r="H21" s="42"/>
      <c r="I21" s="48"/>
    </row>
    <row r="22" spans="1:9" ht="11.1" customHeight="1" x14ac:dyDescent="0.2">
      <c r="A22" s="47" t="s">
        <v>115</v>
      </c>
      <c r="B22" s="42"/>
      <c r="C22" s="42" t="s">
        <v>116</v>
      </c>
      <c r="D22" s="40" t="s">
        <v>31</v>
      </c>
      <c r="E22" s="41">
        <v>3300</v>
      </c>
      <c r="F22" s="57"/>
      <c r="G22" s="57">
        <f>ROUND(М[[#This Row],[Количество]]*М[[#This Row],[Цена за ед., руб]],2)</f>
        <v>0</v>
      </c>
      <c r="H22" s="42"/>
      <c r="I22" s="48"/>
    </row>
    <row r="23" spans="1:9" ht="11.1" customHeight="1" x14ac:dyDescent="0.2">
      <c r="A23" s="47" t="s">
        <v>115</v>
      </c>
      <c r="B23" s="42"/>
      <c r="C23" s="42" t="s">
        <v>117</v>
      </c>
      <c r="D23" s="40" t="s">
        <v>31</v>
      </c>
      <c r="E23" s="46">
        <v>129.19999999999999</v>
      </c>
      <c r="F23" s="57"/>
      <c r="G23" s="57">
        <f>ROUND(М[[#This Row],[Количество]]*М[[#This Row],[Цена за ед., руб]],2)</f>
        <v>0</v>
      </c>
      <c r="H23" s="42"/>
      <c r="I23" s="48"/>
    </row>
    <row r="24" spans="1:9" ht="11.1" customHeight="1" x14ac:dyDescent="0.2">
      <c r="A24" s="47" t="s">
        <v>115</v>
      </c>
      <c r="B24" s="42"/>
      <c r="C24" s="42" t="s">
        <v>118</v>
      </c>
      <c r="D24" s="40" t="s">
        <v>31</v>
      </c>
      <c r="E24" s="46">
        <v>282.5</v>
      </c>
      <c r="F24" s="57"/>
      <c r="G24" s="57">
        <f>ROUND(М[[#This Row],[Количество]]*М[[#This Row],[Цена за ед., руб]],2)</f>
        <v>0</v>
      </c>
      <c r="H24" s="42"/>
      <c r="I24" s="48"/>
    </row>
    <row r="25" spans="1:9" ht="11.1" customHeight="1" x14ac:dyDescent="0.2">
      <c r="A25" s="47" t="s">
        <v>146</v>
      </c>
      <c r="B25" s="42"/>
      <c r="C25" s="42" t="s">
        <v>147</v>
      </c>
      <c r="D25" s="40" t="s">
        <v>31</v>
      </c>
      <c r="E25" s="43">
        <v>6</v>
      </c>
      <c r="F25" s="57"/>
      <c r="G25" s="57">
        <f>ROUND(М[[#This Row],[Количество]]*М[[#This Row],[Цена за ед., руб]],2)</f>
        <v>0</v>
      </c>
      <c r="H25" s="42"/>
      <c r="I25" s="48"/>
    </row>
    <row r="26" spans="1:9" ht="11.1" customHeight="1" x14ac:dyDescent="0.2">
      <c r="A26" s="47" t="s">
        <v>149</v>
      </c>
      <c r="B26" s="42"/>
      <c r="C26" s="42" t="s">
        <v>150</v>
      </c>
      <c r="D26" s="40" t="s">
        <v>31</v>
      </c>
      <c r="E26" s="46">
        <v>3.8</v>
      </c>
      <c r="F26" s="57"/>
      <c r="G26" s="57">
        <f>ROUND(М[[#This Row],[Количество]]*М[[#This Row],[Цена за ед., руб]],2)</f>
        <v>0</v>
      </c>
      <c r="H26" s="42" t="s">
        <v>151</v>
      </c>
      <c r="I26" s="48"/>
    </row>
    <row r="27" spans="1:9" ht="11.1" customHeight="1" x14ac:dyDescent="0.2">
      <c r="A27" s="47" t="s">
        <v>149</v>
      </c>
      <c r="B27" s="42"/>
      <c r="C27" s="42" t="s">
        <v>152</v>
      </c>
      <c r="D27" s="40" t="s">
        <v>31</v>
      </c>
      <c r="E27" s="43">
        <v>4</v>
      </c>
      <c r="F27" s="57"/>
      <c r="G27" s="57">
        <f>ROUND(М[[#This Row],[Количество]]*М[[#This Row],[Цена за ед., руб]],2)</f>
        <v>0</v>
      </c>
      <c r="H27" s="42"/>
      <c r="I27" s="48"/>
    </row>
    <row r="28" spans="1:9" ht="11.1" customHeight="1" x14ac:dyDescent="0.2">
      <c r="A28" s="47" t="s">
        <v>149</v>
      </c>
      <c r="B28" s="42"/>
      <c r="C28" s="42" t="s">
        <v>153</v>
      </c>
      <c r="D28" s="40" t="s">
        <v>31</v>
      </c>
      <c r="E28" s="43">
        <v>440</v>
      </c>
      <c r="F28" s="57"/>
      <c r="G28" s="57">
        <f>ROUND(М[[#This Row],[Количество]]*М[[#This Row],[Цена за ед., руб]],2)</f>
        <v>0</v>
      </c>
      <c r="H28" s="42"/>
      <c r="I28" s="48"/>
    </row>
    <row r="29" spans="1:9" ht="11.1" customHeight="1" x14ac:dyDescent="0.2">
      <c r="A29" s="47" t="s">
        <v>138</v>
      </c>
      <c r="B29" s="42"/>
      <c r="C29" s="42" t="s">
        <v>139</v>
      </c>
      <c r="D29" s="40" t="s">
        <v>23</v>
      </c>
      <c r="E29" s="43">
        <v>4</v>
      </c>
      <c r="F29" s="57"/>
      <c r="G29" s="57">
        <f>ROUND(М[[#This Row],[Количество]]*М[[#This Row],[Цена за ед., руб]],2)</f>
        <v>0</v>
      </c>
      <c r="H29" s="42"/>
      <c r="I29" s="48"/>
    </row>
    <row r="30" spans="1:9" ht="11.1" customHeight="1" x14ac:dyDescent="0.2">
      <c r="A30" s="47" t="s">
        <v>138</v>
      </c>
      <c r="B30" s="42"/>
      <c r="C30" s="42" t="s">
        <v>141</v>
      </c>
      <c r="D30" s="40" t="s">
        <v>23</v>
      </c>
      <c r="E30" s="43">
        <v>26</v>
      </c>
      <c r="F30" s="57"/>
      <c r="G30" s="57">
        <f>ROUND(М[[#This Row],[Количество]]*М[[#This Row],[Цена за ед., руб]],2)</f>
        <v>0</v>
      </c>
      <c r="H30" s="42"/>
      <c r="I30" s="48"/>
    </row>
    <row r="31" spans="1:9" ht="11.1" customHeight="1" x14ac:dyDescent="0.2">
      <c r="A31" s="47" t="s">
        <v>138</v>
      </c>
      <c r="B31" s="42"/>
      <c r="C31" s="42" t="s">
        <v>142</v>
      </c>
      <c r="D31" s="40" t="s">
        <v>23</v>
      </c>
      <c r="E31" s="43">
        <v>10</v>
      </c>
      <c r="F31" s="57"/>
      <c r="G31" s="57">
        <f>ROUND(М[[#This Row],[Количество]]*М[[#This Row],[Цена за ед., руб]],2)</f>
        <v>0</v>
      </c>
      <c r="H31" s="42"/>
      <c r="I31" s="48"/>
    </row>
    <row r="32" spans="1:9" ht="11.1" customHeight="1" x14ac:dyDescent="0.2">
      <c r="A32" s="47" t="s">
        <v>58</v>
      </c>
      <c r="B32" s="42"/>
      <c r="C32" s="42" t="s">
        <v>59</v>
      </c>
      <c r="D32" s="40" t="s">
        <v>31</v>
      </c>
      <c r="E32" s="43">
        <v>20</v>
      </c>
      <c r="F32" s="57"/>
      <c r="G32" s="57">
        <f>ROUND(М[[#This Row],[Количество]]*М[[#This Row],[Цена за ед., руб]],2)</f>
        <v>0</v>
      </c>
      <c r="H32" s="42" t="s">
        <v>157</v>
      </c>
      <c r="I32" s="48"/>
    </row>
    <row r="33" spans="1:9" ht="11.1" customHeight="1" x14ac:dyDescent="0.2">
      <c r="A33" s="47" t="s">
        <v>58</v>
      </c>
      <c r="B33" s="42"/>
      <c r="C33" s="42" t="s">
        <v>59</v>
      </c>
      <c r="D33" s="40" t="s">
        <v>31</v>
      </c>
      <c r="E33" s="44">
        <v>8892.9</v>
      </c>
      <c r="F33" s="57"/>
      <c r="G33" s="57">
        <f>ROUND(М[[#This Row],[Количество]]*М[[#This Row],[Цена за ед., руб]],2)</f>
        <v>0</v>
      </c>
      <c r="H33" s="42" t="s">
        <v>60</v>
      </c>
      <c r="I33" s="48"/>
    </row>
    <row r="34" spans="1:9" ht="11.1" customHeight="1" x14ac:dyDescent="0.2">
      <c r="A34" s="47" t="s">
        <v>58</v>
      </c>
      <c r="B34" s="42"/>
      <c r="C34" s="42" t="s">
        <v>61</v>
      </c>
      <c r="D34" s="40" t="s">
        <v>31</v>
      </c>
      <c r="E34" s="44">
        <v>1507.5</v>
      </c>
      <c r="F34" s="57"/>
      <c r="G34" s="57">
        <f>ROUND(М[[#This Row],[Количество]]*М[[#This Row],[Цена за ед., руб]],2)</f>
        <v>0</v>
      </c>
      <c r="H34" s="42" t="s">
        <v>60</v>
      </c>
      <c r="I34" s="48"/>
    </row>
    <row r="35" spans="1:9" ht="23.1" customHeight="1" x14ac:dyDescent="0.2">
      <c r="A35" s="47" t="s">
        <v>58</v>
      </c>
      <c r="B35" s="42"/>
      <c r="C35" s="42" t="s">
        <v>61</v>
      </c>
      <c r="D35" s="40" t="s">
        <v>31</v>
      </c>
      <c r="E35" s="43">
        <v>27</v>
      </c>
      <c r="F35" s="57"/>
      <c r="G35" s="57">
        <f>ROUND(М[[#This Row],[Количество]]*М[[#This Row],[Цена за ед., руб]],2)</f>
        <v>0</v>
      </c>
      <c r="H35" s="42" t="s">
        <v>158</v>
      </c>
      <c r="I35" s="48"/>
    </row>
    <row r="36" spans="1:9" ht="23.1" customHeight="1" x14ac:dyDescent="0.2">
      <c r="A36" s="47" t="s">
        <v>58</v>
      </c>
      <c r="B36" s="42"/>
      <c r="C36" s="42" t="s">
        <v>143</v>
      </c>
      <c r="D36" s="40" t="s">
        <v>31</v>
      </c>
      <c r="E36" s="43">
        <v>112</v>
      </c>
      <c r="F36" s="57"/>
      <c r="G36" s="57">
        <f>ROUND(М[[#This Row],[Количество]]*М[[#This Row],[Цена за ед., руб]],2)</f>
        <v>0</v>
      </c>
      <c r="H36" s="42"/>
      <c r="I36" s="48"/>
    </row>
    <row r="37" spans="1:9" ht="23.1" customHeight="1" x14ac:dyDescent="0.2">
      <c r="A37" s="47" t="s">
        <v>58</v>
      </c>
      <c r="B37" s="42"/>
      <c r="C37" s="42" t="s">
        <v>62</v>
      </c>
      <c r="D37" s="40" t="s">
        <v>31</v>
      </c>
      <c r="E37" s="43">
        <v>762</v>
      </c>
      <c r="F37" s="57"/>
      <c r="G37" s="57">
        <f>ROUND(М[[#This Row],[Количество]]*М[[#This Row],[Цена за ед., руб]],2)</f>
        <v>0</v>
      </c>
      <c r="H37" s="42" t="s">
        <v>60</v>
      </c>
      <c r="I37" s="48"/>
    </row>
    <row r="38" spans="1:9" ht="47.1" customHeight="1" x14ac:dyDescent="0.2">
      <c r="A38" s="47" t="s">
        <v>127</v>
      </c>
      <c r="B38" s="42"/>
      <c r="C38" s="42" t="s">
        <v>128</v>
      </c>
      <c r="D38" s="40" t="s">
        <v>23</v>
      </c>
      <c r="E38" s="43">
        <v>4</v>
      </c>
      <c r="F38" s="57"/>
      <c r="G38" s="57">
        <f>ROUND(М[[#This Row],[Количество]]*М[[#This Row],[Цена за ед., руб]],2)</f>
        <v>0</v>
      </c>
      <c r="H38" s="42" t="s">
        <v>129</v>
      </c>
      <c r="I38" s="48"/>
    </row>
    <row r="39" spans="1:9" ht="23.1" customHeight="1" x14ac:dyDescent="0.2">
      <c r="A39" s="47" t="s">
        <v>127</v>
      </c>
      <c r="B39" s="42"/>
      <c r="C39" s="42" t="s">
        <v>130</v>
      </c>
      <c r="D39" s="40" t="s">
        <v>23</v>
      </c>
      <c r="E39" s="43">
        <v>26</v>
      </c>
      <c r="F39" s="57"/>
      <c r="G39" s="57">
        <f>ROUND(М[[#This Row],[Количество]]*М[[#This Row],[Цена за ед., руб]],2)</f>
        <v>0</v>
      </c>
      <c r="H39" s="42" t="s">
        <v>131</v>
      </c>
      <c r="I39" s="48"/>
    </row>
    <row r="40" spans="1:9" ht="23.1" customHeight="1" x14ac:dyDescent="0.2">
      <c r="A40" s="47" t="s">
        <v>47</v>
      </c>
      <c r="B40" s="42"/>
      <c r="C40" s="42" t="s">
        <v>48</v>
      </c>
      <c r="D40" s="40" t="s">
        <v>23</v>
      </c>
      <c r="E40" s="43">
        <v>60</v>
      </c>
      <c r="F40" s="57"/>
      <c r="G40" s="57">
        <f>ROUND(М[[#This Row],[Количество]]*М[[#This Row],[Цена за ед., руб]],2)</f>
        <v>0</v>
      </c>
      <c r="H40" s="42"/>
      <c r="I40" s="48"/>
    </row>
    <row r="41" spans="1:9" ht="11.1" customHeight="1" x14ac:dyDescent="0.2">
      <c r="A41" s="47" t="s">
        <v>47</v>
      </c>
      <c r="B41" s="42"/>
      <c r="C41" s="42" t="s">
        <v>90</v>
      </c>
      <c r="D41" s="40" t="s">
        <v>23</v>
      </c>
      <c r="E41" s="43">
        <v>86</v>
      </c>
      <c r="F41" s="57"/>
      <c r="G41" s="57">
        <f>ROUND(М[[#This Row],[Количество]]*М[[#This Row],[Цена за ед., руб]],2)</f>
        <v>0</v>
      </c>
      <c r="H41" s="42"/>
      <c r="I41" s="48"/>
    </row>
    <row r="42" spans="1:9" ht="23.1" customHeight="1" x14ac:dyDescent="0.2">
      <c r="A42" s="47" t="s">
        <v>47</v>
      </c>
      <c r="B42" s="42"/>
      <c r="C42" s="42" t="s">
        <v>49</v>
      </c>
      <c r="D42" s="40" t="s">
        <v>23</v>
      </c>
      <c r="E42" s="43">
        <v>6</v>
      </c>
      <c r="F42" s="57"/>
      <c r="G42" s="57">
        <f>ROUND(М[[#This Row],[Количество]]*М[[#This Row],[Цена за ед., руб]],2)</f>
        <v>0</v>
      </c>
      <c r="H42" s="42"/>
      <c r="I42" s="48"/>
    </row>
    <row r="43" spans="1:9" ht="23.1" customHeight="1" x14ac:dyDescent="0.2">
      <c r="A43" s="47" t="s">
        <v>47</v>
      </c>
      <c r="B43" s="42"/>
      <c r="C43" s="42" t="s">
        <v>91</v>
      </c>
      <c r="D43" s="40" t="s">
        <v>23</v>
      </c>
      <c r="E43" s="43">
        <v>3</v>
      </c>
      <c r="F43" s="57"/>
      <c r="G43" s="57">
        <f>ROUND(М[[#This Row],[Количество]]*М[[#This Row],[Цена за ед., руб]],2)</f>
        <v>0</v>
      </c>
      <c r="H43" s="42"/>
      <c r="I43" s="48"/>
    </row>
    <row r="44" spans="1:9" ht="23.1" customHeight="1" x14ac:dyDescent="0.2">
      <c r="A44" s="47" t="s">
        <v>47</v>
      </c>
      <c r="B44" s="42"/>
      <c r="C44" s="42" t="s">
        <v>92</v>
      </c>
      <c r="D44" s="40" t="s">
        <v>23</v>
      </c>
      <c r="E44" s="43">
        <v>1</v>
      </c>
      <c r="F44" s="57"/>
      <c r="G44" s="57">
        <f>ROUND(М[[#This Row],[Количество]]*М[[#This Row],[Цена за ед., руб]],2)</f>
        <v>0</v>
      </c>
      <c r="H44" s="42"/>
      <c r="I44" s="48"/>
    </row>
    <row r="45" spans="1:9" ht="23.1" customHeight="1" x14ac:dyDescent="0.2">
      <c r="A45" s="47" t="s">
        <v>47</v>
      </c>
      <c r="B45" s="42"/>
      <c r="C45" s="42" t="s">
        <v>50</v>
      </c>
      <c r="D45" s="40" t="s">
        <v>23</v>
      </c>
      <c r="E45" s="43">
        <v>15</v>
      </c>
      <c r="F45" s="57"/>
      <c r="G45" s="57">
        <f>ROUND(М[[#This Row],[Количество]]*М[[#This Row],[Цена за ед., руб]],2)</f>
        <v>0</v>
      </c>
      <c r="H45" s="42"/>
      <c r="I45" s="48"/>
    </row>
    <row r="46" spans="1:9" ht="23.1" customHeight="1" x14ac:dyDescent="0.2">
      <c r="A46" s="47" t="s">
        <v>47</v>
      </c>
      <c r="B46" s="42"/>
      <c r="C46" s="42" t="s">
        <v>112</v>
      </c>
      <c r="D46" s="40" t="s">
        <v>23</v>
      </c>
      <c r="E46" s="43">
        <v>2</v>
      </c>
      <c r="F46" s="57"/>
      <c r="G46" s="57">
        <f>ROUND(М[[#This Row],[Количество]]*М[[#This Row],[Цена за ед., руб]],2)</f>
        <v>0</v>
      </c>
      <c r="H46" s="42"/>
      <c r="I46" s="48"/>
    </row>
    <row r="47" spans="1:9" ht="11.1" customHeight="1" x14ac:dyDescent="0.2">
      <c r="A47" s="47" t="s">
        <v>47</v>
      </c>
      <c r="B47" s="42"/>
      <c r="C47" s="42" t="s">
        <v>93</v>
      </c>
      <c r="D47" s="40" t="s">
        <v>23</v>
      </c>
      <c r="E47" s="43">
        <v>18</v>
      </c>
      <c r="F47" s="57"/>
      <c r="G47" s="57">
        <f>ROUND(М[[#This Row],[Количество]]*М[[#This Row],[Цена за ед., руб]],2)</f>
        <v>0</v>
      </c>
      <c r="H47" s="42"/>
      <c r="I47" s="48"/>
    </row>
    <row r="48" spans="1:9" ht="23.1" customHeight="1" x14ac:dyDescent="0.2">
      <c r="A48" s="47" t="s">
        <v>47</v>
      </c>
      <c r="B48" s="42"/>
      <c r="C48" s="42" t="s">
        <v>51</v>
      </c>
      <c r="D48" s="40" t="s">
        <v>23</v>
      </c>
      <c r="E48" s="43">
        <v>723</v>
      </c>
      <c r="F48" s="57"/>
      <c r="G48" s="57">
        <f>ROUND(М[[#This Row],[Количество]]*М[[#This Row],[Цена за ед., руб]],2)</f>
        <v>0</v>
      </c>
      <c r="H48" s="42"/>
      <c r="I48" s="48"/>
    </row>
    <row r="49" spans="1:9" ht="11.1" customHeight="1" x14ac:dyDescent="0.2">
      <c r="A49" s="47" t="s">
        <v>120</v>
      </c>
      <c r="B49" s="42"/>
      <c r="C49" s="42" t="s">
        <v>121</v>
      </c>
      <c r="D49" s="40" t="s">
        <v>31</v>
      </c>
      <c r="E49" s="41">
        <v>9770</v>
      </c>
      <c r="F49" s="57"/>
      <c r="G49" s="57">
        <f>ROUND(М[[#This Row],[Количество]]*М[[#This Row],[Цена за ед., руб]],2)</f>
        <v>0</v>
      </c>
      <c r="H49" s="42"/>
      <c r="I49" s="48"/>
    </row>
    <row r="50" spans="1:9" ht="11.1" customHeight="1" x14ac:dyDescent="0.2">
      <c r="A50" s="47" t="s">
        <v>78</v>
      </c>
      <c r="B50" s="42"/>
      <c r="C50" s="42" t="s">
        <v>79</v>
      </c>
      <c r="D50" s="40" t="s">
        <v>23</v>
      </c>
      <c r="E50" s="41">
        <v>1005</v>
      </c>
      <c r="F50" s="57"/>
      <c r="G50" s="57">
        <f>ROUND(М[[#This Row],[Количество]]*М[[#This Row],[Цена за ед., руб]],2)</f>
        <v>0</v>
      </c>
      <c r="H50" s="42" t="s">
        <v>73</v>
      </c>
      <c r="I50" s="48"/>
    </row>
    <row r="51" spans="1:9" ht="11.1" customHeight="1" x14ac:dyDescent="0.2">
      <c r="A51" s="47" t="s">
        <v>78</v>
      </c>
      <c r="B51" s="42"/>
      <c r="C51" s="42" t="s">
        <v>79</v>
      </c>
      <c r="D51" s="40" t="s">
        <v>23</v>
      </c>
      <c r="E51" s="43">
        <v>6</v>
      </c>
      <c r="F51" s="57"/>
      <c r="G51" s="57">
        <f>ROUND(М[[#This Row],[Количество]]*М[[#This Row],[Цена за ед., руб]],2)</f>
        <v>0</v>
      </c>
      <c r="H51" s="42" t="s">
        <v>157</v>
      </c>
      <c r="I51" s="48"/>
    </row>
    <row r="52" spans="1:9" ht="11.1" customHeight="1" x14ac:dyDescent="0.2">
      <c r="A52" s="47" t="s">
        <v>71</v>
      </c>
      <c r="B52" s="42"/>
      <c r="C52" s="42" t="s">
        <v>72</v>
      </c>
      <c r="D52" s="40" t="s">
        <v>23</v>
      </c>
      <c r="E52" s="41">
        <v>1005</v>
      </c>
      <c r="F52" s="57"/>
      <c r="G52" s="57">
        <f>ROUND(М[[#This Row],[Количество]]*М[[#This Row],[Цена за ед., руб]],2)</f>
        <v>0</v>
      </c>
      <c r="H52" s="42" t="s">
        <v>73</v>
      </c>
      <c r="I52" s="48"/>
    </row>
    <row r="53" spans="1:9" ht="11.1" customHeight="1" x14ac:dyDescent="0.2">
      <c r="A53" s="47" t="s">
        <v>71</v>
      </c>
      <c r="B53" s="42"/>
      <c r="C53" s="42" t="s">
        <v>72</v>
      </c>
      <c r="D53" s="40" t="s">
        <v>23</v>
      </c>
      <c r="E53" s="43">
        <v>6</v>
      </c>
      <c r="F53" s="57"/>
      <c r="G53" s="57">
        <f>ROUND(М[[#This Row],[Количество]]*М[[#This Row],[Цена за ед., руб]],2)</f>
        <v>0</v>
      </c>
      <c r="H53" s="42" t="s">
        <v>157</v>
      </c>
      <c r="I53" s="48"/>
    </row>
    <row r="54" spans="1:9" ht="11.1" customHeight="1" x14ac:dyDescent="0.2">
      <c r="A54" s="47" t="s">
        <v>172</v>
      </c>
      <c r="B54" s="42"/>
      <c r="C54" s="42" t="s">
        <v>173</v>
      </c>
      <c r="D54" s="40" t="s">
        <v>174</v>
      </c>
      <c r="E54" s="45">
        <v>205.02</v>
      </c>
      <c r="F54" s="57"/>
      <c r="G54" s="57">
        <f>ROUND(М[[#This Row],[Количество]]*М[[#This Row],[Цена за ед., руб]],2)</f>
        <v>0</v>
      </c>
      <c r="H54" s="42" t="s">
        <v>175</v>
      </c>
      <c r="I54" s="48"/>
    </row>
    <row r="55" spans="1:9" ht="11.1" customHeight="1" x14ac:dyDescent="0.2">
      <c r="A55" s="47" t="s">
        <v>133</v>
      </c>
      <c r="B55" s="42"/>
      <c r="C55" s="42" t="s">
        <v>136</v>
      </c>
      <c r="D55" s="40" t="s">
        <v>23</v>
      </c>
      <c r="E55" s="43">
        <v>24</v>
      </c>
      <c r="F55" s="57"/>
      <c r="G55" s="57">
        <f>ROUND(М[[#This Row],[Количество]]*М[[#This Row],[Цена за ед., руб]],2)</f>
        <v>0</v>
      </c>
      <c r="H55" s="42"/>
      <c r="I55" s="48"/>
    </row>
    <row r="56" spans="1:9" ht="11.1" customHeight="1" x14ac:dyDescent="0.2">
      <c r="A56" s="47" t="s">
        <v>133</v>
      </c>
      <c r="B56" s="42"/>
      <c r="C56" s="42" t="s">
        <v>134</v>
      </c>
      <c r="D56" s="40" t="s">
        <v>23</v>
      </c>
      <c r="E56" s="43">
        <v>4</v>
      </c>
      <c r="F56" s="57"/>
      <c r="G56" s="57">
        <f>ROUND(М[[#This Row],[Количество]]*М[[#This Row],[Цена за ед., руб]],2)</f>
        <v>0</v>
      </c>
      <c r="H56" s="42"/>
      <c r="I56" s="48"/>
    </row>
    <row r="57" spans="1:9" ht="11.1" customHeight="1" x14ac:dyDescent="0.2">
      <c r="A57" s="47" t="s">
        <v>64</v>
      </c>
      <c r="B57" s="42"/>
      <c r="C57" s="42" t="s">
        <v>65</v>
      </c>
      <c r="D57" s="40" t="s">
        <v>31</v>
      </c>
      <c r="E57" s="43">
        <v>330</v>
      </c>
      <c r="F57" s="57"/>
      <c r="G57" s="57">
        <f>ROUND(М[[#This Row],[Количество]]*М[[#This Row],[Цена за ед., руб]],2)</f>
        <v>0</v>
      </c>
      <c r="H57" s="42" t="s">
        <v>66</v>
      </c>
      <c r="I57" s="48"/>
    </row>
    <row r="58" spans="1:9" ht="11.1" customHeight="1" x14ac:dyDescent="0.2">
      <c r="A58" s="47" t="s">
        <v>43</v>
      </c>
      <c r="B58" s="42"/>
      <c r="C58" s="42" t="s">
        <v>44</v>
      </c>
      <c r="D58" s="40" t="s">
        <v>23</v>
      </c>
      <c r="E58" s="43">
        <v>404</v>
      </c>
      <c r="F58" s="57"/>
      <c r="G58" s="57">
        <f>ROUND(М[[#This Row],[Количество]]*М[[#This Row],[Цена за ед., руб]],2)</f>
        <v>0</v>
      </c>
      <c r="H58" s="42"/>
      <c r="I58" s="48"/>
    </row>
    <row r="59" spans="1:9" ht="11.1" customHeight="1" x14ac:dyDescent="0.2">
      <c r="A59" s="47" t="s">
        <v>43</v>
      </c>
      <c r="B59" s="42"/>
      <c r="C59" s="42" t="s">
        <v>45</v>
      </c>
      <c r="D59" s="40" t="s">
        <v>23</v>
      </c>
      <c r="E59" s="41">
        <v>2980</v>
      </c>
      <c r="F59" s="57"/>
      <c r="G59" s="57">
        <f>ROUND(М[[#This Row],[Количество]]*М[[#This Row],[Цена за ед., руб]],2)</f>
        <v>0</v>
      </c>
      <c r="H59" s="42"/>
      <c r="I59" s="48"/>
    </row>
    <row r="60" spans="1:9" ht="11.1" customHeight="1" x14ac:dyDescent="0.2">
      <c r="A60" s="47" t="s">
        <v>29</v>
      </c>
      <c r="B60" s="42"/>
      <c r="C60" s="42" t="s">
        <v>30</v>
      </c>
      <c r="D60" s="40" t="s">
        <v>31</v>
      </c>
      <c r="E60" s="46">
        <v>509.5</v>
      </c>
      <c r="F60" s="57"/>
      <c r="G60" s="57">
        <f>ROUND(М[[#This Row],[Количество]]*М[[#This Row],[Цена за ед., руб]],2)</f>
        <v>0</v>
      </c>
      <c r="H60" s="42"/>
      <c r="I60" s="48"/>
    </row>
    <row r="61" spans="1:9" ht="11.1" customHeight="1" x14ac:dyDescent="0.2">
      <c r="A61" s="47" t="s">
        <v>29</v>
      </c>
      <c r="B61" s="42"/>
      <c r="C61" s="42" t="s">
        <v>33</v>
      </c>
      <c r="D61" s="40" t="s">
        <v>31</v>
      </c>
      <c r="E61" s="45">
        <v>881.76</v>
      </c>
      <c r="F61" s="57"/>
      <c r="G61" s="57">
        <f>ROUND(М[[#This Row],[Количество]]*М[[#This Row],[Цена за ед., руб]],2)</f>
        <v>0</v>
      </c>
      <c r="H61" s="42"/>
      <c r="I61" s="48"/>
    </row>
    <row r="62" spans="1:9" ht="11.1" customHeight="1" x14ac:dyDescent="0.2">
      <c r="A62" s="47" t="s">
        <v>29</v>
      </c>
      <c r="B62" s="42"/>
      <c r="C62" s="42" t="s">
        <v>35</v>
      </c>
      <c r="D62" s="40" t="s">
        <v>31</v>
      </c>
      <c r="E62" s="45">
        <v>97.35</v>
      </c>
      <c r="F62" s="57"/>
      <c r="G62" s="57">
        <f>ROUND(М[[#This Row],[Количество]]*М[[#This Row],[Цена за ед., руб]],2)</f>
        <v>0</v>
      </c>
      <c r="H62" s="42"/>
      <c r="I62" s="48"/>
    </row>
    <row r="63" spans="1:9" ht="23.1" customHeight="1" x14ac:dyDescent="0.2">
      <c r="A63" s="47" t="s">
        <v>29</v>
      </c>
      <c r="B63" s="42"/>
      <c r="C63" s="42" t="s">
        <v>110</v>
      </c>
      <c r="D63" s="40" t="s">
        <v>31</v>
      </c>
      <c r="E63" s="45">
        <v>351.78</v>
      </c>
      <c r="F63" s="57"/>
      <c r="G63" s="57">
        <f>ROUND(М[[#This Row],[Количество]]*М[[#This Row],[Цена за ед., руб]],2)</f>
        <v>0</v>
      </c>
      <c r="H63" s="42"/>
      <c r="I63" s="48"/>
    </row>
    <row r="64" spans="1:9" ht="23.1" customHeight="1" x14ac:dyDescent="0.2">
      <c r="A64" s="47" t="s">
        <v>29</v>
      </c>
      <c r="B64" s="42"/>
      <c r="C64" s="42" t="s">
        <v>111</v>
      </c>
      <c r="D64" s="40" t="s">
        <v>31</v>
      </c>
      <c r="E64" s="45">
        <v>5.61</v>
      </c>
      <c r="F64" s="57"/>
      <c r="G64" s="57">
        <f>ROUND(М[[#This Row],[Количество]]*М[[#This Row],[Цена за ед., руб]],2)</f>
        <v>0</v>
      </c>
      <c r="H64" s="42"/>
      <c r="I64" s="48"/>
    </row>
    <row r="65" spans="1:9" ht="23.1" customHeight="1" x14ac:dyDescent="0.2">
      <c r="A65" s="47" t="s">
        <v>29</v>
      </c>
      <c r="B65" s="42"/>
      <c r="C65" s="42" t="s">
        <v>125</v>
      </c>
      <c r="D65" s="40" t="s">
        <v>31</v>
      </c>
      <c r="E65" s="46">
        <v>4.3</v>
      </c>
      <c r="F65" s="57"/>
      <c r="G65" s="57">
        <f>ROUND(М[[#This Row],[Количество]]*М[[#This Row],[Цена за ед., руб]],2)</f>
        <v>0</v>
      </c>
      <c r="H65" s="42"/>
      <c r="I65" s="48"/>
    </row>
    <row r="66" spans="1:9" ht="23.1" customHeight="1" x14ac:dyDescent="0.2">
      <c r="A66" s="47" t="s">
        <v>29</v>
      </c>
      <c r="B66" s="42"/>
      <c r="C66" s="42" t="s">
        <v>87</v>
      </c>
      <c r="D66" s="40" t="s">
        <v>31</v>
      </c>
      <c r="E66" s="43">
        <v>108</v>
      </c>
      <c r="F66" s="57"/>
      <c r="G66" s="57">
        <f>ROUND(М[[#This Row],[Количество]]*М[[#This Row],[Цена за ед., руб]],2)</f>
        <v>0</v>
      </c>
      <c r="H66" s="42"/>
      <c r="I66" s="48"/>
    </row>
    <row r="67" spans="1:9" ht="23.1" customHeight="1" x14ac:dyDescent="0.2">
      <c r="A67" s="47" t="s">
        <v>29</v>
      </c>
      <c r="B67" s="42"/>
      <c r="C67" s="42" t="s">
        <v>37</v>
      </c>
      <c r="D67" s="40" t="s">
        <v>31</v>
      </c>
      <c r="E67" s="43">
        <v>306</v>
      </c>
      <c r="F67" s="57"/>
      <c r="G67" s="57">
        <f>ROUND(М[[#This Row],[Количество]]*М[[#This Row],[Цена за ед., руб]],2)</f>
        <v>0</v>
      </c>
      <c r="H67" s="42"/>
      <c r="I67" s="48"/>
    </row>
    <row r="68" spans="1:9" ht="23.1" customHeight="1" x14ac:dyDescent="0.2">
      <c r="A68" s="47" t="s">
        <v>29</v>
      </c>
      <c r="B68" s="42"/>
      <c r="C68" s="42" t="s">
        <v>89</v>
      </c>
      <c r="D68" s="40" t="s">
        <v>31</v>
      </c>
      <c r="E68" s="43">
        <v>14</v>
      </c>
      <c r="F68" s="57"/>
      <c r="G68" s="57">
        <f>ROUND(М[[#This Row],[Количество]]*М[[#This Row],[Цена за ед., руб]],2)</f>
        <v>0</v>
      </c>
      <c r="H68" s="42"/>
      <c r="I68" s="48"/>
    </row>
    <row r="69" spans="1:9" ht="23.1" customHeight="1" x14ac:dyDescent="0.2">
      <c r="A69" s="47" t="s">
        <v>75</v>
      </c>
      <c r="B69" s="42"/>
      <c r="C69" s="42" t="s">
        <v>76</v>
      </c>
      <c r="D69" s="40" t="s">
        <v>23</v>
      </c>
      <c r="E69" s="41">
        <v>1005</v>
      </c>
      <c r="F69" s="57"/>
      <c r="G69" s="57">
        <f>ROUND(М[[#This Row],[Количество]]*М[[#This Row],[Цена за ед., руб]],2)</f>
        <v>0</v>
      </c>
      <c r="H69" s="42" t="s">
        <v>73</v>
      </c>
      <c r="I69" s="48"/>
    </row>
    <row r="70" spans="1:9" ht="23.1" customHeight="1" x14ac:dyDescent="0.2">
      <c r="A70" s="47" t="s">
        <v>75</v>
      </c>
      <c r="B70" s="42"/>
      <c r="C70" s="42" t="s">
        <v>76</v>
      </c>
      <c r="D70" s="40" t="s">
        <v>23</v>
      </c>
      <c r="E70" s="43">
        <v>6</v>
      </c>
      <c r="F70" s="57"/>
      <c r="G70" s="57">
        <f>ROUND(М[[#This Row],[Количество]]*М[[#This Row],[Цена за ед., руб]],2)</f>
        <v>0</v>
      </c>
      <c r="H70" s="42" t="s">
        <v>157</v>
      </c>
      <c r="I70" s="48"/>
    </row>
    <row r="71" spans="1:9" ht="23.1" customHeight="1" x14ac:dyDescent="0.2">
      <c r="A71" s="51" t="s">
        <v>75</v>
      </c>
      <c r="B71" s="60"/>
      <c r="C71" s="60" t="s">
        <v>163</v>
      </c>
      <c r="D71" s="52" t="s">
        <v>23</v>
      </c>
      <c r="E71" s="53">
        <v>9</v>
      </c>
      <c r="F71" s="58"/>
      <c r="G71" s="58">
        <f>ROUND(М[[#This Row],[Количество]]*М[[#This Row],[Цена за ед., руб]],2)</f>
        <v>0</v>
      </c>
      <c r="H71" s="60" t="s">
        <v>162</v>
      </c>
      <c r="I71" s="55"/>
    </row>
    <row r="72" spans="1:9" ht="23.1" customHeight="1" x14ac:dyDescent="0.2">
      <c r="A72" s="51" t="s">
        <v>200</v>
      </c>
      <c r="B72" s="60"/>
      <c r="C72" s="60"/>
      <c r="D72" s="52" t="s">
        <v>80</v>
      </c>
      <c r="E72" s="74"/>
      <c r="F72" s="58"/>
      <c r="G72" s="58">
        <f ca="1">SUMIF(ЛСР!$B$6:$N$257,М[[#This Row],[Наим.]],ЛСР!$N$6:$N$257)</f>
        <v>0</v>
      </c>
      <c r="H72" s="60" t="s">
        <v>209</v>
      </c>
      <c r="I72" s="55"/>
    </row>
    <row r="73" spans="1:9" ht="23.1" customHeight="1" x14ac:dyDescent="0.2">
      <c r="A73" s="51" t="s">
        <v>201</v>
      </c>
      <c r="B73" s="60"/>
      <c r="C73" s="60"/>
      <c r="D73" s="52" t="s">
        <v>80</v>
      </c>
      <c r="E73" s="74"/>
      <c r="F73" s="58"/>
      <c r="G73" s="58">
        <f ca="1">SUMIF(ЛСР!$B$6:$N$257,М[[#This Row],[Наим.]],ЛСР!$N$6:$N$257)</f>
        <v>0</v>
      </c>
      <c r="H73" s="60" t="s">
        <v>209</v>
      </c>
      <c r="I73" s="55"/>
    </row>
    <row r="74" spans="1:9" ht="23.1" customHeight="1" x14ac:dyDescent="0.2">
      <c r="A74" s="51" t="s">
        <v>202</v>
      </c>
      <c r="B74" s="60"/>
      <c r="C74" s="60"/>
      <c r="D74" s="52" t="s">
        <v>80</v>
      </c>
      <c r="E74" s="74"/>
      <c r="F74" s="58"/>
      <c r="G74" s="58">
        <f ca="1">SUMIF(ЛСР!$B$6:$N$257,М[[#This Row],[Наим.]],ЛСР!$N$6:$N$257)</f>
        <v>0</v>
      </c>
      <c r="H74" s="60" t="s">
        <v>209</v>
      </c>
      <c r="I74" s="55"/>
    </row>
    <row r="75" spans="1:9" ht="23.1" customHeight="1" x14ac:dyDescent="0.2">
      <c r="A75" s="51" t="s">
        <v>203</v>
      </c>
      <c r="B75" s="60"/>
      <c r="C75" s="60"/>
      <c r="D75" s="52" t="s">
        <v>80</v>
      </c>
      <c r="E75" s="74"/>
      <c r="F75" s="58"/>
      <c r="G75" s="58">
        <f ca="1">SUMIF(ЛСР!$B$6:$N$257,М[[#This Row],[Наим.]],ЛСР!$N$6:$N$257)</f>
        <v>0</v>
      </c>
      <c r="H75" s="60" t="s">
        <v>209</v>
      </c>
      <c r="I75" s="55"/>
    </row>
    <row r="76" spans="1:9" ht="23.1" customHeight="1" x14ac:dyDescent="0.2">
      <c r="A76" s="51" t="s">
        <v>204</v>
      </c>
      <c r="B76" s="60"/>
      <c r="C76" s="60"/>
      <c r="D76" s="52" t="s">
        <v>80</v>
      </c>
      <c r="E76" s="74"/>
      <c r="F76" s="58"/>
      <c r="G76" s="58">
        <f ca="1">SUMIF(ЛСР!$B$6:$N$257,М[[#This Row],[Наим.]],ЛСР!$N$6:$N$257)</f>
        <v>0</v>
      </c>
      <c r="H76" s="60" t="s">
        <v>209</v>
      </c>
      <c r="I76" s="55"/>
    </row>
    <row r="77" spans="1:9" ht="23.1" customHeight="1" x14ac:dyDescent="0.2">
      <c r="A77" s="51" t="s">
        <v>205</v>
      </c>
      <c r="B77" s="60"/>
      <c r="C77" s="60"/>
      <c r="D77" s="52" t="s">
        <v>80</v>
      </c>
      <c r="E77" s="74"/>
      <c r="F77" s="58"/>
      <c r="G77" s="58">
        <f ca="1">SUMIF(ЛСР!$B$6:$N$257,М[[#This Row],[Наим.]],ЛСР!$N$6:$N$257)</f>
        <v>0</v>
      </c>
      <c r="H77" s="60" t="s">
        <v>209</v>
      </c>
      <c r="I77" s="55"/>
    </row>
    <row r="78" spans="1:9" ht="23.1" customHeight="1" x14ac:dyDescent="0.2">
      <c r="A78" s="51" t="s">
        <v>207</v>
      </c>
      <c r="B78" s="60"/>
      <c r="C78" s="60"/>
      <c r="D78" s="52" t="s">
        <v>80</v>
      </c>
      <c r="E78" s="74"/>
      <c r="F78" s="58"/>
      <c r="G78" s="58">
        <f ca="1">SUMIF(ЛСР!$B$6:$N$257,М[[#This Row],[Наим.]],ЛСР!$N$6:$N$257)</f>
        <v>0</v>
      </c>
      <c r="H78" s="60" t="s">
        <v>209</v>
      </c>
      <c r="I78" s="55"/>
    </row>
    <row r="79" spans="1:9" ht="23.1" customHeight="1" x14ac:dyDescent="0.2">
      <c r="A79" s="51" t="s">
        <v>206</v>
      </c>
      <c r="B79" s="60"/>
      <c r="C79" s="60"/>
      <c r="D79" s="52" t="s">
        <v>80</v>
      </c>
      <c r="E79" s="74"/>
      <c r="F79" s="58"/>
      <c r="G79" s="58">
        <f ca="1">SUMIF(ЛСР!$B$6:$N$257,М[[#This Row],[Наим.]],ЛСР!$N$6:$N$257)</f>
        <v>0</v>
      </c>
      <c r="H79" s="60" t="s">
        <v>209</v>
      </c>
      <c r="I79" s="55"/>
    </row>
    <row r="80" spans="1:9" ht="11.45" customHeight="1" x14ac:dyDescent="0.2">
      <c r="A80" s="51" t="s">
        <v>199</v>
      </c>
      <c r="B80" s="60"/>
      <c r="C80" s="60"/>
      <c r="D80" s="52"/>
      <c r="E80" s="54"/>
      <c r="F80" s="58"/>
      <c r="G80" s="58">
        <f ca="1">SUBTOTAL(109,М[Сумма, руб])</f>
        <v>0</v>
      </c>
      <c r="H80" s="60"/>
      <c r="I80" s="55"/>
    </row>
    <row r="81" spans="1:18" ht="11.45" customHeight="1" x14ac:dyDescent="0.2">
      <c r="F81" s="72" t="s">
        <v>208</v>
      </c>
      <c r="G81" s="73">
        <f ca="1">ЛСР!N260-М[[#Totals],[Сумма, руб]]</f>
        <v>0</v>
      </c>
    </row>
    <row r="83" spans="1:18" ht="12.75" x14ac:dyDescent="0.2">
      <c r="A83" s="87" t="s">
        <v>213</v>
      </c>
      <c r="B83" s="88"/>
      <c r="C83" s="88"/>
      <c r="D83" s="89"/>
      <c r="E83" s="89"/>
      <c r="F83" s="89"/>
      <c r="G83" s="89"/>
      <c r="H83" s="89"/>
      <c r="I83" s="89"/>
      <c r="J83" s="90"/>
      <c r="K83" s="89"/>
      <c r="L83" s="89"/>
      <c r="M83" s="88"/>
      <c r="N83" s="88"/>
      <c r="O83" s="91"/>
      <c r="P83" s="92"/>
      <c r="Q83" s="93"/>
      <c r="R83" s="93"/>
    </row>
    <row r="84" spans="1:18" ht="12.75" x14ac:dyDescent="0.2">
      <c r="A84" s="120" t="s">
        <v>214</v>
      </c>
      <c r="B84" s="120"/>
      <c r="C84" s="120"/>
      <c r="D84" s="120"/>
      <c r="E84" s="120"/>
      <c r="F84" s="120"/>
      <c r="G84" s="120"/>
      <c r="H84" s="120"/>
      <c r="I84" s="120"/>
      <c r="J84" s="120"/>
      <c r="K84" s="89"/>
      <c r="L84" s="89"/>
      <c r="M84" s="88"/>
      <c r="N84" s="88"/>
      <c r="O84" s="91"/>
      <c r="P84" s="92"/>
      <c r="Q84" s="93"/>
      <c r="R84" s="93"/>
    </row>
    <row r="85" spans="1:18" ht="12.75" x14ac:dyDescent="0.2">
      <c r="A85" s="121" t="s">
        <v>216</v>
      </c>
      <c r="B85" s="121"/>
      <c r="C85" s="121"/>
      <c r="D85" s="121"/>
      <c r="E85" s="121"/>
      <c r="F85" s="121"/>
      <c r="G85" s="121"/>
      <c r="H85" s="121"/>
      <c r="I85" s="121"/>
      <c r="J85" s="121"/>
      <c r="K85" s="121"/>
      <c r="L85" s="121"/>
      <c r="M85" s="121"/>
      <c r="N85" s="121"/>
      <c r="O85" s="95"/>
      <c r="P85" s="95"/>
      <c r="Q85" s="93"/>
      <c r="R85" s="93"/>
    </row>
    <row r="86" spans="1:18" ht="12.75" x14ac:dyDescent="0.2">
      <c r="A86" s="121" t="s">
        <v>217</v>
      </c>
      <c r="B86" s="121"/>
      <c r="C86" s="121"/>
      <c r="D86" s="121"/>
      <c r="E86" s="121"/>
      <c r="F86" s="121"/>
      <c r="G86" s="121"/>
      <c r="H86" s="121"/>
      <c r="I86" s="121"/>
      <c r="J86" s="121"/>
      <c r="K86" s="121"/>
      <c r="L86" s="121"/>
      <c r="M86" s="121"/>
      <c r="N86" s="121"/>
      <c r="O86" s="96"/>
      <c r="P86" s="92"/>
      <c r="Q86" s="93"/>
      <c r="R86" s="93"/>
    </row>
    <row r="87" spans="1:18" ht="12.75" x14ac:dyDescent="0.2">
      <c r="A87" s="122" t="s">
        <v>218</v>
      </c>
      <c r="B87" s="122"/>
      <c r="C87" s="122"/>
      <c r="D87" s="122"/>
      <c r="E87" s="122"/>
      <c r="F87" s="122"/>
      <c r="G87" s="122"/>
      <c r="H87" s="122"/>
      <c r="I87" s="122"/>
      <c r="J87" s="122"/>
      <c r="K87" s="122"/>
      <c r="L87" s="122"/>
      <c r="M87" s="122"/>
      <c r="N87" s="122"/>
      <c r="O87" s="97"/>
      <c r="P87" s="97"/>
      <c r="Q87" s="93"/>
      <c r="R87" s="93"/>
    </row>
    <row r="88" spans="1:18" ht="15.75" x14ac:dyDescent="0.2">
      <c r="A88" s="123" t="s">
        <v>219</v>
      </c>
      <c r="B88" s="123"/>
      <c r="C88" s="123"/>
      <c r="D88" s="123"/>
      <c r="E88" s="123"/>
      <c r="F88" s="123"/>
      <c r="G88" s="123"/>
      <c r="H88" s="123"/>
      <c r="I88" s="123"/>
      <c r="J88" s="123"/>
      <c r="K88" s="123"/>
      <c r="L88" s="123"/>
      <c r="M88" s="123"/>
      <c r="N88" s="123"/>
    </row>
    <row r="89" spans="1:18" ht="15.75" x14ac:dyDescent="0.2">
      <c r="A89" s="119" t="s">
        <v>220</v>
      </c>
      <c r="B89" s="119"/>
      <c r="C89" s="119"/>
      <c r="D89" s="119"/>
      <c r="E89" s="119"/>
      <c r="F89" s="119"/>
      <c r="G89" s="119"/>
      <c r="H89" s="119"/>
      <c r="I89" s="119"/>
      <c r="J89" s="119"/>
      <c r="K89" s="119"/>
      <c r="L89" s="119"/>
      <c r="M89" s="119"/>
      <c r="N89" s="119"/>
      <c r="O89" s="119"/>
      <c r="P89" s="119"/>
      <c r="Q89" s="119"/>
      <c r="R89" s="119"/>
    </row>
    <row r="90" spans="1:18" ht="11.25" x14ac:dyDescent="0.2"/>
  </sheetData>
  <mergeCells count="7">
    <mergeCell ref="A88:N88"/>
    <mergeCell ref="A89:R89"/>
    <mergeCell ref="A1:H1"/>
    <mergeCell ref="A84:J84"/>
    <mergeCell ref="A85:N85"/>
    <mergeCell ref="A86:N86"/>
    <mergeCell ref="A87:N87"/>
  </mergeCells>
  <dataValidations count="1">
    <dataValidation type="list" errorStyle="information" allowBlank="1" showInputMessage="1" showErrorMessage="1" sqref="I3:I79" xr:uid="{916A8891-B867-43AE-8F46-96069291B998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6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187</v>
      </c>
      <c r="B1" s="1" t="s">
        <v>188</v>
      </c>
    </row>
    <row r="2" spans="1:2" ht="11.1" customHeight="1" x14ac:dyDescent="0.2">
      <c r="A2" s="1" t="s">
        <v>189</v>
      </c>
      <c r="B2" s="1" t="s">
        <v>190</v>
      </c>
    </row>
    <row r="3" spans="1:2" ht="11.1" customHeight="1" x14ac:dyDescent="0.2">
      <c r="A3" s="1" t="s">
        <v>191</v>
      </c>
      <c r="B3" s="1" t="s">
        <v>192</v>
      </c>
    </row>
    <row r="4" spans="1:2" ht="11.1" customHeight="1" x14ac:dyDescent="0.2">
      <c r="A4" s="1" t="s">
        <v>193</v>
      </c>
      <c r="B4" s="1" t="s">
        <v>194</v>
      </c>
    </row>
    <row r="5" spans="1:2" ht="11.1" customHeight="1" x14ac:dyDescent="0.2">
      <c r="A5" s="1" t="s">
        <v>195</v>
      </c>
      <c r="B5" s="1" t="s">
        <v>196</v>
      </c>
    </row>
    <row r="6" spans="1:2" ht="11.1" customHeight="1" x14ac:dyDescent="0.2">
      <c r="A6" s="1" t="s">
        <v>197</v>
      </c>
      <c r="B6" s="1" t="s">
        <v>198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Калимуллина Карина Павловна</cp:lastModifiedBy>
  <dcterms:modified xsi:type="dcterms:W3CDTF">2026-08-25T04:22:12Z</dcterms:modified>
</cp:coreProperties>
</file>