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limullinakp\Desktop\Карина\ЕКБ\Соната\Внутренние инженерные сети\Отопление, канализация, водоснабжение, пожаротушение\Для отправки в тендер\"/>
    </mc:Choice>
  </mc:AlternateContent>
  <xr:revisionPtr revIDLastSave="0" documentId="13_ncr:1_{EC721F38-3767-4ED4-A796-4F0A56BCD0A9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ЛСР!$A$7:$L$66</definedName>
  </definedNames>
  <calcPr calcId="191029" fullPrecision="0"/>
</workbook>
</file>

<file path=xl/calcChain.xml><?xml version="1.0" encoding="utf-8"?>
<calcChain xmlns="http://schemas.openxmlformats.org/spreadsheetml/2006/main">
  <c r="H57" i="1" l="1"/>
  <c r="H58" i="1"/>
  <c r="H56" i="1"/>
  <c r="L58" i="1" a="1"/>
  <c r="L58" i="1" s="1"/>
  <c r="L57" i="1" a="1"/>
  <c r="L57" i="1" s="1"/>
  <c r="L56" i="1" a="1"/>
  <c r="L56" i="1" s="1"/>
  <c r="H13" i="1"/>
  <c r="I13" i="1" a="1"/>
  <c r="I13" i="1" s="1"/>
  <c r="H15" i="1"/>
  <c r="L15" i="1" a="1"/>
  <c r="L15" i="1" s="1"/>
  <c r="I15" i="1" a="1"/>
  <c r="I15" i="1" s="1"/>
  <c r="J15" i="1" s="1"/>
  <c r="J14" i="1" s="1"/>
  <c r="H17" i="1"/>
  <c r="I17" i="1" a="1"/>
  <c r="I17" i="1" s="1"/>
  <c r="H19" i="1"/>
  <c r="L19" i="1" a="1"/>
  <c r="L19" i="1" s="1"/>
  <c r="I19" i="1" a="1"/>
  <c r="I19" i="1" s="1"/>
  <c r="H21" i="1"/>
  <c r="I21" i="1" a="1"/>
  <c r="I21" i="1" s="1"/>
  <c r="H23" i="1"/>
  <c r="L23" i="1" a="1"/>
  <c r="L23" i="1" s="1"/>
  <c r="I23" i="1" a="1"/>
  <c r="I23" i="1" s="1"/>
  <c r="H25" i="1"/>
  <c r="I25" i="1" a="1"/>
  <c r="I25" i="1" s="1"/>
  <c r="H27" i="1"/>
  <c r="L27" i="1" a="1"/>
  <c r="L27" i="1" s="1"/>
  <c r="I27" i="1" a="1"/>
  <c r="I27" i="1" s="1"/>
  <c r="J27" i="1" s="1"/>
  <c r="J26" i="1" s="1"/>
  <c r="H29" i="1"/>
  <c r="I29" i="1" a="1"/>
  <c r="I29" i="1" s="1"/>
  <c r="J29" i="1" s="1"/>
  <c r="J28" i="1" s="1"/>
  <c r="H31" i="1"/>
  <c r="L31" i="1" a="1"/>
  <c r="L31" i="1" s="1"/>
  <c r="I31" i="1" a="1"/>
  <c r="I31" i="1" s="1"/>
  <c r="J31" i="1" s="1"/>
  <c r="J30" i="1" s="1"/>
  <c r="H33" i="1"/>
  <c r="I33" i="1" a="1"/>
  <c r="I33" i="1" s="1"/>
  <c r="H35" i="1"/>
  <c r="L35" i="1" a="1"/>
  <c r="L35" i="1" s="1"/>
  <c r="I35" i="1" a="1"/>
  <c r="I35" i="1" s="1"/>
  <c r="H37" i="1"/>
  <c r="I37" i="1" a="1"/>
  <c r="I37" i="1" s="1"/>
  <c r="H39" i="1"/>
  <c r="L39" i="1" a="1"/>
  <c r="L39" i="1" s="1"/>
  <c r="I39" i="1" a="1"/>
  <c r="I39" i="1" s="1"/>
  <c r="H41" i="1"/>
  <c r="I41" i="1" a="1"/>
  <c r="I41" i="1" s="1"/>
  <c r="H43" i="1"/>
  <c r="L43" i="1" a="1"/>
  <c r="L43" i="1" s="1"/>
  <c r="I43" i="1" a="1"/>
  <c r="I43" i="1" s="1"/>
  <c r="H44" i="1"/>
  <c r="L44" i="1" a="1"/>
  <c r="L44" i="1" s="1"/>
  <c r="I44" i="1" a="1"/>
  <c r="I44" i="1" s="1"/>
  <c r="J44" i="1" s="1"/>
  <c r="H46" i="1"/>
  <c r="I46" i="1" a="1"/>
  <c r="I46" i="1" s="1"/>
  <c r="H48" i="1"/>
  <c r="L48" i="1" a="1"/>
  <c r="L48" i="1" s="1"/>
  <c r="I48" i="1" a="1"/>
  <c r="I48" i="1" s="1"/>
  <c r="J48" i="1" s="1"/>
  <c r="J47" i="1" s="1"/>
  <c r="H62" i="1"/>
  <c r="I62" i="1" a="1"/>
  <c r="I62" i="1" s="1"/>
  <c r="J62" i="1" s="1"/>
  <c r="J61" i="1" s="1"/>
  <c r="J60" i="1" s="1"/>
  <c r="J59" i="1" s="1"/>
  <c r="H52" i="1"/>
  <c r="I52" i="1" a="1"/>
  <c r="I52" i="1" s="1"/>
  <c r="J52" i="1" s="1"/>
  <c r="J51" i="1" s="1"/>
  <c r="H54" i="1"/>
  <c r="L54" i="1" a="1"/>
  <c r="L54" i="1" s="1"/>
  <c r="I54" i="1" a="1"/>
  <c r="I54" i="1" s="1"/>
  <c r="G14" i="3"/>
  <c r="G13" i="3"/>
  <c r="G12" i="3"/>
  <c r="G11" i="3"/>
  <c r="G10" i="3"/>
  <c r="G9" i="3"/>
  <c r="G8" i="3"/>
  <c r="G7" i="3"/>
  <c r="G6" i="3"/>
  <c r="G5" i="3"/>
  <c r="G4" i="3"/>
  <c r="E14" i="2"/>
  <c r="E13" i="2"/>
  <c r="E12" i="2"/>
  <c r="E11" i="2"/>
  <c r="E10" i="2"/>
  <c r="E9" i="2"/>
  <c r="E8" i="2"/>
  <c r="E7" i="2"/>
  <c r="E6" i="2"/>
  <c r="E5" i="2"/>
  <c r="E4" i="2"/>
  <c r="J19" i="1" l="1"/>
  <c r="J18" i="1" s="1"/>
  <c r="J57" i="1"/>
  <c r="E15" i="2"/>
  <c r="J43" i="1"/>
  <c r="J35" i="1"/>
  <c r="J34" i="1" s="1"/>
  <c r="J54" i="1"/>
  <c r="J53" i="1" s="1"/>
  <c r="J39" i="1"/>
  <c r="J38" i="1" s="1"/>
  <c r="J21" i="1"/>
  <c r="J20" i="1" s="1"/>
  <c r="J23" i="1"/>
  <c r="J37" i="1"/>
  <c r="J36" i="1" s="1"/>
  <c r="J41" i="1"/>
  <c r="J40" i="1" s="1"/>
  <c r="J13" i="1"/>
  <c r="J12" i="1" s="1"/>
  <c r="J17" i="1"/>
  <c r="J16" i="1" s="1"/>
  <c r="J25" i="1"/>
  <c r="J24" i="1" s="1"/>
  <c r="J33" i="1"/>
  <c r="J32" i="1" s="1"/>
  <c r="J46" i="1"/>
  <c r="J45" i="1" s="1"/>
  <c r="J42" i="1" l="1"/>
  <c r="J56" i="1"/>
  <c r="J22" i="1"/>
  <c r="J58" i="1"/>
  <c r="J64" i="1"/>
  <c r="E16" i="2" s="1"/>
  <c r="J11" i="1" l="1"/>
  <c r="J10" i="1" s="1"/>
  <c r="J55" i="1"/>
  <c r="J50" i="1" l="1"/>
  <c r="J49" i="1" s="1"/>
  <c r="J9" i="1" s="1"/>
  <c r="J65" i="1"/>
  <c r="G17" i="3" l="1"/>
  <c r="G16" i="3"/>
  <c r="J63" i="1"/>
  <c r="G15" i="3"/>
  <c r="G18" i="3" l="1"/>
  <c r="G19" i="3" s="1"/>
</calcChain>
</file>

<file path=xl/sharedStrings.xml><?xml version="1.0" encoding="utf-8"?>
<sst xmlns="http://schemas.openxmlformats.org/spreadsheetml/2006/main" count="252" uniqueCount="101">
  <si>
    <t>Объект: «Пятисекционный многоквартирный жилой дом со встроенно-пристроенными нежилыми помещениями общественного назначения (№ 1.1, 1.2, 1.3, 2, 3 по ПЗУ) и встроенно-пристроенной подземной автостоянкой» Секция 6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</si>
  <si>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</si>
  <si>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</si>
  <si>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</si>
  <si>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</si>
  <si>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</si>
  <si>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</si>
  <si>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</si>
  <si>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</si>
  <si>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</si>
  <si>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</si>
  <si>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</si>
  <si>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</si>
  <si>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</si>
  <si>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11.03</t>
  </si>
  <si>
    <t>Устройство системы канализации</t>
  </si>
  <si>
    <t>11.03.04</t>
  </si>
  <si>
    <t>Устройство канализации К-3</t>
  </si>
  <si>
    <t>11.03.04.00</t>
  </si>
  <si>
    <t>Работы:</t>
  </si>
  <si>
    <t>Изоляция трубопровода</t>
  </si>
  <si>
    <t>м</t>
  </si>
  <si>
    <t>Материалы:</t>
  </si>
  <si>
    <t>1</t>
  </si>
  <si>
    <t>Теплоизоляция трубная</t>
  </si>
  <si>
    <t>114х9мм вспененный каучук</t>
  </si>
  <si>
    <t>пог. м</t>
  </si>
  <si>
    <t>Монтаж дренажного насоса</t>
  </si>
  <si>
    <t>шт</t>
  </si>
  <si>
    <t>Насос дренажный</t>
  </si>
  <si>
    <t>погружной 0,75 кВт (макс. tжидкости 40С)</t>
  </si>
  <si>
    <t>Насос NSP 50/230-0,75/S, либо аналог</t>
  </si>
  <si>
    <t>Монтаж затвора</t>
  </si>
  <si>
    <t>Затвор поворотный дисковый</t>
  </si>
  <si>
    <t>межфланцевый Ду-50 Py-16bar ручной</t>
  </si>
  <si>
    <t>Монтаж клапана (фланцевые, резьбовые) до 40 мм</t>
  </si>
  <si>
    <t>Клапан обратный</t>
  </si>
  <si>
    <t>Межфланцевый Ду-50 Ру-16бар</t>
  </si>
  <si>
    <t>Монтаж муфты противопожарной</t>
  </si>
  <si>
    <t>Муфта противопожарная</t>
  </si>
  <si>
    <t>ПМ-110/60</t>
  </si>
  <si>
    <t>Монтаж ревизии</t>
  </si>
  <si>
    <t>Ревизия канализационная</t>
  </si>
  <si>
    <t>чугунная SML Ду-100 с круглым отверстием</t>
  </si>
  <si>
    <t>Монтаж трапа</t>
  </si>
  <si>
    <t>Трап</t>
  </si>
  <si>
    <t>с гидрозатвором вертикальный Ф100</t>
  </si>
  <si>
    <t>Прокладка трубы стальной до 57 мм</t>
  </si>
  <si>
    <t>Труба электросварная (пог.м.)</t>
  </si>
  <si>
    <t>стальная D-76х3,5</t>
  </si>
  <si>
    <t>гильзы</t>
  </si>
  <si>
    <t>2</t>
  </si>
  <si>
    <t>стальная D-57х3,5</t>
  </si>
  <si>
    <t>Прокладка трубы чугунной</t>
  </si>
  <si>
    <t>Труба чугунная</t>
  </si>
  <si>
    <t>SML Д-100</t>
  </si>
  <si>
    <t>%</t>
  </si>
  <si>
    <t>11.03.06</t>
  </si>
  <si>
    <t>ПНР</t>
  </si>
  <si>
    <t>11.03.06.00</t>
  </si>
  <si>
    <t>Пусконаладочные работы системы канализации: пролив</t>
  </si>
  <si>
    <t>компл.</t>
  </si>
  <si>
    <t>11.03.99</t>
  </si>
  <si>
    <t>Прочие работы</t>
  </si>
  <si>
    <t>11.03.99.00</t>
  </si>
  <si>
    <t>Эмаль (кг.)</t>
  </si>
  <si>
    <t>ПФ-115</t>
  </si>
  <si>
    <t>кг</t>
  </si>
  <si>
    <t>Навигация (дренаж)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</si>
  <si>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</si>
  <si>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</si>
  <si>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</si>
  <si>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</si>
  <si>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</si>
  <si>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</si>
  <si>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</si>
  <si>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</si>
  <si>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</si>
  <si>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</si>
  <si>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</si>
  <si>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</si>
  <si>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</si>
  <si>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 Амундсмена Екатеринбург.06.11.03 Секция 4(паркинг)_Устройство системы канализации №1</t>
  </si>
  <si>
    <t>ab8375e7-96f4-11f1-9619-cc5d3c3b48f3</t>
  </si>
  <si>
    <t>Итог</t>
  </si>
  <si>
    <t>Паркинг</t>
  </si>
  <si>
    <t>Фасонные изделия и фитинги для стальной трубы</t>
  </si>
  <si>
    <t>Прочие материалы</t>
  </si>
  <si>
    <t>Фасонные изделия и фитинги для чугунной трубы</t>
  </si>
  <si>
    <t>для всех разделов, расчитывается от стоимости материалов</t>
  </si>
  <si>
    <t>Примечание:</t>
  </si>
  <si>
    <t>В стоимость пусконоладочных работ входит: ПНР Насосной станции ХП, ПНР Насосной станции пожаротушения, Автоматизация (узлов учета воды, повысительной НУ) с учетом материалов, Автоматизация насосов системы пожаротушения (кабельно проводниковая продукция, лотки итд) с учетом материалов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</si>
  <si>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</si>
  <si>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</si>
  <si>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</si>
  <si>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</si>
  <si>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</si>
  <si>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</si>
  <si>
    <t>Проверка:</t>
  </si>
  <si>
    <t>Локальный сметный расчет (ЛСР) №3</t>
  </si>
  <si>
    <t>Устройство системы канализации и сопутствующим работам (согласно проекту шифр ВК, стадия 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</si>
</sst>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_₽"/>
  </numFmts>
  <fonts count="15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</font>
    <font>
      <sz val="8"/>
      <color rgb="FFFF0000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theme="1"/>
      <name val="Arial Narrow"/>
      <family val="2"/>
      <charset val="204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  <font>
      <b/>
      <sz val="8"/>
      <color rgb="FFFF000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1" fillId="0" borderId="0"/>
    <xf numFmtId="0" fontId="1" fillId="0" borderId="0"/>
  </cellStyleXfs>
  <cellXfs count="121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2" fontId="0" fillId="5" borderId="5" xfId="0" applyNumberFormat="1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3" fillId="6" borderId="7" xfId="0" applyFont="1" applyFill="1" applyBorder="1" applyAlignment="1">
      <alignment horizontal="right"/>
    </xf>
    <xf numFmtId="0" fontId="0" fillId="6" borderId="5" xfId="0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1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" fontId="0" fillId="0" borderId="2" xfId="0" applyNumberFormat="1" applyBorder="1" applyAlignment="1">
      <alignment horizontal="right" vertical="center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center"/>
    </xf>
    <xf numFmtId="0" fontId="6" fillId="5" borderId="5" xfId="0" applyFont="1" applyFill="1" applyBorder="1" applyAlignment="1">
      <alignment horizontal="left" wrapText="1"/>
    </xf>
    <xf numFmtId="0" fontId="6" fillId="5" borderId="5" xfId="0" applyFont="1" applyFill="1" applyBorder="1" applyAlignment="1">
      <alignment horizontal="center" vertical="center"/>
    </xf>
    <xf numFmtId="1" fontId="6" fillId="9" borderId="5" xfId="0" applyNumberFormat="1" applyFont="1" applyFill="1" applyBorder="1" applyAlignment="1">
      <alignment horizontal="right" vertical="center"/>
    </xf>
    <xf numFmtId="49" fontId="8" fillId="10" borderId="0" xfId="0" applyNumberFormat="1" applyFont="1" applyFill="1" applyAlignment="1">
      <alignment horizontal="center" vertical="center"/>
    </xf>
    <xf numFmtId="0" fontId="9" fillId="10" borderId="0" xfId="0" applyFont="1" applyFill="1" applyAlignment="1">
      <alignment vertical="center" wrapText="1"/>
    </xf>
    <xf numFmtId="0" fontId="8" fillId="10" borderId="0" xfId="0" applyFont="1" applyFill="1" applyAlignment="1">
      <alignment horizontal="center" vertical="center" wrapText="1"/>
    </xf>
    <xf numFmtId="164" fontId="8" fillId="10" borderId="0" xfId="0" applyNumberFormat="1" applyFont="1" applyFill="1" applyAlignment="1">
      <alignment horizontal="center" vertical="center" wrapText="1"/>
    </xf>
    <xf numFmtId="164" fontId="10" fillId="10" borderId="0" xfId="0" applyNumberFormat="1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3" fontId="8" fillId="0" borderId="0" xfId="1" applyFont="1" applyFill="1" applyBorder="1" applyAlignment="1">
      <alignment horizontal="center" vertical="center"/>
    </xf>
    <xf numFmtId="0" fontId="8" fillId="0" borderId="0" xfId="3" applyFont="1" applyAlignment="1">
      <alignment vertical="center" wrapText="1"/>
    </xf>
    <xf numFmtId="0" fontId="8" fillId="0" borderId="0" xfId="3" applyFont="1" applyAlignment="1">
      <alignment vertical="top" wrapText="1"/>
    </xf>
    <xf numFmtId="0" fontId="8" fillId="0" borderId="0" xfId="0" applyFont="1" applyAlignment="1">
      <alignment vertical="top" wrapText="1"/>
    </xf>
    <xf numFmtId="0" fontId="12" fillId="0" borderId="0" xfId="0" applyFont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1" fontId="0" fillId="9" borderId="5" xfId="0" applyNumberFormat="1" applyFill="1" applyBorder="1" applyAlignment="1">
      <alignment horizontal="right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4" fontId="0" fillId="0" borderId="0" xfId="0" applyNumberFormat="1" applyAlignment="1">
      <alignment horizontal="left"/>
    </xf>
    <xf numFmtId="0" fontId="14" fillId="4" borderId="5" xfId="0" applyFont="1" applyFill="1" applyBorder="1" applyAlignment="1">
      <alignment horizontal="left" wrapText="1"/>
    </xf>
    <xf numFmtId="0" fontId="6" fillId="4" borderId="5" xfId="0" applyFont="1" applyFill="1" applyBorder="1" applyAlignment="1">
      <alignment horizontal="center" vertical="center"/>
    </xf>
    <xf numFmtId="4" fontId="6" fillId="4" borderId="5" xfId="0" applyNumberFormat="1" applyFont="1" applyFill="1" applyBorder="1" applyAlignment="1">
      <alignment horizontal="center" vertical="center"/>
    </xf>
    <xf numFmtId="4" fontId="14" fillId="4" borderId="0" xfId="0" applyNumberFormat="1" applyFont="1" applyFill="1" applyAlignment="1">
      <alignment horizontal="right" vertical="center"/>
    </xf>
    <xf numFmtId="0" fontId="6" fillId="4" borderId="5" xfId="0" applyFont="1" applyFill="1" applyBorder="1" applyAlignment="1">
      <alignment horizontal="right" vertical="center"/>
    </xf>
    <xf numFmtId="0" fontId="6" fillId="4" borderId="5" xfId="0" applyFont="1" applyFill="1" applyBorder="1" applyAlignment="1">
      <alignment horizontal="right"/>
    </xf>
    <xf numFmtId="0" fontId="6" fillId="5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right" vertical="center"/>
    </xf>
    <xf numFmtId="2" fontId="6" fillId="5" borderId="5" xfId="0" applyNumberFormat="1" applyFont="1" applyFill="1" applyBorder="1" applyAlignment="1">
      <alignment horizontal="right" vertical="center"/>
    </xf>
    <xf numFmtId="4" fontId="6" fillId="5" borderId="5" xfId="0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center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6" borderId="7" xfId="0" applyFont="1" applyFill="1" applyBorder="1" applyAlignment="1">
      <alignment horizontal="right"/>
    </xf>
    <xf numFmtId="4" fontId="3" fillId="6" borderId="7" xfId="0" applyNumberFormat="1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4" fontId="4" fillId="6" borderId="7" xfId="0" applyNumberFormat="1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3" fillId="8" borderId="0" xfId="0" applyFont="1" applyFill="1" applyAlignment="1">
      <alignment horizontal="left" vertical="center" wrapText="1"/>
    </xf>
    <xf numFmtId="0" fontId="11" fillId="10" borderId="0" xfId="2" applyFont="1" applyFill="1" applyAlignment="1">
      <alignment horizontal="left" vertical="center" wrapText="1"/>
    </xf>
    <xf numFmtId="0" fontId="8" fillId="0" borderId="0" xfId="3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</cellXfs>
  <cellStyles count="4">
    <cellStyle name="Обычный" xfId="0" builtinId="0"/>
    <cellStyle name="Обычный 3 2 2 3 2" xfId="3" xr:uid="{4CF71E7C-1F7D-49BF-B30A-3F76BCA6BC63}"/>
    <cellStyle name="Обычный 3 2 2 4 7" xfId="2" xr:uid="{AF7E212F-72C7-49D6-B3CA-716B0F4C985B}"/>
    <cellStyle name="Финансовый" xfId="1" builtinId="3"/>
  </cellStyles>
  <dxfs count="40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22E12F4-F67C-4025-965D-E4DEDABB9D5F}" name="Р" displayName="Р" ref="A3:F15" totalsRowCount="1" headerRowDxfId="39" headerRowBorderDxfId="38" tableBorderDxfId="37" totalsRowBorderDxfId="36">
  <autoFilter ref="A3:F14" xr:uid="{622E12F4-F67C-4025-965D-E4DEDABB9D5F}"/>
  <tableColumns count="6">
    <tableColumn id="1" xr3:uid="{BF69CDF8-8257-40B0-8183-075116F18564}" name="Наименование" totalsRowLabel="Итог" dataDxfId="35" totalsRowDxfId="34"/>
    <tableColumn id="2" xr3:uid="{04199297-7A20-4447-9404-66B03028DF8E}" name="Ед. изм." dataDxfId="33" totalsRowDxfId="32"/>
    <tableColumn id="3" xr3:uid="{6C47494B-34CD-41EC-9AEB-F33BF102A7AF}" name="Количество" dataDxfId="31" totalsRowDxfId="30"/>
    <tableColumn id="4" xr3:uid="{EF77E198-3B25-48B4-BEB6-17340D8DE7A6}" name="Цена за ед., руб" dataDxfId="29" totalsRowDxfId="28"/>
    <tableColumn id="5" xr3:uid="{E21DD776-C459-4036-854B-AAD20B4787F5}" name="Сумма, руб" totalsRowFunction="sum" dataDxfId="27" totalsRowDxfId="26">
      <calculatedColumnFormula>ROUND(Р[[#This Row],[Количество]]*Р[[#This Row],[Цена за ед., руб]],2)</calculatedColumnFormula>
    </tableColumn>
    <tableColumn id="6" xr3:uid="{40C10DCA-9473-4128-A69B-C98624A01885}" name="Примечание" dataDxfId="25" totalsRowDxfId="2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987F22B-C887-4EF1-B1F3-9CAFA81A3147}" name="М" displayName="М" ref="A3:I18" totalsRowCount="1" headerRowDxfId="23" headerRowBorderDxfId="22" tableBorderDxfId="21" totalsRowBorderDxfId="20">
  <autoFilter ref="A3:I17" xr:uid="{B987F22B-C887-4EF1-B1F3-9CAFA81A3147}"/>
  <tableColumns count="9">
    <tableColumn id="1" xr3:uid="{0FD87B3D-3E95-4094-85BA-AECFD143A29F}" name="Наим." totalsRowLabel="Итог" dataDxfId="19" totalsRowDxfId="18"/>
    <tableColumn id="2" xr3:uid="{22B2BA6E-8265-45F3-9EDD-4645A7DC2F3E}" name="Артикул, марка, произв." dataDxfId="17" totalsRowDxfId="16"/>
    <tableColumn id="3" xr3:uid="{1F42903D-9403-40F6-A69E-413D2A1A150F}" name="Хар-ка" dataDxfId="15" totalsRowDxfId="14"/>
    <tableColumn id="4" xr3:uid="{9BE331C2-1A7E-4335-8242-DC17E60F1285}" name="Ед. изм." dataDxfId="13" totalsRowDxfId="12"/>
    <tableColumn id="5" xr3:uid="{1D5F16FD-BA5C-4078-BC3D-D1FFD25EAEEF}" name="Количество" dataDxfId="11" totalsRowDxfId="10"/>
    <tableColumn id="6" xr3:uid="{7EEB153A-6FC2-40AE-8D61-50C1B8F78190}" name="Цена за ед., руб" dataDxfId="9" totalsRowDxfId="8"/>
    <tableColumn id="7" xr3:uid="{3E6637A1-C8AC-42D7-9539-2B5000BFA2AD}" name="Сумма, руб" totalsRowFunction="sum" dataDxfId="7" totalsRowDxfId="6">
      <calculatedColumnFormula>ROUND(М[[#This Row],[Количество]]*М[[#This Row],[Цена за ед., руб]],2)</calculatedColumnFormula>
    </tableColumn>
    <tableColumn id="8" xr3:uid="{9A346312-CF3E-43FA-A7C1-0BE836628758}" name="Прим." dataDxfId="5" totalsRowDxfId="4"/>
    <tableColumn id="9" xr3:uid="{2BC775CC-3DCA-48B2-A476-3EE8F82C1EBB}" name="Форма закупа" dataDxfId="3" totalsRow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W74"/>
  <sheetViews>
    <sheetView tabSelected="1" workbookViewId="0">
      <pane ySplit="7" topLeftCell="A31" activePane="bottomLeft" state="frozen"/>
      <selection pane="bottomLeft" activeCell="B2" sqref="B2:J2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7" width="10.5" style="1" customWidth="1"/>
    <col min="8" max="8" width="14.6640625" style="1" customWidth="1"/>
    <col min="9" max="9" width="16" style="1" customWidth="1"/>
    <col min="10" max="10" width="17" style="1" customWidth="1"/>
    <col min="11" max="11" width="35" style="1" customWidth="1"/>
    <col min="12" max="12" width="23.33203125" style="1" customWidth="1"/>
  </cols>
  <sheetData>
    <row r="1" spans="1:12" ht="11.1" customHeight="1" x14ac:dyDescent="0.2"/>
    <row r="2" spans="1:12" ht="10.5" customHeight="1" x14ac:dyDescent="0.2">
      <c r="B2" s="107" t="s">
        <v>99</v>
      </c>
      <c r="C2" s="107"/>
      <c r="D2" s="107"/>
      <c r="E2" s="107"/>
      <c r="F2" s="107"/>
      <c r="G2" s="107"/>
      <c r="H2" s="107"/>
      <c r="I2" s="107"/>
      <c r="J2" s="107"/>
    </row>
    <row r="3" spans="1:12" ht="23.1" customHeight="1" x14ac:dyDescent="0.2">
      <c r="B3" s="108" t="s">
        <v>0</v>
      </c>
      <c r="C3" s="108"/>
      <c r="D3" s="108"/>
      <c r="E3" s="108"/>
      <c r="F3" s="108"/>
      <c r="G3" s="108"/>
      <c r="H3" s="108"/>
      <c r="I3" s="108"/>
      <c r="J3" s="108"/>
    </row>
    <row r="4" spans="1:12" ht="11.1" customHeight="1" x14ac:dyDescent="0.2">
      <c r="B4" s="108" t="s">
        <v>100</v>
      </c>
      <c r="C4" s="108"/>
      <c r="D4" s="108"/>
      <c r="E4" s="108"/>
      <c r="F4" s="108"/>
      <c r="G4" s="108"/>
      <c r="H4" s="108"/>
      <c r="I4" s="108"/>
      <c r="J4" s="108"/>
    </row>
    <row r="5" spans="1:12" ht="11.1" customHeight="1" x14ac:dyDescent="0.2"/>
    <row r="6" spans="1:12" ht="11.1" customHeight="1" x14ac:dyDescent="0.2">
      <c r="A6" s="99" t="s">
        <v>1</v>
      </c>
      <c r="B6" s="99" t="s">
        <v>2</v>
      </c>
      <c r="C6" s="109" t="s">
        <v>3</v>
      </c>
      <c r="D6" s="111" t="s">
        <v>4</v>
      </c>
      <c r="E6" s="99" t="s">
        <v>5</v>
      </c>
      <c r="F6" s="101" t="s">
        <v>6</v>
      </c>
      <c r="G6" s="113" t="s">
        <v>85</v>
      </c>
      <c r="H6" s="99" t="s">
        <v>7</v>
      </c>
      <c r="I6" s="101" t="s">
        <v>8</v>
      </c>
      <c r="J6" s="101" t="s">
        <v>9</v>
      </c>
      <c r="K6" s="99" t="s">
        <v>10</v>
      </c>
      <c r="L6" s="101" t="s">
        <v>11</v>
      </c>
    </row>
    <row r="7" spans="1:12" ht="11.1" customHeight="1" x14ac:dyDescent="0.2">
      <c r="A7" s="100"/>
      <c r="B7" s="100"/>
      <c r="C7" s="110"/>
      <c r="D7" s="112"/>
      <c r="E7" s="100"/>
      <c r="F7" s="102"/>
      <c r="G7" s="114"/>
      <c r="H7" s="100"/>
      <c r="I7" s="102"/>
      <c r="J7" s="102"/>
      <c r="K7" s="100"/>
      <c r="L7" s="102"/>
    </row>
    <row r="8" spans="1:12" ht="11.1" customHeight="1" x14ac:dyDescent="0.2">
      <c r="A8" s="3" t="s">
        <v>12</v>
      </c>
      <c r="B8" s="4" t="s">
        <v>13</v>
      </c>
      <c r="C8" s="5"/>
      <c r="D8" s="5"/>
      <c r="E8" s="6"/>
      <c r="F8" s="7"/>
      <c r="G8" s="7"/>
      <c r="H8" s="7"/>
      <c r="I8" s="55"/>
      <c r="J8" s="55"/>
      <c r="K8" s="5"/>
      <c r="L8" s="5"/>
    </row>
    <row r="9" spans="1:12" ht="11.1" customHeight="1" outlineLevel="1" x14ac:dyDescent="0.2">
      <c r="A9" s="8" t="s">
        <v>14</v>
      </c>
      <c r="B9" s="9" t="s">
        <v>15</v>
      </c>
      <c r="C9" s="10"/>
      <c r="D9" s="10"/>
      <c r="E9" s="11"/>
      <c r="F9" s="12"/>
      <c r="G9" s="12"/>
      <c r="H9" s="12"/>
      <c r="I9" s="56"/>
      <c r="J9" s="56">
        <f>SUM($J$49,$J$59,$J$10)</f>
        <v>0</v>
      </c>
      <c r="K9" s="10"/>
      <c r="L9" s="10"/>
    </row>
    <row r="10" spans="1:12" ht="11.1" customHeight="1" outlineLevel="2" x14ac:dyDescent="0.2">
      <c r="A10" s="13" t="s">
        <v>16</v>
      </c>
      <c r="B10" s="14" t="s">
        <v>17</v>
      </c>
      <c r="C10" s="15"/>
      <c r="D10" s="15"/>
      <c r="E10" s="16"/>
      <c r="F10" s="17"/>
      <c r="G10" s="18"/>
      <c r="H10" s="18"/>
      <c r="I10" s="57"/>
      <c r="J10" s="57">
        <f>SUM($J$11)</f>
        <v>0</v>
      </c>
      <c r="K10" s="19"/>
      <c r="L10" s="19"/>
    </row>
    <row r="11" spans="1:12" ht="11.1" customHeight="1" outlineLevel="3" x14ac:dyDescent="0.2">
      <c r="A11" s="13" t="s">
        <v>18</v>
      </c>
      <c r="B11" s="14" t="s">
        <v>17</v>
      </c>
      <c r="C11" s="15"/>
      <c r="D11" s="15"/>
      <c r="E11" s="16"/>
      <c r="F11" s="17"/>
      <c r="G11" s="18"/>
      <c r="H11" s="18"/>
      <c r="I11" s="57"/>
      <c r="J11" s="57">
        <f>SUM($J$47,$J$45,$J$42,$J$40,$J$38,$J$36,$J$34,$J$32,$J$30,$J$28,$J$26,$J$24,$J$22,$J$20,$J$18,$J$16,$J$14,$J$12)</f>
        <v>0</v>
      </c>
      <c r="K11" s="19"/>
      <c r="L11" s="19"/>
    </row>
    <row r="12" spans="1:12" ht="11.1" customHeight="1" outlineLevel="4" x14ac:dyDescent="0.2">
      <c r="A12" s="20"/>
      <c r="B12" s="14" t="s">
        <v>19</v>
      </c>
      <c r="C12" s="21"/>
      <c r="D12" s="21"/>
      <c r="E12" s="21"/>
      <c r="F12" s="21"/>
      <c r="G12" s="21"/>
      <c r="H12" s="21"/>
      <c r="I12" s="58"/>
      <c r="J12" s="59">
        <f>SUM($J$13)</f>
        <v>0</v>
      </c>
      <c r="K12" s="18"/>
      <c r="L12" s="22"/>
    </row>
    <row r="13" spans="1:12" ht="11.1" customHeight="1" outlineLevel="4" x14ac:dyDescent="0.2">
      <c r="A13" s="23"/>
      <c r="B13" s="24" t="s">
        <v>20</v>
      </c>
      <c r="C13" s="25"/>
      <c r="D13" s="25"/>
      <c r="E13" s="26" t="s">
        <v>21</v>
      </c>
      <c r="F13" s="27"/>
      <c r="G13" s="28">
        <v>1.98</v>
      </c>
      <c r="H13" s="28">
        <f>SUM($G$13:$G$13)</f>
        <v>1.98</v>
      </c>
      <c r="I13" s="60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60">
        <f>ROUND($H$13*$I$13,2)</f>
        <v>0</v>
      </c>
      <c r="K13" s="25"/>
      <c r="L13" s="25"/>
    </row>
    <row r="14" spans="1:12" ht="11.1" customHeight="1" outlineLevel="4" x14ac:dyDescent="0.2">
      <c r="A14" s="20"/>
      <c r="B14" s="14" t="s">
        <v>22</v>
      </c>
      <c r="C14" s="21"/>
      <c r="D14" s="21"/>
      <c r="E14" s="21"/>
      <c r="F14" s="21"/>
      <c r="G14" s="21"/>
      <c r="H14" s="21"/>
      <c r="I14" s="58"/>
      <c r="J14" s="59">
        <f>SUM($J$15)</f>
        <v>0</v>
      </c>
      <c r="K14" s="18"/>
      <c r="L14" s="22"/>
    </row>
    <row r="15" spans="1:12" ht="35.1" customHeight="1" outlineLevel="4" x14ac:dyDescent="0.2">
      <c r="A15" s="23" t="s">
        <v>23</v>
      </c>
      <c r="B15" s="24" t="s">
        <v>24</v>
      </c>
      <c r="C15" s="25"/>
      <c r="D15" s="25" t="s">
        <v>25</v>
      </c>
      <c r="E15" s="26" t="s">
        <v>26</v>
      </c>
      <c r="F15" s="27"/>
      <c r="G15" s="28">
        <v>1.98</v>
      </c>
      <c r="H15" s="28">
        <f>SUM($G$15:$G$15)</f>
        <v>1.98</v>
      </c>
      <c r="I15" s="60">
        <f t="array" ref="I15">INDEX(М[Цена за ед., руб],MATCH(1,IF(($B15=М[Наим.])*($C15=М[Артикул, марка, произв.])*($D15=М[Хар-ка])*($K15=М[Прим.]),{1},($B15=М[Наим.])*($C15=М[Артикул, марка, произв.])*($D15=М[Хар-ка])*($K15=М[Прим.])),0))</f>
        <v>0</v>
      </c>
      <c r="J15" s="60">
        <f>ROUND($H$15*$I$15,2)</f>
        <v>0</v>
      </c>
      <c r="K15" s="25"/>
      <c r="L15" s="25">
        <f t="array" ref="L15">INDEX(М[Форма закупа],MATCH(1,IF(($B15=М[Наим.])*($C15=М[Артикул, марка, произв.])*($D15=М[Хар-ка])*($K15=М[Прим.]),{1},($B15=М[Наим.])*($C15=М[Артикул, марка, произв.])*($D15=М[Хар-ка])*($K15=М[Прим.])),0))</f>
        <v>0</v>
      </c>
    </row>
    <row r="16" spans="1:12" ht="11.1" customHeight="1" outlineLevel="4" x14ac:dyDescent="0.2">
      <c r="A16" s="20"/>
      <c r="B16" s="14" t="s">
        <v>19</v>
      </c>
      <c r="C16" s="21"/>
      <c r="D16" s="21"/>
      <c r="E16" s="21"/>
      <c r="F16" s="21"/>
      <c r="G16" s="21"/>
      <c r="H16" s="21"/>
      <c r="I16" s="58"/>
      <c r="J16" s="59">
        <f>SUM($J$17)</f>
        <v>0</v>
      </c>
      <c r="K16" s="18"/>
      <c r="L16" s="22"/>
    </row>
    <row r="17" spans="1:12" ht="11.1" customHeight="1" outlineLevel="4" x14ac:dyDescent="0.2">
      <c r="A17" s="23"/>
      <c r="B17" s="24" t="s">
        <v>27</v>
      </c>
      <c r="C17" s="25"/>
      <c r="D17" s="25"/>
      <c r="E17" s="26" t="s">
        <v>28</v>
      </c>
      <c r="F17" s="27"/>
      <c r="G17" s="29">
        <v>24</v>
      </c>
      <c r="H17" s="29">
        <f>SUM($G$17:$G$17)</f>
        <v>24</v>
      </c>
      <c r="I17" s="60">
        <f t="array" ref="I17">INDEX(Р[Цена за ед., руб],MATCH(1,IF(($B17=Р[Наименование])*($K17=Р[Примечание]),{1},($B17=Р[Наименование])*($K17=Р[Примечание])),0))</f>
        <v>0</v>
      </c>
      <c r="J17" s="60">
        <f>ROUND($H$17*$I$17,2)</f>
        <v>0</v>
      </c>
      <c r="K17" s="25"/>
      <c r="L17" s="25"/>
    </row>
    <row r="18" spans="1:12" ht="11.1" customHeight="1" outlineLevel="4" x14ac:dyDescent="0.2">
      <c r="A18" s="20"/>
      <c r="B18" s="14" t="s">
        <v>22</v>
      </c>
      <c r="C18" s="21"/>
      <c r="D18" s="21"/>
      <c r="E18" s="21"/>
      <c r="F18" s="21"/>
      <c r="G18" s="21"/>
      <c r="H18" s="21"/>
      <c r="I18" s="58"/>
      <c r="J18" s="59">
        <f>SUM($J$19)</f>
        <v>0</v>
      </c>
      <c r="K18" s="18"/>
      <c r="L18" s="22"/>
    </row>
    <row r="19" spans="1:12" ht="35.1" customHeight="1" outlineLevel="4" x14ac:dyDescent="0.2">
      <c r="A19" s="23" t="s">
        <v>23</v>
      </c>
      <c r="B19" s="24" t="s">
        <v>29</v>
      </c>
      <c r="C19" s="25"/>
      <c r="D19" s="25" t="s">
        <v>30</v>
      </c>
      <c r="E19" s="26" t="s">
        <v>28</v>
      </c>
      <c r="F19" s="27"/>
      <c r="G19" s="29">
        <v>24</v>
      </c>
      <c r="H19" s="29">
        <f>SUM($G$19:$G$19)</f>
        <v>24</v>
      </c>
      <c r="I19" s="60">
        <f t="array" ref="I19">INDEX(М[Цена за ед., руб],MATCH(1,IF(($B19=М[Наим.])*($C19=М[Артикул,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  <c r="J19" s="60">
        <f>ROUND($H$19*$I$19,2)</f>
        <v>0</v>
      </c>
      <c r="K19" s="25" t="s">
        <v>31</v>
      </c>
      <c r="L19" s="25">
        <f t="array" ref="L19">INDEX(М[Форма закупа],MATCH(1,IF(($B19=М[Наим.])*($C19=М[Артикул,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</row>
    <row r="20" spans="1:12" ht="11.1" customHeight="1" outlineLevel="4" x14ac:dyDescent="0.2">
      <c r="A20" s="20"/>
      <c r="B20" s="14" t="s">
        <v>19</v>
      </c>
      <c r="C20" s="21"/>
      <c r="D20" s="21"/>
      <c r="E20" s="21"/>
      <c r="F20" s="21"/>
      <c r="G20" s="21"/>
      <c r="H20" s="21"/>
      <c r="I20" s="58"/>
      <c r="J20" s="59">
        <f>SUM($J$21)</f>
        <v>0</v>
      </c>
      <c r="K20" s="18"/>
      <c r="L20" s="22"/>
    </row>
    <row r="21" spans="1:12" ht="11.1" customHeight="1" outlineLevel="4" x14ac:dyDescent="0.2">
      <c r="A21" s="23"/>
      <c r="B21" s="24" t="s">
        <v>32</v>
      </c>
      <c r="C21" s="25"/>
      <c r="D21" s="25"/>
      <c r="E21" s="26" t="s">
        <v>28</v>
      </c>
      <c r="F21" s="27"/>
      <c r="G21" s="29">
        <v>24</v>
      </c>
      <c r="H21" s="29">
        <f>SUM($G$21:$G$21)</f>
        <v>24</v>
      </c>
      <c r="I21" s="60">
        <f t="array" ref="I21">INDEX(Р[Цена за ед., руб],MATCH(1,IF(($B21=Р[Наименование])*($K21=Р[Примечание]),{1},($B21=Р[Наименование])*($K21=Р[Примечание])),0))</f>
        <v>0</v>
      </c>
      <c r="J21" s="60">
        <f>ROUND($H$21*$I$21,2)</f>
        <v>0</v>
      </c>
      <c r="K21" s="25"/>
      <c r="L21" s="25"/>
    </row>
    <row r="22" spans="1:12" ht="11.1" customHeight="1" outlineLevel="4" x14ac:dyDescent="0.2">
      <c r="A22" s="20"/>
      <c r="B22" s="14" t="s">
        <v>22</v>
      </c>
      <c r="C22" s="21"/>
      <c r="D22" s="21"/>
      <c r="E22" s="21"/>
      <c r="F22" s="21"/>
      <c r="G22" s="21"/>
      <c r="H22" s="21"/>
      <c r="I22" s="58"/>
      <c r="J22" s="59">
        <f>SUM($J$23)</f>
        <v>0</v>
      </c>
      <c r="K22" s="18"/>
      <c r="L22" s="22"/>
    </row>
    <row r="23" spans="1:12" ht="35.1" customHeight="1" outlineLevel="4" x14ac:dyDescent="0.2">
      <c r="A23" s="23" t="s">
        <v>23</v>
      </c>
      <c r="B23" s="24" t="s">
        <v>33</v>
      </c>
      <c r="C23" s="25"/>
      <c r="D23" s="25" t="s">
        <v>34</v>
      </c>
      <c r="E23" s="26" t="s">
        <v>28</v>
      </c>
      <c r="F23" s="27"/>
      <c r="G23" s="29">
        <v>24</v>
      </c>
      <c r="H23" s="29">
        <f>SUM($G$23:$G$23)</f>
        <v>24</v>
      </c>
      <c r="I23" s="60">
        <f t="array" ref="I23">INDEX(М[Цена за ед., руб],MATCH(1,IF(($B23=М[Наим.])*($C23=М[Артикул, марка, произв.])*($D23=М[Хар-ка])*($K23=М[Прим.]),{1},($B23=М[Наим.])*($C23=М[Артикул, марка, произв.])*($D23=М[Хар-ка])*($K23=М[Прим.])),0))</f>
        <v>0</v>
      </c>
      <c r="J23" s="60">
        <f>ROUND($H$23*$I$23,2)</f>
        <v>0</v>
      </c>
      <c r="K23" s="25"/>
      <c r="L23" s="25">
        <f t="array" ref="L23">INDEX(М[Форма закупа],MATCH(1,IF(($B23=М[Наим.])*($C23=М[Артикул, марка, произв.])*($D23=М[Хар-ка])*($K23=М[Прим.]),{1},($B23=М[Наим.])*($C23=М[Артикул, марка, произв.])*($D23=М[Хар-ка])*($K23=М[Прим.])),0))</f>
        <v>0</v>
      </c>
    </row>
    <row r="24" spans="1:12" ht="11.1" customHeight="1" outlineLevel="4" x14ac:dyDescent="0.2">
      <c r="A24" s="20"/>
      <c r="B24" s="14" t="s">
        <v>19</v>
      </c>
      <c r="C24" s="21"/>
      <c r="D24" s="21"/>
      <c r="E24" s="21"/>
      <c r="F24" s="21"/>
      <c r="G24" s="21"/>
      <c r="H24" s="21"/>
      <c r="I24" s="58"/>
      <c r="J24" s="59">
        <f>SUM($J$25)</f>
        <v>0</v>
      </c>
      <c r="K24" s="18"/>
      <c r="L24" s="22"/>
    </row>
    <row r="25" spans="1:12" ht="23.1" customHeight="1" outlineLevel="4" x14ac:dyDescent="0.2">
      <c r="A25" s="23"/>
      <c r="B25" s="24" t="s">
        <v>35</v>
      </c>
      <c r="C25" s="25"/>
      <c r="D25" s="25"/>
      <c r="E25" s="26" t="s">
        <v>28</v>
      </c>
      <c r="F25" s="27"/>
      <c r="G25" s="29">
        <v>24</v>
      </c>
      <c r="H25" s="29">
        <f>SUM($G$25:$G$25)</f>
        <v>24</v>
      </c>
      <c r="I25" s="60">
        <f t="array" ref="I25">INDEX(Р[Цена за ед., руб],MATCH(1,IF(($B25=Р[Наименование])*($K25=Р[Примечание]),{1},($B25=Р[Наименование])*($K25=Р[Примечание])),0))</f>
        <v>0</v>
      </c>
      <c r="J25" s="60">
        <f>ROUND($H$25*$I$25,2)</f>
        <v>0</v>
      </c>
      <c r="K25" s="25"/>
      <c r="L25" s="25"/>
    </row>
    <row r="26" spans="1:12" ht="11.1" customHeight="1" outlineLevel="4" x14ac:dyDescent="0.2">
      <c r="A26" s="20"/>
      <c r="B26" s="14" t="s">
        <v>22</v>
      </c>
      <c r="C26" s="21"/>
      <c r="D26" s="21"/>
      <c r="E26" s="21"/>
      <c r="F26" s="21"/>
      <c r="G26" s="21"/>
      <c r="H26" s="21"/>
      <c r="I26" s="58"/>
      <c r="J26" s="59">
        <f>SUM($J$27)</f>
        <v>0</v>
      </c>
      <c r="K26" s="18"/>
      <c r="L26" s="22"/>
    </row>
    <row r="27" spans="1:12" ht="23.1" customHeight="1" outlineLevel="4" x14ac:dyDescent="0.2">
      <c r="A27" s="23" t="s">
        <v>23</v>
      </c>
      <c r="B27" s="24" t="s">
        <v>36</v>
      </c>
      <c r="C27" s="25"/>
      <c r="D27" s="25" t="s">
        <v>37</v>
      </c>
      <c r="E27" s="26" t="s">
        <v>28</v>
      </c>
      <c r="F27" s="27"/>
      <c r="G27" s="29">
        <v>24</v>
      </c>
      <c r="H27" s="29">
        <f>SUM($G$27:$G$27)</f>
        <v>24</v>
      </c>
      <c r="I27" s="60">
        <f t="array" ref="I27">INDEX(М[Цена за ед., руб],MATCH(1,IF(($B27=М[Наим.])*($C27=М[Артикул, марка, произв.])*($D27=М[Хар-ка])*($K27=М[Прим.]),{1},($B27=М[Наим.])*($C27=М[Артикул, марка, произв.])*($D27=М[Хар-ка])*($K27=М[Прим.])),0))</f>
        <v>0</v>
      </c>
      <c r="J27" s="60">
        <f>ROUND($H$27*$I$27,2)</f>
        <v>0</v>
      </c>
      <c r="K27" s="25"/>
      <c r="L27" s="25">
        <f t="array" ref="L27">INDEX(М[Форма закупа],MATCH(1,IF(($B27=М[Наим.])*($C27=М[Артикул, марка, произв.])*($D27=М[Хар-ка])*($K27=М[Прим.]),{1},($B27=М[Наим.])*($C27=М[Артикул, марка, произв.])*($D27=М[Хар-ка])*($K27=М[Прим.])),0))</f>
        <v>0</v>
      </c>
    </row>
    <row r="28" spans="1:12" ht="11.1" customHeight="1" outlineLevel="4" x14ac:dyDescent="0.2">
      <c r="A28" s="20"/>
      <c r="B28" s="14" t="s">
        <v>19</v>
      </c>
      <c r="C28" s="21"/>
      <c r="D28" s="21"/>
      <c r="E28" s="21"/>
      <c r="F28" s="21"/>
      <c r="G28" s="21"/>
      <c r="H28" s="21"/>
      <c r="I28" s="58"/>
      <c r="J28" s="59">
        <f>SUM($J$29)</f>
        <v>0</v>
      </c>
      <c r="K28" s="18"/>
      <c r="L28" s="22"/>
    </row>
    <row r="29" spans="1:12" ht="11.1" customHeight="1" outlineLevel="4" x14ac:dyDescent="0.2">
      <c r="A29" s="23"/>
      <c r="B29" s="24" t="s">
        <v>38</v>
      </c>
      <c r="C29" s="25"/>
      <c r="D29" s="25"/>
      <c r="E29" s="26" t="s">
        <v>28</v>
      </c>
      <c r="F29" s="27"/>
      <c r="G29" s="29">
        <v>6</v>
      </c>
      <c r="H29" s="29">
        <f>SUM($G$29:$G$29)</f>
        <v>6</v>
      </c>
      <c r="I29" s="60">
        <f t="array" ref="I29">INDEX(Р[Цена за ед., руб],MATCH(1,IF(($B29=Р[Наименование])*($K29=Р[Примечание]),{1},($B29=Р[Наименование])*($K29=Р[Примечание])),0))</f>
        <v>0</v>
      </c>
      <c r="J29" s="60">
        <f>ROUND($H$29*$I$29,2)</f>
        <v>0</v>
      </c>
      <c r="K29" s="25"/>
      <c r="L29" s="25"/>
    </row>
    <row r="30" spans="1:12" ht="11.1" customHeight="1" outlineLevel="4" x14ac:dyDescent="0.2">
      <c r="A30" s="20"/>
      <c r="B30" s="14" t="s">
        <v>22</v>
      </c>
      <c r="C30" s="21"/>
      <c r="D30" s="21"/>
      <c r="E30" s="21"/>
      <c r="F30" s="21"/>
      <c r="G30" s="21"/>
      <c r="H30" s="21"/>
      <c r="I30" s="58"/>
      <c r="J30" s="59">
        <f>SUM($J$31)</f>
        <v>0</v>
      </c>
      <c r="K30" s="18"/>
      <c r="L30" s="22"/>
    </row>
    <row r="31" spans="1:12" ht="11.1" customHeight="1" outlineLevel="4" x14ac:dyDescent="0.2">
      <c r="A31" s="23" t="s">
        <v>23</v>
      </c>
      <c r="B31" s="24" t="s">
        <v>39</v>
      </c>
      <c r="C31" s="25"/>
      <c r="D31" s="25" t="s">
        <v>40</v>
      </c>
      <c r="E31" s="26" t="s">
        <v>28</v>
      </c>
      <c r="F31" s="27"/>
      <c r="G31" s="29">
        <v>6</v>
      </c>
      <c r="H31" s="29">
        <f>SUM($G$31:$G$31)</f>
        <v>6</v>
      </c>
      <c r="I31" s="60">
        <f t="array" ref="I31">INDEX(М[Цена за ед., руб],MATCH(1,IF(($B31=М[Наим.])*($C31=М[Артикул, марка, произв.])*($D31=М[Хар-ка])*($K31=М[Прим.]),{1},($B31=М[Наим.])*($C31=М[Артикул, марка, произв.])*($D31=М[Хар-ка])*($K31=М[Прим.])),0))</f>
        <v>0</v>
      </c>
      <c r="J31" s="60">
        <f>ROUND($H$31*$I$31,2)</f>
        <v>0</v>
      </c>
      <c r="K31" s="25"/>
      <c r="L31" s="25">
        <f t="array" ref="L31">INDEX(М[Форма закупа],MATCH(1,IF(($B31=М[Наим.])*($C31=М[Артикул, марка, произв.])*($D31=М[Хар-ка])*($K31=М[Прим.]),{1},($B31=М[Наим.])*($C31=М[Артикул, марка, произв.])*($D31=М[Хар-ка])*($K31=М[Прим.])),0))</f>
        <v>0</v>
      </c>
    </row>
    <row r="32" spans="1:12" ht="11.1" customHeight="1" outlineLevel="4" x14ac:dyDescent="0.2">
      <c r="A32" s="20"/>
      <c r="B32" s="14" t="s">
        <v>19</v>
      </c>
      <c r="C32" s="21"/>
      <c r="D32" s="21"/>
      <c r="E32" s="21"/>
      <c r="F32" s="21"/>
      <c r="G32" s="21"/>
      <c r="H32" s="21"/>
      <c r="I32" s="58"/>
      <c r="J32" s="59">
        <f>SUM($J$33)</f>
        <v>0</v>
      </c>
      <c r="K32" s="18"/>
      <c r="L32" s="22"/>
    </row>
    <row r="33" spans="1:12" ht="11.1" customHeight="1" outlineLevel="4" x14ac:dyDescent="0.2">
      <c r="A33" s="23"/>
      <c r="B33" s="24" t="s">
        <v>41</v>
      </c>
      <c r="C33" s="25"/>
      <c r="D33" s="25"/>
      <c r="E33" s="26" t="s">
        <v>28</v>
      </c>
      <c r="F33" s="27"/>
      <c r="G33" s="29">
        <v>2</v>
      </c>
      <c r="H33" s="29">
        <f>SUM($G$33:$G$33)</f>
        <v>2</v>
      </c>
      <c r="I33" s="60">
        <f t="array" ref="I33">INDEX(Р[Цена за ед., руб],MATCH(1,IF(($B33=Р[Наименование])*($K33=Р[Примечание]),{1},($B33=Р[Наименование])*($K33=Р[Примечание])),0))</f>
        <v>0</v>
      </c>
      <c r="J33" s="60">
        <f>ROUND($H$33*$I$33,2)</f>
        <v>0</v>
      </c>
      <c r="K33" s="25"/>
      <c r="L33" s="25"/>
    </row>
    <row r="34" spans="1:12" ht="11.1" customHeight="1" outlineLevel="4" x14ac:dyDescent="0.2">
      <c r="A34" s="20"/>
      <c r="B34" s="14" t="s">
        <v>22</v>
      </c>
      <c r="C34" s="21"/>
      <c r="D34" s="21"/>
      <c r="E34" s="21"/>
      <c r="F34" s="21"/>
      <c r="G34" s="21"/>
      <c r="H34" s="21"/>
      <c r="I34" s="58"/>
      <c r="J34" s="59">
        <f>SUM($J$35)</f>
        <v>0</v>
      </c>
      <c r="K34" s="18"/>
      <c r="L34" s="22"/>
    </row>
    <row r="35" spans="1:12" ht="35.1" customHeight="1" outlineLevel="4" x14ac:dyDescent="0.2">
      <c r="A35" s="23" t="s">
        <v>23</v>
      </c>
      <c r="B35" s="24" t="s">
        <v>42</v>
      </c>
      <c r="C35" s="25"/>
      <c r="D35" s="25" t="s">
        <v>43</v>
      </c>
      <c r="E35" s="26" t="s">
        <v>28</v>
      </c>
      <c r="F35" s="27"/>
      <c r="G35" s="29">
        <v>2</v>
      </c>
      <c r="H35" s="29">
        <f>SUM($G$35:$G$35)</f>
        <v>2</v>
      </c>
      <c r="I35" s="60">
        <f t="array" ref="I35">INDEX(М[Цена за ед., руб],MATCH(1,IF(($B35=М[Наим.])*($C35=М[Артикул, марка, произв.])*($D35=М[Хар-ка])*($K35=М[Прим.]),{1},($B35=М[Наим.])*($C35=М[Артикул, марка, произв.])*($D35=М[Хар-ка])*($K35=М[Прим.])),0))</f>
        <v>0</v>
      </c>
      <c r="J35" s="60">
        <f>ROUND($H$35*$I$35,2)</f>
        <v>0</v>
      </c>
      <c r="K35" s="25"/>
      <c r="L35" s="25">
        <f t="array" ref="L35">INDEX(М[Форма закупа],MATCH(1,IF(($B35=М[Наим.])*($C35=М[Артикул, марка, произв.])*($D35=М[Хар-ка])*($K35=М[Прим.]),{1},($B35=М[Наим.])*($C35=М[Артикул, марка, произв.])*($D35=М[Хар-ка])*($K35=М[Прим.])),0))</f>
        <v>0</v>
      </c>
    </row>
    <row r="36" spans="1:12" ht="11.1" customHeight="1" outlineLevel="4" x14ac:dyDescent="0.2">
      <c r="A36" s="20"/>
      <c r="B36" s="14" t="s">
        <v>19</v>
      </c>
      <c r="C36" s="21"/>
      <c r="D36" s="21"/>
      <c r="E36" s="21"/>
      <c r="F36" s="21"/>
      <c r="G36" s="21"/>
      <c r="H36" s="21"/>
      <c r="I36" s="58"/>
      <c r="J36" s="59">
        <f>SUM($J$37)</f>
        <v>0</v>
      </c>
      <c r="K36" s="18"/>
      <c r="L36" s="22"/>
    </row>
    <row r="37" spans="1:12" ht="11.1" customHeight="1" outlineLevel="4" x14ac:dyDescent="0.2">
      <c r="A37" s="23"/>
      <c r="B37" s="24" t="s">
        <v>44</v>
      </c>
      <c r="C37" s="25"/>
      <c r="D37" s="25"/>
      <c r="E37" s="26" t="s">
        <v>28</v>
      </c>
      <c r="F37" s="27"/>
      <c r="G37" s="29">
        <v>6</v>
      </c>
      <c r="H37" s="29">
        <f>SUM($G$37:$G$37)</f>
        <v>6</v>
      </c>
      <c r="I37" s="60">
        <f t="array" ref="I37">INDEX(Р[Цена за ед., руб],MATCH(1,IF(($B37=Р[Наименование])*($K37=Р[Примечание]),{1},($B37=Р[Наименование])*($K37=Р[Примечание])),0))</f>
        <v>0</v>
      </c>
      <c r="J37" s="60">
        <f>ROUND($H$37*$I$37,2)</f>
        <v>0</v>
      </c>
      <c r="K37" s="25"/>
      <c r="L37" s="25"/>
    </row>
    <row r="38" spans="1:12" ht="11.1" customHeight="1" outlineLevel="4" x14ac:dyDescent="0.2">
      <c r="A38" s="20"/>
      <c r="B38" s="14" t="s">
        <v>22</v>
      </c>
      <c r="C38" s="21"/>
      <c r="D38" s="21"/>
      <c r="E38" s="21"/>
      <c r="F38" s="21"/>
      <c r="G38" s="21"/>
      <c r="H38" s="21"/>
      <c r="I38" s="58"/>
      <c r="J38" s="59">
        <f>SUM($J$39)</f>
        <v>0</v>
      </c>
      <c r="K38" s="18"/>
      <c r="L38" s="22"/>
    </row>
    <row r="39" spans="1:12" ht="35.1" customHeight="1" outlineLevel="4" x14ac:dyDescent="0.2">
      <c r="A39" s="23" t="s">
        <v>23</v>
      </c>
      <c r="B39" s="24" t="s">
        <v>45</v>
      </c>
      <c r="C39" s="25"/>
      <c r="D39" s="25" t="s">
        <v>46</v>
      </c>
      <c r="E39" s="26" t="s">
        <v>28</v>
      </c>
      <c r="F39" s="27"/>
      <c r="G39" s="29">
        <v>6</v>
      </c>
      <c r="H39" s="29">
        <f>SUM($G$39:$G$39)</f>
        <v>6</v>
      </c>
      <c r="I39" s="60">
        <f t="array" ref="I39">INDEX(М[Цена за ед., руб],MATCH(1,IF(($B39=М[Наим.])*($C39=М[Артикул, марка, произв.])*($D39=М[Хар-ка])*($K39=М[Прим.]),{1},($B39=М[Наим.])*($C39=М[Артикул, марка, произв.])*($D39=М[Хар-ка])*($K39=М[Прим.])),0))</f>
        <v>0</v>
      </c>
      <c r="J39" s="60">
        <f>ROUND($H$39*$I$39,2)</f>
        <v>0</v>
      </c>
      <c r="K39" s="25"/>
      <c r="L39" s="25">
        <f t="array" ref="L39">INDEX(М[Форма закупа],MATCH(1,IF(($B39=М[Наим.])*($C39=М[Артикул, марка, произв.])*($D39=М[Хар-ка])*($K39=М[Прим.]),{1},($B39=М[Наим.])*($C39=М[Артикул, марка, произв.])*($D39=М[Хар-ка])*($K39=М[Прим.])),0))</f>
        <v>0</v>
      </c>
    </row>
    <row r="40" spans="1:12" ht="11.1" customHeight="1" outlineLevel="4" x14ac:dyDescent="0.2">
      <c r="A40" s="20"/>
      <c r="B40" s="14" t="s">
        <v>19</v>
      </c>
      <c r="C40" s="21"/>
      <c r="D40" s="21"/>
      <c r="E40" s="21"/>
      <c r="F40" s="21"/>
      <c r="G40" s="21"/>
      <c r="H40" s="21"/>
      <c r="I40" s="58"/>
      <c r="J40" s="59">
        <f>SUM($J$41)</f>
        <v>0</v>
      </c>
      <c r="K40" s="18"/>
      <c r="L40" s="22"/>
    </row>
    <row r="41" spans="1:12" ht="11.1" customHeight="1" outlineLevel="4" x14ac:dyDescent="0.2">
      <c r="A41" s="23"/>
      <c r="B41" s="24" t="s">
        <v>47</v>
      </c>
      <c r="C41" s="25"/>
      <c r="D41" s="25"/>
      <c r="E41" s="26" t="s">
        <v>26</v>
      </c>
      <c r="F41" s="27"/>
      <c r="G41" s="28">
        <v>709.65</v>
      </c>
      <c r="H41" s="28">
        <f>SUM($G$41:$G$41)</f>
        <v>709.65</v>
      </c>
      <c r="I41" s="60">
        <f t="array" ref="I41">INDEX(Р[Цена за ед., руб],MATCH(1,IF(($B41=Р[Наименование])*($K41=Р[Примечание]),{1},($B41=Р[Наименование])*($K41=Р[Примечание])),0))</f>
        <v>0</v>
      </c>
      <c r="J41" s="60">
        <f>ROUND($H$41*$I$41,2)</f>
        <v>0</v>
      </c>
      <c r="K41" s="25"/>
      <c r="L41" s="25"/>
    </row>
    <row r="42" spans="1:12" ht="11.1" customHeight="1" outlineLevel="4" x14ac:dyDescent="0.2">
      <c r="A42" s="20"/>
      <c r="B42" s="14" t="s">
        <v>22</v>
      </c>
      <c r="C42" s="21"/>
      <c r="D42" s="21"/>
      <c r="E42" s="21"/>
      <c r="F42" s="21"/>
      <c r="G42" s="21"/>
      <c r="H42" s="21"/>
      <c r="I42" s="58"/>
      <c r="J42" s="59">
        <f>SUM($J$43:$J$44)</f>
        <v>0</v>
      </c>
      <c r="K42" s="18"/>
      <c r="L42" s="22"/>
    </row>
    <row r="43" spans="1:12" ht="11.1" customHeight="1" outlineLevel="4" x14ac:dyDescent="0.2">
      <c r="A43" s="94" t="s">
        <v>23</v>
      </c>
      <c r="B43" s="24" t="s">
        <v>48</v>
      </c>
      <c r="C43" s="25"/>
      <c r="D43" s="25" t="s">
        <v>49</v>
      </c>
      <c r="E43" s="26" t="s">
        <v>26</v>
      </c>
      <c r="F43" s="27"/>
      <c r="G43" s="28">
        <v>1.65</v>
      </c>
      <c r="H43" s="28">
        <f>SUM($G$43:$G$43)</f>
        <v>1.65</v>
      </c>
      <c r="I43" s="60">
        <f t="array" ref="I43">INDEX(М[Цена за ед., руб],MATCH(1,IF(($B43=М[Наим.])*($C43=М[Артикул, марка, произв.])*($D43=М[Хар-ка])*($K43=М[Прим.]),{1},($B43=М[Наим.])*($C43=М[Артикул, марка, произв.])*($D43=М[Хар-ка])*($K43=М[Прим.])),0))</f>
        <v>0</v>
      </c>
      <c r="J43" s="60">
        <f>ROUND($H$43*$I$43,2)</f>
        <v>0</v>
      </c>
      <c r="K43" s="25" t="s">
        <v>50</v>
      </c>
      <c r="L43" s="25">
        <f t="array" ref="L43">INDEX(М[Форма закупа],MATCH(1,IF(($B43=М[Наим.])*($C43=М[Артикул, марка, произв.])*($D43=М[Хар-ка])*($K43=М[Прим.]),{1},($B43=М[Наим.])*($C43=М[Артикул, марка, произв.])*($D43=М[Хар-ка])*($K43=М[Прим.])),0))</f>
        <v>0</v>
      </c>
    </row>
    <row r="44" spans="1:12" ht="11.1" customHeight="1" outlineLevel="4" x14ac:dyDescent="0.2">
      <c r="A44" s="94" t="s">
        <v>51</v>
      </c>
      <c r="B44" s="24" t="s">
        <v>48</v>
      </c>
      <c r="C44" s="25"/>
      <c r="D44" s="25" t="s">
        <v>52</v>
      </c>
      <c r="E44" s="26" t="s">
        <v>26</v>
      </c>
      <c r="F44" s="27"/>
      <c r="G44" s="29">
        <v>708</v>
      </c>
      <c r="H44" s="29">
        <f>SUM($G$44:$G$44)</f>
        <v>708</v>
      </c>
      <c r="I44" s="60">
        <f t="array" ref="I44">INDEX(М[Цена за ед., руб],MATCH(1,IF(($B44=М[Наим.])*($C44=М[Артикул, марка, произв.])*($D44=М[Хар-ка])*($K44=М[Прим.]),{1},($B44=М[Наим.])*($C44=М[Артикул, марка, произв.])*($D44=М[Хар-ка])*($K44=М[Прим.])),0))</f>
        <v>0</v>
      </c>
      <c r="J44" s="60">
        <f>ROUND($H$44*$I$44,2)</f>
        <v>0</v>
      </c>
      <c r="K44" s="25"/>
      <c r="L44" s="25">
        <f t="array" ref="L44">INDEX(М[Форма закупа],MATCH(1,IF(($B44=М[Наим.])*($C44=М[Артикул, марка, произв.])*($D44=М[Хар-ка])*($K44=М[Прим.]),{1},($B44=М[Наим.])*($C44=М[Артикул, марка, произв.])*($D44=М[Хар-ка])*($K44=М[Прим.])),0))</f>
        <v>0</v>
      </c>
    </row>
    <row r="45" spans="1:12" ht="11.1" customHeight="1" outlineLevel="4" x14ac:dyDescent="0.2">
      <c r="A45" s="20"/>
      <c r="B45" s="14" t="s">
        <v>19</v>
      </c>
      <c r="C45" s="21"/>
      <c r="D45" s="21"/>
      <c r="E45" s="21"/>
      <c r="F45" s="21"/>
      <c r="G45" s="21"/>
      <c r="H45" s="21"/>
      <c r="I45" s="58"/>
      <c r="J45" s="59">
        <f>SUM($J$46)</f>
        <v>0</v>
      </c>
      <c r="K45" s="18"/>
      <c r="L45" s="22"/>
    </row>
    <row r="46" spans="1:12" ht="11.1" customHeight="1" outlineLevel="4" x14ac:dyDescent="0.2">
      <c r="A46" s="23"/>
      <c r="B46" s="24" t="s">
        <v>53</v>
      </c>
      <c r="C46" s="25"/>
      <c r="D46" s="25"/>
      <c r="E46" s="26" t="s">
        <v>26</v>
      </c>
      <c r="F46" s="27"/>
      <c r="G46" s="29">
        <v>38</v>
      </c>
      <c r="H46" s="29">
        <f>SUM($G$46:$G$46)</f>
        <v>38</v>
      </c>
      <c r="I46" s="60">
        <f t="array" ref="I46">INDEX(Р[Цена за ед., руб],MATCH(1,IF(($B46=Р[Наименование])*($K46=Р[Примечание]),{1},($B46=Р[Наименование])*($K46=Р[Примечание])),0))</f>
        <v>0</v>
      </c>
      <c r="J46" s="60">
        <f>ROUND($H$46*$I$46,2)</f>
        <v>0</v>
      </c>
      <c r="K46" s="25"/>
      <c r="L46" s="25"/>
    </row>
    <row r="47" spans="1:12" ht="11.1" customHeight="1" outlineLevel="4" x14ac:dyDescent="0.2">
      <c r="A47" s="20"/>
      <c r="B47" s="14" t="s">
        <v>22</v>
      </c>
      <c r="C47" s="21"/>
      <c r="D47" s="21"/>
      <c r="E47" s="21"/>
      <c r="F47" s="21"/>
      <c r="G47" s="21"/>
      <c r="H47" s="21"/>
      <c r="I47" s="58"/>
      <c r="J47" s="59">
        <f>SUM($J$48)</f>
        <v>0</v>
      </c>
      <c r="K47" s="18"/>
      <c r="L47" s="22"/>
    </row>
    <row r="48" spans="1:12" ht="11.1" customHeight="1" outlineLevel="4" x14ac:dyDescent="0.2">
      <c r="A48" s="94" t="s">
        <v>23</v>
      </c>
      <c r="B48" s="24" t="s">
        <v>54</v>
      </c>
      <c r="C48" s="25"/>
      <c r="D48" s="25" t="s">
        <v>55</v>
      </c>
      <c r="E48" s="26" t="s">
        <v>26</v>
      </c>
      <c r="F48" s="27"/>
      <c r="G48" s="29">
        <v>38</v>
      </c>
      <c r="H48" s="29">
        <f>SUM($G$48:$G$48)</f>
        <v>38</v>
      </c>
      <c r="I48" s="60">
        <f t="array" ref="I48">INDEX(М[Цена за ед., руб],MATCH(1,IF(($B48=М[Наим.])*($C48=М[Артикул, марка, произв.])*($D48=М[Хар-ка])*($K48=М[Прим.]),{1},($B48=М[Наим.])*($C48=М[Артикул, марка, произв.])*($D48=М[Хар-ка])*($K48=М[Прим.])),0))</f>
        <v>0</v>
      </c>
      <c r="J48" s="60">
        <f>ROUND($H$48*$I$48,2)</f>
        <v>0</v>
      </c>
      <c r="K48" s="25"/>
      <c r="L48" s="25">
        <f t="array" ref="L48">INDEX(М[Форма закупа],MATCH(1,IF(($B48=М[Наим.])*($C48=М[Артикул, марка, произв.])*($D48=М[Хар-ка])*($K48=М[Прим.]),{1},($B48=М[Наим.])*($C48=М[Артикул, марка, произв.])*($D48=М[Хар-ка])*($K48=М[Прим.])),0))</f>
        <v>0</v>
      </c>
    </row>
    <row r="49" spans="1:12" ht="11.1" customHeight="1" outlineLevel="2" x14ac:dyDescent="0.2">
      <c r="A49" s="13" t="s">
        <v>62</v>
      </c>
      <c r="B49" s="14" t="s">
        <v>63</v>
      </c>
      <c r="C49" s="15"/>
      <c r="D49" s="15"/>
      <c r="E49" s="16"/>
      <c r="F49" s="17"/>
      <c r="G49" s="18"/>
      <c r="H49" s="18"/>
      <c r="I49" s="57"/>
      <c r="J49" s="57">
        <f>SUM($J$50)</f>
        <v>0</v>
      </c>
      <c r="K49" s="19"/>
      <c r="L49" s="19"/>
    </row>
    <row r="50" spans="1:12" ht="11.1" customHeight="1" outlineLevel="3" x14ac:dyDescent="0.2">
      <c r="A50" s="13" t="s">
        <v>64</v>
      </c>
      <c r="B50" s="14" t="s">
        <v>63</v>
      </c>
      <c r="C50" s="15"/>
      <c r="D50" s="15"/>
      <c r="E50" s="16"/>
      <c r="F50" s="17"/>
      <c r="G50" s="18"/>
      <c r="H50" s="18"/>
      <c r="I50" s="57"/>
      <c r="J50" s="57">
        <f>SUM($J$53,$J$51,J55)</f>
        <v>0</v>
      </c>
      <c r="K50" s="19"/>
      <c r="L50" s="19"/>
    </row>
    <row r="51" spans="1:12" ht="11.1" customHeight="1" outlineLevel="4" x14ac:dyDescent="0.2">
      <c r="A51" s="20"/>
      <c r="B51" s="14" t="s">
        <v>19</v>
      </c>
      <c r="C51" s="21"/>
      <c r="D51" s="21"/>
      <c r="E51" s="21"/>
      <c r="F51" s="21"/>
      <c r="G51" s="21"/>
      <c r="H51" s="21"/>
      <c r="I51" s="58"/>
      <c r="J51" s="59">
        <f>SUM($J$52)</f>
        <v>0</v>
      </c>
      <c r="K51" s="18"/>
      <c r="L51" s="22"/>
    </row>
    <row r="52" spans="1:12" ht="11.1" customHeight="1" outlineLevel="4" x14ac:dyDescent="0.2">
      <c r="A52" s="23"/>
      <c r="B52" s="24" t="s">
        <v>63</v>
      </c>
      <c r="C52" s="25"/>
      <c r="D52" s="25"/>
      <c r="E52" s="26" t="s">
        <v>61</v>
      </c>
      <c r="F52" s="27"/>
      <c r="G52" s="29">
        <v>1</v>
      </c>
      <c r="H52" s="29">
        <f>SUM($G$52:$G$52)</f>
        <v>1</v>
      </c>
      <c r="I52" s="60">
        <f t="array" ref="I52">INDEX(Р[Цена за ед., руб],MATCH(1,IF(($B52=Р[Наименование])*($K52=Р[Примечание]),{1},($B52=Р[Наименование])*($K52=Р[Примечание])),0))</f>
        <v>0</v>
      </c>
      <c r="J52" s="60">
        <f>ROUND($H$52*$I$52,2)</f>
        <v>0</v>
      </c>
      <c r="K52" s="25"/>
      <c r="L52" s="25"/>
    </row>
    <row r="53" spans="1:12" ht="11.1" customHeight="1" outlineLevel="4" x14ac:dyDescent="0.2">
      <c r="A53" s="20"/>
      <c r="B53" s="14" t="s">
        <v>22</v>
      </c>
      <c r="C53" s="21"/>
      <c r="D53" s="21"/>
      <c r="E53" s="21"/>
      <c r="F53" s="21"/>
      <c r="G53" s="21"/>
      <c r="H53" s="21"/>
      <c r="I53" s="58"/>
      <c r="J53" s="59">
        <f>SUM($J$54)</f>
        <v>0</v>
      </c>
      <c r="K53" s="18"/>
      <c r="L53" s="22"/>
    </row>
    <row r="54" spans="1:12" ht="11.1" customHeight="1" outlineLevel="4" x14ac:dyDescent="0.2">
      <c r="A54" s="23" t="s">
        <v>23</v>
      </c>
      <c r="B54" s="24" t="s">
        <v>65</v>
      </c>
      <c r="C54" s="25"/>
      <c r="D54" s="25" t="s">
        <v>66</v>
      </c>
      <c r="E54" s="26" t="s">
        <v>67</v>
      </c>
      <c r="F54" s="27"/>
      <c r="G54" s="28">
        <v>45.76</v>
      </c>
      <c r="H54" s="28">
        <f>SUM($G$54:$G$54)</f>
        <v>45.76</v>
      </c>
      <c r="I54" s="60">
        <f t="array" ref="I54">INDEX(М[Цена за ед., руб],MATCH(1,IF(($B54=М[Наим.])*($C54=М[Артикул, марка, произв.])*($D54=М[Хар-ка])*($K54=М[Прим.]),{1},($B54=М[Наим.])*($C54=М[Артикул, марка, произв.])*($D54=М[Хар-ка])*($K54=М[Прим.])),0))</f>
        <v>0</v>
      </c>
      <c r="J54" s="60">
        <f>ROUND($H$54*$I$54,2)</f>
        <v>0</v>
      </c>
      <c r="K54" s="25" t="s">
        <v>68</v>
      </c>
      <c r="L54" s="25">
        <f t="array" ref="L54">INDEX(М[Форма закупа],MATCH(1,IF(($B54=М[Наим.])*($C54=М[Артикул, марка, произв.])*($D54=М[Хар-ка])*($K54=М[Прим.]),{1},($B54=М[Наим.])*($C54=М[Артикул, марка, произв.])*($D54=М[Хар-ка])*($K54=М[Прим.])),0))</f>
        <v>0</v>
      </c>
    </row>
    <row r="55" spans="1:12" ht="11.1" customHeight="1" outlineLevel="4" x14ac:dyDescent="0.2">
      <c r="A55" s="20"/>
      <c r="B55" s="84" t="s">
        <v>22</v>
      </c>
      <c r="C55" s="85"/>
      <c r="D55" s="85"/>
      <c r="E55" s="85"/>
      <c r="F55" s="85"/>
      <c r="G55" s="85"/>
      <c r="H55" s="85"/>
      <c r="I55" s="86"/>
      <c r="J55" s="87">
        <f>SUM(J56:J58)</f>
        <v>0</v>
      </c>
      <c r="K55" s="88"/>
      <c r="L55" s="89"/>
    </row>
    <row r="56" spans="1:12" ht="22.5" outlineLevel="4" x14ac:dyDescent="0.2">
      <c r="A56" s="62">
        <v>1</v>
      </c>
      <c r="B56" s="63" t="s">
        <v>86</v>
      </c>
      <c r="C56" s="90"/>
      <c r="D56" s="90"/>
      <c r="E56" s="64" t="s">
        <v>56</v>
      </c>
      <c r="F56" s="91"/>
      <c r="G56" s="92"/>
      <c r="H56" s="65">
        <f>Материалы!E15</f>
        <v>0</v>
      </c>
      <c r="I56" s="93"/>
      <c r="J56" s="93">
        <f>ROUND(SUM(J43:J44)*H56%,3)</f>
        <v>0</v>
      </c>
      <c r="K56" s="90" t="s">
        <v>89</v>
      </c>
      <c r="L56" s="90">
        <f t="array" ref="L56">INDEX(М[Форма закупа],MATCH(1,IF(($B56=М[Наим.])*($C56=М[Артикул, марка, произв.])*($D56=М[Хар-ка])*($K56=М[Прим.]),{1},($B56=М[Наим.])*($C56=М[Артикул, марка, произв.])*($D56=М[Хар-ка])*($K56=М[Прим.])),0))</f>
        <v>0</v>
      </c>
    </row>
    <row r="57" spans="1:12" ht="22.5" outlineLevel="4" x14ac:dyDescent="0.2">
      <c r="A57" s="62">
        <v>2</v>
      </c>
      <c r="B57" s="63" t="s">
        <v>88</v>
      </c>
      <c r="C57" s="90"/>
      <c r="D57" s="90"/>
      <c r="E57" s="64" t="s">
        <v>56</v>
      </c>
      <c r="F57" s="91"/>
      <c r="G57" s="92"/>
      <c r="H57" s="65">
        <f>Материалы!E16</f>
        <v>0</v>
      </c>
      <c r="I57" s="93"/>
      <c r="J57" s="93">
        <f>ROUND(SUM(J48)*H57%,3)</f>
        <v>0</v>
      </c>
      <c r="K57" s="90" t="s">
        <v>89</v>
      </c>
      <c r="L57" s="90">
        <f t="array" ref="L57">INDEX(М[Форма закупа],MATCH(1,IF(($B57=М[Наим.])*($C57=М[Артикул, марка, произв.])*($D57=М[Хар-ка])*($K57=М[Прим.]),{1},($B57=М[Наим.])*($C57=М[Артикул, марка, произв.])*($D57=М[Хар-ка])*($K57=М[Прим.])),0))</f>
        <v>0</v>
      </c>
    </row>
    <row r="58" spans="1:12" ht="22.5" outlineLevel="4" x14ac:dyDescent="0.2">
      <c r="A58" s="62">
        <v>3</v>
      </c>
      <c r="B58" s="63" t="s">
        <v>87</v>
      </c>
      <c r="C58" s="90"/>
      <c r="D58" s="90"/>
      <c r="E58" s="64" t="s">
        <v>56</v>
      </c>
      <c r="F58" s="91"/>
      <c r="G58" s="92"/>
      <c r="H58" s="65">
        <f>Материалы!E17</f>
        <v>0</v>
      </c>
      <c r="I58" s="93"/>
      <c r="J58" s="93">
        <f>ROUND(SUM(J15,J19,J23,J27,J31,J35,J39,J43:J44,J48,J54)*H58%,3)</f>
        <v>0</v>
      </c>
      <c r="K58" s="90" t="s">
        <v>89</v>
      </c>
      <c r="L58" s="90">
        <f t="array" ref="L58">INDEX(М[Форма закупа],MATCH(1,IF(($B58=М[Наим.])*($C58=М[Артикул, марка, произв.])*($D58=М[Хар-ка])*($K58=М[Прим.]),{1},($B58=М[Наим.])*($C58=М[Артикул, марка, произв.])*($D58=М[Хар-ка])*($K58=М[Прим.])),0))</f>
        <v>0</v>
      </c>
    </row>
    <row r="59" spans="1:12" ht="11.1" customHeight="1" outlineLevel="2" x14ac:dyDescent="0.2">
      <c r="A59" s="13" t="s">
        <v>57</v>
      </c>
      <c r="B59" s="14" t="s">
        <v>58</v>
      </c>
      <c r="C59" s="15"/>
      <c r="D59" s="15"/>
      <c r="E59" s="16"/>
      <c r="F59" s="17"/>
      <c r="G59" s="18"/>
      <c r="H59" s="18"/>
      <c r="I59" s="57"/>
      <c r="J59" s="57">
        <f>SUM($J$60)</f>
        <v>0</v>
      </c>
      <c r="K59" s="19"/>
      <c r="L59" s="19"/>
    </row>
    <row r="60" spans="1:12" ht="11.1" customHeight="1" outlineLevel="3" x14ac:dyDescent="0.2">
      <c r="A60" s="13" t="s">
        <v>59</v>
      </c>
      <c r="B60" s="14" t="s">
        <v>58</v>
      </c>
      <c r="C60" s="15"/>
      <c r="D60" s="15"/>
      <c r="E60" s="16"/>
      <c r="F60" s="17"/>
      <c r="G60" s="18"/>
      <c r="H60" s="18"/>
      <c r="I60" s="57"/>
      <c r="J60" s="57">
        <f>SUM($J$61)</f>
        <v>0</v>
      </c>
      <c r="K60" s="19"/>
      <c r="L60" s="19"/>
    </row>
    <row r="61" spans="1:12" ht="11.1" customHeight="1" outlineLevel="4" x14ac:dyDescent="0.2">
      <c r="A61" s="20"/>
      <c r="B61" s="14" t="s">
        <v>19</v>
      </c>
      <c r="C61" s="21"/>
      <c r="D61" s="21"/>
      <c r="E61" s="21"/>
      <c r="F61" s="21"/>
      <c r="G61" s="21"/>
      <c r="H61" s="21"/>
      <c r="I61" s="58"/>
      <c r="J61" s="59">
        <f>SUM($J$62)</f>
        <v>0</v>
      </c>
      <c r="K61" s="18"/>
      <c r="L61" s="22"/>
    </row>
    <row r="62" spans="1:12" ht="23.1" customHeight="1" outlineLevel="4" x14ac:dyDescent="0.2">
      <c r="A62" s="23"/>
      <c r="B62" s="24" t="s">
        <v>60</v>
      </c>
      <c r="C62" s="25"/>
      <c r="D62" s="25"/>
      <c r="E62" s="26" t="s">
        <v>61</v>
      </c>
      <c r="F62" s="27"/>
      <c r="G62" s="29">
        <v>1</v>
      </c>
      <c r="H62" s="29">
        <f>SUM($G$62:$G$62)</f>
        <v>1</v>
      </c>
      <c r="I62" s="60">
        <f t="array" ref="I62">INDEX(Р[Цена за ед., руб],MATCH(1,IF(($B62=Р[Наименование])*($K62=Р[Примечание]),{1},($B62=Р[Наименование])*($K62=Р[Примечание])),0))</f>
        <v>0</v>
      </c>
      <c r="J62" s="60">
        <f>ROUND($H$62*$I$62,2)</f>
        <v>0</v>
      </c>
      <c r="K62" s="25"/>
      <c r="L62" s="25"/>
    </row>
    <row r="63" spans="1:12" ht="11.1" customHeight="1" x14ac:dyDescent="0.2">
      <c r="A63" s="30"/>
      <c r="B63" s="31"/>
      <c r="C63" s="31"/>
      <c r="D63" s="31"/>
      <c r="E63" s="31"/>
      <c r="F63" s="31"/>
      <c r="G63" s="32"/>
      <c r="H63" s="103" t="s">
        <v>69</v>
      </c>
      <c r="I63" s="104"/>
      <c r="J63" s="61">
        <f>$J$9</f>
        <v>0</v>
      </c>
      <c r="K63" s="33"/>
      <c r="L63" s="33"/>
    </row>
    <row r="64" spans="1:12" ht="11.1" customHeight="1" x14ac:dyDescent="0.2">
      <c r="A64" s="30"/>
      <c r="B64" s="31"/>
      <c r="C64" s="31"/>
      <c r="D64" s="31"/>
      <c r="E64" s="31"/>
      <c r="F64" s="31"/>
      <c r="G64" s="34"/>
      <c r="H64" s="105" t="s">
        <v>70</v>
      </c>
      <c r="I64" s="106"/>
      <c r="J64" s="61">
        <f>SUM($J$51,$J$61,$J$45,$J$40,$J$36,$J$32,$J$28,$J$24,$J$20,$J$16,$J$12)</f>
        <v>0</v>
      </c>
      <c r="K64" s="33"/>
      <c r="L64" s="33"/>
    </row>
    <row r="65" spans="1:127" ht="11.1" customHeight="1" x14ac:dyDescent="0.2">
      <c r="A65" s="30"/>
      <c r="B65" s="31"/>
      <c r="C65" s="31"/>
      <c r="D65" s="31"/>
      <c r="E65" s="31"/>
      <c r="F65" s="31"/>
      <c r="G65" s="34"/>
      <c r="H65" s="105" t="s">
        <v>71</v>
      </c>
      <c r="I65" s="106"/>
      <c r="J65" s="61">
        <f>SUM($J$53,$J$47,$J$42,$J$38,$J$34,$J$30,$J$26,$J$22,$J$18,$J$14,J55)</f>
        <v>0</v>
      </c>
      <c r="K65" s="33"/>
      <c r="L65" s="33"/>
    </row>
    <row r="66" spans="1:127" ht="11.1" customHeight="1" x14ac:dyDescent="0.2">
      <c r="A66" s="35"/>
      <c r="B66" s="95" t="s">
        <v>72</v>
      </c>
      <c r="C66" s="95"/>
      <c r="D66" s="95"/>
      <c r="E66" s="95"/>
      <c r="F66" s="95"/>
      <c r="G66" s="95"/>
      <c r="H66" s="95"/>
      <c r="I66" s="96"/>
      <c r="J66" s="96"/>
      <c r="K66" s="95"/>
      <c r="L66" s="35"/>
    </row>
    <row r="67" spans="1:127" ht="11.1" customHeight="1" x14ac:dyDescent="0.2">
      <c r="B67" s="97"/>
      <c r="C67" s="97"/>
      <c r="D67" s="97"/>
      <c r="E67" s="97"/>
      <c r="F67" s="97"/>
      <c r="G67" s="97"/>
      <c r="H67" s="97"/>
      <c r="I67" s="98"/>
      <c r="J67" s="98"/>
      <c r="K67" s="97"/>
    </row>
    <row r="68" spans="1:127" s="73" customFormat="1" ht="30.75" customHeight="1" x14ac:dyDescent="0.2">
      <c r="A68" s="66"/>
      <c r="B68" s="67" t="s">
        <v>90</v>
      </c>
      <c r="C68" s="68"/>
      <c r="D68" s="68"/>
      <c r="E68" s="69"/>
      <c r="F68" s="69"/>
      <c r="G68" s="69"/>
      <c r="H68" s="69"/>
      <c r="I68" s="69"/>
      <c r="J68" s="70"/>
      <c r="K68" s="69"/>
      <c r="L68" s="69"/>
      <c r="M68" s="68"/>
      <c r="N68" s="68"/>
      <c r="O68" s="71"/>
      <c r="P68" s="72"/>
      <c r="V68" s="74"/>
      <c r="AD68" s="74"/>
      <c r="AL68" s="74"/>
      <c r="AT68" s="74"/>
      <c r="AU68" s="74"/>
      <c r="AV68" s="74"/>
      <c r="AW68" s="74"/>
      <c r="AX68" s="74"/>
      <c r="AY68" s="74"/>
      <c r="AZ68" s="74"/>
      <c r="BA68" s="74"/>
      <c r="BB68" s="74"/>
      <c r="BC68" s="74"/>
      <c r="BD68" s="74"/>
      <c r="BE68" s="74"/>
      <c r="BF68" s="74"/>
      <c r="BG68" s="74"/>
      <c r="BH68" s="74"/>
      <c r="BI68" s="74"/>
      <c r="BJ68" s="74"/>
      <c r="BK68" s="74"/>
      <c r="BL68" s="74"/>
      <c r="BM68" s="74"/>
      <c r="BN68" s="74"/>
      <c r="BO68" s="74"/>
      <c r="BP68" s="74"/>
      <c r="BQ68" s="74"/>
      <c r="BR68" s="74"/>
      <c r="BS68" s="74"/>
      <c r="BT68" s="74"/>
      <c r="BU68" s="74"/>
      <c r="BV68" s="74"/>
      <c r="BW68" s="74"/>
      <c r="BX68" s="74"/>
      <c r="BY68" s="74"/>
      <c r="BZ68" s="74"/>
      <c r="CA68" s="74"/>
      <c r="CB68" s="74"/>
      <c r="CC68" s="74"/>
      <c r="CD68" s="74"/>
      <c r="CE68" s="74"/>
      <c r="CF68" s="74"/>
      <c r="CG68" s="74"/>
      <c r="CH68" s="74"/>
      <c r="CI68" s="74"/>
      <c r="CJ68" s="74"/>
      <c r="CK68" s="74"/>
      <c r="CL68" s="74"/>
      <c r="CM68" s="74"/>
      <c r="CN68" s="74"/>
      <c r="CO68" s="74"/>
      <c r="CP68" s="74"/>
      <c r="CQ68" s="74"/>
      <c r="CR68" s="74"/>
      <c r="CS68" s="74"/>
      <c r="CT68" s="74"/>
      <c r="CU68" s="74"/>
      <c r="CV68" s="74"/>
      <c r="CW68" s="74"/>
      <c r="CX68" s="74"/>
      <c r="CY68" s="74"/>
      <c r="CZ68" s="74"/>
      <c r="DA68" s="74"/>
      <c r="DB68" s="74"/>
      <c r="DC68" s="74"/>
      <c r="DD68" s="74"/>
      <c r="DE68" s="74"/>
      <c r="DF68" s="74"/>
      <c r="DN68" s="74"/>
      <c r="DO68" s="74"/>
      <c r="DW68" s="74"/>
    </row>
    <row r="69" spans="1:127" s="73" customFormat="1" ht="30.75" customHeight="1" x14ac:dyDescent="0.2">
      <c r="A69" s="66"/>
      <c r="B69" s="116" t="s">
        <v>91</v>
      </c>
      <c r="C69" s="116"/>
      <c r="D69" s="116"/>
      <c r="E69" s="116"/>
      <c r="F69" s="116"/>
      <c r="G69" s="116"/>
      <c r="H69" s="116"/>
      <c r="I69" s="116"/>
      <c r="J69" s="116"/>
      <c r="K69" s="69"/>
      <c r="L69" s="69"/>
      <c r="M69" s="68"/>
      <c r="N69" s="68"/>
      <c r="O69" s="71"/>
      <c r="P69" s="72"/>
      <c r="V69" s="74"/>
      <c r="AD69" s="74"/>
      <c r="AL69" s="74"/>
      <c r="AT69" s="74"/>
      <c r="AU69" s="74"/>
      <c r="AV69" s="74"/>
      <c r="AW69" s="74"/>
      <c r="AX69" s="74"/>
      <c r="AY69" s="74"/>
      <c r="AZ69" s="74"/>
      <c r="BA69" s="74"/>
      <c r="BB69" s="74"/>
      <c r="BC69" s="74"/>
      <c r="BD69" s="74"/>
      <c r="BE69" s="74"/>
      <c r="BF69" s="74"/>
      <c r="BG69" s="74"/>
      <c r="BH69" s="74"/>
      <c r="BI69" s="74"/>
      <c r="BJ69" s="74"/>
      <c r="BK69" s="74"/>
      <c r="BL69" s="74"/>
      <c r="BM69" s="74"/>
      <c r="BN69" s="74"/>
      <c r="BO69" s="74"/>
      <c r="BP69" s="74"/>
      <c r="BQ69" s="74"/>
      <c r="BR69" s="74"/>
      <c r="BS69" s="74"/>
      <c r="BT69" s="74"/>
      <c r="BU69" s="74"/>
      <c r="BV69" s="74"/>
      <c r="BW69" s="74"/>
      <c r="BX69" s="74"/>
      <c r="BY69" s="74"/>
      <c r="BZ69" s="74"/>
      <c r="CA69" s="74"/>
      <c r="CB69" s="74"/>
      <c r="CC69" s="74"/>
      <c r="CD69" s="74"/>
      <c r="CE69" s="74"/>
      <c r="CF69" s="74"/>
      <c r="CG69" s="74"/>
      <c r="CH69" s="74"/>
      <c r="CI69" s="74"/>
      <c r="CJ69" s="74"/>
      <c r="CK69" s="74"/>
      <c r="CL69" s="74"/>
      <c r="CM69" s="74"/>
      <c r="CN69" s="74"/>
      <c r="CO69" s="74"/>
      <c r="CP69" s="74"/>
      <c r="CQ69" s="74"/>
      <c r="CR69" s="74"/>
      <c r="CS69" s="74"/>
      <c r="CT69" s="74"/>
      <c r="CU69" s="74"/>
      <c r="CV69" s="74"/>
      <c r="CW69" s="74"/>
      <c r="CX69" s="74"/>
      <c r="CY69" s="74"/>
      <c r="CZ69" s="74"/>
      <c r="DA69" s="74"/>
      <c r="DB69" s="74"/>
      <c r="DC69" s="74"/>
      <c r="DD69" s="74"/>
      <c r="DE69" s="74"/>
      <c r="DF69" s="74"/>
      <c r="DN69" s="74"/>
      <c r="DO69" s="74"/>
      <c r="DW69" s="74"/>
    </row>
    <row r="70" spans="1:127" s="73" customFormat="1" ht="30.75" customHeight="1" x14ac:dyDescent="0.2">
      <c r="A70" s="66" t="s">
        <v>92</v>
      </c>
      <c r="B70" s="117" t="s">
        <v>93</v>
      </c>
      <c r="C70" s="117"/>
      <c r="D70" s="117"/>
      <c r="E70" s="117"/>
      <c r="F70" s="117"/>
      <c r="G70" s="117"/>
      <c r="H70" s="117"/>
      <c r="I70" s="117"/>
      <c r="J70" s="117"/>
      <c r="K70" s="117"/>
      <c r="L70" s="117"/>
      <c r="M70" s="117"/>
      <c r="N70" s="117"/>
      <c r="O70" s="75"/>
      <c r="P70" s="75"/>
      <c r="V70" s="74"/>
      <c r="AD70" s="74"/>
      <c r="AL70" s="74"/>
      <c r="AT70" s="74"/>
      <c r="AU70" s="74"/>
      <c r="AV70" s="74"/>
      <c r="AW70" s="74"/>
      <c r="AX70" s="74"/>
      <c r="AY70" s="74"/>
      <c r="AZ70" s="74"/>
      <c r="BA70" s="74"/>
      <c r="BB70" s="74"/>
      <c r="BC70" s="74"/>
      <c r="BD70" s="74"/>
      <c r="BE70" s="74"/>
      <c r="BF70" s="74"/>
      <c r="BG70" s="74"/>
      <c r="BH70" s="74"/>
      <c r="BI70" s="74"/>
      <c r="BJ70" s="74"/>
      <c r="BK70" s="74"/>
      <c r="BL70" s="74"/>
      <c r="BM70" s="74"/>
      <c r="BN70" s="74"/>
      <c r="BO70" s="74"/>
      <c r="BP70" s="74"/>
      <c r="BQ70" s="74"/>
      <c r="BR70" s="74"/>
      <c r="BS70" s="74"/>
      <c r="BT70" s="74"/>
      <c r="BU70" s="74"/>
      <c r="BV70" s="74"/>
      <c r="BW70" s="74"/>
      <c r="BX70" s="74"/>
      <c r="BY70" s="74"/>
      <c r="BZ70" s="74"/>
      <c r="CA70" s="74"/>
      <c r="CB70" s="74"/>
      <c r="CC70" s="74"/>
      <c r="CD70" s="74"/>
      <c r="CE70" s="74"/>
      <c r="CF70" s="74"/>
      <c r="CG70" s="74"/>
      <c r="CH70" s="74"/>
      <c r="CI70" s="74"/>
      <c r="CJ70" s="74"/>
      <c r="CK70" s="74"/>
      <c r="CL70" s="74"/>
      <c r="CM70" s="74"/>
      <c r="CN70" s="74"/>
      <c r="CO70" s="74"/>
      <c r="CP70" s="74"/>
      <c r="CQ70" s="74"/>
      <c r="CR70" s="74"/>
      <c r="CS70" s="74"/>
      <c r="CT70" s="74"/>
      <c r="CU70" s="74"/>
      <c r="CV70" s="74"/>
      <c r="CW70" s="74"/>
      <c r="CX70" s="74"/>
      <c r="CY70" s="74"/>
      <c r="CZ70" s="74"/>
      <c r="DA70" s="74"/>
      <c r="DB70" s="74"/>
      <c r="DC70" s="74"/>
      <c r="DD70" s="74"/>
      <c r="DE70" s="74"/>
      <c r="DF70" s="74"/>
      <c r="DN70" s="74"/>
      <c r="DO70" s="74"/>
      <c r="DW70" s="74"/>
    </row>
    <row r="71" spans="1:127" s="73" customFormat="1" ht="51.75" customHeight="1" x14ac:dyDescent="0.2">
      <c r="A71" s="73" t="s">
        <v>92</v>
      </c>
      <c r="B71" s="117" t="s">
        <v>94</v>
      </c>
      <c r="C71" s="117"/>
      <c r="D71" s="117"/>
      <c r="E71" s="117"/>
      <c r="F71" s="117"/>
      <c r="G71" s="117"/>
      <c r="H71" s="117"/>
      <c r="I71" s="117"/>
      <c r="J71" s="117"/>
      <c r="K71" s="117"/>
      <c r="L71" s="117"/>
      <c r="M71" s="117"/>
      <c r="N71" s="117"/>
      <c r="O71" s="76"/>
      <c r="P71" s="72"/>
      <c r="V71" s="74"/>
      <c r="AD71" s="74"/>
      <c r="AL71" s="74"/>
      <c r="AT71" s="74"/>
      <c r="AU71" s="74"/>
      <c r="AV71" s="74"/>
      <c r="AW71" s="74"/>
      <c r="AX71" s="74"/>
      <c r="AY71" s="74"/>
      <c r="AZ71" s="74"/>
      <c r="BA71" s="74"/>
      <c r="BB71" s="74"/>
      <c r="BC71" s="74"/>
      <c r="BD71" s="74"/>
      <c r="BE71" s="74"/>
      <c r="BF71" s="74"/>
      <c r="BG71" s="74"/>
      <c r="BH71" s="74"/>
      <c r="BI71" s="74"/>
      <c r="BJ71" s="74"/>
      <c r="BK71" s="74"/>
      <c r="BL71" s="74"/>
      <c r="BM71" s="74"/>
      <c r="BN71" s="74"/>
      <c r="BO71" s="74"/>
      <c r="BP71" s="74"/>
      <c r="BQ71" s="74"/>
      <c r="BR71" s="74"/>
      <c r="BS71" s="74"/>
      <c r="BT71" s="74"/>
      <c r="BU71" s="74"/>
      <c r="BV71" s="74"/>
      <c r="BW71" s="74"/>
      <c r="BX71" s="74"/>
      <c r="BY71" s="74"/>
      <c r="BZ71" s="74"/>
      <c r="CA71" s="74"/>
      <c r="CB71" s="74"/>
      <c r="CC71" s="74"/>
      <c r="CD71" s="74"/>
      <c r="CE71" s="74"/>
      <c r="CF71" s="74"/>
      <c r="CG71" s="74"/>
      <c r="CH71" s="74"/>
      <c r="CI71" s="74"/>
      <c r="CJ71" s="74"/>
      <c r="CK71" s="74"/>
      <c r="CL71" s="74"/>
      <c r="CM71" s="74"/>
      <c r="CN71" s="74"/>
      <c r="CO71" s="74"/>
      <c r="CP71" s="74"/>
      <c r="CQ71" s="74"/>
      <c r="CR71" s="74"/>
      <c r="CS71" s="74"/>
      <c r="CT71" s="74"/>
      <c r="CU71" s="74"/>
      <c r="CV71" s="74"/>
      <c r="CW71" s="74"/>
      <c r="CX71" s="74"/>
      <c r="CY71" s="74"/>
      <c r="CZ71" s="74"/>
      <c r="DA71" s="74"/>
      <c r="DB71" s="74"/>
      <c r="DC71" s="74"/>
      <c r="DD71" s="74"/>
      <c r="DE71" s="74"/>
      <c r="DF71" s="74"/>
      <c r="DN71" s="74"/>
      <c r="DO71" s="74"/>
      <c r="DW71" s="74"/>
    </row>
    <row r="72" spans="1:127" s="73" customFormat="1" ht="30.75" customHeight="1" x14ac:dyDescent="0.2">
      <c r="A72" s="66" t="s">
        <v>92</v>
      </c>
      <c r="B72" s="118" t="s">
        <v>95</v>
      </c>
      <c r="C72" s="118"/>
      <c r="D72" s="118"/>
      <c r="E72" s="118"/>
      <c r="F72" s="118"/>
      <c r="G72" s="118"/>
      <c r="H72" s="118"/>
      <c r="I72" s="118"/>
      <c r="J72" s="118"/>
      <c r="K72" s="118"/>
      <c r="L72" s="118"/>
      <c r="M72" s="118"/>
      <c r="N72" s="118"/>
      <c r="O72" s="77"/>
      <c r="P72" s="77"/>
      <c r="V72" s="74"/>
      <c r="AD72" s="74"/>
      <c r="AL72" s="74"/>
      <c r="AT72" s="74"/>
      <c r="AU72" s="74"/>
      <c r="AV72" s="74"/>
      <c r="AW72" s="74"/>
      <c r="AX72" s="74"/>
      <c r="AY72" s="74"/>
      <c r="AZ72" s="74"/>
      <c r="BA72" s="74"/>
      <c r="BB72" s="74"/>
      <c r="BC72" s="74"/>
      <c r="BD72" s="74"/>
      <c r="BE72" s="74"/>
      <c r="BF72" s="74"/>
      <c r="BG72" s="74"/>
      <c r="BH72" s="74"/>
      <c r="BI72" s="74"/>
      <c r="BJ72" s="74"/>
      <c r="BK72" s="74"/>
      <c r="BL72" s="74"/>
      <c r="BM72" s="74"/>
      <c r="BN72" s="74"/>
      <c r="BO72" s="74"/>
      <c r="BP72" s="74"/>
      <c r="BQ72" s="74"/>
      <c r="BR72" s="74"/>
      <c r="BS72" s="74"/>
      <c r="BT72" s="74"/>
      <c r="BU72" s="74"/>
      <c r="BV72" s="74"/>
      <c r="BW72" s="74"/>
      <c r="BX72" s="74"/>
      <c r="BY72" s="74"/>
      <c r="BZ72" s="74"/>
      <c r="CA72" s="74"/>
      <c r="CB72" s="74"/>
      <c r="CC72" s="74"/>
      <c r="CD72" s="74"/>
      <c r="CE72" s="74"/>
      <c r="CF72" s="74"/>
      <c r="CG72" s="74"/>
      <c r="CH72" s="74"/>
      <c r="CI72" s="74"/>
      <c r="CJ72" s="74"/>
      <c r="CK72" s="74"/>
      <c r="CL72" s="74"/>
      <c r="CM72" s="74"/>
      <c r="CN72" s="74"/>
      <c r="CO72" s="74"/>
      <c r="CP72" s="74"/>
      <c r="CQ72" s="74"/>
      <c r="CR72" s="74"/>
      <c r="CS72" s="74"/>
      <c r="CT72" s="74"/>
      <c r="CU72" s="74"/>
      <c r="CV72" s="74"/>
      <c r="CW72" s="74"/>
      <c r="CX72" s="74"/>
      <c r="CY72" s="74"/>
      <c r="CZ72" s="74"/>
      <c r="DA72" s="74"/>
      <c r="DB72" s="74"/>
      <c r="DC72" s="74"/>
      <c r="DD72" s="74"/>
      <c r="DE72" s="74"/>
      <c r="DF72" s="74"/>
      <c r="DN72" s="74"/>
      <c r="DO72" s="74"/>
      <c r="DW72" s="74"/>
    </row>
    <row r="73" spans="1:127" ht="22.5" customHeight="1" x14ac:dyDescent="0.2">
      <c r="A73" s="78" t="s">
        <v>92</v>
      </c>
      <c r="B73" s="119" t="s">
        <v>96</v>
      </c>
      <c r="C73" s="119"/>
      <c r="D73" s="119"/>
      <c r="E73" s="119"/>
      <c r="F73" s="119"/>
      <c r="G73" s="119"/>
      <c r="H73" s="119"/>
      <c r="I73" s="119"/>
      <c r="J73" s="119"/>
      <c r="K73" s="119"/>
      <c r="L73" s="119"/>
      <c r="M73" s="119"/>
      <c r="N73" s="119"/>
    </row>
    <row r="74" spans="1:127" ht="36" customHeight="1" x14ac:dyDescent="0.2">
      <c r="B74" s="115" t="s">
        <v>97</v>
      </c>
      <c r="C74" s="115"/>
      <c r="D74" s="115"/>
      <c r="E74" s="115"/>
      <c r="F74" s="115"/>
      <c r="G74" s="115"/>
      <c r="H74" s="115"/>
      <c r="I74" s="115"/>
      <c r="J74" s="115"/>
      <c r="K74" s="115"/>
      <c r="L74" s="115"/>
      <c r="M74" s="115"/>
      <c r="N74" s="115"/>
      <c r="O74" s="115"/>
      <c r="P74" s="115"/>
      <c r="Q74" s="115"/>
      <c r="R74" s="115"/>
    </row>
  </sheetData>
  <autoFilter ref="A7:L66" xr:uid="{00000000-0001-0000-0000-000000000000}"/>
  <mergeCells count="26">
    <mergeCell ref="B74:R74"/>
    <mergeCell ref="B69:J69"/>
    <mergeCell ref="B70:N70"/>
    <mergeCell ref="B71:N71"/>
    <mergeCell ref="B72:N72"/>
    <mergeCell ref="B73:N73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66:K66"/>
    <mergeCell ref="B67:K67"/>
    <mergeCell ref="K6:K7"/>
    <mergeCell ref="L6:L7"/>
    <mergeCell ref="H63:I63"/>
    <mergeCell ref="H64:I64"/>
    <mergeCell ref="H65:I65"/>
  </mergeCells>
  <conditionalFormatting sqref="DP68:DW72">
    <cfRule type="cellIs" dxfId="1" priority="1" operator="equal">
      <formula>0</formula>
    </cfRule>
    <cfRule type="cellIs" dxfId="0" priority="2" operator="lessThan">
      <formula>0</formula>
    </cfRule>
  </conditionalFormatting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Q24"/>
  <sheetViews>
    <sheetView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A18" sqref="A18"/>
    </sheetView>
  </sheetViews>
  <sheetFormatPr defaultColWidth="10.5" defaultRowHeight="11.25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x14ac:dyDescent="0.2">
      <c r="A1" s="120" t="s">
        <v>73</v>
      </c>
      <c r="B1" s="120"/>
      <c r="C1" s="120"/>
      <c r="D1" s="120"/>
      <c r="E1" s="120"/>
      <c r="F1" s="120"/>
    </row>
    <row r="3" spans="1:6" x14ac:dyDescent="0.2">
      <c r="A3" s="42" t="s">
        <v>2</v>
      </c>
      <c r="B3" s="2" t="s">
        <v>5</v>
      </c>
      <c r="C3" s="2" t="s">
        <v>7</v>
      </c>
      <c r="D3" s="49" t="s">
        <v>8</v>
      </c>
      <c r="E3" s="49" t="s">
        <v>9</v>
      </c>
      <c r="F3" s="43" t="s">
        <v>10</v>
      </c>
    </row>
    <row r="4" spans="1:6" x14ac:dyDescent="0.2">
      <c r="A4" s="40" t="s">
        <v>20</v>
      </c>
      <c r="B4" s="36" t="s">
        <v>21</v>
      </c>
      <c r="C4" s="37">
        <v>1.98</v>
      </c>
      <c r="D4" s="50"/>
      <c r="E4" s="50">
        <f>ROUND(Р[[#This Row],[Количество]]*Р[[#This Row],[Цена за ед., руб]],2)</f>
        <v>0</v>
      </c>
      <c r="F4" s="41"/>
    </row>
    <row r="5" spans="1:6" x14ac:dyDescent="0.2">
      <c r="A5" s="40" t="s">
        <v>27</v>
      </c>
      <c r="B5" s="36" t="s">
        <v>28</v>
      </c>
      <c r="C5" s="39">
        <v>24</v>
      </c>
      <c r="D5" s="50"/>
      <c r="E5" s="50">
        <f>ROUND(Р[[#This Row],[Количество]]*Р[[#This Row],[Цена за ед., руб]],2)</f>
        <v>0</v>
      </c>
      <c r="F5" s="41"/>
    </row>
    <row r="6" spans="1:6" x14ac:dyDescent="0.2">
      <c r="A6" s="40" t="s">
        <v>32</v>
      </c>
      <c r="B6" s="36" t="s">
        <v>28</v>
      </c>
      <c r="C6" s="39">
        <v>24</v>
      </c>
      <c r="D6" s="50"/>
      <c r="E6" s="50">
        <f>ROUND(Р[[#This Row],[Количество]]*Р[[#This Row],[Цена за ед., руб]],2)</f>
        <v>0</v>
      </c>
      <c r="F6" s="41"/>
    </row>
    <row r="7" spans="1:6" x14ac:dyDescent="0.2">
      <c r="A7" s="40" t="s">
        <v>35</v>
      </c>
      <c r="B7" s="36" t="s">
        <v>28</v>
      </c>
      <c r="C7" s="39">
        <v>24</v>
      </c>
      <c r="D7" s="50"/>
      <c r="E7" s="50">
        <f>ROUND(Р[[#This Row],[Количество]]*Р[[#This Row],[Цена за ед., руб]],2)</f>
        <v>0</v>
      </c>
      <c r="F7" s="41"/>
    </row>
    <row r="8" spans="1:6" x14ac:dyDescent="0.2">
      <c r="A8" s="40" t="s">
        <v>38</v>
      </c>
      <c r="B8" s="36" t="s">
        <v>28</v>
      </c>
      <c r="C8" s="39">
        <v>6</v>
      </c>
      <c r="D8" s="50"/>
      <c r="E8" s="50">
        <f>ROUND(Р[[#This Row],[Количество]]*Р[[#This Row],[Цена за ед., руб]],2)</f>
        <v>0</v>
      </c>
      <c r="F8" s="41"/>
    </row>
    <row r="9" spans="1:6" x14ac:dyDescent="0.2">
      <c r="A9" s="40" t="s">
        <v>41</v>
      </c>
      <c r="B9" s="36" t="s">
        <v>28</v>
      </c>
      <c r="C9" s="39">
        <v>2</v>
      </c>
      <c r="D9" s="50"/>
      <c r="E9" s="50">
        <f>ROUND(Р[[#This Row],[Количество]]*Р[[#This Row],[Цена за ед., руб]],2)</f>
        <v>0</v>
      </c>
      <c r="F9" s="41"/>
    </row>
    <row r="10" spans="1:6" x14ac:dyDescent="0.2">
      <c r="A10" s="40" t="s">
        <v>44</v>
      </c>
      <c r="B10" s="36" t="s">
        <v>28</v>
      </c>
      <c r="C10" s="39">
        <v>6</v>
      </c>
      <c r="D10" s="50"/>
      <c r="E10" s="50">
        <f>ROUND(Р[[#This Row],[Количество]]*Р[[#This Row],[Цена за ед., руб]],2)</f>
        <v>0</v>
      </c>
      <c r="F10" s="41"/>
    </row>
    <row r="11" spans="1:6" x14ac:dyDescent="0.2">
      <c r="A11" s="40" t="s">
        <v>47</v>
      </c>
      <c r="B11" s="36" t="s">
        <v>26</v>
      </c>
      <c r="C11" s="37">
        <v>709.65</v>
      </c>
      <c r="D11" s="50"/>
      <c r="E11" s="50">
        <f>ROUND(Р[[#This Row],[Количество]]*Р[[#This Row],[Цена за ед., руб]],2)</f>
        <v>0</v>
      </c>
      <c r="F11" s="41"/>
    </row>
    <row r="12" spans="1:6" x14ac:dyDescent="0.2">
      <c r="A12" s="40" t="s">
        <v>53</v>
      </c>
      <c r="B12" s="36" t="s">
        <v>26</v>
      </c>
      <c r="C12" s="39">
        <v>38</v>
      </c>
      <c r="D12" s="50"/>
      <c r="E12" s="50">
        <f>ROUND(Р[[#This Row],[Количество]]*Р[[#This Row],[Цена за ед., руб]],2)</f>
        <v>0</v>
      </c>
      <c r="F12" s="41"/>
    </row>
    <row r="13" spans="1:6" x14ac:dyDescent="0.2">
      <c r="A13" s="40" t="s">
        <v>60</v>
      </c>
      <c r="B13" s="36" t="s">
        <v>61</v>
      </c>
      <c r="C13" s="39">
        <v>1</v>
      </c>
      <c r="D13" s="50"/>
      <c r="E13" s="50">
        <f>ROUND(Р[[#This Row],[Количество]]*Р[[#This Row],[Цена за ед., руб]],2)</f>
        <v>0</v>
      </c>
      <c r="F13" s="41"/>
    </row>
    <row r="14" spans="1:6" x14ac:dyDescent="0.2">
      <c r="A14" s="44" t="s">
        <v>63</v>
      </c>
      <c r="B14" s="45" t="s">
        <v>61</v>
      </c>
      <c r="C14" s="46">
        <v>1</v>
      </c>
      <c r="D14" s="50"/>
      <c r="E14" s="51">
        <f>ROUND(Р[[#This Row],[Количество]]*Р[[#This Row],[Цена за ед., руб]],2)</f>
        <v>0</v>
      </c>
      <c r="F14" s="48"/>
    </row>
    <row r="15" spans="1:6" x14ac:dyDescent="0.2">
      <c r="A15" s="44" t="s">
        <v>84</v>
      </c>
      <c r="B15" s="45"/>
      <c r="C15" s="47"/>
      <c r="D15" s="51"/>
      <c r="E15" s="51">
        <f>SUBTOTAL(109,Р[Сумма, руб])</f>
        <v>0</v>
      </c>
      <c r="F15" s="48"/>
    </row>
    <row r="16" spans="1:6" x14ac:dyDescent="0.2">
      <c r="D16" s="82" t="s">
        <v>98</v>
      </c>
      <c r="E16" s="83">
        <f>ЛСР!J64-Р[[#Totals],[Сумма, руб]]</f>
        <v>0</v>
      </c>
    </row>
    <row r="18" spans="1:17" ht="12.75" x14ac:dyDescent="0.2">
      <c r="A18" s="67" t="s">
        <v>90</v>
      </c>
      <c r="B18" s="68"/>
      <c r="C18" s="68"/>
      <c r="D18" s="69"/>
      <c r="E18" s="69"/>
      <c r="F18" s="69"/>
      <c r="G18" s="69"/>
      <c r="H18" s="69"/>
      <c r="I18" s="70"/>
      <c r="J18" s="69"/>
      <c r="K18" s="69"/>
      <c r="L18" s="68"/>
      <c r="M18" s="68"/>
      <c r="N18" s="71"/>
      <c r="O18" s="72"/>
      <c r="P18" s="73"/>
      <c r="Q18" s="73"/>
    </row>
    <row r="19" spans="1:17" ht="12.75" x14ac:dyDescent="0.2">
      <c r="A19" s="116" t="s">
        <v>91</v>
      </c>
      <c r="B19" s="116"/>
      <c r="C19" s="116"/>
      <c r="D19" s="116"/>
      <c r="E19" s="116"/>
      <c r="F19" s="116"/>
      <c r="G19" s="116"/>
      <c r="H19" s="116"/>
      <c r="I19" s="116"/>
      <c r="J19" s="69"/>
      <c r="K19" s="69"/>
      <c r="L19" s="68"/>
      <c r="M19" s="68"/>
      <c r="N19" s="71"/>
      <c r="O19" s="72"/>
      <c r="P19" s="73"/>
      <c r="Q19" s="73"/>
    </row>
    <row r="20" spans="1:17" ht="12.75" x14ac:dyDescent="0.2">
      <c r="A20" s="117" t="s">
        <v>93</v>
      </c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75"/>
      <c r="O20" s="75"/>
      <c r="P20" s="73"/>
      <c r="Q20" s="73"/>
    </row>
    <row r="21" spans="1:17" ht="12.75" x14ac:dyDescent="0.2">
      <c r="A21" s="117" t="s">
        <v>94</v>
      </c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76"/>
      <c r="O21" s="72"/>
      <c r="P21" s="73"/>
      <c r="Q21" s="73"/>
    </row>
    <row r="22" spans="1:17" ht="12.75" x14ac:dyDescent="0.2">
      <c r="A22" s="118" t="s">
        <v>95</v>
      </c>
      <c r="B22" s="118"/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77"/>
      <c r="O22" s="77"/>
      <c r="P22" s="73"/>
      <c r="Q22" s="73"/>
    </row>
    <row r="23" spans="1:17" ht="15.75" x14ac:dyDescent="0.2">
      <c r="A23" s="119" t="s">
        <v>96</v>
      </c>
      <c r="B23" s="119"/>
      <c r="C23" s="119"/>
      <c r="D23" s="119"/>
      <c r="E23" s="119"/>
      <c r="F23" s="119"/>
      <c r="G23" s="119"/>
      <c r="H23" s="119"/>
      <c r="I23" s="119"/>
      <c r="J23" s="119"/>
      <c r="K23" s="119"/>
      <c r="L23" s="119"/>
      <c r="M23" s="119"/>
    </row>
    <row r="24" spans="1:17" ht="15.75" x14ac:dyDescent="0.2">
      <c r="A24" s="115" t="s">
        <v>97</v>
      </c>
      <c r="B24" s="115"/>
      <c r="C24" s="115"/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</row>
  </sheetData>
  <mergeCells count="7">
    <mergeCell ref="A23:M23"/>
    <mergeCell ref="A24:Q24"/>
    <mergeCell ref="A1:F1"/>
    <mergeCell ref="A19:I19"/>
    <mergeCell ref="A20:M20"/>
    <mergeCell ref="A21:M21"/>
    <mergeCell ref="A22:M22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Q27"/>
  <sheetViews>
    <sheetView zoomScale="85" zoomScaleNormal="85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A21" sqref="A21:XFD27"/>
    </sheetView>
  </sheetViews>
  <sheetFormatPr defaultColWidth="10.5" defaultRowHeight="11.25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x14ac:dyDescent="0.2">
      <c r="A1" s="120" t="s">
        <v>74</v>
      </c>
      <c r="B1" s="120"/>
      <c r="C1" s="120"/>
      <c r="D1" s="120"/>
      <c r="E1" s="120"/>
      <c r="F1" s="120"/>
      <c r="G1" s="120"/>
      <c r="H1" s="120"/>
    </row>
    <row r="3" spans="1:9" x14ac:dyDescent="0.2">
      <c r="A3" s="42" t="s">
        <v>75</v>
      </c>
      <c r="B3" s="52" t="s">
        <v>76</v>
      </c>
      <c r="C3" s="43" t="s">
        <v>77</v>
      </c>
      <c r="D3" s="2" t="s">
        <v>5</v>
      </c>
      <c r="E3" s="2" t="s">
        <v>7</v>
      </c>
      <c r="F3" s="49" t="s">
        <v>8</v>
      </c>
      <c r="G3" s="49" t="s">
        <v>9</v>
      </c>
      <c r="H3" s="2" t="s">
        <v>78</v>
      </c>
      <c r="I3" s="43" t="s">
        <v>79</v>
      </c>
    </row>
    <row r="4" spans="1:9" ht="22.5" x14ac:dyDescent="0.2">
      <c r="A4" s="40" t="s">
        <v>45</v>
      </c>
      <c r="B4" s="38"/>
      <c r="C4" s="38" t="s">
        <v>46</v>
      </c>
      <c r="D4" s="36" t="s">
        <v>28</v>
      </c>
      <c r="E4" s="39">
        <v>6</v>
      </c>
      <c r="F4" s="50"/>
      <c r="G4" s="50">
        <f>ROUND(М[[#This Row],[Количество]]*М[[#This Row],[Цена за ед., руб]],2)</f>
        <v>0</v>
      </c>
      <c r="H4" s="38"/>
      <c r="I4" s="41"/>
    </row>
    <row r="5" spans="1:9" x14ac:dyDescent="0.2">
      <c r="A5" s="40" t="s">
        <v>54</v>
      </c>
      <c r="B5" s="38"/>
      <c r="C5" s="38" t="s">
        <v>55</v>
      </c>
      <c r="D5" s="36" t="s">
        <v>26</v>
      </c>
      <c r="E5" s="39">
        <v>38</v>
      </c>
      <c r="F5" s="50"/>
      <c r="G5" s="50">
        <f>ROUND(М[[#This Row],[Количество]]*М[[#This Row],[Цена за ед., руб]],2)</f>
        <v>0</v>
      </c>
      <c r="H5" s="38"/>
      <c r="I5" s="41"/>
    </row>
    <row r="6" spans="1:9" ht="22.5" x14ac:dyDescent="0.2">
      <c r="A6" s="40" t="s">
        <v>33</v>
      </c>
      <c r="B6" s="38"/>
      <c r="C6" s="38" t="s">
        <v>34</v>
      </c>
      <c r="D6" s="36" t="s">
        <v>28</v>
      </c>
      <c r="E6" s="39">
        <v>24</v>
      </c>
      <c r="F6" s="50"/>
      <c r="G6" s="50">
        <f>ROUND(М[[#This Row],[Количество]]*М[[#This Row],[Цена за ед., руб]],2)</f>
        <v>0</v>
      </c>
      <c r="H6" s="38"/>
      <c r="I6" s="41"/>
    </row>
    <row r="7" spans="1:9" x14ac:dyDescent="0.2">
      <c r="A7" s="40" t="s">
        <v>48</v>
      </c>
      <c r="B7" s="38"/>
      <c r="C7" s="38" t="s">
        <v>49</v>
      </c>
      <c r="D7" s="36" t="s">
        <v>26</v>
      </c>
      <c r="E7" s="37">
        <v>1.65</v>
      </c>
      <c r="F7" s="50"/>
      <c r="G7" s="50">
        <f>ROUND(М[[#This Row],[Количество]]*М[[#This Row],[Цена за ед., руб]],2)</f>
        <v>0</v>
      </c>
      <c r="H7" s="38" t="s">
        <v>50</v>
      </c>
      <c r="I7" s="41"/>
    </row>
    <row r="8" spans="1:9" x14ac:dyDescent="0.2">
      <c r="A8" s="40" t="s">
        <v>48</v>
      </c>
      <c r="B8" s="38"/>
      <c r="C8" s="38" t="s">
        <v>52</v>
      </c>
      <c r="D8" s="36" t="s">
        <v>26</v>
      </c>
      <c r="E8" s="39">
        <v>708</v>
      </c>
      <c r="F8" s="50"/>
      <c r="G8" s="50">
        <f>ROUND(М[[#This Row],[Количество]]*М[[#This Row],[Цена за ед., руб]],2)</f>
        <v>0</v>
      </c>
      <c r="H8" s="38"/>
      <c r="I8" s="41"/>
    </row>
    <row r="9" spans="1:9" ht="22.5" x14ac:dyDescent="0.2">
      <c r="A9" s="40" t="s">
        <v>29</v>
      </c>
      <c r="B9" s="38"/>
      <c r="C9" s="38" t="s">
        <v>30</v>
      </c>
      <c r="D9" s="36" t="s">
        <v>28</v>
      </c>
      <c r="E9" s="39">
        <v>24</v>
      </c>
      <c r="F9" s="50"/>
      <c r="G9" s="50">
        <f>ROUND(М[[#This Row],[Количество]]*М[[#This Row],[Цена за ед., руб]],2)</f>
        <v>0</v>
      </c>
      <c r="H9" s="38" t="s">
        <v>31</v>
      </c>
      <c r="I9" s="41"/>
    </row>
    <row r="10" spans="1:9" ht="22.5" x14ac:dyDescent="0.2">
      <c r="A10" s="40" t="s">
        <v>42</v>
      </c>
      <c r="B10" s="38"/>
      <c r="C10" s="38" t="s">
        <v>43</v>
      </c>
      <c r="D10" s="36" t="s">
        <v>28</v>
      </c>
      <c r="E10" s="39">
        <v>2</v>
      </c>
      <c r="F10" s="50"/>
      <c r="G10" s="50">
        <f>ROUND(М[[#This Row],[Количество]]*М[[#This Row],[Цена за ед., руб]],2)</f>
        <v>0</v>
      </c>
      <c r="H10" s="38"/>
      <c r="I10" s="41"/>
    </row>
    <row r="11" spans="1:9" x14ac:dyDescent="0.2">
      <c r="A11" s="40" t="s">
        <v>65</v>
      </c>
      <c r="B11" s="38"/>
      <c r="C11" s="38" t="s">
        <v>66</v>
      </c>
      <c r="D11" s="36" t="s">
        <v>67</v>
      </c>
      <c r="E11" s="37">
        <v>45.76</v>
      </c>
      <c r="F11" s="50"/>
      <c r="G11" s="50">
        <f>ROUND(М[[#This Row],[Количество]]*М[[#This Row],[Цена за ед., руб]],2)</f>
        <v>0</v>
      </c>
      <c r="H11" s="38" t="s">
        <v>68</v>
      </c>
      <c r="I11" s="41"/>
    </row>
    <row r="12" spans="1:9" ht="22.5" x14ac:dyDescent="0.2">
      <c r="A12" s="40" t="s">
        <v>36</v>
      </c>
      <c r="B12" s="38"/>
      <c r="C12" s="38" t="s">
        <v>37</v>
      </c>
      <c r="D12" s="36" t="s">
        <v>28</v>
      </c>
      <c r="E12" s="39">
        <v>24</v>
      </c>
      <c r="F12" s="50"/>
      <c r="G12" s="50">
        <f>ROUND(М[[#This Row],[Количество]]*М[[#This Row],[Цена за ед., руб]],2)</f>
        <v>0</v>
      </c>
      <c r="H12" s="38"/>
      <c r="I12" s="41"/>
    </row>
    <row r="13" spans="1:9" x14ac:dyDescent="0.2">
      <c r="A13" s="40" t="s">
        <v>39</v>
      </c>
      <c r="B13" s="38"/>
      <c r="C13" s="38" t="s">
        <v>40</v>
      </c>
      <c r="D13" s="36" t="s">
        <v>28</v>
      </c>
      <c r="E13" s="39">
        <v>6</v>
      </c>
      <c r="F13" s="50"/>
      <c r="G13" s="50">
        <f>ROUND(М[[#This Row],[Количество]]*М[[#This Row],[Цена за ед., руб]],2)</f>
        <v>0</v>
      </c>
      <c r="H13" s="38"/>
      <c r="I13" s="41"/>
    </row>
    <row r="14" spans="1:9" x14ac:dyDescent="0.2">
      <c r="A14" s="44" t="s">
        <v>24</v>
      </c>
      <c r="B14" s="53"/>
      <c r="C14" s="53" t="s">
        <v>25</v>
      </c>
      <c r="D14" s="45" t="s">
        <v>26</v>
      </c>
      <c r="E14" s="54">
        <v>1.98</v>
      </c>
      <c r="F14" s="51"/>
      <c r="G14" s="51">
        <f>ROUND(М[[#This Row],[Количество]]*М[[#This Row],[Цена за ед., руб]],2)</f>
        <v>0</v>
      </c>
      <c r="H14" s="53"/>
      <c r="I14" s="48"/>
    </row>
    <row r="15" spans="1:9" ht="22.5" x14ac:dyDescent="0.2">
      <c r="A15" s="44" t="s">
        <v>86</v>
      </c>
      <c r="B15" s="53"/>
      <c r="C15" s="53"/>
      <c r="D15" s="79" t="s">
        <v>56</v>
      </c>
      <c r="E15" s="80"/>
      <c r="F15" s="51"/>
      <c r="G15" s="51">
        <f ca="1">SUMIF(ЛСР!$B$6:$J$62,М[[#This Row],[Наим.]],ЛСР!$J$6:$J$62)</f>
        <v>0</v>
      </c>
      <c r="H15" s="81" t="s">
        <v>89</v>
      </c>
      <c r="I15" s="48"/>
    </row>
    <row r="16" spans="1:9" ht="22.5" x14ac:dyDescent="0.2">
      <c r="A16" s="44" t="s">
        <v>88</v>
      </c>
      <c r="B16" s="53"/>
      <c r="C16" s="53"/>
      <c r="D16" s="79" t="s">
        <v>56</v>
      </c>
      <c r="E16" s="80"/>
      <c r="F16" s="51"/>
      <c r="G16" s="51">
        <f ca="1">SUMIF(ЛСР!$B$6:$J$62,М[[#This Row],[Наим.]],ЛСР!$J$6:$J$62)</f>
        <v>0</v>
      </c>
      <c r="H16" s="81" t="s">
        <v>89</v>
      </c>
      <c r="I16" s="48"/>
    </row>
    <row r="17" spans="1:17" ht="22.5" x14ac:dyDescent="0.2">
      <c r="A17" s="44" t="s">
        <v>87</v>
      </c>
      <c r="B17" s="53"/>
      <c r="C17" s="53"/>
      <c r="D17" s="79" t="s">
        <v>56</v>
      </c>
      <c r="E17" s="80"/>
      <c r="F17" s="51"/>
      <c r="G17" s="51">
        <f ca="1">SUMIF(ЛСР!$B$6:$J$62,М[[#This Row],[Наим.]],ЛСР!$J$6:$J$62)</f>
        <v>0</v>
      </c>
      <c r="H17" s="81" t="s">
        <v>89</v>
      </c>
      <c r="I17" s="48"/>
    </row>
    <row r="18" spans="1:17" x14ac:dyDescent="0.2">
      <c r="A18" s="44" t="s">
        <v>84</v>
      </c>
      <c r="B18" s="53"/>
      <c r="C18" s="53"/>
      <c r="D18" s="45"/>
      <c r="E18" s="47"/>
      <c r="F18" s="51"/>
      <c r="G18" s="51">
        <f ca="1">SUBTOTAL(109,М[Сумма, руб])</f>
        <v>0</v>
      </c>
      <c r="H18" s="53"/>
      <c r="I18" s="48"/>
    </row>
    <row r="19" spans="1:17" x14ac:dyDescent="0.2">
      <c r="F19" s="82" t="s">
        <v>98</v>
      </c>
      <c r="G19" s="83">
        <f ca="1">ЛСР!J65-М[[#Totals],[Сумма, руб]]</f>
        <v>0</v>
      </c>
    </row>
    <row r="21" spans="1:17" ht="12.75" x14ac:dyDescent="0.2">
      <c r="A21" s="67" t="s">
        <v>90</v>
      </c>
      <c r="B21" s="68"/>
      <c r="C21" s="68"/>
      <c r="D21" s="69"/>
      <c r="E21" s="69"/>
      <c r="F21" s="69"/>
      <c r="G21" s="69"/>
      <c r="H21" s="69"/>
      <c r="I21" s="70"/>
      <c r="J21" s="69"/>
      <c r="K21" s="69"/>
      <c r="L21" s="68"/>
      <c r="M21" s="68"/>
      <c r="N21" s="71"/>
      <c r="O21" s="72"/>
      <c r="P21" s="73"/>
      <c r="Q21" s="73"/>
    </row>
    <row r="22" spans="1:17" ht="12.75" x14ac:dyDescent="0.2">
      <c r="A22" s="116" t="s">
        <v>91</v>
      </c>
      <c r="B22" s="116"/>
      <c r="C22" s="116"/>
      <c r="D22" s="116"/>
      <c r="E22" s="116"/>
      <c r="F22" s="116"/>
      <c r="G22" s="116"/>
      <c r="H22" s="116"/>
      <c r="I22" s="116"/>
      <c r="J22" s="69"/>
      <c r="K22" s="69"/>
      <c r="L22" s="68"/>
      <c r="M22" s="68"/>
      <c r="N22" s="71"/>
      <c r="O22" s="72"/>
      <c r="P22" s="73"/>
      <c r="Q22" s="73"/>
    </row>
    <row r="23" spans="1:17" ht="12.75" x14ac:dyDescent="0.2">
      <c r="A23" s="117" t="s">
        <v>93</v>
      </c>
      <c r="B23" s="117"/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7"/>
      <c r="N23" s="75"/>
      <c r="O23" s="75"/>
      <c r="P23" s="73"/>
      <c r="Q23" s="73"/>
    </row>
    <row r="24" spans="1:17" ht="12.75" x14ac:dyDescent="0.2">
      <c r="A24" s="117" t="s">
        <v>94</v>
      </c>
      <c r="B24" s="117"/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76"/>
      <c r="O24" s="72"/>
      <c r="P24" s="73"/>
      <c r="Q24" s="73"/>
    </row>
    <row r="25" spans="1:17" ht="12.75" x14ac:dyDescent="0.2">
      <c r="A25" s="118" t="s">
        <v>95</v>
      </c>
      <c r="B25" s="118"/>
      <c r="C25" s="118"/>
      <c r="D25" s="118"/>
      <c r="E25" s="118"/>
      <c r="F25" s="118"/>
      <c r="G25" s="118"/>
      <c r="H25" s="118"/>
      <c r="I25" s="118"/>
      <c r="J25" s="118"/>
      <c r="K25" s="118"/>
      <c r="L25" s="118"/>
      <c r="M25" s="118"/>
      <c r="N25" s="77"/>
      <c r="O25" s="77"/>
      <c r="P25" s="73"/>
      <c r="Q25" s="73"/>
    </row>
    <row r="26" spans="1:17" ht="15.75" x14ac:dyDescent="0.2">
      <c r="A26" s="119" t="s">
        <v>96</v>
      </c>
      <c r="B26" s="119"/>
      <c r="C26" s="119"/>
      <c r="D26" s="119"/>
      <c r="E26" s="119"/>
      <c r="F26" s="119"/>
      <c r="G26" s="119"/>
      <c r="H26" s="119"/>
      <c r="I26" s="119"/>
      <c r="J26" s="119"/>
      <c r="K26" s="119"/>
      <c r="L26" s="119"/>
      <c r="M26" s="119"/>
    </row>
    <row r="27" spans="1:17" ht="15.75" x14ac:dyDescent="0.2">
      <c r="A27" s="115" t="s">
        <v>97</v>
      </c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</row>
  </sheetData>
  <mergeCells count="7">
    <mergeCell ref="A26:M26"/>
    <mergeCell ref="A27:Q27"/>
    <mergeCell ref="A1:H1"/>
    <mergeCell ref="A22:I22"/>
    <mergeCell ref="A23:M23"/>
    <mergeCell ref="A24:M24"/>
    <mergeCell ref="A25:M25"/>
  </mergeCells>
  <dataValidations count="1">
    <dataValidation type="list" errorStyle="information" allowBlank="1" showInputMessage="1" showErrorMessage="1" sqref="I3:I17" xr:uid="{7EEB48EA-585E-48E2-917C-63DB678FEB67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80</v>
      </c>
      <c r="B1" s="1" t="s">
        <v>81</v>
      </c>
    </row>
    <row r="2" spans="1:2" ht="11.1" customHeight="1" x14ac:dyDescent="0.2">
      <c r="A2" s="1" t="s">
        <v>82</v>
      </c>
      <c r="B2" s="1" t="s">
        <v>83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cp:lastPrinted>2026-08-21T10:42:23Z</cp:lastPrinted>
  <dcterms:modified xsi:type="dcterms:W3CDTF">2026-08-25T04:22:20Z</dcterms:modified>
</cp:coreProperties>
</file>