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limullinakp\Desktop\Карина\ЕКБ\Соната\Внутренние инженерные сети\Отопление, канализация, водоснабжение, пожаротушение\Для отправки в тендер\"/>
    </mc:Choice>
  </mc:AlternateContent>
  <xr:revisionPtr revIDLastSave="0" documentId="13_ncr:1_{5BAC5FC3-4135-43EB-9196-F095433EADD1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ЛСР!$A$7:$Q$103</definedName>
  </definedNames>
  <calcPr calcId="191029" fullPrecision="0"/>
</workbook>
</file>

<file path=xl/calcChain.xml><?xml version="1.0" encoding="utf-8"?>
<calcChain xmlns="http://schemas.openxmlformats.org/spreadsheetml/2006/main">
  <c r="L94" i="1" l="1"/>
  <c r="L93" i="1"/>
  <c r="G34" i="3"/>
  <c r="G20" i="3"/>
  <c r="G15" i="3"/>
  <c r="E18" i="2"/>
  <c r="E16" i="2"/>
  <c r="P94" i="1" a="1"/>
  <c r="P94" i="1" s="1"/>
  <c r="P93" i="1" a="1"/>
  <c r="P93" i="1" s="1"/>
  <c r="L13" i="1"/>
  <c r="M13" i="1" a="1"/>
  <c r="M13" i="1" s="1"/>
  <c r="N13" i="1" s="1"/>
  <c r="N12" i="1" s="1"/>
  <c r="L15" i="1"/>
  <c r="M15" i="1" a="1"/>
  <c r="M15" i="1" s="1"/>
  <c r="N15" i="1" s="1"/>
  <c r="N14" i="1" s="1"/>
  <c r="L17" i="1"/>
  <c r="M17" i="1" a="1"/>
  <c r="M17" i="1" s="1"/>
  <c r="N17" i="1" s="1"/>
  <c r="N16" i="1" s="1"/>
  <c r="L19" i="1"/>
  <c r="P19" i="1" a="1"/>
  <c r="P19" i="1" s="1"/>
  <c r="M19" i="1" a="1"/>
  <c r="M19" i="1" s="1"/>
  <c r="L21" i="1"/>
  <c r="M21" i="1" a="1"/>
  <c r="M21" i="1" s="1"/>
  <c r="L23" i="1"/>
  <c r="P23" i="1" a="1"/>
  <c r="P23" i="1" s="1"/>
  <c r="M23" i="1" a="1"/>
  <c r="M23" i="1" s="1"/>
  <c r="N23" i="1" s="1"/>
  <c r="L24" i="1"/>
  <c r="P24" i="1" a="1"/>
  <c r="P24" i="1" s="1"/>
  <c r="M24" i="1" a="1"/>
  <c r="M24" i="1" s="1"/>
  <c r="N24" i="1" s="1"/>
  <c r="L25" i="1"/>
  <c r="P25" i="1" a="1"/>
  <c r="P25" i="1" s="1"/>
  <c r="M25" i="1" a="1"/>
  <c r="M25" i="1" s="1"/>
  <c r="L26" i="1"/>
  <c r="P26" i="1" a="1"/>
  <c r="P26" i="1" s="1"/>
  <c r="M26" i="1" a="1"/>
  <c r="M26" i="1" s="1"/>
  <c r="L27" i="1"/>
  <c r="P27" i="1" a="1"/>
  <c r="P27" i="1" s="1"/>
  <c r="M27" i="1" a="1"/>
  <c r="M27" i="1" s="1"/>
  <c r="N27" i="1" s="1"/>
  <c r="L28" i="1"/>
  <c r="P28" i="1" a="1"/>
  <c r="P28" i="1" s="1"/>
  <c r="M28" i="1" a="1"/>
  <c r="M28" i="1" s="1"/>
  <c r="N28" i="1" s="1"/>
  <c r="L30" i="1"/>
  <c r="M30" i="1" a="1"/>
  <c r="M30" i="1" s="1"/>
  <c r="N30" i="1" s="1"/>
  <c r="N29" i="1" s="1"/>
  <c r="L32" i="1"/>
  <c r="P32" i="1" a="1"/>
  <c r="P32" i="1" s="1"/>
  <c r="M32" i="1" a="1"/>
  <c r="M32" i="1" s="1"/>
  <c r="L33" i="1"/>
  <c r="P33" i="1" a="1"/>
  <c r="P33" i="1" s="1"/>
  <c r="M33" i="1" a="1"/>
  <c r="M33" i="1" s="1"/>
  <c r="L34" i="1"/>
  <c r="P34" i="1" a="1"/>
  <c r="P34" i="1" s="1"/>
  <c r="M34" i="1" a="1"/>
  <c r="M34" i="1" s="1"/>
  <c r="L35" i="1"/>
  <c r="P35" i="1" a="1"/>
  <c r="P35" i="1" s="1"/>
  <c r="M35" i="1" a="1"/>
  <c r="M35" i="1" s="1"/>
  <c r="L36" i="1"/>
  <c r="P36" i="1" a="1"/>
  <c r="P36" i="1" s="1"/>
  <c r="M36" i="1" a="1"/>
  <c r="M36" i="1" s="1"/>
  <c r="L37" i="1"/>
  <c r="P37" i="1" a="1"/>
  <c r="P37" i="1" s="1"/>
  <c r="M37" i="1" a="1"/>
  <c r="M37" i="1" s="1"/>
  <c r="L39" i="1"/>
  <c r="M39" i="1" a="1"/>
  <c r="M39" i="1" s="1"/>
  <c r="N39" i="1" s="1"/>
  <c r="N38" i="1" s="1"/>
  <c r="L41" i="1"/>
  <c r="P41" i="1" a="1"/>
  <c r="P41" i="1" s="1"/>
  <c r="M41" i="1" a="1"/>
  <c r="M41" i="1" s="1"/>
  <c r="L42" i="1"/>
  <c r="P42" i="1" a="1"/>
  <c r="P42" i="1" s="1"/>
  <c r="M42" i="1" a="1"/>
  <c r="M42" i="1" s="1"/>
  <c r="L44" i="1"/>
  <c r="M44" i="1" a="1"/>
  <c r="M44" i="1" s="1"/>
  <c r="L46" i="1"/>
  <c r="P46" i="1" a="1"/>
  <c r="P46" i="1" s="1"/>
  <c r="M46" i="1" a="1"/>
  <c r="M46" i="1" s="1"/>
  <c r="L47" i="1"/>
  <c r="P47" i="1" a="1"/>
  <c r="P47" i="1" s="1"/>
  <c r="M47" i="1" a="1"/>
  <c r="M47" i="1" s="1"/>
  <c r="L49" i="1"/>
  <c r="M49" i="1" a="1"/>
  <c r="M49" i="1" s="1"/>
  <c r="L51" i="1"/>
  <c r="P51" i="1" a="1"/>
  <c r="P51" i="1" s="1"/>
  <c r="M51" i="1" a="1"/>
  <c r="M51" i="1" s="1"/>
  <c r="L53" i="1"/>
  <c r="M53" i="1" a="1"/>
  <c r="M53" i="1" s="1"/>
  <c r="N53" i="1" s="1"/>
  <c r="N52" i="1" s="1"/>
  <c r="L55" i="1"/>
  <c r="P55" i="1" a="1"/>
  <c r="P55" i="1" s="1"/>
  <c r="M55" i="1" a="1"/>
  <c r="M55" i="1" s="1"/>
  <c r="N55" i="1" s="1"/>
  <c r="L56" i="1"/>
  <c r="P56" i="1" a="1"/>
  <c r="P56" i="1" s="1"/>
  <c r="M56" i="1" a="1"/>
  <c r="M56" i="1" s="1"/>
  <c r="N56" i="1" s="1"/>
  <c r="L57" i="1"/>
  <c r="P57" i="1" a="1"/>
  <c r="P57" i="1" s="1"/>
  <c r="M57" i="1" a="1"/>
  <c r="M57" i="1" s="1"/>
  <c r="N57" i="1" s="1"/>
  <c r="L58" i="1"/>
  <c r="P58" i="1" a="1"/>
  <c r="P58" i="1" s="1"/>
  <c r="M58" i="1" a="1"/>
  <c r="M58" i="1" s="1"/>
  <c r="L60" i="1"/>
  <c r="M60" i="1" a="1"/>
  <c r="M60" i="1" s="1"/>
  <c r="N60" i="1" s="1"/>
  <c r="N59" i="1" s="1"/>
  <c r="L62" i="1"/>
  <c r="P62" i="1" a="1"/>
  <c r="P62" i="1" s="1"/>
  <c r="M62" i="1" a="1"/>
  <c r="M62" i="1" s="1"/>
  <c r="L64" i="1"/>
  <c r="M64" i="1" a="1"/>
  <c r="M64" i="1" s="1"/>
  <c r="N64" i="1" s="1"/>
  <c r="N63" i="1" s="1"/>
  <c r="L66" i="1"/>
  <c r="P66" i="1" a="1"/>
  <c r="P66" i="1" s="1"/>
  <c r="M66" i="1" a="1"/>
  <c r="M66" i="1" s="1"/>
  <c r="L67" i="1"/>
  <c r="P67" i="1" a="1"/>
  <c r="P67" i="1" s="1"/>
  <c r="M67" i="1" a="1"/>
  <c r="M67" i="1" s="1"/>
  <c r="L68" i="1"/>
  <c r="P68" i="1" a="1"/>
  <c r="P68" i="1" s="1"/>
  <c r="M68" i="1" a="1"/>
  <c r="M68" i="1" s="1"/>
  <c r="L69" i="1"/>
  <c r="P69" i="1" a="1"/>
  <c r="P69" i="1" s="1"/>
  <c r="M69" i="1" a="1"/>
  <c r="M69" i="1" s="1"/>
  <c r="L71" i="1"/>
  <c r="M71" i="1" a="1"/>
  <c r="M71" i="1" s="1"/>
  <c r="N71" i="1" s="1"/>
  <c r="N70" i="1" s="1"/>
  <c r="L73" i="1"/>
  <c r="P73" i="1" a="1"/>
  <c r="P73" i="1" s="1"/>
  <c r="M73" i="1" a="1"/>
  <c r="M73" i="1" s="1"/>
  <c r="N73" i="1" s="1"/>
  <c r="N72" i="1" s="1"/>
  <c r="L75" i="1"/>
  <c r="M75" i="1" a="1"/>
  <c r="M75" i="1" s="1"/>
  <c r="N75" i="1" s="1"/>
  <c r="N74" i="1" s="1"/>
  <c r="L77" i="1"/>
  <c r="P77" i="1" a="1"/>
  <c r="P77" i="1" s="1"/>
  <c r="M77" i="1" a="1"/>
  <c r="M77" i="1" s="1"/>
  <c r="L79" i="1"/>
  <c r="M79" i="1" a="1"/>
  <c r="M79" i="1" s="1"/>
  <c r="L81" i="1"/>
  <c r="P81" i="1" a="1"/>
  <c r="P81" i="1" s="1"/>
  <c r="M81" i="1" a="1"/>
  <c r="M81" i="1" s="1"/>
  <c r="N81" i="1" s="1"/>
  <c r="L83" i="1"/>
  <c r="M83" i="1" a="1"/>
  <c r="M83" i="1" s="1"/>
  <c r="N83" i="1" s="1"/>
  <c r="N82" i="1" s="1"/>
  <c r="L85" i="1"/>
  <c r="P85" i="1" a="1"/>
  <c r="P85" i="1" s="1"/>
  <c r="M85" i="1" a="1"/>
  <c r="M85" i="1" s="1"/>
  <c r="L86" i="1"/>
  <c r="P86" i="1" a="1"/>
  <c r="P86" i="1" s="1"/>
  <c r="M86" i="1" a="1"/>
  <c r="M86" i="1" s="1"/>
  <c r="L87" i="1"/>
  <c r="P87" i="1" a="1"/>
  <c r="P87" i="1" s="1"/>
  <c r="M87" i="1" a="1"/>
  <c r="M87" i="1" s="1"/>
  <c r="L88" i="1"/>
  <c r="P88" i="1" a="1"/>
  <c r="P88" i="1" s="1"/>
  <c r="M88" i="1" a="1"/>
  <c r="M88" i="1" s="1"/>
  <c r="L89" i="1"/>
  <c r="P89" i="1" a="1"/>
  <c r="P89" i="1" s="1"/>
  <c r="M89" i="1" a="1"/>
  <c r="M89" i="1" s="1"/>
  <c r="L90" i="1"/>
  <c r="P90" i="1" a="1"/>
  <c r="P90" i="1" s="1"/>
  <c r="M90" i="1" a="1"/>
  <c r="M90" i="1" s="1"/>
  <c r="L91" i="1"/>
  <c r="P91" i="1" a="1"/>
  <c r="P91" i="1" s="1"/>
  <c r="M91" i="1" a="1"/>
  <c r="M91" i="1" s="1"/>
  <c r="L98" i="1"/>
  <c r="M98" i="1" a="1"/>
  <c r="M98" i="1" s="1"/>
  <c r="N98" i="1" s="1"/>
  <c r="N97" i="1" s="1"/>
  <c r="G40" i="3"/>
  <c r="G39" i="3"/>
  <c r="G38" i="3"/>
  <c r="G37" i="3"/>
  <c r="G36" i="3"/>
  <c r="G35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19" i="3"/>
  <c r="G18" i="3"/>
  <c r="G17" i="3"/>
  <c r="G16" i="3"/>
  <c r="G14" i="3"/>
  <c r="G13" i="3"/>
  <c r="G12" i="3"/>
  <c r="G11" i="3"/>
  <c r="G10" i="3"/>
  <c r="G9" i="3"/>
  <c r="G8" i="3"/>
  <c r="G7" i="3"/>
  <c r="G6" i="3"/>
  <c r="G5" i="3"/>
  <c r="G4" i="3"/>
  <c r="E19" i="2"/>
  <c r="E17" i="2"/>
  <c r="E15" i="2"/>
  <c r="E14" i="2"/>
  <c r="E13" i="2"/>
  <c r="E12" i="2"/>
  <c r="E11" i="2"/>
  <c r="E10" i="2"/>
  <c r="E9" i="2"/>
  <c r="E8" i="2"/>
  <c r="E7" i="2"/>
  <c r="E6" i="2"/>
  <c r="E5" i="2"/>
  <c r="E4" i="2"/>
  <c r="N19" i="1" l="1"/>
  <c r="N58" i="1"/>
  <c r="N54" i="1" s="1"/>
  <c r="N42" i="1"/>
  <c r="N44" i="1"/>
  <c r="N43" i="1" s="1"/>
  <c r="N25" i="1"/>
  <c r="N68" i="1"/>
  <c r="E20" i="2"/>
  <c r="N46" i="1"/>
  <c r="N69" i="1"/>
  <c r="N18" i="1"/>
  <c r="N80" i="1"/>
  <c r="N47" i="1"/>
  <c r="N62" i="1"/>
  <c r="N61" i="1" s="1"/>
  <c r="N67" i="1"/>
  <c r="N41" i="1"/>
  <c r="N79" i="1"/>
  <c r="N78" i="1" s="1"/>
  <c r="N66" i="1"/>
  <c r="N21" i="1"/>
  <c r="N20" i="1" s="1"/>
  <c r="N37" i="1"/>
  <c r="N26" i="1"/>
  <c r="N90" i="1"/>
  <c r="N85" i="1"/>
  <c r="N86" i="1"/>
  <c r="N91" i="1"/>
  <c r="N51" i="1"/>
  <c r="N50" i="1" s="1"/>
  <c r="N96" i="1"/>
  <c r="N95" i="1" s="1"/>
  <c r="N32" i="1"/>
  <c r="N33" i="1"/>
  <c r="N34" i="1"/>
  <c r="N35" i="1"/>
  <c r="N36" i="1"/>
  <c r="N87" i="1"/>
  <c r="N88" i="1"/>
  <c r="N89" i="1"/>
  <c r="N49" i="1"/>
  <c r="N77" i="1"/>
  <c r="N76" i="1" s="1"/>
  <c r="N40" i="1" l="1"/>
  <c r="N45" i="1"/>
  <c r="N93" i="1"/>
  <c r="G41" i="3" s="1"/>
  <c r="N22" i="1"/>
  <c r="N94" i="1"/>
  <c r="G42" i="3" s="1"/>
  <c r="N48" i="1"/>
  <c r="N100" i="1" s="1"/>
  <c r="E21" i="2" s="1"/>
  <c r="N65" i="1"/>
  <c r="N84" i="1"/>
  <c r="N31" i="1"/>
  <c r="G43" i="3" l="1"/>
  <c r="N92" i="1" l="1"/>
  <c r="N101" i="1" l="1"/>
  <c r="G44" i="3" s="1"/>
  <c r="N11" i="1"/>
  <c r="N10" i="1" s="1"/>
  <c r="N9" i="1" s="1"/>
  <c r="N99" i="1" s="1"/>
</calcChain>
</file>

<file path=xl/sharedStrings.xml><?xml version="1.0" encoding="utf-8"?>
<sst xmlns="http://schemas.openxmlformats.org/spreadsheetml/2006/main" count="480" uniqueCount="161">
  <si>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1, 2, 3, 4, 5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</si>
  <si>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</si>
  <si>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</si>
  <si>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</si>
  <si>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</si>
  <si>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</si>
  <si>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</si>
  <si>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</si>
  <si>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Секция 3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</si>
  <si>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</si>
  <si>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</si>
  <si>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</si>
  <si>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</si>
  <si>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</si>
  <si>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</si>
  <si>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</si>
  <si>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11.07</t>
  </si>
  <si>
    <t>Устройство системы пожаротушения</t>
  </si>
  <si>
    <t>11.07.01</t>
  </si>
  <si>
    <t>Устройство водопровода В2</t>
  </si>
  <si>
    <t>11.07.01.00</t>
  </si>
  <si>
    <t>Работы:</t>
  </si>
  <si>
    <t>Бурение отверстий до 120мм</t>
  </si>
  <si>
    <t>шт</t>
  </si>
  <si>
    <t>Бурение отверстий до 130мм</t>
  </si>
  <si>
    <t>Монтаж автоматического воздухоотводчика</t>
  </si>
  <si>
    <t>Материалы:</t>
  </si>
  <si>
    <t>1</t>
  </si>
  <si>
    <t>Воздухоотводчик</t>
  </si>
  <si>
    <t>автоматический Ду-15 10bar</t>
  </si>
  <si>
    <t>Монтаж затвора</t>
  </si>
  <si>
    <t>Затвор поворотный дисковый</t>
  </si>
  <si>
    <t>межфланцевый Ду-80 Py-16bar ручной с контролем положения</t>
  </si>
  <si>
    <t>2</t>
  </si>
  <si>
    <t>межфланцевый Ду-150 Py-16bar ручной с контролем положения</t>
  </si>
  <si>
    <t>3</t>
  </si>
  <si>
    <t>межфланцевый Ду-65 Py-16bar ручной с контролем положения</t>
  </si>
  <si>
    <t>4</t>
  </si>
  <si>
    <t>межфланцевый Ду-100 Py-16bar ручной с контролем положения</t>
  </si>
  <si>
    <t>5</t>
  </si>
  <si>
    <t>межфланцевый Ду-125 Py-16bar ручной с контролем положения</t>
  </si>
  <si>
    <t>6</t>
  </si>
  <si>
    <t>межфланцевый Ду-200 Py-16bar ручной с контролем положения</t>
  </si>
  <si>
    <t>Монтаж клапана (с учетом пожарного рукава и ствола)</t>
  </si>
  <si>
    <t>Рукав пожарный</t>
  </si>
  <si>
    <t>Ду-50мм L-20м с головкой ГР-50</t>
  </si>
  <si>
    <t>Ду-65мм L-20м с головкой ГР-70</t>
  </si>
  <si>
    <t>Ствол пожарный</t>
  </si>
  <si>
    <t>РС-65А</t>
  </si>
  <si>
    <t>РС-50А</t>
  </si>
  <si>
    <t>Вентиль пожарный</t>
  </si>
  <si>
    <t>чугунный угловой Ду-50 муфта-цапка</t>
  </si>
  <si>
    <t>с ДППК</t>
  </si>
  <si>
    <t>чугунный угловой Ду-65 муфта-цапка</t>
  </si>
  <si>
    <t>Монтаж клапана (фланцевые, резьбовые) от 40 мм</t>
  </si>
  <si>
    <t>Клапан обратный</t>
  </si>
  <si>
    <t>Межфланцевый Ду-80 Ру-16бар</t>
  </si>
  <si>
    <t>Клапан регулирующий</t>
  </si>
  <si>
    <t>"до себя" Ду-150</t>
  </si>
  <si>
    <t>ВРДД АДЛ, или аналог</t>
  </si>
  <si>
    <t>Монтаж кранов (фланцевые, резьбовые) до 32 мм</t>
  </si>
  <si>
    <t>Кран шаровой</t>
  </si>
  <si>
    <t>ВР-ВР Ду-15 полнопроходной</t>
  </si>
  <si>
    <t>Кран трехходовой для манометра</t>
  </si>
  <si>
    <t>Ду-15 Ру-16 G1/2-М20х1,5 латунь</t>
  </si>
  <si>
    <t>Монтаж кранов (фланцевые, резьбовые) от 40 мм</t>
  </si>
  <si>
    <t>ВР-ВР Ду-50 полнопроходной</t>
  </si>
  <si>
    <t>Насосная станция пожаротушения</t>
  </si>
  <si>
    <t>Q=22,92 л/сН=74,29 м</t>
  </si>
  <si>
    <t>CO 2 BL 50/240-30/2/SK-FFS-R, либо аналог</t>
  </si>
  <si>
    <t>Q=22,58 л/сН=114,70 м</t>
  </si>
  <si>
    <t>CO 2 MVL 6405/2/SK-FFS-R-CS, либо аналог</t>
  </si>
  <si>
    <t>Жокей-насос</t>
  </si>
  <si>
    <t>Q-1,0 л/с H-80,8 м N-2,2кВт V бака-50 л</t>
  </si>
  <si>
    <t>CO 1 MVL 410/J-ET-R, либо аналог</t>
  </si>
  <si>
    <t>Q-1,0 л/с H-117 м N-3 кВт V бака-50 л</t>
  </si>
  <si>
    <t>CO 1 MVL 414/J-ET-R, либо аналог</t>
  </si>
  <si>
    <t>Монтаж оросителя</t>
  </si>
  <si>
    <t>Ороситель</t>
  </si>
  <si>
    <t>спринклерный универсальный t-57±3°С К-0,47</t>
  </si>
  <si>
    <t>с запасом на ПНР</t>
  </si>
  <si>
    <t>Монтаж пожарного шкафа</t>
  </si>
  <si>
    <t>Шкаф пожарный</t>
  </si>
  <si>
    <t>ШПК-320-21 В3</t>
  </si>
  <si>
    <t>ШПК-320-12 Н3</t>
  </si>
  <si>
    <t>ШПК-320-21 Н3</t>
  </si>
  <si>
    <t>Огнетушитель</t>
  </si>
  <si>
    <t>порошковый ОП-4 АВСЕ</t>
  </si>
  <si>
    <t>Монтаж сигнализатора потока жидкости в систему пожаротушения АПТ</t>
  </si>
  <si>
    <t>Сигнализатор потока жидкости в систему пожаротушения</t>
  </si>
  <si>
    <t>D-65 16 bar</t>
  </si>
  <si>
    <t>Покраска эмалью</t>
  </si>
  <si>
    <t>кг</t>
  </si>
  <si>
    <t>Эмаль (кг.)</t>
  </si>
  <si>
    <t>ПФ-115</t>
  </si>
  <si>
    <t>в 2 слоя</t>
  </si>
  <si>
    <t>Прокладка трубы стальной до 40 мм</t>
  </si>
  <si>
    <t>пог. м</t>
  </si>
  <si>
    <t>Труба водогазопроводная</t>
  </si>
  <si>
    <t>стальная D-20х2,8 СТ3</t>
  </si>
  <si>
    <t>Прокладка трубы стальной от 57 мм</t>
  </si>
  <si>
    <t>Труба электросварная (пог.м.)</t>
  </si>
  <si>
    <t>стальная D-108х4,0</t>
  </si>
  <si>
    <t>стальная D-133х4,2</t>
  </si>
  <si>
    <t>стальная D-159х4,0</t>
  </si>
  <si>
    <t>стальная D-219х6,0</t>
  </si>
  <si>
    <t>стальная D-76х3,5</t>
  </si>
  <si>
    <t>стальная D-89х3,5</t>
  </si>
  <si>
    <t>в т.ч. гильзы</t>
  </si>
  <si>
    <t>7</t>
  </si>
  <si>
    <t>стальная D-57х3,5</t>
  </si>
  <si>
    <t>%</t>
  </si>
  <si>
    <t>11.07.03</t>
  </si>
  <si>
    <t>ПНР</t>
  </si>
  <si>
    <t>11.07.03.00</t>
  </si>
  <si>
    <t>Пусконаладочные работы системы пожаротушения: испытание пожарного крана, манометрические испытания</t>
  </si>
  <si>
    <t>компл.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</si>
  <si>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</si>
  <si>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</si>
  <si>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</si>
  <si>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</si>
  <si>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</si>
  <si>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</si>
  <si>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</si>
  <si>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</si>
  <si>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</si>
  <si>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</si>
  <si>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</si>
  <si>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</si>
  <si>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</si>
  <si>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Екатеринбург.01.11.07 Секция 1.1_Устройство системы пожаротушения №1</t>
  </si>
  <si>
    <t>4cdc42f5-96f5-11f1-9619-cc5d3c3b48f3</t>
  </si>
  <si>
    <t>ГП Амундсмена Екатеринбург.02.11.07 Секция 2_Устройство системы пожаротушения №1</t>
  </si>
  <si>
    <t>4cdc443b-96f5-11f1-9619-cc5d3c3b48f3</t>
  </si>
  <si>
    <t>ГП Амундсмена Екатеринбург.03.11.07 Секция 3_Устройство системы пожаротушения №1</t>
  </si>
  <si>
    <t>52fe52b5-96f5-11f1-9619-cc5d3c3b48f3</t>
  </si>
  <si>
    <t>ГП Амундсмена Екатеринбург.04.11.07 Секция 4_Устройство системы пожаротушения №1</t>
  </si>
  <si>
    <t>5f2ce88e-96f5-11f1-9619-cc5d3c3b48f3</t>
  </si>
  <si>
    <t>ГП Амундсмена Екатеринбург.05.11.07 Секция 5_Устройство системы пожаротушения №1</t>
  </si>
  <si>
    <t>6528ac9d-96f5-11f1-9619-cc5d3c3b48f3</t>
  </si>
  <si>
    <t>Итог</t>
  </si>
  <si>
    <t>Секция 1.1</t>
  </si>
  <si>
    <t>Секция 1.2</t>
  </si>
  <si>
    <t>Секция 1.3</t>
  </si>
  <si>
    <t>Прочие материалы</t>
  </si>
  <si>
    <t xml:space="preserve">Фитинги для стальной трубы </t>
  </si>
  <si>
    <t>для всех разделов, расчитывается от стоимости материалов</t>
  </si>
  <si>
    <t>Проверка:</t>
  </si>
  <si>
    <t>в тч НДС ____%</t>
  </si>
  <si>
    <t>указать %</t>
  </si>
  <si>
    <t>Примечание:</t>
  </si>
  <si>
    <t>В стоимость пусконоладочных работ входит: ПНР насосной станции пожаротушения, Атоматизация насосов системы пожаротушения (кабельно проводниковая продукция, лотки итд)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</si>
  <si>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</si>
  <si>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</si>
  <si>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</si>
  <si>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</si>
  <si>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</si>
  <si>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</si>
  <si>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Монтаж насосной установки повышения давления ( в т.ч. Жокей-насос)</t>
  </si>
  <si>
    <t>Устройство системы пожаротушения и сопутствующим работам (согласно проекту шифр ПТ, стадия Р)</t>
  </si>
  <si>
    <t>Локальный сметный расчет (ЛСР) №5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</si>
</sst>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8"/>
      <name val="Arial"/>
      <family val="2"/>
      <charset val="204"/>
    </font>
    <font>
      <sz val="11"/>
      <color theme="1"/>
      <name val="Times New Roman"/>
      <family val="2"/>
      <charset val="204"/>
    </font>
    <font>
      <b/>
      <i/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7" fillId="0" borderId="0"/>
    <xf numFmtId="0" fontId="8" fillId="0" borderId="0"/>
    <xf numFmtId="0" fontId="11" fillId="0" borderId="0"/>
    <xf numFmtId="0" fontId="1" fillId="0" borderId="0"/>
  </cellStyleXfs>
  <cellXfs count="117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2" fontId="0" fillId="0" borderId="0" xfId="0" applyNumberFormat="1"/>
    <xf numFmtId="0" fontId="5" fillId="4" borderId="5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center" vertical="center"/>
    </xf>
    <xf numFmtId="1" fontId="5" fillId="9" borderId="5" xfId="0" applyNumberFormat="1" applyFont="1" applyFill="1" applyBorder="1" applyAlignment="1">
      <alignment horizontal="right" vertical="center"/>
    </xf>
    <xf numFmtId="4" fontId="6" fillId="4" borderId="0" xfId="0" applyNumberFormat="1" applyFont="1" applyFill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1" fontId="0" fillId="9" borderId="2" xfId="0" applyNumberFormat="1" applyFill="1" applyBorder="1" applyAlignment="1">
      <alignment horizontal="right" vertic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left"/>
    </xf>
    <xf numFmtId="4" fontId="3" fillId="6" borderId="7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center"/>
    </xf>
    <xf numFmtId="0" fontId="7" fillId="0" borderId="0" xfId="1"/>
    <xf numFmtId="0" fontId="9" fillId="0" borderId="0" xfId="2" applyFont="1" applyAlignment="1">
      <alignment vertical="center" wrapText="1"/>
    </xf>
    <xf numFmtId="0" fontId="10" fillId="0" borderId="0" xfId="2" applyFont="1" applyAlignment="1">
      <alignment horizontal="center" vertical="center" wrapText="1"/>
    </xf>
    <xf numFmtId="4" fontId="10" fillId="0" borderId="0" xfId="2" applyNumberFormat="1" applyFont="1" applyAlignment="1">
      <alignment horizontal="center" vertical="center" wrapText="1"/>
    </xf>
    <xf numFmtId="0" fontId="11" fillId="0" borderId="0" xfId="3"/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5" borderId="5" xfId="0" applyFont="1" applyFill="1" applyBorder="1" applyAlignment="1">
      <alignment horizontal="left" wrapText="1"/>
    </xf>
    <xf numFmtId="0" fontId="7" fillId="0" borderId="7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0" xfId="3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3" fillId="8" borderId="0" xfId="1" applyFont="1" applyFill="1" applyAlignment="1">
      <alignment horizontal="left" vertical="center" wrapText="1"/>
    </xf>
    <xf numFmtId="0" fontId="7" fillId="6" borderId="9" xfId="0" applyFont="1" applyFill="1" applyBorder="1" applyAlignment="1">
      <alignment horizontal="right"/>
    </xf>
    <xf numFmtId="0" fontId="0" fillId="6" borderId="6" xfId="0" applyFill="1" applyBorder="1" applyAlignment="1">
      <alignment horizontal="right"/>
    </xf>
    <xf numFmtId="0" fontId="0" fillId="6" borderId="7" xfId="0" applyFill="1" applyBorder="1" applyAlignment="1">
      <alignment horizontal="right"/>
    </xf>
    <xf numFmtId="0" fontId="10" fillId="0" borderId="0" xfId="4" applyFont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0" fontId="10" fillId="0" borderId="0" xfId="3" applyFont="1" applyAlignment="1">
      <alignment horizontal="left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0A95092F-CB5F-499D-AF8F-1A1D18F449F5}"/>
    <cellStyle name="Обычный 3" xfId="1" xr:uid="{D9EB6C54-A0CA-4D00-BA79-3EC49A629B0A}"/>
    <cellStyle name="Обычный 3 2 2 4 2" xfId="4" xr:uid="{4A3AFABA-8DA5-457F-8533-CEB5310DCD37}"/>
    <cellStyle name="Обычный 5" xfId="2" xr:uid="{0F38FE83-D12A-4981-A127-99A13FA151A3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9A4695-5B54-49F5-B098-21088D439A55}" name="Р" displayName="Р" ref="A3:F20" totalsRowCount="1" headerRowDxfId="37" headerRowBorderDxfId="36" tableBorderDxfId="35" totalsRowBorderDxfId="34">
  <autoFilter ref="A3:F19" xr:uid="{509A4695-5B54-49F5-B098-21088D439A55}"/>
  <tableColumns count="6">
    <tableColumn id="1" xr3:uid="{4C7A4BF7-4930-43CA-87EE-61BA1B09510B}" name="Наименование" totalsRowLabel="Итог" dataDxfId="33" totalsRowDxfId="32"/>
    <tableColumn id="2" xr3:uid="{675EAFC2-2F2E-4E6E-8A77-A9537D2F01B1}" name="Ед. изм." dataDxfId="31" totalsRowDxfId="30"/>
    <tableColumn id="3" xr3:uid="{A29143D3-B77C-4BD4-BA90-5A377686C6E1}" name="Количество" dataDxfId="29" totalsRowDxfId="28"/>
    <tableColumn id="4" xr3:uid="{3617600D-588E-4958-8BAB-ED0E37402906}" name="Цена за ед., руб" dataDxfId="27" totalsRowDxfId="26"/>
    <tableColumn id="5" xr3:uid="{604E7BCD-FBC2-4157-8C3C-35FB33B7D0D1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9E7E6EBD-BAD8-4F0D-B023-2AC812E1C91D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DA9026-6719-41BF-BFC0-5851D89EE49E}" name="М" displayName="М" ref="A3:I43" totalsRowCount="1" headerRowDxfId="21" headerRowBorderDxfId="20" tableBorderDxfId="19" totalsRowBorderDxfId="18">
  <autoFilter ref="A3:I42" xr:uid="{95DA9026-6719-41BF-BFC0-5851D89EE49E}"/>
  <tableColumns count="9">
    <tableColumn id="1" xr3:uid="{0484CCCE-3EC9-44A4-904E-300E3912C1D6}" name="Наим." totalsRowLabel="Итог" dataDxfId="17" totalsRowDxfId="16"/>
    <tableColumn id="2" xr3:uid="{28CC4DAD-F3E9-401C-9F8A-73EF470DE032}" name="Артикул, марка, произв." dataDxfId="15" totalsRowDxfId="14"/>
    <tableColumn id="3" xr3:uid="{473106D2-BF03-4872-836B-2FE61DBC092D}" name="Хар-ка" dataDxfId="13" totalsRowDxfId="12"/>
    <tableColumn id="4" xr3:uid="{109E7247-4AA4-41D3-A9E2-FDDE0F604869}" name="Ед. изм." dataDxfId="11" totalsRowDxfId="10"/>
    <tableColumn id="5" xr3:uid="{19B5B9AD-21E6-43F7-9B98-0C455E1746BD}" name="Количество" dataDxfId="9" totalsRowDxfId="8"/>
    <tableColumn id="6" xr3:uid="{1F5A232C-2D52-471F-90C2-51DA723693C3}" name="Цена за ед., руб" dataDxfId="7" totalsRowDxfId="6"/>
    <tableColumn id="7" xr3:uid="{61647A02-ADB9-4783-9ED7-634A453544C2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AD0C7EA0-D276-49DB-980E-DCD458FEE14E}" name="Прим." dataDxfId="3" totalsRowDxfId="2"/>
    <tableColumn id="9" xr3:uid="{72AB307B-13A4-4F79-BE10-653A73417374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S112"/>
  <sheetViews>
    <sheetView tabSelected="1" zoomScale="85" zoomScaleNormal="85" workbookViewId="0">
      <pane ySplit="7" topLeftCell="A8" activePane="bottomLeft" state="frozen"/>
      <selection pane="bottomLeft" activeCell="A4" sqref="A4:XFD4"/>
    </sheetView>
  </sheetViews>
  <sheetFormatPr defaultColWidth="10.5" defaultRowHeight="11.25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1" width="10.5" style="1" customWidth="1"/>
    <col min="12" max="12" width="14.6640625" style="1" customWidth="1"/>
    <col min="13" max="13" width="16" style="1" customWidth="1"/>
    <col min="14" max="14" width="17" style="1" customWidth="1"/>
    <col min="15" max="15" width="35" style="1" customWidth="1"/>
    <col min="16" max="16" width="23.33203125" style="1" customWidth="1"/>
  </cols>
  <sheetData>
    <row r="2" spans="1:16" x14ac:dyDescent="0.2">
      <c r="B2" s="99" t="s">
        <v>160</v>
      </c>
      <c r="C2" s="99"/>
      <c r="D2" s="99"/>
      <c r="E2" s="99"/>
      <c r="F2" s="99"/>
      <c r="G2" s="99"/>
      <c r="H2" s="99"/>
      <c r="I2" s="99"/>
      <c r="J2" s="99"/>
    </row>
    <row r="3" spans="1:16" ht="27.75" customHeight="1" x14ac:dyDescent="0.2">
      <c r="B3" s="100" t="s">
        <v>0</v>
      </c>
      <c r="C3" s="100"/>
      <c r="D3" s="100"/>
      <c r="E3" s="100"/>
      <c r="F3" s="100"/>
      <c r="G3" s="100"/>
      <c r="H3" s="100"/>
      <c r="I3" s="100"/>
      <c r="J3" s="100"/>
    </row>
    <row r="4" spans="1:16" x14ac:dyDescent="0.2">
      <c r="B4" s="100" t="s">
        <v>159</v>
      </c>
      <c r="C4" s="100"/>
      <c r="D4" s="100"/>
      <c r="E4" s="100"/>
      <c r="F4" s="100"/>
      <c r="G4" s="100"/>
      <c r="H4" s="100"/>
      <c r="I4" s="100"/>
      <c r="J4" s="100"/>
    </row>
    <row r="6" spans="1:16" x14ac:dyDescent="0.2">
      <c r="A6" s="91" t="s">
        <v>1</v>
      </c>
      <c r="B6" s="91" t="s">
        <v>2</v>
      </c>
      <c r="C6" s="101" t="s">
        <v>3</v>
      </c>
      <c r="D6" s="103" t="s">
        <v>4</v>
      </c>
      <c r="E6" s="91" t="s">
        <v>5</v>
      </c>
      <c r="F6" s="85" t="s">
        <v>6</v>
      </c>
      <c r="G6" s="89" t="s">
        <v>141</v>
      </c>
      <c r="H6" s="89" t="s">
        <v>142</v>
      </c>
      <c r="I6" s="89" t="s">
        <v>143</v>
      </c>
      <c r="J6" s="89" t="s">
        <v>7</v>
      </c>
      <c r="K6" s="89" t="s">
        <v>8</v>
      </c>
      <c r="L6" s="91" t="s">
        <v>9</v>
      </c>
      <c r="M6" s="85" t="s">
        <v>10</v>
      </c>
      <c r="N6" s="85" t="s">
        <v>11</v>
      </c>
      <c r="O6" s="91" t="s">
        <v>12</v>
      </c>
      <c r="P6" s="85" t="s">
        <v>13</v>
      </c>
    </row>
    <row r="7" spans="1:16" x14ac:dyDescent="0.2">
      <c r="A7" s="92"/>
      <c r="B7" s="92"/>
      <c r="C7" s="102"/>
      <c r="D7" s="104"/>
      <c r="E7" s="92"/>
      <c r="F7" s="86"/>
      <c r="G7" s="90"/>
      <c r="H7" s="90"/>
      <c r="I7" s="90"/>
      <c r="J7" s="90"/>
      <c r="K7" s="90"/>
      <c r="L7" s="92"/>
      <c r="M7" s="86"/>
      <c r="N7" s="86"/>
      <c r="O7" s="92"/>
      <c r="P7" s="86"/>
    </row>
    <row r="8" spans="1:16" x14ac:dyDescent="0.2">
      <c r="A8" s="3" t="s">
        <v>14</v>
      </c>
      <c r="B8" s="4" t="s">
        <v>15</v>
      </c>
      <c r="C8" s="5"/>
      <c r="D8" s="5"/>
      <c r="E8" s="6"/>
      <c r="F8" s="7"/>
      <c r="G8" s="7"/>
      <c r="H8" s="7"/>
      <c r="I8" s="7"/>
      <c r="J8" s="7"/>
      <c r="K8" s="7"/>
      <c r="L8" s="7"/>
      <c r="M8" s="56"/>
      <c r="N8" s="56"/>
      <c r="O8" s="5"/>
      <c r="P8" s="5"/>
    </row>
    <row r="9" spans="1:16" outlineLevel="1" x14ac:dyDescent="0.2">
      <c r="A9" s="8" t="s">
        <v>16</v>
      </c>
      <c r="B9" s="9" t="s">
        <v>17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57"/>
      <c r="N9" s="57">
        <f>SUM($N$95,$N$10)</f>
        <v>0</v>
      </c>
      <c r="O9" s="10"/>
      <c r="P9" s="10"/>
    </row>
    <row r="10" spans="1:16" outlineLevel="2" x14ac:dyDescent="0.2">
      <c r="A10" s="13" t="s">
        <v>18</v>
      </c>
      <c r="B10" s="14" t="s">
        <v>19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58"/>
      <c r="N10" s="58">
        <f>SUM($N$11)</f>
        <v>0</v>
      </c>
      <c r="O10" s="19"/>
      <c r="P10" s="19"/>
    </row>
    <row r="11" spans="1:16" outlineLevel="3" x14ac:dyDescent="0.2">
      <c r="A11" s="13" t="s">
        <v>20</v>
      </c>
      <c r="B11" s="14" t="s">
        <v>19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58"/>
      <c r="N11" s="58">
        <f>SUM($N$84,$N$82,$N$80,$N$78,$N$76,$N$74,$N$72,$N$70,$N$65,$N$63,$N$61,$N$59,$N$54,$N$52,$N$50,$N$48,$N$45,$N$43,$N$40,$N$38,$N$31,$N$29,$N$22,$N$20,$N$18,$N$16,$N$14,$N$12,N92)</f>
        <v>0</v>
      </c>
      <c r="O11" s="19"/>
      <c r="P11" s="19"/>
    </row>
    <row r="12" spans="1:16" outlineLevel="4" x14ac:dyDescent="0.2">
      <c r="A12" s="20"/>
      <c r="B12" s="14" t="s">
        <v>21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59"/>
      <c r="N12" s="60">
        <f>SUM($N$13)</f>
        <v>0</v>
      </c>
      <c r="O12" s="18"/>
      <c r="P12" s="22"/>
    </row>
    <row r="13" spans="1:16" outlineLevel="4" x14ac:dyDescent="0.2">
      <c r="A13" s="23"/>
      <c r="B13" s="24" t="s">
        <v>22</v>
      </c>
      <c r="C13" s="25"/>
      <c r="D13" s="25"/>
      <c r="E13" s="26" t="s">
        <v>23</v>
      </c>
      <c r="F13" s="27"/>
      <c r="G13" s="28">
        <v>40</v>
      </c>
      <c r="H13" s="28">
        <v>166</v>
      </c>
      <c r="I13" s="28">
        <v>70</v>
      </c>
      <c r="J13" s="28">
        <v>130</v>
      </c>
      <c r="K13" s="28">
        <v>312</v>
      </c>
      <c r="L13" s="28">
        <f>SUM($G$13:$K$13)</f>
        <v>718</v>
      </c>
      <c r="M13" s="31">
        <f t="array" ref="M13">INDEX(Р[Цена за ед., руб],MATCH(1,IF(($B13=Р[Наименование])*($O13=Р[Примечание]),{1},($B13=Р[Наименование])*($O13=Р[Примечание])),0))</f>
        <v>0</v>
      </c>
      <c r="N13" s="31">
        <f>ROUND($L$13*$M$13,2)</f>
        <v>0</v>
      </c>
      <c r="O13" s="25"/>
      <c r="P13" s="25"/>
    </row>
    <row r="14" spans="1:16" outlineLevel="4" x14ac:dyDescent="0.2">
      <c r="A14" s="20"/>
      <c r="B14" s="14" t="s">
        <v>21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59"/>
      <c r="N14" s="60">
        <f>SUM($N$15)</f>
        <v>0</v>
      </c>
      <c r="O14" s="18"/>
      <c r="P14" s="22"/>
    </row>
    <row r="15" spans="1:16" outlineLevel="4" x14ac:dyDescent="0.2">
      <c r="A15" s="23"/>
      <c r="B15" s="24" t="s">
        <v>24</v>
      </c>
      <c r="C15" s="25"/>
      <c r="D15" s="25"/>
      <c r="E15" s="26" t="s">
        <v>23</v>
      </c>
      <c r="F15" s="27"/>
      <c r="G15" s="27"/>
      <c r="H15" s="27"/>
      <c r="I15" s="27"/>
      <c r="J15" s="28">
        <v>240</v>
      </c>
      <c r="K15" s="27"/>
      <c r="L15" s="28">
        <f>SUM($G$15:$K$15)</f>
        <v>240</v>
      </c>
      <c r="M15" s="31">
        <f t="array" ref="M15">INDEX(Р[Цена за ед., руб],MATCH(1,IF(($B15=Р[Наименование])*($O15=Р[Примечание]),{1},($B15=Р[Наименование])*($O15=Р[Примечание])),0))</f>
        <v>0</v>
      </c>
      <c r="N15" s="31">
        <f>ROUND($L$15*$M$15,2)</f>
        <v>0</v>
      </c>
      <c r="O15" s="25"/>
      <c r="P15" s="25"/>
    </row>
    <row r="16" spans="1:16" outlineLevel="4" x14ac:dyDescent="0.2">
      <c r="A16" s="20"/>
      <c r="B16" s="14" t="s">
        <v>21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59"/>
      <c r="N16" s="60">
        <f>SUM($N$17)</f>
        <v>0</v>
      </c>
      <c r="O16" s="18"/>
      <c r="P16" s="22"/>
    </row>
    <row r="17" spans="1:16" ht="22.5" outlineLevel="4" x14ac:dyDescent="0.2">
      <c r="A17" s="23"/>
      <c r="B17" s="24" t="s">
        <v>25</v>
      </c>
      <c r="C17" s="25"/>
      <c r="D17" s="25"/>
      <c r="E17" s="26" t="s">
        <v>23</v>
      </c>
      <c r="F17" s="27"/>
      <c r="G17" s="28">
        <v>2</v>
      </c>
      <c r="H17" s="28">
        <v>4</v>
      </c>
      <c r="I17" s="28">
        <v>2</v>
      </c>
      <c r="J17" s="28">
        <v>8</v>
      </c>
      <c r="K17" s="28">
        <v>8</v>
      </c>
      <c r="L17" s="28">
        <f>SUM($G$17:$K$17)</f>
        <v>24</v>
      </c>
      <c r="M17" s="31">
        <f t="array" ref="M17">INDEX(Р[Цена за ед., руб],MATCH(1,IF(($B17=Р[Наименование])*($O17=Р[Примечание]),{1},($B17=Р[Наименование])*($O17=Р[Примечание])),0))</f>
        <v>0</v>
      </c>
      <c r="N17" s="31">
        <f>ROUND($L$17*$M$17,2)</f>
        <v>0</v>
      </c>
      <c r="O17" s="25"/>
      <c r="P17" s="25"/>
    </row>
    <row r="18" spans="1:16" outlineLevel="4" x14ac:dyDescent="0.2">
      <c r="A18" s="20"/>
      <c r="B18" s="14" t="s">
        <v>26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59"/>
      <c r="N18" s="60">
        <f>SUM($N$19)</f>
        <v>0</v>
      </c>
      <c r="O18" s="18"/>
      <c r="P18" s="22"/>
    </row>
    <row r="19" spans="1:16" ht="22.5" outlineLevel="4" x14ac:dyDescent="0.2">
      <c r="A19" s="23" t="s">
        <v>27</v>
      </c>
      <c r="B19" s="24" t="s">
        <v>28</v>
      </c>
      <c r="C19" s="25"/>
      <c r="D19" s="25" t="s">
        <v>29</v>
      </c>
      <c r="E19" s="26" t="s">
        <v>23</v>
      </c>
      <c r="F19" s="27"/>
      <c r="G19" s="28">
        <v>2</v>
      </c>
      <c r="H19" s="28">
        <v>4</v>
      </c>
      <c r="I19" s="28">
        <v>2</v>
      </c>
      <c r="J19" s="28">
        <v>8</v>
      </c>
      <c r="K19" s="28">
        <v>8</v>
      </c>
      <c r="L19" s="28">
        <f>SUM($G$19:$K$19)</f>
        <v>24</v>
      </c>
      <c r="M19" s="31">
        <f t="array" ref="M19">INDEX(М[Цена за ед., руб],MATCH(1,IF(($B19=М[Наим.])*($C19=М[Артикул, марка, произв.])*($D19=М[Хар-ка])*($O19=М[Прим.]),{1},($B19=М[Наим.])*($C19=М[Артикул, марка, произв.])*($D19=М[Хар-ка])*($O19=М[Прим.])),0))</f>
        <v>0</v>
      </c>
      <c r="N19" s="31">
        <f>ROUND($L$19*$M$19,2)</f>
        <v>0</v>
      </c>
      <c r="O19" s="25"/>
      <c r="P19" s="25">
        <f t="array" ref="P19">INDEX(М[Форма закупа],MATCH(1,IF(($B19=М[Наим.])*($C19=М[Артикул, марка, произв.])*($D19=М[Хар-ка])*($O19=М[Прим.]),{1},($B19=М[Наим.])*($C19=М[Артикул, марка, произв.])*($D19=М[Хар-ка])*($O19=М[Прим.])),0))</f>
        <v>0</v>
      </c>
    </row>
    <row r="20" spans="1:16" outlineLevel="4" x14ac:dyDescent="0.2">
      <c r="A20" s="20"/>
      <c r="B20" s="14" t="s">
        <v>21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59"/>
      <c r="N20" s="60">
        <f>SUM($N$21)</f>
        <v>0</v>
      </c>
      <c r="O20" s="18"/>
      <c r="P20" s="22"/>
    </row>
    <row r="21" spans="1:16" outlineLevel="4" x14ac:dyDescent="0.2">
      <c r="A21" s="23"/>
      <c r="B21" s="24" t="s">
        <v>30</v>
      </c>
      <c r="C21" s="25"/>
      <c r="D21" s="25"/>
      <c r="E21" s="26" t="s">
        <v>23</v>
      </c>
      <c r="F21" s="27"/>
      <c r="G21" s="28">
        <v>14</v>
      </c>
      <c r="H21" s="28">
        <v>20</v>
      </c>
      <c r="I21" s="28">
        <v>43</v>
      </c>
      <c r="J21" s="28">
        <v>90</v>
      </c>
      <c r="K21" s="28">
        <v>32</v>
      </c>
      <c r="L21" s="28">
        <f>SUM($G$21:$K$21)</f>
        <v>199</v>
      </c>
      <c r="M21" s="31">
        <f t="array" ref="M21">INDEX(Р[Цена за ед., руб],MATCH(1,IF(($B21=Р[Наименование])*($O21=Р[Примечание]),{1},($B21=Р[Наименование])*($O21=Р[Примечание])),0))</f>
        <v>0</v>
      </c>
      <c r="N21" s="31">
        <f>ROUND($L$21*$M$21,2)</f>
        <v>0</v>
      </c>
      <c r="O21" s="25"/>
      <c r="P21" s="25"/>
    </row>
    <row r="22" spans="1:16" outlineLevel="4" x14ac:dyDescent="0.2">
      <c r="A22" s="20"/>
      <c r="B22" s="14" t="s">
        <v>26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59"/>
      <c r="N22" s="60">
        <f>SUM($N$23:$N$28)</f>
        <v>0</v>
      </c>
      <c r="O22" s="18"/>
      <c r="P22" s="22"/>
    </row>
    <row r="23" spans="1:16" ht="56.25" outlineLevel="4" x14ac:dyDescent="0.2">
      <c r="A23" s="23" t="s">
        <v>27</v>
      </c>
      <c r="B23" s="24" t="s">
        <v>31</v>
      </c>
      <c r="C23" s="25"/>
      <c r="D23" s="25" t="s">
        <v>32</v>
      </c>
      <c r="E23" s="26" t="s">
        <v>23</v>
      </c>
      <c r="F23" s="27"/>
      <c r="G23" s="27"/>
      <c r="H23" s="27"/>
      <c r="I23" s="28">
        <v>8</v>
      </c>
      <c r="J23" s="28">
        <v>12</v>
      </c>
      <c r="K23" s="27"/>
      <c r="L23" s="28">
        <f>SUM($G$23:$K$23)</f>
        <v>20</v>
      </c>
      <c r="M23" s="31">
        <f t="array" ref="M23">INDEX(М[Цена за ед., руб],MATCH(1,IF(($B23=М[Наим.])*($C23=М[Артикул, марка, произв.])*($D23=М[Хар-ка])*($O23=М[Прим.]),{1},($B23=М[Наим.])*($C23=М[Артикул, марка, произв.])*($D23=М[Хар-ка])*($O23=М[Прим.])),0))</f>
        <v>0</v>
      </c>
      <c r="N23" s="31">
        <f>ROUND($L$23*$M$23,2)</f>
        <v>0</v>
      </c>
      <c r="O23" s="25"/>
      <c r="P23" s="25">
        <f t="array" ref="P23">INDEX(М[Форма закупа],MATCH(1,IF(($B23=М[Наим.])*($C23=М[Артикул, марка, произв.])*($D23=М[Хар-ка])*($O23=М[Прим.]),{1},($B23=М[Наим.])*($C23=М[Артикул, марка, произв.])*($D23=М[Хар-ка])*($O23=М[Прим.])),0))</f>
        <v>0</v>
      </c>
    </row>
    <row r="24" spans="1:16" ht="56.25" outlineLevel="4" x14ac:dyDescent="0.2">
      <c r="A24" s="23" t="s">
        <v>33</v>
      </c>
      <c r="B24" s="24" t="s">
        <v>31</v>
      </c>
      <c r="C24" s="25"/>
      <c r="D24" s="25" t="s">
        <v>34</v>
      </c>
      <c r="E24" s="26" t="s">
        <v>23</v>
      </c>
      <c r="F24" s="27"/>
      <c r="G24" s="27"/>
      <c r="H24" s="27"/>
      <c r="I24" s="28">
        <v>24</v>
      </c>
      <c r="J24" s="27"/>
      <c r="K24" s="27"/>
      <c r="L24" s="28">
        <f>SUM($G$24:$K$24)</f>
        <v>24</v>
      </c>
      <c r="M24" s="31">
        <f t="array" ref="M24">INDEX(М[Цена за ед., руб],MATCH(1,IF(($B24=М[Наим.])*($C24=М[Артикул, марка, произв.])*($D24=М[Хар-ка])*($O24=М[Прим.]),{1},($B24=М[Наим.])*($C24=М[Артикул, марка, произв.])*($D24=М[Хар-ка])*($O24=М[Прим.])),0))</f>
        <v>0</v>
      </c>
      <c r="N24" s="31">
        <f>ROUND($L$24*$M$24,2)</f>
        <v>0</v>
      </c>
      <c r="O24" s="25"/>
      <c r="P24" s="25">
        <f t="array" ref="P24">INDEX(М[Форма закупа],MATCH(1,IF(($B24=М[Наим.])*($C24=М[Артикул, марка, произв.])*($D24=М[Хар-ка])*($O24=М[Прим.]),{1},($B24=М[Наим.])*($C24=М[Артикул, марка, произв.])*($D24=М[Хар-ка])*($O24=М[Прим.])),0))</f>
        <v>0</v>
      </c>
    </row>
    <row r="25" spans="1:16" ht="56.25" outlineLevel="4" x14ac:dyDescent="0.2">
      <c r="A25" s="23" t="s">
        <v>35</v>
      </c>
      <c r="B25" s="24" t="s">
        <v>31</v>
      </c>
      <c r="C25" s="25"/>
      <c r="D25" s="25" t="s">
        <v>36</v>
      </c>
      <c r="E25" s="26" t="s">
        <v>23</v>
      </c>
      <c r="F25" s="27"/>
      <c r="G25" s="28">
        <v>6</v>
      </c>
      <c r="H25" s="28">
        <v>12</v>
      </c>
      <c r="I25" s="28">
        <v>6</v>
      </c>
      <c r="J25" s="28">
        <v>60</v>
      </c>
      <c r="K25" s="28">
        <v>24</v>
      </c>
      <c r="L25" s="28">
        <f>SUM($G$25:$K$25)</f>
        <v>108</v>
      </c>
      <c r="M25" s="31">
        <f t="array" ref="M25">INDEX(М[Цена за ед., руб],MATCH(1,IF(($B25=М[Наим.])*($C25=М[Артикул,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  <c r="N25" s="31">
        <f>ROUND($L$25*$M$25,2)</f>
        <v>0</v>
      </c>
      <c r="O25" s="25"/>
      <c r="P25" s="25">
        <f t="array" ref="P25">INDEX(М[Форма закупа],MATCH(1,IF(($B25=М[Наим.])*($C25=М[Артикул,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</row>
    <row r="26" spans="1:16" ht="56.25" outlineLevel="4" x14ac:dyDescent="0.2">
      <c r="A26" s="23" t="s">
        <v>37</v>
      </c>
      <c r="B26" s="24" t="s">
        <v>31</v>
      </c>
      <c r="C26" s="25"/>
      <c r="D26" s="25" t="s">
        <v>38</v>
      </c>
      <c r="E26" s="26" t="s">
        <v>23</v>
      </c>
      <c r="F26" s="27"/>
      <c r="G26" s="27"/>
      <c r="H26" s="27"/>
      <c r="I26" s="27"/>
      <c r="J26" s="28">
        <v>12</v>
      </c>
      <c r="K26" s="27"/>
      <c r="L26" s="28">
        <f>SUM($G$26:$K$26)</f>
        <v>12</v>
      </c>
      <c r="M26" s="31">
        <f t="array" ref="M26">INDEX(М[Цена за ед., руб],MATCH(1,IF(($B26=М[Наим.])*($C26=М[Артикул,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  <c r="N26" s="31">
        <f>ROUND($L$26*$M$26,2)</f>
        <v>0</v>
      </c>
      <c r="O26" s="25"/>
      <c r="P26" s="25">
        <f t="array" ref="P26">INDEX(М[Форма закупа],MATCH(1,IF(($B26=М[Наим.])*($C26=М[Артикул,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</row>
    <row r="27" spans="1:16" ht="56.25" outlineLevel="4" x14ac:dyDescent="0.2">
      <c r="A27" s="23" t="s">
        <v>39</v>
      </c>
      <c r="B27" s="24" t="s">
        <v>31</v>
      </c>
      <c r="C27" s="25"/>
      <c r="D27" s="25" t="s">
        <v>40</v>
      </c>
      <c r="E27" s="26" t="s">
        <v>23</v>
      </c>
      <c r="F27" s="27"/>
      <c r="G27" s="28">
        <v>8</v>
      </c>
      <c r="H27" s="28">
        <v>8</v>
      </c>
      <c r="I27" s="28">
        <v>4</v>
      </c>
      <c r="J27" s="28">
        <v>6</v>
      </c>
      <c r="K27" s="28">
        <v>8</v>
      </c>
      <c r="L27" s="28">
        <f>SUM($G$27:$K$27)</f>
        <v>34</v>
      </c>
      <c r="M27" s="31">
        <f t="array" ref="M27">INDEX(М[Цена за ед., руб],MATCH(1,IF(($B27=М[Наим.])*($C27=М[Артикул,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  <c r="N27" s="31">
        <f>ROUND($L$27*$M$27,2)</f>
        <v>0</v>
      </c>
      <c r="O27" s="25"/>
      <c r="P27" s="25">
        <f t="array" ref="P27">INDEX(М[Форма закупа],MATCH(1,IF(($B27=М[Наим.])*($C27=М[Артикул,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</row>
    <row r="28" spans="1:16" ht="56.25" outlineLevel="4" x14ac:dyDescent="0.2">
      <c r="A28" s="23" t="s">
        <v>41</v>
      </c>
      <c r="B28" s="24" t="s">
        <v>31</v>
      </c>
      <c r="C28" s="25"/>
      <c r="D28" s="25" t="s">
        <v>42</v>
      </c>
      <c r="E28" s="26" t="s">
        <v>23</v>
      </c>
      <c r="F28" s="27"/>
      <c r="G28" s="27"/>
      <c r="H28" s="27"/>
      <c r="I28" s="28">
        <v>1</v>
      </c>
      <c r="J28" s="27"/>
      <c r="K28" s="27"/>
      <c r="L28" s="28">
        <f>SUM($G$28:$K$28)</f>
        <v>1</v>
      </c>
      <c r="M28" s="31">
        <f t="array" ref="M28">INDEX(М[Цена за ед., руб],MATCH(1,IF(($B28=М[Наим.])*($C28=М[Артикул,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  <c r="N28" s="31">
        <f>ROUND($L$28*$M$28,2)</f>
        <v>0</v>
      </c>
      <c r="O28" s="25"/>
      <c r="P28" s="25">
        <f t="array" ref="P28">INDEX(М[Форма закупа],MATCH(1,IF(($B28=М[Наим.])*($C28=М[Артикул,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</row>
    <row r="29" spans="1:16" outlineLevel="4" x14ac:dyDescent="0.2">
      <c r="A29" s="20"/>
      <c r="B29" s="14" t="s">
        <v>21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59"/>
      <c r="N29" s="60">
        <f>SUM($N$30)</f>
        <v>0</v>
      </c>
      <c r="O29" s="18"/>
      <c r="P29" s="22"/>
    </row>
    <row r="30" spans="1:16" ht="22.5" outlineLevel="4" x14ac:dyDescent="0.2">
      <c r="A30" s="23"/>
      <c r="B30" s="24" t="s">
        <v>43</v>
      </c>
      <c r="C30" s="25"/>
      <c r="D30" s="25"/>
      <c r="E30" s="26" t="s">
        <v>23</v>
      </c>
      <c r="F30" s="27"/>
      <c r="G30" s="28">
        <v>44</v>
      </c>
      <c r="H30" s="28">
        <v>108</v>
      </c>
      <c r="I30" s="28">
        <v>70</v>
      </c>
      <c r="J30" s="28">
        <v>272</v>
      </c>
      <c r="K30" s="28">
        <v>202</v>
      </c>
      <c r="L30" s="28">
        <f>SUM($G$30:$K$30)</f>
        <v>696</v>
      </c>
      <c r="M30" s="31">
        <f t="array" ref="M30">INDEX(Р[Цена за ед., руб],MATCH(1,IF(($B30=Р[Наименование])*($O30=Р[Примечание]),{1},($B30=Р[Наименование])*($O30=Р[Примечание])),0))</f>
        <v>0</v>
      </c>
      <c r="N30" s="31">
        <f>ROUND($L$30*$M$30,2)</f>
        <v>0</v>
      </c>
      <c r="O30" s="25"/>
      <c r="P30" s="25"/>
    </row>
    <row r="31" spans="1:16" outlineLevel="4" x14ac:dyDescent="0.2">
      <c r="A31" s="20"/>
      <c r="B31" s="14" t="s">
        <v>26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59"/>
      <c r="N31" s="60">
        <f>SUM($N$32:$N$37)</f>
        <v>0</v>
      </c>
      <c r="O31" s="18"/>
      <c r="P31" s="22"/>
    </row>
    <row r="32" spans="1:16" ht="22.5" outlineLevel="4" x14ac:dyDescent="0.2">
      <c r="A32" s="23" t="s">
        <v>27</v>
      </c>
      <c r="B32" s="24" t="s">
        <v>44</v>
      </c>
      <c r="C32" s="25"/>
      <c r="D32" s="25" t="s">
        <v>45</v>
      </c>
      <c r="E32" s="26" t="s">
        <v>23</v>
      </c>
      <c r="F32" s="27"/>
      <c r="G32" s="28">
        <v>42</v>
      </c>
      <c r="H32" s="28">
        <v>106</v>
      </c>
      <c r="I32" s="28">
        <v>70</v>
      </c>
      <c r="J32" s="28">
        <v>240</v>
      </c>
      <c r="K32" s="28">
        <v>192</v>
      </c>
      <c r="L32" s="28">
        <f>SUM($G$32:$K$32)</f>
        <v>650</v>
      </c>
      <c r="M32" s="31">
        <f t="array" ref="M32">INDEX(М[Цена за ед., руб],MATCH(1,IF(($B32=М[Наим.])*($C32=М[Артикул, марка, произв.])*($D32=М[Хар-ка])*($O32=М[Прим.]),{1},($B32=М[Наим.])*($C32=М[Артикул, марка, произв.])*($D32=М[Хар-ка])*($O32=М[Прим.])),0))</f>
        <v>0</v>
      </c>
      <c r="N32" s="31">
        <f>ROUND($L$32*$M$32,2)</f>
        <v>0</v>
      </c>
      <c r="O32" s="25"/>
      <c r="P32" s="25">
        <f t="array" ref="P32">INDEX(М[Форма закупа],MATCH(1,IF(($B32=М[Наим.])*($C32=М[Артикул, марка, произв.])*($D32=М[Хар-ка])*($O32=М[Прим.]),{1},($B32=М[Наим.])*($C32=М[Артикул, марка, произв.])*($D32=М[Хар-ка])*($O32=М[Прим.])),0))</f>
        <v>0</v>
      </c>
    </row>
    <row r="33" spans="1:16" ht="22.5" outlineLevel="4" x14ac:dyDescent="0.2">
      <c r="A33" s="23" t="s">
        <v>33</v>
      </c>
      <c r="B33" s="24" t="s">
        <v>44</v>
      </c>
      <c r="C33" s="25"/>
      <c r="D33" s="25" t="s">
        <v>46</v>
      </c>
      <c r="E33" s="26" t="s">
        <v>23</v>
      </c>
      <c r="F33" s="27"/>
      <c r="G33" s="28">
        <v>2</v>
      </c>
      <c r="H33" s="28">
        <v>2</v>
      </c>
      <c r="I33" s="27"/>
      <c r="J33" s="28">
        <v>32</v>
      </c>
      <c r="K33" s="28">
        <v>10</v>
      </c>
      <c r="L33" s="28">
        <f>SUM($G$33:$K$33)</f>
        <v>46</v>
      </c>
      <c r="M33" s="31">
        <f t="array" ref="M33">INDEX(М[Цена за ед., руб],MATCH(1,IF(($B33=М[Наим.])*($C33=М[Артикул,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  <c r="N33" s="31">
        <f>ROUND($L$33*$M$33,2)</f>
        <v>0</v>
      </c>
      <c r="O33" s="25"/>
      <c r="P33" s="25">
        <f t="array" ref="P33">INDEX(М[Форма закупа],MATCH(1,IF(($B33=М[Наим.])*($C33=М[Артикул,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</row>
    <row r="34" spans="1:16" outlineLevel="4" x14ac:dyDescent="0.2">
      <c r="A34" s="23" t="s">
        <v>35</v>
      </c>
      <c r="B34" s="24" t="s">
        <v>47</v>
      </c>
      <c r="C34" s="25"/>
      <c r="D34" s="25" t="s">
        <v>48</v>
      </c>
      <c r="E34" s="26" t="s">
        <v>23</v>
      </c>
      <c r="F34" s="27"/>
      <c r="G34" s="28">
        <v>2</v>
      </c>
      <c r="H34" s="28">
        <v>2</v>
      </c>
      <c r="I34" s="27"/>
      <c r="J34" s="28">
        <v>32</v>
      </c>
      <c r="K34" s="28">
        <v>10</v>
      </c>
      <c r="L34" s="28">
        <f>SUM($G$34:$K$34)</f>
        <v>46</v>
      </c>
      <c r="M34" s="31">
        <f t="array" ref="M34">INDEX(М[Цена за ед., руб],MATCH(1,IF(($B34=М[Наим.])*($C34=М[Артикул,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  <c r="N34" s="31">
        <f>ROUND($L$34*$M$34,2)</f>
        <v>0</v>
      </c>
      <c r="O34" s="25"/>
      <c r="P34" s="25">
        <f t="array" ref="P34">INDEX(М[Форма закупа],MATCH(1,IF(($B34=М[Наим.])*($C34=М[Артикул,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</row>
    <row r="35" spans="1:16" outlineLevel="4" x14ac:dyDescent="0.2">
      <c r="A35" s="23" t="s">
        <v>37</v>
      </c>
      <c r="B35" s="24" t="s">
        <v>47</v>
      </c>
      <c r="C35" s="25"/>
      <c r="D35" s="25" t="s">
        <v>49</v>
      </c>
      <c r="E35" s="26" t="s">
        <v>23</v>
      </c>
      <c r="F35" s="27"/>
      <c r="G35" s="28">
        <v>42</v>
      </c>
      <c r="H35" s="28">
        <v>106</v>
      </c>
      <c r="I35" s="28">
        <v>70</v>
      </c>
      <c r="J35" s="28">
        <v>240</v>
      </c>
      <c r="K35" s="28">
        <v>192</v>
      </c>
      <c r="L35" s="28">
        <f>SUM($G$35:$K$35)</f>
        <v>650</v>
      </c>
      <c r="M35" s="31">
        <f t="array" ref="M35">INDEX(М[Цена за ед., руб],MATCH(1,IF(($B35=М[Наим.])*($C35=М[Артикул, марка, произв.])*($D35=М[Хар-ка])*($O35=М[Прим.]),{1},($B35=М[Наим.])*($C35=М[Артикул, марка, произв.])*($D35=М[Хар-ка])*($O35=М[Прим.])),0))</f>
        <v>0</v>
      </c>
      <c r="N35" s="31">
        <f>ROUND($L$35*$M$35,2)</f>
        <v>0</v>
      </c>
      <c r="O35" s="25"/>
      <c r="P35" s="25">
        <f t="array" ref="P35">INDEX(М[Форма закупа],MATCH(1,IF(($B35=М[Наим.])*($C35=М[Артикул, марка, произв.])*($D35=М[Хар-ка])*($O35=М[Прим.]),{1},($B35=М[Наим.])*($C35=М[Артикул, марка, произв.])*($D35=М[Хар-ка])*($O35=М[Прим.])),0))</f>
        <v>0</v>
      </c>
    </row>
    <row r="36" spans="1:16" ht="33.75" outlineLevel="4" x14ac:dyDescent="0.2">
      <c r="A36" s="23" t="s">
        <v>39</v>
      </c>
      <c r="B36" s="24" t="s">
        <v>50</v>
      </c>
      <c r="C36" s="25"/>
      <c r="D36" s="25" t="s">
        <v>51</v>
      </c>
      <c r="E36" s="26" t="s">
        <v>23</v>
      </c>
      <c r="F36" s="27"/>
      <c r="G36" s="28">
        <v>42</v>
      </c>
      <c r="H36" s="28">
        <v>106</v>
      </c>
      <c r="I36" s="28">
        <v>70</v>
      </c>
      <c r="J36" s="28">
        <v>240</v>
      </c>
      <c r="K36" s="28">
        <v>192</v>
      </c>
      <c r="L36" s="28">
        <f>SUM($G$36:$K$36)</f>
        <v>650</v>
      </c>
      <c r="M36" s="31">
        <f t="array" ref="M36">INDEX(М[Цена за ед., руб],MATCH(1,IF(($B36=М[Наим.])*($C36=М[Артикул,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  <c r="N36" s="31">
        <f>ROUND($L$36*$M$36,2)</f>
        <v>0</v>
      </c>
      <c r="O36" s="25" t="s">
        <v>52</v>
      </c>
      <c r="P36" s="25">
        <f t="array" ref="P36">INDEX(М[Форма закупа],MATCH(1,IF(($B36=М[Наим.])*($C36=М[Артикул,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</row>
    <row r="37" spans="1:16" ht="33.75" outlineLevel="4" x14ac:dyDescent="0.2">
      <c r="A37" s="23" t="s">
        <v>41</v>
      </c>
      <c r="B37" s="24" t="s">
        <v>50</v>
      </c>
      <c r="C37" s="25"/>
      <c r="D37" s="25" t="s">
        <v>53</v>
      </c>
      <c r="E37" s="26" t="s">
        <v>23</v>
      </c>
      <c r="F37" s="27"/>
      <c r="G37" s="28">
        <v>2</v>
      </c>
      <c r="H37" s="28">
        <v>2</v>
      </c>
      <c r="I37" s="27"/>
      <c r="J37" s="28">
        <v>32</v>
      </c>
      <c r="K37" s="28">
        <v>10</v>
      </c>
      <c r="L37" s="28">
        <f>SUM($G$37:$K$37)</f>
        <v>46</v>
      </c>
      <c r="M37" s="31">
        <f t="array" ref="M37">INDEX(М[Цена за ед., руб],MATCH(1,IF(($B37=М[Наим.])*($C37=М[Артикул,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  <c r="N37" s="31">
        <f>ROUND($L$37*$M$37,2)</f>
        <v>0</v>
      </c>
      <c r="O37" s="25" t="s">
        <v>52</v>
      </c>
      <c r="P37" s="25">
        <f t="array" ref="P37">INDEX(М[Форма закупа],MATCH(1,IF(($B37=М[Наим.])*($C37=М[Артикул,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</row>
    <row r="38" spans="1:16" outlineLevel="4" x14ac:dyDescent="0.2">
      <c r="A38" s="20"/>
      <c r="B38" s="14" t="s">
        <v>21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59"/>
      <c r="N38" s="60">
        <f>SUM($N$39)</f>
        <v>0</v>
      </c>
      <c r="O38" s="18"/>
      <c r="P38" s="22"/>
    </row>
    <row r="39" spans="1:16" ht="22.5" outlineLevel="4" x14ac:dyDescent="0.2">
      <c r="A39" s="23"/>
      <c r="B39" s="24" t="s">
        <v>54</v>
      </c>
      <c r="C39" s="25"/>
      <c r="D39" s="25"/>
      <c r="E39" s="26" t="s">
        <v>23</v>
      </c>
      <c r="F39" s="27"/>
      <c r="G39" s="27"/>
      <c r="H39" s="27"/>
      <c r="I39" s="28">
        <v>10</v>
      </c>
      <c r="J39" s="27"/>
      <c r="K39" s="27"/>
      <c r="L39" s="28">
        <f>SUM($G$39:$K$39)</f>
        <v>10</v>
      </c>
      <c r="M39" s="31">
        <f t="array" ref="M39">INDEX(Р[Цена за ед., руб],MATCH(1,IF(($B39=Р[Наименование])*($O39=Р[Примечание]),{1},($B39=Р[Наименование])*($O39=Р[Примечание])),0))</f>
        <v>0</v>
      </c>
      <c r="N39" s="31">
        <f>ROUND($L$39*$M$39,2)</f>
        <v>0</v>
      </c>
      <c r="O39" s="25"/>
      <c r="P39" s="25"/>
    </row>
    <row r="40" spans="1:16" outlineLevel="4" x14ac:dyDescent="0.2">
      <c r="A40" s="20"/>
      <c r="B40" s="14" t="s">
        <v>26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59"/>
      <c r="N40" s="60">
        <f>SUM($N$41:$N$42)</f>
        <v>0</v>
      </c>
      <c r="O40" s="18"/>
      <c r="P40" s="22"/>
    </row>
    <row r="41" spans="1:16" ht="22.5" outlineLevel="4" x14ac:dyDescent="0.2">
      <c r="A41" s="23" t="s">
        <v>27</v>
      </c>
      <c r="B41" s="24" t="s">
        <v>55</v>
      </c>
      <c r="C41" s="25"/>
      <c r="D41" s="25" t="s">
        <v>56</v>
      </c>
      <c r="E41" s="26" t="s">
        <v>23</v>
      </c>
      <c r="F41" s="27"/>
      <c r="G41" s="27"/>
      <c r="H41" s="27"/>
      <c r="I41" s="28">
        <v>8</v>
      </c>
      <c r="J41" s="27"/>
      <c r="K41" s="27"/>
      <c r="L41" s="28">
        <f>SUM($G$41:$K$41)</f>
        <v>8</v>
      </c>
      <c r="M41" s="31">
        <f t="array" ref="M41">INDEX(М[Цена за ед., руб],MATCH(1,IF(($B41=М[Наим.])*($C41=М[Артикул,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  <c r="N41" s="31">
        <f>ROUND($L$41*$M$41,2)</f>
        <v>0</v>
      </c>
      <c r="O41" s="25"/>
      <c r="P41" s="25">
        <f t="array" ref="P41">INDEX(М[Форма закупа],MATCH(1,IF(($B41=М[Наим.])*($C41=М[Артикул,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</row>
    <row r="42" spans="1:16" outlineLevel="4" x14ac:dyDescent="0.2">
      <c r="A42" s="23" t="s">
        <v>33</v>
      </c>
      <c r="B42" s="24" t="s">
        <v>57</v>
      </c>
      <c r="C42" s="25"/>
      <c r="D42" s="25" t="s">
        <v>58</v>
      </c>
      <c r="E42" s="26" t="s">
        <v>23</v>
      </c>
      <c r="F42" s="27"/>
      <c r="G42" s="27"/>
      <c r="H42" s="27"/>
      <c r="I42" s="28">
        <v>2</v>
      </c>
      <c r="J42" s="27"/>
      <c r="K42" s="27"/>
      <c r="L42" s="28">
        <f>SUM($G$42:$K$42)</f>
        <v>2</v>
      </c>
      <c r="M42" s="31">
        <f t="array" ref="M42">INDEX(М[Цена за ед., руб],MATCH(1,IF(($B42=М[Наим.])*($C42=М[Артикул,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  <c r="N42" s="31">
        <f>ROUND($L$42*$M$42,2)</f>
        <v>0</v>
      </c>
      <c r="O42" s="25" t="s">
        <v>59</v>
      </c>
      <c r="P42" s="25">
        <f t="array" ref="P42">INDEX(М[Форма закупа],MATCH(1,IF(($B42=М[Наим.])*($C42=М[Артикул,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</row>
    <row r="43" spans="1:16" outlineLevel="4" x14ac:dyDescent="0.2">
      <c r="A43" s="20"/>
      <c r="B43" s="14" t="s">
        <v>21</v>
      </c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59"/>
      <c r="N43" s="60">
        <f>SUM($N$44)</f>
        <v>0</v>
      </c>
      <c r="O43" s="18"/>
      <c r="P43" s="22"/>
    </row>
    <row r="44" spans="1:16" ht="22.5" outlineLevel="4" x14ac:dyDescent="0.2">
      <c r="A44" s="23"/>
      <c r="B44" s="24" t="s">
        <v>60</v>
      </c>
      <c r="C44" s="25"/>
      <c r="D44" s="25"/>
      <c r="E44" s="26" t="s">
        <v>23</v>
      </c>
      <c r="F44" s="27"/>
      <c r="G44" s="28">
        <v>4</v>
      </c>
      <c r="H44" s="28">
        <v>8</v>
      </c>
      <c r="I44" s="28">
        <v>4</v>
      </c>
      <c r="J44" s="28">
        <v>16</v>
      </c>
      <c r="K44" s="28">
        <v>16</v>
      </c>
      <c r="L44" s="28">
        <f>SUM($G$44:$K$44)</f>
        <v>48</v>
      </c>
      <c r="M44" s="31">
        <f t="array" ref="M44">INDEX(Р[Цена за ед., руб],MATCH(1,IF(($B44=Р[Наименование])*($O44=Р[Примечание]),{1},($B44=Р[Наименование])*($O44=Р[Примечание])),0))</f>
        <v>0</v>
      </c>
      <c r="N44" s="31">
        <f>ROUND($L$44*$M$44,2)</f>
        <v>0</v>
      </c>
      <c r="O44" s="25"/>
      <c r="P44" s="25"/>
    </row>
    <row r="45" spans="1:16" outlineLevel="4" x14ac:dyDescent="0.2">
      <c r="A45" s="20"/>
      <c r="B45" s="14" t="s">
        <v>26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59"/>
      <c r="N45" s="60">
        <f>SUM($N$46:$N$47)</f>
        <v>0</v>
      </c>
      <c r="O45" s="18"/>
      <c r="P45" s="22"/>
    </row>
    <row r="46" spans="1:16" ht="22.5" outlineLevel="4" x14ac:dyDescent="0.2">
      <c r="A46" s="23" t="s">
        <v>27</v>
      </c>
      <c r="B46" s="24" t="s">
        <v>61</v>
      </c>
      <c r="C46" s="25"/>
      <c r="D46" s="25" t="s">
        <v>62</v>
      </c>
      <c r="E46" s="26" t="s">
        <v>23</v>
      </c>
      <c r="F46" s="27"/>
      <c r="G46" s="28">
        <v>2</v>
      </c>
      <c r="H46" s="28">
        <v>4</v>
      </c>
      <c r="I46" s="28">
        <v>2</v>
      </c>
      <c r="J46" s="28">
        <v>8</v>
      </c>
      <c r="K46" s="28">
        <v>8</v>
      </c>
      <c r="L46" s="28">
        <f>SUM($G$46:$K$46)</f>
        <v>24</v>
      </c>
      <c r="M46" s="31">
        <f t="array" ref="M46">INDEX(М[Цена за ед., руб],MATCH(1,IF(($B46=М[Наим.])*($C46=М[Артикул,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  <c r="N46" s="31">
        <f>ROUND($L$46*$M$46,2)</f>
        <v>0</v>
      </c>
      <c r="O46" s="25"/>
      <c r="P46" s="25">
        <f t="array" ref="P46">INDEX(М[Форма закупа],MATCH(1,IF(($B46=М[Наим.])*($C46=М[Артикул,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</row>
    <row r="47" spans="1:16" ht="22.5" outlineLevel="4" x14ac:dyDescent="0.2">
      <c r="A47" s="23" t="s">
        <v>33</v>
      </c>
      <c r="B47" s="24" t="s">
        <v>63</v>
      </c>
      <c r="C47" s="25"/>
      <c r="D47" s="25" t="s">
        <v>64</v>
      </c>
      <c r="E47" s="26" t="s">
        <v>23</v>
      </c>
      <c r="F47" s="27"/>
      <c r="G47" s="28">
        <v>2</v>
      </c>
      <c r="H47" s="28">
        <v>4</v>
      </c>
      <c r="I47" s="28">
        <v>2</v>
      </c>
      <c r="J47" s="28">
        <v>8</v>
      </c>
      <c r="K47" s="28">
        <v>8</v>
      </c>
      <c r="L47" s="28">
        <f>SUM($G$47:$K$47)</f>
        <v>24</v>
      </c>
      <c r="M47" s="31">
        <f t="array" ref="M47">INDEX(М[Цена за ед., руб],MATCH(1,IF(($B47=М[Наим.])*($C47=М[Артикул, марка, произв.])*($D47=М[Хар-ка])*($O47=М[Прим.]),{1},($B47=М[Наим.])*($C47=М[Артикул, марка, произв.])*($D47=М[Хар-ка])*($O47=М[Прим.])),0))</f>
        <v>0</v>
      </c>
      <c r="N47" s="31">
        <f>ROUND($L$47*$M$47,2)</f>
        <v>0</v>
      </c>
      <c r="O47" s="25"/>
      <c r="P47" s="25">
        <f t="array" ref="P47">INDEX(М[Форма закупа],MATCH(1,IF(($B47=М[Наим.])*($C47=М[Артикул, марка, произв.])*($D47=М[Хар-ка])*($O47=М[Прим.]),{1},($B47=М[Наим.])*($C47=М[Артикул, марка, произв.])*($D47=М[Хар-ка])*($O47=М[Прим.])),0))</f>
        <v>0</v>
      </c>
    </row>
    <row r="48" spans="1:16" outlineLevel="4" x14ac:dyDescent="0.2">
      <c r="A48" s="20"/>
      <c r="B48" s="14" t="s">
        <v>21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59"/>
      <c r="N48" s="60">
        <f>SUM($N$49)</f>
        <v>0</v>
      </c>
      <c r="O48" s="18"/>
      <c r="P48" s="22"/>
    </row>
    <row r="49" spans="1:16" ht="22.5" outlineLevel="4" x14ac:dyDescent="0.2">
      <c r="A49" s="23"/>
      <c r="B49" s="24" t="s">
        <v>65</v>
      </c>
      <c r="C49" s="25"/>
      <c r="D49" s="25"/>
      <c r="E49" s="26" t="s">
        <v>23</v>
      </c>
      <c r="F49" s="27"/>
      <c r="G49" s="28">
        <v>6</v>
      </c>
      <c r="H49" s="28">
        <v>12</v>
      </c>
      <c r="I49" s="28">
        <v>8</v>
      </c>
      <c r="J49" s="28">
        <v>20</v>
      </c>
      <c r="K49" s="28">
        <v>20</v>
      </c>
      <c r="L49" s="28">
        <f>SUM($G$49:$K$49)</f>
        <v>66</v>
      </c>
      <c r="M49" s="31">
        <f t="array" ref="M49">INDEX(Р[Цена за ед., руб],MATCH(1,IF(($B49=Р[Наименование])*($O49=Р[Примечание]),{1},($B49=Р[Наименование])*($O49=Р[Примечание])),0))</f>
        <v>0</v>
      </c>
      <c r="N49" s="31">
        <f>ROUND($L$49*$M$49,2)</f>
        <v>0</v>
      </c>
      <c r="O49" s="25"/>
      <c r="P49" s="25"/>
    </row>
    <row r="50" spans="1:16" outlineLevel="4" x14ac:dyDescent="0.2">
      <c r="A50" s="20"/>
      <c r="B50" s="14" t="s">
        <v>26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59"/>
      <c r="N50" s="60">
        <f>SUM($N$51)</f>
        <v>0</v>
      </c>
      <c r="O50" s="18"/>
      <c r="P50" s="22"/>
    </row>
    <row r="51" spans="1:16" ht="22.5" outlineLevel="4" x14ac:dyDescent="0.2">
      <c r="A51" s="23" t="s">
        <v>27</v>
      </c>
      <c r="B51" s="24" t="s">
        <v>61</v>
      </c>
      <c r="C51" s="25"/>
      <c r="D51" s="25" t="s">
        <v>66</v>
      </c>
      <c r="E51" s="26" t="s">
        <v>23</v>
      </c>
      <c r="F51" s="27"/>
      <c r="G51" s="28">
        <v>6</v>
      </c>
      <c r="H51" s="28">
        <v>12</v>
      </c>
      <c r="I51" s="28">
        <v>8</v>
      </c>
      <c r="J51" s="28">
        <v>20</v>
      </c>
      <c r="K51" s="28">
        <v>20</v>
      </c>
      <c r="L51" s="28">
        <f>SUM($G$51:$K$51)</f>
        <v>66</v>
      </c>
      <c r="M51" s="31">
        <f t="array" ref="M51">INDEX(М[Цена за ед., руб],MATCH(1,IF(($B51=М[Наим.])*($C51=М[Артикул, марка, произв.])*($D51=М[Хар-ка])*($O51=М[Прим.]),{1},($B51=М[Наим.])*($C51=М[Артикул, марка, произв.])*($D51=М[Хар-ка])*($O51=М[Прим.])),0))</f>
        <v>0</v>
      </c>
      <c r="N51" s="31">
        <f>ROUND($L$51*$M$51,2)</f>
        <v>0</v>
      </c>
      <c r="O51" s="25"/>
      <c r="P51" s="25">
        <f t="array" ref="P51">INDEX(М[Форма закупа],MATCH(1,IF(($B51=М[Наим.])*($C51=М[Артикул, марка, произв.])*($D51=М[Хар-ка])*($O51=М[Прим.]),{1},($B51=М[Наим.])*($C51=М[Артикул, марка, произв.])*($D51=М[Хар-ка])*($O51=М[Прим.])),0))</f>
        <v>0</v>
      </c>
    </row>
    <row r="52" spans="1:16" outlineLevel="4" x14ac:dyDescent="0.2">
      <c r="A52" s="20"/>
      <c r="B52" s="14" t="s">
        <v>21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59"/>
      <c r="N52" s="60">
        <f>SUM($N$53)</f>
        <v>0</v>
      </c>
      <c r="O52" s="18"/>
      <c r="P52" s="22"/>
    </row>
    <row r="53" spans="1:16" ht="33.75" outlineLevel="4" x14ac:dyDescent="0.2">
      <c r="A53" s="23"/>
      <c r="B53" s="82" t="s">
        <v>158</v>
      </c>
      <c r="C53" s="25"/>
      <c r="D53" s="25"/>
      <c r="E53" s="26" t="s">
        <v>23</v>
      </c>
      <c r="F53" s="27"/>
      <c r="G53" s="27"/>
      <c r="H53" s="27"/>
      <c r="I53" s="28">
        <v>2</v>
      </c>
      <c r="J53" s="27"/>
      <c r="K53" s="27"/>
      <c r="L53" s="28">
        <f>SUM($G$53:$K$53)</f>
        <v>2</v>
      </c>
      <c r="M53" s="31">
        <f t="array" ref="M53">INDEX(Р[Цена за ед., руб],MATCH(1,IF(($B53=Р[Наименование])*($O53=Р[Примечание]),{1},($B53=Р[Наименование])*($O53=Р[Примечание])),0))</f>
        <v>0</v>
      </c>
      <c r="N53" s="31">
        <f>ROUND($L$53*$M$53,2)</f>
        <v>0</v>
      </c>
      <c r="O53" s="25"/>
      <c r="P53" s="25"/>
    </row>
    <row r="54" spans="1:16" outlineLevel="4" x14ac:dyDescent="0.2">
      <c r="A54" s="20"/>
      <c r="B54" s="14" t="s">
        <v>26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59"/>
      <c r="N54" s="60">
        <f>SUM($N$55:$N$58)</f>
        <v>0</v>
      </c>
      <c r="O54" s="18"/>
      <c r="P54" s="22"/>
    </row>
    <row r="55" spans="1:16" ht="22.5" outlineLevel="4" x14ac:dyDescent="0.2">
      <c r="A55" s="23" t="s">
        <v>27</v>
      </c>
      <c r="B55" s="84" t="s">
        <v>67</v>
      </c>
      <c r="C55" s="25"/>
      <c r="D55" s="25" t="s">
        <v>68</v>
      </c>
      <c r="E55" s="26" t="s">
        <v>23</v>
      </c>
      <c r="F55" s="27"/>
      <c r="G55" s="27"/>
      <c r="H55" s="27"/>
      <c r="I55" s="28">
        <v>1</v>
      </c>
      <c r="J55" s="27"/>
      <c r="K55" s="27"/>
      <c r="L55" s="28">
        <f>SUM($G$55:$K$55)</f>
        <v>1</v>
      </c>
      <c r="M55" s="31">
        <f t="array" ref="M55">INDEX(М[Цена за ед., руб],MATCH(1,IF(($B55=М[Наим.])*($C55=М[Артикул, марка, произв.])*($D55=М[Хар-ка])*($O55=М[Прим.]),{1},($B55=М[Наим.])*($C55=М[Артикул, марка, произв.])*($D55=М[Хар-ка])*($O55=М[Прим.])),0))</f>
        <v>0</v>
      </c>
      <c r="N55" s="31">
        <f>ROUND($L$55*$M$55,2)</f>
        <v>0</v>
      </c>
      <c r="O55" s="25" t="s">
        <v>69</v>
      </c>
      <c r="P55" s="25">
        <f t="array" ref="P55">INDEX(М[Форма закупа],MATCH(1,IF(($B55=М[Наим.])*($C55=М[Артикул, марка, произв.])*($D55=М[Хар-ка])*($O55=М[Прим.]),{1},($B55=М[Наим.])*($C55=М[Артикул, марка, произв.])*($D55=М[Хар-ка])*($O55=М[Прим.])),0))</f>
        <v>0</v>
      </c>
    </row>
    <row r="56" spans="1:16" ht="22.5" outlineLevel="4" x14ac:dyDescent="0.2">
      <c r="A56" s="23" t="s">
        <v>33</v>
      </c>
      <c r="B56" s="84" t="s">
        <v>67</v>
      </c>
      <c r="C56" s="25"/>
      <c r="D56" s="25" t="s">
        <v>70</v>
      </c>
      <c r="E56" s="26" t="s">
        <v>23</v>
      </c>
      <c r="F56" s="27"/>
      <c r="G56" s="27"/>
      <c r="H56" s="27"/>
      <c r="I56" s="28">
        <v>1</v>
      </c>
      <c r="J56" s="27"/>
      <c r="K56" s="27"/>
      <c r="L56" s="28">
        <f>SUM($G$56:$K$56)</f>
        <v>1</v>
      </c>
      <c r="M56" s="31">
        <f t="array" ref="M56">INDEX(М[Цена за ед., руб],MATCH(1,IF(($B56=М[Наим.])*($C56=М[Артикул, марка, произв.])*($D56=М[Хар-ка])*($O56=М[Прим.]),{1},($B56=М[Наим.])*($C56=М[Артикул, марка, произв.])*($D56=М[Хар-ка])*($O56=М[Прим.])),0))</f>
        <v>0</v>
      </c>
      <c r="N56" s="31">
        <f>ROUND($L$56*$M$56,2)</f>
        <v>0</v>
      </c>
      <c r="O56" s="25" t="s">
        <v>71</v>
      </c>
      <c r="P56" s="25">
        <f t="array" ref="P56">INDEX(М[Форма закупа],MATCH(1,IF(($B56=М[Наим.])*($C56=М[Артикул, марка, произв.])*($D56=М[Хар-ка])*($O56=М[Прим.]),{1},($B56=М[Наим.])*($C56=М[Артикул, марка, произв.])*($D56=М[Хар-ка])*($O56=М[Прим.])),0))</f>
        <v>0</v>
      </c>
    </row>
    <row r="57" spans="1:16" ht="33.75" outlineLevel="4" x14ac:dyDescent="0.2">
      <c r="A57" s="23" t="s">
        <v>35</v>
      </c>
      <c r="B57" s="24" t="s">
        <v>72</v>
      </c>
      <c r="C57" s="25"/>
      <c r="D57" s="25" t="s">
        <v>73</v>
      </c>
      <c r="E57" s="26" t="s">
        <v>23</v>
      </c>
      <c r="F57" s="27"/>
      <c r="G57" s="27"/>
      <c r="H57" s="27"/>
      <c r="I57" s="28">
        <v>1</v>
      </c>
      <c r="J57" s="27"/>
      <c r="K57" s="27"/>
      <c r="L57" s="28">
        <f>SUM($G$57:$K$57)</f>
        <v>1</v>
      </c>
      <c r="M57" s="31">
        <f t="array" ref="M57">INDEX(М[Цена за ед., руб],MATCH(1,IF(($B57=М[Наим.])*($C57=М[Артикул, марка, произв.])*($D57=М[Хар-ка])*($O57=М[Прим.]),{1},($B57=М[Наим.])*($C57=М[Артикул, марка, произв.])*($D57=М[Хар-ка])*($O57=М[Прим.])),0))</f>
        <v>0</v>
      </c>
      <c r="N57" s="31">
        <f>ROUND($L$57*$M$57,2)</f>
        <v>0</v>
      </c>
      <c r="O57" s="25" t="s">
        <v>74</v>
      </c>
      <c r="P57" s="25">
        <f t="array" ref="P57">INDEX(М[Форма закупа],MATCH(1,IF(($B57=М[Наим.])*($C57=М[Артикул, марка, произв.])*($D57=М[Хар-ка])*($O57=М[Прим.]),{1},($B57=М[Наим.])*($C57=М[Артикул, марка, произв.])*($D57=М[Хар-ка])*($O57=М[Прим.])),0))</f>
        <v>0</v>
      </c>
    </row>
    <row r="58" spans="1:16" ht="33.75" outlineLevel="4" x14ac:dyDescent="0.2">
      <c r="A58" s="23" t="s">
        <v>37</v>
      </c>
      <c r="B58" s="24" t="s">
        <v>72</v>
      </c>
      <c r="C58" s="25"/>
      <c r="D58" s="25" t="s">
        <v>75</v>
      </c>
      <c r="E58" s="26" t="s">
        <v>23</v>
      </c>
      <c r="F58" s="27"/>
      <c r="G58" s="27"/>
      <c r="H58" s="27"/>
      <c r="I58" s="28">
        <v>1</v>
      </c>
      <c r="J58" s="27"/>
      <c r="K58" s="27"/>
      <c r="L58" s="28">
        <f>SUM($G$58:$K$58)</f>
        <v>1</v>
      </c>
      <c r="M58" s="31">
        <f t="array" ref="M58">INDEX(М[Цена за ед., руб],MATCH(1,IF(($B58=М[Наим.])*($C58=М[Артикул, марка, произв.])*($D58=М[Хар-ка])*($O58=М[Прим.]),{1},($B58=М[Наим.])*($C58=М[Артикул, марка, произв.])*($D58=М[Хар-ка])*($O58=М[Прим.])),0))</f>
        <v>0</v>
      </c>
      <c r="N58" s="31">
        <f>ROUND($L$58*$M$58,2)</f>
        <v>0</v>
      </c>
      <c r="O58" s="25" t="s">
        <v>76</v>
      </c>
      <c r="P58" s="25">
        <f t="array" ref="P58">INDEX(М[Форма закупа],MATCH(1,IF(($B58=М[Наим.])*($C58=М[Артикул, марка, произв.])*($D58=М[Хар-ка])*($O58=М[Прим.]),{1},($B58=М[Наим.])*($C58=М[Артикул, марка, произв.])*($D58=М[Хар-ка])*($O58=М[Прим.])),0))</f>
        <v>0</v>
      </c>
    </row>
    <row r="59" spans="1:16" outlineLevel="4" x14ac:dyDescent="0.2">
      <c r="A59" s="20"/>
      <c r="B59" s="14" t="s">
        <v>21</v>
      </c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59"/>
      <c r="N59" s="60">
        <f>SUM($N$60)</f>
        <v>0</v>
      </c>
      <c r="O59" s="18"/>
      <c r="P59" s="22"/>
    </row>
    <row r="60" spans="1:16" outlineLevel="4" x14ac:dyDescent="0.2">
      <c r="A60" s="23"/>
      <c r="B60" s="24" t="s">
        <v>77</v>
      </c>
      <c r="C60" s="25"/>
      <c r="D60" s="25"/>
      <c r="E60" s="26" t="s">
        <v>23</v>
      </c>
      <c r="F60" s="27"/>
      <c r="G60" s="27"/>
      <c r="H60" s="27"/>
      <c r="I60" s="27"/>
      <c r="J60" s="28">
        <v>336</v>
      </c>
      <c r="K60" s="27"/>
      <c r="L60" s="28">
        <f>SUM($G$60:$K$60)</f>
        <v>336</v>
      </c>
      <c r="M60" s="31">
        <f t="array" ref="M60">INDEX(Р[Цена за ед., руб],MATCH(1,IF(($B60=Р[Наименование])*($O60=Р[Примечание]),{1},($B60=Р[Наименование])*($O60=Р[Примечание])),0))</f>
        <v>0</v>
      </c>
      <c r="N60" s="31">
        <f>ROUND($L$60*$M$60,2)</f>
        <v>0</v>
      </c>
      <c r="O60" s="25"/>
      <c r="P60" s="25"/>
    </row>
    <row r="61" spans="1:16" outlineLevel="4" x14ac:dyDescent="0.2">
      <c r="A61" s="20"/>
      <c r="B61" s="14" t="s">
        <v>26</v>
      </c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59"/>
      <c r="N61" s="60">
        <f>SUM($N$62)</f>
        <v>0</v>
      </c>
      <c r="O61" s="18"/>
      <c r="P61" s="22"/>
    </row>
    <row r="62" spans="1:16" ht="33.75" outlineLevel="4" x14ac:dyDescent="0.2">
      <c r="A62" s="23" t="s">
        <v>27</v>
      </c>
      <c r="B62" s="24" t="s">
        <v>78</v>
      </c>
      <c r="C62" s="25"/>
      <c r="D62" s="25" t="s">
        <v>79</v>
      </c>
      <c r="E62" s="26" t="s">
        <v>23</v>
      </c>
      <c r="F62" s="27"/>
      <c r="G62" s="27"/>
      <c r="H62" s="27"/>
      <c r="I62" s="27"/>
      <c r="J62" s="28">
        <v>336</v>
      </c>
      <c r="K62" s="27"/>
      <c r="L62" s="28">
        <f>SUM($G$62:$K$62)</f>
        <v>336</v>
      </c>
      <c r="M62" s="31">
        <f t="array" ref="M62">INDEX(М[Цена за ед., руб],MATCH(1,IF(($B62=М[Наим.])*($C62=М[Артикул, марка, произв.])*($D62=М[Хар-ка])*($O62=М[Прим.]),{1},($B62=М[Наим.])*($C62=М[Артикул, марка, произв.])*($D62=М[Хар-ка])*($O62=М[Прим.])),0))</f>
        <v>0</v>
      </c>
      <c r="N62" s="31">
        <f>ROUND($L$62*$M$62,2)</f>
        <v>0</v>
      </c>
      <c r="O62" s="25" t="s">
        <v>80</v>
      </c>
      <c r="P62" s="25">
        <f t="array" ref="P62">INDEX(М[Форма закупа],MATCH(1,IF(($B62=М[Наим.])*($C62=М[Артикул, марка, произв.])*($D62=М[Хар-ка])*($O62=М[Прим.]),{1},($B62=М[Наим.])*($C62=М[Артикул, марка, произв.])*($D62=М[Хар-ка])*($O62=М[Прим.])),0))</f>
        <v>0</v>
      </c>
    </row>
    <row r="63" spans="1:16" outlineLevel="4" x14ac:dyDescent="0.2">
      <c r="A63" s="20"/>
      <c r="B63" s="14" t="s">
        <v>21</v>
      </c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59"/>
      <c r="N63" s="60">
        <f>SUM($N$64)</f>
        <v>0</v>
      </c>
      <c r="O63" s="18"/>
      <c r="P63" s="22"/>
    </row>
    <row r="64" spans="1:16" outlineLevel="4" x14ac:dyDescent="0.2">
      <c r="A64" s="23"/>
      <c r="B64" s="24" t="s">
        <v>81</v>
      </c>
      <c r="C64" s="25"/>
      <c r="D64" s="25"/>
      <c r="E64" s="26" t="s">
        <v>23</v>
      </c>
      <c r="F64" s="27"/>
      <c r="G64" s="28">
        <v>22</v>
      </c>
      <c r="H64" s="28">
        <v>54</v>
      </c>
      <c r="I64" s="28">
        <v>35</v>
      </c>
      <c r="J64" s="28">
        <v>136</v>
      </c>
      <c r="K64" s="28">
        <v>101</v>
      </c>
      <c r="L64" s="28">
        <f>SUM($G$64:$K$64)</f>
        <v>348</v>
      </c>
      <c r="M64" s="31">
        <f t="array" ref="M64">INDEX(Р[Цена за ед., руб],MATCH(1,IF(($B64=Р[Наименование])*($O64=Р[Примечание]),{1},($B64=Р[Наименование])*($O64=Р[Примечание])),0))</f>
        <v>0</v>
      </c>
      <c r="N64" s="31">
        <f>ROUND($L$64*$M$64,2)</f>
        <v>0</v>
      </c>
      <c r="O64" s="25"/>
      <c r="P64" s="25"/>
    </row>
    <row r="65" spans="1:16" outlineLevel="4" x14ac:dyDescent="0.2">
      <c r="A65" s="20"/>
      <c r="B65" s="14" t="s">
        <v>26</v>
      </c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59"/>
      <c r="N65" s="60">
        <f>SUM($N$66:$N$69)</f>
        <v>0</v>
      </c>
      <c r="O65" s="18"/>
      <c r="P65" s="22"/>
    </row>
    <row r="66" spans="1:16" outlineLevel="4" x14ac:dyDescent="0.2">
      <c r="A66" s="23" t="s">
        <v>27</v>
      </c>
      <c r="B66" s="24" t="s">
        <v>82</v>
      </c>
      <c r="C66" s="25"/>
      <c r="D66" s="25" t="s">
        <v>83</v>
      </c>
      <c r="E66" s="26" t="s">
        <v>23</v>
      </c>
      <c r="F66" s="27"/>
      <c r="G66" s="28">
        <v>19</v>
      </c>
      <c r="H66" s="28">
        <v>47</v>
      </c>
      <c r="I66" s="28">
        <v>30</v>
      </c>
      <c r="J66" s="28">
        <v>117</v>
      </c>
      <c r="K66" s="28">
        <v>89</v>
      </c>
      <c r="L66" s="28">
        <f>SUM($G$66:$K$66)</f>
        <v>302</v>
      </c>
      <c r="M66" s="31">
        <f t="array" ref="M66">INDEX(М[Цена за ед., руб],MATCH(1,IF(($B66=М[Наим.])*($C66=М[Артикул,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  <c r="N66" s="31">
        <f>ROUND($L$66*$M$66,2)</f>
        <v>0</v>
      </c>
      <c r="O66" s="25"/>
      <c r="P66" s="25">
        <f t="array" ref="P66">INDEX(М[Форма закупа],MATCH(1,IF(($B66=М[Наим.])*($C66=М[Артикул,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</row>
    <row r="67" spans="1:16" outlineLevel="4" x14ac:dyDescent="0.2">
      <c r="A67" s="23" t="s">
        <v>33</v>
      </c>
      <c r="B67" s="24" t="s">
        <v>82</v>
      </c>
      <c r="C67" s="25"/>
      <c r="D67" s="25" t="s">
        <v>84</v>
      </c>
      <c r="E67" s="26" t="s">
        <v>23</v>
      </c>
      <c r="F67" s="27"/>
      <c r="G67" s="28">
        <v>1</v>
      </c>
      <c r="H67" s="28">
        <v>1</v>
      </c>
      <c r="I67" s="27"/>
      <c r="J67" s="28">
        <v>16</v>
      </c>
      <c r="K67" s="28">
        <v>5</v>
      </c>
      <c r="L67" s="28">
        <f>SUM($G$67:$K$67)</f>
        <v>23</v>
      </c>
      <c r="M67" s="31">
        <f t="array" ref="M67">INDEX(М[Цена за ед., руб],MATCH(1,IF(($B67=М[Наим.])*($C67=М[Артикул,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  <c r="N67" s="31">
        <f>ROUND($L$67*$M$67,2)</f>
        <v>0</v>
      </c>
      <c r="O67" s="25"/>
      <c r="P67" s="25">
        <f t="array" ref="P67">INDEX(М[Форма закупа],MATCH(1,IF(($B67=М[Наим.])*($C67=М[Артикул,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</row>
    <row r="68" spans="1:16" outlineLevel="4" x14ac:dyDescent="0.2">
      <c r="A68" s="23" t="s">
        <v>35</v>
      </c>
      <c r="B68" s="24" t="s">
        <v>82</v>
      </c>
      <c r="C68" s="25"/>
      <c r="D68" s="25" t="s">
        <v>85</v>
      </c>
      <c r="E68" s="26" t="s">
        <v>23</v>
      </c>
      <c r="F68" s="27"/>
      <c r="G68" s="28">
        <v>2</v>
      </c>
      <c r="H68" s="28">
        <v>6</v>
      </c>
      <c r="I68" s="28">
        <v>5</v>
      </c>
      <c r="J68" s="28">
        <v>3</v>
      </c>
      <c r="K68" s="28">
        <v>7</v>
      </c>
      <c r="L68" s="28">
        <f>SUM($G$68:$K$68)</f>
        <v>23</v>
      </c>
      <c r="M68" s="31">
        <f t="array" ref="M68">INDEX(М[Цена за ед., руб],MATCH(1,IF(($B68=М[Наим.])*($C68=М[Артикул, марка, произв.])*($D68=М[Хар-ка])*($O68=М[Прим.]),{1},($B68=М[Наим.])*($C68=М[Артикул, марка, произв.])*($D68=М[Хар-ка])*($O68=М[Прим.])),0))</f>
        <v>0</v>
      </c>
      <c r="N68" s="31">
        <f>ROUND($L$68*$M$68,2)</f>
        <v>0</v>
      </c>
      <c r="O68" s="25"/>
      <c r="P68" s="25">
        <f t="array" ref="P68">INDEX(М[Форма закупа],MATCH(1,IF(($B68=М[Наим.])*($C68=М[Артикул, марка, произв.])*($D68=М[Хар-ка])*($O68=М[Прим.]),{1},($B68=М[Наим.])*($C68=М[Артикул, марка, произв.])*($D68=М[Хар-ка])*($O68=М[Прим.])),0))</f>
        <v>0</v>
      </c>
    </row>
    <row r="69" spans="1:16" ht="22.5" outlineLevel="4" x14ac:dyDescent="0.2">
      <c r="A69" s="23" t="s">
        <v>37</v>
      </c>
      <c r="B69" s="24" t="s">
        <v>86</v>
      </c>
      <c r="C69" s="25"/>
      <c r="D69" s="25" t="s">
        <v>87</v>
      </c>
      <c r="E69" s="26" t="s">
        <v>23</v>
      </c>
      <c r="F69" s="27"/>
      <c r="G69" s="28">
        <v>2</v>
      </c>
      <c r="H69" s="28">
        <v>2</v>
      </c>
      <c r="I69" s="27"/>
      <c r="J69" s="28">
        <v>32</v>
      </c>
      <c r="K69" s="28">
        <v>10</v>
      </c>
      <c r="L69" s="28">
        <f>SUM($G$69:$K$69)</f>
        <v>46</v>
      </c>
      <c r="M69" s="31">
        <f t="array" ref="M69">INDEX(М[Цена за ед., руб],MATCH(1,IF(($B69=М[Наим.])*($C69=М[Артикул, марка, произв.])*($D69=М[Хар-ка])*($O69=М[Прим.]),{1},($B69=М[Наим.])*($C69=М[Артикул, марка, произв.])*($D69=М[Хар-ка])*($O69=М[Прим.])),0))</f>
        <v>0</v>
      </c>
      <c r="N69" s="31">
        <f>ROUND($L$69*$M$69,2)</f>
        <v>0</v>
      </c>
      <c r="O69" s="25"/>
      <c r="P69" s="25">
        <f t="array" ref="P69">INDEX(М[Форма закупа],MATCH(1,IF(($B69=М[Наим.])*($C69=М[Артикул, марка, произв.])*($D69=М[Хар-ка])*($O69=М[Прим.]),{1},($B69=М[Наим.])*($C69=М[Артикул, марка, произв.])*($D69=М[Хар-ка])*($O69=М[Прим.])),0))</f>
        <v>0</v>
      </c>
    </row>
    <row r="70" spans="1:16" outlineLevel="4" x14ac:dyDescent="0.2">
      <c r="A70" s="20"/>
      <c r="B70" s="14" t="s">
        <v>21</v>
      </c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59"/>
      <c r="N70" s="60">
        <f>SUM($N$71)</f>
        <v>0</v>
      </c>
      <c r="O70" s="18"/>
      <c r="P70" s="22"/>
    </row>
    <row r="71" spans="1:16" ht="33.75" outlineLevel="4" x14ac:dyDescent="0.2">
      <c r="A71" s="23"/>
      <c r="B71" s="24" t="s">
        <v>88</v>
      </c>
      <c r="C71" s="25"/>
      <c r="D71" s="25"/>
      <c r="E71" s="26" t="s">
        <v>23</v>
      </c>
      <c r="F71" s="27"/>
      <c r="G71" s="27"/>
      <c r="H71" s="27"/>
      <c r="I71" s="27"/>
      <c r="J71" s="28">
        <v>58</v>
      </c>
      <c r="K71" s="27"/>
      <c r="L71" s="28">
        <f>SUM($G$71:$K$71)</f>
        <v>58</v>
      </c>
      <c r="M71" s="31">
        <f t="array" ref="M71">INDEX(Р[Цена за ед., руб],MATCH(1,IF(($B71=Р[Наименование])*($O71=Р[Примечание]),{1},($B71=Р[Наименование])*($O71=Р[Примечание])),0))</f>
        <v>0</v>
      </c>
      <c r="N71" s="31">
        <f>ROUND($L$71*$M$71,2)</f>
        <v>0</v>
      </c>
      <c r="O71" s="25"/>
      <c r="P71" s="25"/>
    </row>
    <row r="72" spans="1:16" outlineLevel="4" x14ac:dyDescent="0.2">
      <c r="A72" s="20"/>
      <c r="B72" s="14" t="s">
        <v>26</v>
      </c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59"/>
      <c r="N72" s="60">
        <f>SUM($N$73)</f>
        <v>0</v>
      </c>
      <c r="O72" s="18"/>
      <c r="P72" s="22"/>
    </row>
    <row r="73" spans="1:16" ht="22.5" outlineLevel="4" x14ac:dyDescent="0.2">
      <c r="A73" s="23" t="s">
        <v>27</v>
      </c>
      <c r="B73" s="24" t="s">
        <v>89</v>
      </c>
      <c r="C73" s="25"/>
      <c r="D73" s="25" t="s">
        <v>90</v>
      </c>
      <c r="E73" s="26" t="s">
        <v>23</v>
      </c>
      <c r="F73" s="27"/>
      <c r="G73" s="27"/>
      <c r="H73" s="27"/>
      <c r="I73" s="27"/>
      <c r="J73" s="28">
        <v>58</v>
      </c>
      <c r="K73" s="27"/>
      <c r="L73" s="28">
        <f>SUM($G$73:$K$73)</f>
        <v>58</v>
      </c>
      <c r="M73" s="31">
        <f t="array" ref="M73">INDEX(М[Цена за ед., руб],MATCH(1,IF(($B73=М[Наим.])*($C73=М[Артикул, марка, произв.])*($D73=М[Хар-ка])*($O73=М[Прим.]),{1},($B73=М[Наим.])*($C73=М[Артикул, марка, произв.])*($D73=М[Хар-ка])*($O73=М[Прим.])),0))</f>
        <v>0</v>
      </c>
      <c r="N73" s="31">
        <f>ROUND($L$73*$M$73,2)</f>
        <v>0</v>
      </c>
      <c r="O73" s="25"/>
      <c r="P73" s="25">
        <f t="array" ref="P73">INDEX(М[Форма закупа],MATCH(1,IF(($B73=М[Наим.])*($C73=М[Артикул, марка, произв.])*($D73=М[Хар-ка])*($O73=М[Прим.]),{1},($B73=М[Наим.])*($C73=М[Артикул, марка, произв.])*($D73=М[Хар-ка])*($O73=М[Прим.])),0))</f>
        <v>0</v>
      </c>
    </row>
    <row r="74" spans="1:16" outlineLevel="4" x14ac:dyDescent="0.2">
      <c r="A74" s="20"/>
      <c r="B74" s="14" t="s">
        <v>21</v>
      </c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59"/>
      <c r="N74" s="60">
        <f>SUM($N$75)</f>
        <v>0</v>
      </c>
      <c r="O74" s="18"/>
      <c r="P74" s="22"/>
    </row>
    <row r="75" spans="1:16" outlineLevel="4" x14ac:dyDescent="0.2">
      <c r="A75" s="23"/>
      <c r="B75" s="24" t="s">
        <v>91</v>
      </c>
      <c r="C75" s="25"/>
      <c r="D75" s="25"/>
      <c r="E75" s="26" t="s">
        <v>92</v>
      </c>
      <c r="F75" s="27"/>
      <c r="G75" s="29">
        <v>42.81</v>
      </c>
      <c r="H75" s="29">
        <v>97.27</v>
      </c>
      <c r="I75" s="29">
        <v>87.21</v>
      </c>
      <c r="J75" s="29">
        <v>281.74</v>
      </c>
      <c r="K75" s="29">
        <v>159.79</v>
      </c>
      <c r="L75" s="29">
        <f>SUM($G$75:$K$75)</f>
        <v>668.82</v>
      </c>
      <c r="M75" s="31">
        <f t="array" ref="M75">INDEX(Р[Цена за ед., руб],MATCH(1,IF(($B75=Р[Наименование])*($O75=Р[Примечание]),{1},($B75=Р[Наименование])*($O75=Р[Примечание])),0))</f>
        <v>0</v>
      </c>
      <c r="N75" s="31">
        <f>ROUND($L$75*$M$75,2)</f>
        <v>0</v>
      </c>
      <c r="O75" s="25"/>
      <c r="P75" s="25"/>
    </row>
    <row r="76" spans="1:16" outlineLevel="4" x14ac:dyDescent="0.2">
      <c r="A76" s="20"/>
      <c r="B76" s="14" t="s">
        <v>26</v>
      </c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59"/>
      <c r="N76" s="60">
        <f>SUM($N$77)</f>
        <v>0</v>
      </c>
      <c r="O76" s="18"/>
      <c r="P76" s="22"/>
    </row>
    <row r="77" spans="1:16" outlineLevel="4" x14ac:dyDescent="0.2">
      <c r="A77" s="23" t="s">
        <v>27</v>
      </c>
      <c r="B77" s="24" t="s">
        <v>93</v>
      </c>
      <c r="C77" s="25"/>
      <c r="D77" s="25" t="s">
        <v>94</v>
      </c>
      <c r="E77" s="26" t="s">
        <v>92</v>
      </c>
      <c r="F77" s="27"/>
      <c r="G77" s="29">
        <v>42.81</v>
      </c>
      <c r="H77" s="29">
        <v>97.27</v>
      </c>
      <c r="I77" s="29">
        <v>87.21</v>
      </c>
      <c r="J77" s="29">
        <v>281.74</v>
      </c>
      <c r="K77" s="29">
        <v>159.79</v>
      </c>
      <c r="L77" s="29">
        <f>SUM($G$77:$K$77)</f>
        <v>668.82</v>
      </c>
      <c r="M77" s="31">
        <f t="array" ref="M77">INDEX(М[Цена за ед., руб],MATCH(1,IF(($B77=М[Наим.])*($C77=М[Артикул, марка, произв.])*($D77=М[Хар-ка])*($O77=М[Прим.]),{1},($B77=М[Наим.])*($C77=М[Артикул, марка, произв.])*($D77=М[Хар-ка])*($O77=М[Прим.])),0))</f>
        <v>0</v>
      </c>
      <c r="N77" s="31">
        <f>ROUND($L$77*$M$77,2)</f>
        <v>0</v>
      </c>
      <c r="O77" s="25" t="s">
        <v>95</v>
      </c>
      <c r="P77" s="25">
        <f t="array" ref="P77">INDEX(М[Форма закупа],MATCH(1,IF(($B77=М[Наим.])*($C77=М[Артикул, марка, произв.])*($D77=М[Хар-ка])*($O77=М[Прим.]),{1},($B77=М[Наим.])*($C77=М[Артикул, марка, произв.])*($D77=М[Хар-ка])*($O77=М[Прим.])),0))</f>
        <v>0</v>
      </c>
    </row>
    <row r="78" spans="1:16" outlineLevel="4" x14ac:dyDescent="0.2">
      <c r="A78" s="20"/>
      <c r="B78" s="14" t="s">
        <v>21</v>
      </c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59"/>
      <c r="N78" s="60">
        <f>SUM($N$79)</f>
        <v>0</v>
      </c>
      <c r="O78" s="18"/>
      <c r="P78" s="22"/>
    </row>
    <row r="79" spans="1:16" outlineLevel="4" x14ac:dyDescent="0.2">
      <c r="A79" s="23"/>
      <c r="B79" s="24" t="s">
        <v>96</v>
      </c>
      <c r="C79" s="25"/>
      <c r="D79" s="25"/>
      <c r="E79" s="26" t="s">
        <v>97</v>
      </c>
      <c r="F79" s="27"/>
      <c r="G79" s="27"/>
      <c r="H79" s="27"/>
      <c r="I79" s="27"/>
      <c r="J79" s="28">
        <v>174</v>
      </c>
      <c r="K79" s="27"/>
      <c r="L79" s="28">
        <f>SUM($G$79:$K$79)</f>
        <v>174</v>
      </c>
      <c r="M79" s="31">
        <f t="array" ref="M79">INDEX(Р[Цена за ед., руб],MATCH(1,IF(($B79=Р[Наименование])*($O79=Р[Примечание]),{1},($B79=Р[Наименование])*($O79=Р[Примечание])),0))</f>
        <v>0</v>
      </c>
      <c r="N79" s="31">
        <f>ROUND($L$79*$M$79,2)</f>
        <v>0</v>
      </c>
      <c r="O79" s="25"/>
      <c r="P79" s="25"/>
    </row>
    <row r="80" spans="1:16" outlineLevel="4" x14ac:dyDescent="0.2">
      <c r="A80" s="20"/>
      <c r="B80" s="14" t="s">
        <v>26</v>
      </c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59"/>
      <c r="N80" s="60">
        <f>SUM($N$81)</f>
        <v>0</v>
      </c>
      <c r="O80" s="18"/>
      <c r="P80" s="22"/>
    </row>
    <row r="81" spans="1:17" ht="22.5" outlineLevel="4" x14ac:dyDescent="0.2">
      <c r="A81" s="80" t="s">
        <v>27</v>
      </c>
      <c r="B81" s="24" t="s">
        <v>98</v>
      </c>
      <c r="C81" s="25"/>
      <c r="D81" s="25" t="s">
        <v>99</v>
      </c>
      <c r="E81" s="26" t="s">
        <v>97</v>
      </c>
      <c r="F81" s="27"/>
      <c r="G81" s="27"/>
      <c r="H81" s="27"/>
      <c r="I81" s="27"/>
      <c r="J81" s="28">
        <v>174</v>
      </c>
      <c r="K81" s="27"/>
      <c r="L81" s="28">
        <f>SUM($G$81:$K$81)</f>
        <v>174</v>
      </c>
      <c r="M81" s="31">
        <f t="array" ref="M81">INDEX(М[Цена за ед., руб],MATCH(1,IF(($B81=М[Наим.])*($C81=М[Артикул, марка, произв.])*($D81=М[Хар-ка])*($O81=М[Прим.]),{1},($B81=М[Наим.])*($C81=М[Артикул, марка, произв.])*($D81=М[Хар-ка])*($O81=М[Прим.])),0))</f>
        <v>0</v>
      </c>
      <c r="N81" s="31">
        <f>ROUND($L$81*$M$81,2)</f>
        <v>0</v>
      </c>
      <c r="O81" s="25"/>
      <c r="P81" s="25">
        <f t="array" ref="P81">INDEX(М[Форма закупа],MATCH(1,IF(($B81=М[Наим.])*($C81=М[Артикул, марка, произв.])*($D81=М[Хар-ка])*($O81=М[Прим.]),{1},($B81=М[Наим.])*($C81=М[Артикул, марка, произв.])*($D81=М[Хар-ка])*($O81=М[Прим.])),0))</f>
        <v>0</v>
      </c>
    </row>
    <row r="82" spans="1:17" outlineLevel="4" x14ac:dyDescent="0.2">
      <c r="A82" s="20"/>
      <c r="B82" s="14" t="s">
        <v>21</v>
      </c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59"/>
      <c r="N82" s="60">
        <f>SUM($N$83)</f>
        <v>0</v>
      </c>
      <c r="O82" s="18"/>
      <c r="P82" s="22"/>
    </row>
    <row r="83" spans="1:17" outlineLevel="4" x14ac:dyDescent="0.2">
      <c r="A83" s="23"/>
      <c r="B83" s="24" t="s">
        <v>100</v>
      </c>
      <c r="C83" s="25"/>
      <c r="D83" s="25"/>
      <c r="E83" s="26" t="s">
        <v>97</v>
      </c>
      <c r="F83" s="27"/>
      <c r="G83" s="30">
        <v>408.7</v>
      </c>
      <c r="H83" s="29">
        <v>982.28</v>
      </c>
      <c r="I83" s="30">
        <v>716.1</v>
      </c>
      <c r="J83" s="31">
        <v>3053.78</v>
      </c>
      <c r="K83" s="31">
        <v>1719.46</v>
      </c>
      <c r="L83" s="31">
        <f>SUM($G$83:$K$83)</f>
        <v>6880.32</v>
      </c>
      <c r="M83" s="31">
        <f t="array" ref="M83">INDEX(Р[Цена за ед., руб],MATCH(1,IF(($B83=Р[Наименование])*($O83=Р[Примечание]),{1},($B83=Р[Наименование])*($O83=Р[Примечание])),0))</f>
        <v>0</v>
      </c>
      <c r="N83" s="31">
        <f>ROUND($L$83*$M$83,2)</f>
        <v>0</v>
      </c>
      <c r="O83" s="25"/>
      <c r="P83" s="25"/>
    </row>
    <row r="84" spans="1:17" outlineLevel="4" x14ac:dyDescent="0.2">
      <c r="A84" s="20"/>
      <c r="B84" s="14" t="s">
        <v>26</v>
      </c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59"/>
      <c r="N84" s="60">
        <f>SUM($N$85:$N$91)</f>
        <v>0</v>
      </c>
      <c r="O84" s="18"/>
      <c r="P84" s="22"/>
    </row>
    <row r="85" spans="1:17" ht="22.5" outlineLevel="4" x14ac:dyDescent="0.2">
      <c r="A85" s="80" t="s">
        <v>27</v>
      </c>
      <c r="B85" s="24" t="s">
        <v>101</v>
      </c>
      <c r="C85" s="25"/>
      <c r="D85" s="25" t="s">
        <v>102</v>
      </c>
      <c r="E85" s="26" t="s">
        <v>97</v>
      </c>
      <c r="F85" s="27"/>
      <c r="G85" s="27"/>
      <c r="H85" s="27"/>
      <c r="I85" s="27"/>
      <c r="J85" s="28">
        <v>642</v>
      </c>
      <c r="K85" s="27"/>
      <c r="L85" s="28">
        <f>SUM($G$85:$K$85)</f>
        <v>642</v>
      </c>
      <c r="M85" s="31">
        <f t="array" ref="M85">INDEX(М[Цена за ед., руб],MATCH(1,IF(($B85=М[Наим.])*($C85=М[Артикул, марка, произв.])*($D85=М[Хар-ка])*($O85=М[Прим.]),{1},($B85=М[Наим.])*($C85=М[Артикул, марка, произв.])*($D85=М[Хар-ка])*($O85=М[Прим.])),0))</f>
        <v>0</v>
      </c>
      <c r="N85" s="31">
        <f>ROUND($L$85*$M$85,2)</f>
        <v>0</v>
      </c>
      <c r="O85" s="25"/>
      <c r="P85" s="25">
        <f t="array" ref="P85">INDEX(М[Форма закупа],MATCH(1,IF(($B85=М[Наим.])*($C85=М[Артикул, марка, произв.])*($D85=М[Хар-ка])*($O85=М[Прим.]),{1},($B85=М[Наим.])*($C85=М[Артикул, марка, произв.])*($D85=М[Хар-ка])*($O85=М[Прим.])),0))</f>
        <v>0</v>
      </c>
      <c r="Q85" s="62"/>
    </row>
    <row r="86" spans="1:17" ht="22.5" outlineLevel="4" x14ac:dyDescent="0.2">
      <c r="A86" s="80" t="s">
        <v>33</v>
      </c>
      <c r="B86" s="24" t="s">
        <v>101</v>
      </c>
      <c r="C86" s="25"/>
      <c r="D86" s="25" t="s">
        <v>103</v>
      </c>
      <c r="E86" s="26" t="s">
        <v>97</v>
      </c>
      <c r="F86" s="27"/>
      <c r="G86" s="28">
        <v>145</v>
      </c>
      <c r="H86" s="28">
        <v>226</v>
      </c>
      <c r="I86" s="28">
        <v>165</v>
      </c>
      <c r="J86" s="29">
        <v>230.72</v>
      </c>
      <c r="K86" s="28">
        <v>254</v>
      </c>
      <c r="L86" s="31">
        <f>SUM($G$86:$K$86)</f>
        <v>1020.72</v>
      </c>
      <c r="M86" s="31">
        <f t="array" ref="M86">INDEX(М[Цена за ед., руб],MATCH(1,IF(($B86=М[Наим.])*($C86=М[Артикул, марка, произв.])*($D86=М[Хар-ка])*($O86=М[Прим.]),{1},($B86=М[Наим.])*($C86=М[Артикул, марка, произв.])*($D86=М[Хар-ка])*($O86=М[Прим.])),0))</f>
        <v>0</v>
      </c>
      <c r="N86" s="31">
        <f>ROUND($L$86*$M$86,2)</f>
        <v>0</v>
      </c>
      <c r="O86" s="25"/>
      <c r="P86" s="25">
        <f t="array" ref="P86">INDEX(М[Форма закупа],MATCH(1,IF(($B86=М[Наим.])*($C86=М[Артикул, марка, произв.])*($D86=М[Хар-ка])*($O86=М[Прим.]),{1},($B86=М[Наим.])*($C86=М[Артикул, марка, произв.])*($D86=М[Хар-ка])*($O86=М[Прим.])),0))</f>
        <v>0</v>
      </c>
      <c r="Q86" s="62"/>
    </row>
    <row r="87" spans="1:17" ht="22.5" outlineLevel="4" x14ac:dyDescent="0.2">
      <c r="A87" s="80" t="s">
        <v>35</v>
      </c>
      <c r="B87" s="24" t="s">
        <v>101</v>
      </c>
      <c r="C87" s="25"/>
      <c r="D87" s="25" t="s">
        <v>104</v>
      </c>
      <c r="E87" s="26" t="s">
        <v>97</v>
      </c>
      <c r="F87" s="27"/>
      <c r="G87" s="27"/>
      <c r="H87" s="27"/>
      <c r="I87" s="28">
        <v>63</v>
      </c>
      <c r="J87" s="27"/>
      <c r="K87" s="27"/>
      <c r="L87" s="28">
        <f>SUM($G$87:$K$87)</f>
        <v>63</v>
      </c>
      <c r="M87" s="31">
        <f t="array" ref="M87">INDEX(М[Цена за ед., руб],MATCH(1,IF(($B87=М[Наим.])*($C87=М[Артикул, марка, произв.])*($D87=М[Хар-ка])*($O87=М[Прим.]),{1},($B87=М[Наим.])*($C87=М[Артикул, марка, произв.])*($D87=М[Хар-ка])*($O87=М[Прим.])),0))</f>
        <v>0</v>
      </c>
      <c r="N87" s="31">
        <f>ROUND($L$87*$M$87,2)</f>
        <v>0</v>
      </c>
      <c r="O87" s="25"/>
      <c r="P87" s="25">
        <f t="array" ref="P87">INDEX(М[Форма закупа],MATCH(1,IF(($B87=М[Наим.])*($C87=М[Артикул, марка, произв.])*($D87=М[Хар-ка])*($O87=М[Прим.]),{1},($B87=М[Наим.])*($C87=М[Артикул, марка, произв.])*($D87=М[Хар-ка])*($O87=М[Прим.])),0))</f>
        <v>0</v>
      </c>
    </row>
    <row r="88" spans="1:17" ht="22.5" outlineLevel="4" x14ac:dyDescent="0.2">
      <c r="A88" s="80" t="s">
        <v>37</v>
      </c>
      <c r="B88" s="24" t="s">
        <v>101</v>
      </c>
      <c r="C88" s="25"/>
      <c r="D88" s="25" t="s">
        <v>105</v>
      </c>
      <c r="E88" s="26" t="s">
        <v>97</v>
      </c>
      <c r="F88" s="27"/>
      <c r="G88" s="27"/>
      <c r="H88" s="27"/>
      <c r="I88" s="28">
        <v>57</v>
      </c>
      <c r="J88" s="27"/>
      <c r="K88" s="27"/>
      <c r="L88" s="28">
        <f>SUM($G$88:$K$88)</f>
        <v>57</v>
      </c>
      <c r="M88" s="31">
        <f t="array" ref="M88">INDEX(М[Цена за ед., руб],MATCH(1,IF(($B88=М[Наим.])*($C88=М[Артикул, марка, произв.])*($D88=М[Хар-ка])*($O88=М[Прим.]),{1},($B88=М[Наим.])*($C88=М[Артикул, марка, произв.])*($D88=М[Хар-ка])*($O88=М[Прим.])),0))</f>
        <v>0</v>
      </c>
      <c r="N88" s="31">
        <f>ROUND($L$88*$M$88,2)</f>
        <v>0</v>
      </c>
      <c r="O88" s="25"/>
      <c r="P88" s="25">
        <f t="array" ref="P88">INDEX(М[Форма закупа],MATCH(1,IF(($B88=М[Наим.])*($C88=М[Артикул, марка, произв.])*($D88=М[Хар-ка])*($O88=М[Прим.]),{1},($B88=М[Наим.])*($C88=М[Артикул, марка, произв.])*($D88=М[Хар-ка])*($O88=М[Прим.])),0))</f>
        <v>0</v>
      </c>
    </row>
    <row r="89" spans="1:17" ht="22.5" outlineLevel="4" x14ac:dyDescent="0.2">
      <c r="A89" s="80" t="s">
        <v>39</v>
      </c>
      <c r="B89" s="24" t="s">
        <v>101</v>
      </c>
      <c r="C89" s="25"/>
      <c r="D89" s="25" t="s">
        <v>106</v>
      </c>
      <c r="E89" s="26" t="s">
        <v>97</v>
      </c>
      <c r="F89" s="27"/>
      <c r="G89" s="28">
        <v>165</v>
      </c>
      <c r="H89" s="29">
        <v>583.98</v>
      </c>
      <c r="I89" s="29">
        <v>223.98</v>
      </c>
      <c r="J89" s="28">
        <v>132</v>
      </c>
      <c r="K89" s="32">
        <v>1092</v>
      </c>
      <c r="L89" s="31">
        <f>SUM($G$89:$K$89)</f>
        <v>2196.96</v>
      </c>
      <c r="M89" s="31">
        <f t="array" ref="M89">INDEX(М[Цена за ед., руб],MATCH(1,IF(($B89=М[Наим.])*($C89=М[Артикул, марка, произв.])*($D89=М[Хар-ка])*($O89=М[Прим.]),{1},($B89=М[Наим.])*($C89=М[Артикул, марка, произв.])*($D89=М[Хар-ка])*($O89=М[Прим.])),0))</f>
        <v>0</v>
      </c>
      <c r="N89" s="31">
        <f>ROUND($L$89*$M$89,2)</f>
        <v>0</v>
      </c>
      <c r="O89" s="25"/>
      <c r="P89" s="25">
        <f t="array" ref="P89">INDEX(М[Форма закупа],MATCH(1,IF(($B89=М[Наим.])*($C89=М[Артикул, марка, произв.])*($D89=М[Хар-ка])*($O89=М[Прим.]),{1},($B89=М[Наим.])*($C89=М[Артикул, марка, произв.])*($D89=М[Хар-ка])*($O89=М[Прим.])),0))</f>
        <v>0</v>
      </c>
    </row>
    <row r="90" spans="1:17" ht="22.5" outlineLevel="4" x14ac:dyDescent="0.2">
      <c r="A90" s="80" t="s">
        <v>41</v>
      </c>
      <c r="B90" s="24" t="s">
        <v>101</v>
      </c>
      <c r="C90" s="25"/>
      <c r="D90" s="25" t="s">
        <v>107</v>
      </c>
      <c r="E90" s="26" t="s">
        <v>97</v>
      </c>
      <c r="F90" s="27"/>
      <c r="G90" s="30">
        <v>13.2</v>
      </c>
      <c r="H90" s="30">
        <v>55.8</v>
      </c>
      <c r="I90" s="29">
        <v>121.12</v>
      </c>
      <c r="J90" s="29">
        <v>699.56</v>
      </c>
      <c r="K90" s="29">
        <v>102.96</v>
      </c>
      <c r="L90" s="29">
        <f>SUM($G$90:$K$90)</f>
        <v>992.64</v>
      </c>
      <c r="M90" s="31">
        <f t="array" ref="M90">INDEX(М[Цена за ед., руб],MATCH(1,IF(($B90=М[Наим.])*($C90=М[Артикул, марка, произв.])*($D90=М[Хар-ка])*($O90=М[Прим.]),{1},($B90=М[Наим.])*($C90=М[Артикул, марка, произв.])*($D90=М[Хар-ка])*($O90=М[Прим.])),0))</f>
        <v>0</v>
      </c>
      <c r="N90" s="31">
        <f>ROUND($L$90*$M$90,2)</f>
        <v>0</v>
      </c>
      <c r="O90" s="25" t="s">
        <v>108</v>
      </c>
      <c r="P90" s="25">
        <f t="array" ref="P90">INDEX(М[Форма закупа],MATCH(1,IF(($B90=М[Наим.])*($C90=М[Артикул, марка, произв.])*($D90=М[Хар-ка])*($O90=М[Прим.]),{1},($B90=М[Наим.])*($C90=М[Артикул, марка, произв.])*($D90=М[Хар-ка])*($O90=М[Прим.])),0))</f>
        <v>0</v>
      </c>
    </row>
    <row r="91" spans="1:17" ht="22.5" outlineLevel="4" x14ac:dyDescent="0.2">
      <c r="A91" s="80" t="s">
        <v>109</v>
      </c>
      <c r="B91" s="24" t="s">
        <v>101</v>
      </c>
      <c r="C91" s="25"/>
      <c r="D91" s="25" t="s">
        <v>110</v>
      </c>
      <c r="E91" s="26" t="s">
        <v>97</v>
      </c>
      <c r="F91" s="27"/>
      <c r="G91" s="30">
        <v>85.5</v>
      </c>
      <c r="H91" s="30">
        <v>116.5</v>
      </c>
      <c r="I91" s="28">
        <v>86</v>
      </c>
      <c r="J91" s="33">
        <v>1349.5</v>
      </c>
      <c r="K91" s="30">
        <v>270.5</v>
      </c>
      <c r="L91" s="32">
        <f>SUM($G$91:$K$91)</f>
        <v>1908</v>
      </c>
      <c r="M91" s="31">
        <f t="array" ref="M91">INDEX(М[Цена за ед., руб],MATCH(1,IF(($B91=М[Наим.])*($C91=М[Артикул, марка, произв.])*($D91=М[Хар-ка])*($O91=М[Прим.]),{1},($B91=М[Наим.])*($C91=М[Артикул, марка, произв.])*($D91=М[Хар-ка])*($O91=М[Прим.])),0))</f>
        <v>0</v>
      </c>
      <c r="N91" s="31">
        <f>ROUND($L$91*$M$91,2)</f>
        <v>0</v>
      </c>
      <c r="O91" s="25"/>
      <c r="P91" s="25">
        <f t="array" ref="P91">INDEX(М[Форма закупа],MATCH(1,IF(($B91=М[Наим.])*($C91=М[Артикул, марка, произв.])*($D91=М[Хар-ка])*($O91=М[Прим.]),{1},($B91=М[Наим.])*($C91=М[Артикул, марка, произв.])*($D91=М[Хар-ка])*($O91=М[Прим.])),0))</f>
        <v>0</v>
      </c>
    </row>
    <row r="92" spans="1:17" outlineLevel="4" x14ac:dyDescent="0.2">
      <c r="A92" s="63"/>
      <c r="B92" s="64" t="s">
        <v>26</v>
      </c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59"/>
      <c r="N92" s="68">
        <f>SUM(N93:N94)</f>
        <v>0</v>
      </c>
      <c r="O92" s="18"/>
      <c r="P92" s="22"/>
    </row>
    <row r="93" spans="1:17" ht="22.5" outlineLevel="4" x14ac:dyDescent="0.2">
      <c r="A93" s="81" t="s">
        <v>27</v>
      </c>
      <c r="B93" s="65" t="s">
        <v>145</v>
      </c>
      <c r="C93" s="25"/>
      <c r="D93" s="25"/>
      <c r="E93" s="66" t="s">
        <v>111</v>
      </c>
      <c r="F93" s="27"/>
      <c r="G93" s="27"/>
      <c r="H93" s="27"/>
      <c r="I93" s="27"/>
      <c r="J93" s="27"/>
      <c r="K93" s="27"/>
      <c r="L93" s="67">
        <f>Материалы!E41</f>
        <v>0</v>
      </c>
      <c r="M93" s="31"/>
      <c r="N93" s="69">
        <f>ROUND(SUM(N81,N85:N91)*L93%,3)</f>
        <v>0</v>
      </c>
      <c r="O93" s="25" t="s">
        <v>146</v>
      </c>
      <c r="P93" s="25">
        <f t="array" ref="P93">INDEX(М[Форма закупа],MATCH(1,IF(($B93=М[Наим.])*($C93=М[Артикул, марка, произв.])*($D93=М[Хар-ка])*($O93=М[Прим.]),{1},($B93=М[Наим.])*($C93=М[Артикул, марка, произв.])*($D93=М[Хар-ка])*($O93=М[Прим.])),0))</f>
        <v>0</v>
      </c>
    </row>
    <row r="94" spans="1:17" ht="22.5" outlineLevel="4" x14ac:dyDescent="0.2">
      <c r="A94" s="81">
        <v>2</v>
      </c>
      <c r="B94" s="65" t="s">
        <v>144</v>
      </c>
      <c r="C94" s="25"/>
      <c r="D94" s="25"/>
      <c r="E94" s="66" t="s">
        <v>111</v>
      </c>
      <c r="F94" s="27"/>
      <c r="G94" s="27"/>
      <c r="H94" s="27"/>
      <c r="I94" s="27"/>
      <c r="J94" s="27"/>
      <c r="K94" s="27"/>
      <c r="L94" s="67">
        <f>Материалы!E42</f>
        <v>0</v>
      </c>
      <c r="M94" s="31"/>
      <c r="N94" s="69">
        <f>ROUND(SUM(N19,N23:N28,N32:N37,N41:N42,N46:N47,N51,N55:N58,N62,N66:N69,N73,N77,N81,N85:N91)*L94%,3)</f>
        <v>0</v>
      </c>
      <c r="O94" s="25" t="s">
        <v>146</v>
      </c>
      <c r="P94" s="25">
        <f t="array" ref="P94">INDEX(М[Форма закупа],MATCH(1,IF(($B94=М[Наим.])*($C94=М[Артикул, марка, произв.])*($D94=М[Хар-ка])*($O94=М[Прим.]),{1},($B94=М[Наим.])*($C94=М[Артикул, марка, произв.])*($D94=М[Хар-ка])*($O94=М[Прим.])),0))</f>
        <v>0</v>
      </c>
    </row>
    <row r="95" spans="1:17" outlineLevel="2" x14ac:dyDescent="0.2">
      <c r="A95" s="13" t="s">
        <v>112</v>
      </c>
      <c r="B95" s="14" t="s">
        <v>113</v>
      </c>
      <c r="C95" s="15"/>
      <c r="D95" s="15"/>
      <c r="E95" s="16"/>
      <c r="F95" s="17"/>
      <c r="G95" s="18"/>
      <c r="H95" s="18"/>
      <c r="I95" s="18"/>
      <c r="J95" s="18"/>
      <c r="K95" s="18"/>
      <c r="L95" s="18"/>
      <c r="M95" s="58"/>
      <c r="N95" s="58">
        <f>SUM($N$96)</f>
        <v>0</v>
      </c>
      <c r="O95" s="19"/>
      <c r="P95" s="19"/>
    </row>
    <row r="96" spans="1:17" outlineLevel="3" x14ac:dyDescent="0.2">
      <c r="A96" s="13" t="s">
        <v>114</v>
      </c>
      <c r="B96" s="14" t="s">
        <v>113</v>
      </c>
      <c r="C96" s="15"/>
      <c r="D96" s="15"/>
      <c r="E96" s="16"/>
      <c r="F96" s="17"/>
      <c r="G96" s="18"/>
      <c r="H96" s="18"/>
      <c r="I96" s="18"/>
      <c r="J96" s="18"/>
      <c r="K96" s="18"/>
      <c r="L96" s="18"/>
      <c r="M96" s="58"/>
      <c r="N96" s="58">
        <f>SUM($N$97)</f>
        <v>0</v>
      </c>
      <c r="O96" s="19"/>
      <c r="P96" s="19"/>
    </row>
    <row r="97" spans="1:19" outlineLevel="4" x14ac:dyDescent="0.2">
      <c r="A97" s="20"/>
      <c r="B97" s="14" t="s">
        <v>21</v>
      </c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59"/>
      <c r="N97" s="60">
        <f>SUM($N$98)</f>
        <v>0</v>
      </c>
      <c r="O97" s="18"/>
      <c r="P97" s="22"/>
    </row>
    <row r="98" spans="1:19" ht="33.75" outlineLevel="4" x14ac:dyDescent="0.2">
      <c r="A98" s="23"/>
      <c r="B98" s="24" t="s">
        <v>115</v>
      </c>
      <c r="C98" s="25"/>
      <c r="D98" s="25"/>
      <c r="E98" s="26" t="s">
        <v>116</v>
      </c>
      <c r="F98" s="27"/>
      <c r="G98" s="28">
        <v>1</v>
      </c>
      <c r="H98" s="28">
        <v>1</v>
      </c>
      <c r="I98" s="28">
        <v>1</v>
      </c>
      <c r="J98" s="28">
        <v>1</v>
      </c>
      <c r="K98" s="28">
        <v>1</v>
      </c>
      <c r="L98" s="28">
        <f>SUM($G$98:$K$98)</f>
        <v>5</v>
      </c>
      <c r="M98" s="31">
        <f t="array" ref="M98">INDEX(Р[Цена за ед., руб],MATCH(1,IF(($B98=Р[Наименование])*($O98=Р[Примечание]),{1},($B98=Р[Наименование])*($O98=Р[Примечание])),0))</f>
        <v>0</v>
      </c>
      <c r="N98" s="31">
        <f>ROUND($L$98*$M$98,2)</f>
        <v>0</v>
      </c>
      <c r="O98" s="25"/>
      <c r="P98" s="25"/>
    </row>
    <row r="99" spans="1:19" x14ac:dyDescent="0.2">
      <c r="A99" s="34"/>
      <c r="B99" s="93" t="s">
        <v>117</v>
      </c>
      <c r="C99" s="94"/>
      <c r="D99" s="94"/>
      <c r="E99" s="94"/>
      <c r="F99" s="94"/>
      <c r="G99" s="94"/>
      <c r="H99" s="94"/>
      <c r="I99" s="94"/>
      <c r="J99" s="94"/>
      <c r="K99" s="94"/>
      <c r="L99" s="94"/>
      <c r="M99" s="95"/>
      <c r="N99" s="61">
        <f>$N$9</f>
        <v>0</v>
      </c>
      <c r="O99" s="35"/>
      <c r="P99" s="35"/>
    </row>
    <row r="100" spans="1:19" x14ac:dyDescent="0.2">
      <c r="A100" s="34"/>
      <c r="B100" s="96" t="s">
        <v>118</v>
      </c>
      <c r="C100" s="97"/>
      <c r="D100" s="97"/>
      <c r="E100" s="97"/>
      <c r="F100" s="97"/>
      <c r="G100" s="97"/>
      <c r="H100" s="97"/>
      <c r="I100" s="97"/>
      <c r="J100" s="97"/>
      <c r="K100" s="97"/>
      <c r="L100" s="97"/>
      <c r="M100" s="98"/>
      <c r="N100" s="61">
        <f>SUM($N$97,$N$82,$N$78,$N$74,$N$70,$N$63,$N$59,$N$52,$N$48,$N$43,$N$38,$N$29,$N$20,$N$16,$N$14,$N$12)</f>
        <v>0</v>
      </c>
      <c r="O100" s="35"/>
      <c r="P100" s="35"/>
    </row>
    <row r="101" spans="1:19" x14ac:dyDescent="0.2">
      <c r="A101" s="34"/>
      <c r="B101" s="96" t="s">
        <v>119</v>
      </c>
      <c r="C101" s="97"/>
      <c r="D101" s="97"/>
      <c r="E101" s="97"/>
      <c r="F101" s="97"/>
      <c r="G101" s="97"/>
      <c r="H101" s="97"/>
      <c r="I101" s="97"/>
      <c r="J101" s="97"/>
      <c r="K101" s="97"/>
      <c r="L101" s="97"/>
      <c r="M101" s="98"/>
      <c r="N101" s="61">
        <f>SUM($N$84,$N$80,$N$76,$N$72,$N$65,$N$61,$N$54,$N$50,$N$45,$N$40,$N$31,$N$22,$N$18,N92)</f>
        <v>0</v>
      </c>
      <c r="O101" s="35"/>
      <c r="P101" s="35"/>
    </row>
    <row r="102" spans="1:19" x14ac:dyDescent="0.2">
      <c r="A102" s="34"/>
      <c r="B102" s="108" t="s">
        <v>148</v>
      </c>
      <c r="C102" s="109"/>
      <c r="D102" s="109"/>
      <c r="E102" s="109"/>
      <c r="F102" s="109"/>
      <c r="G102" s="109"/>
      <c r="H102" s="109"/>
      <c r="I102" s="109"/>
      <c r="J102" s="109"/>
      <c r="K102" s="109"/>
      <c r="L102" s="109"/>
      <c r="M102" s="110"/>
      <c r="N102" s="73"/>
      <c r="O102" s="74" t="s">
        <v>149</v>
      </c>
      <c r="P102" s="35"/>
    </row>
    <row r="103" spans="1:19" x14ac:dyDescent="0.2">
      <c r="A103" s="36"/>
      <c r="B103" s="87" t="s">
        <v>120</v>
      </c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8"/>
      <c r="N103" s="88"/>
      <c r="O103" s="87"/>
      <c r="P103" s="36"/>
    </row>
    <row r="104" spans="1:19" x14ac:dyDescent="0.2">
      <c r="B104" s="114"/>
      <c r="C104" s="114"/>
      <c r="D104" s="114"/>
      <c r="E104" s="114"/>
      <c r="F104" s="114"/>
      <c r="G104" s="114"/>
      <c r="H104" s="114"/>
      <c r="I104" s="114"/>
      <c r="J104" s="114"/>
      <c r="K104" s="114"/>
      <c r="L104" s="114"/>
      <c r="M104" s="115"/>
      <c r="N104" s="115"/>
      <c r="O104" s="114"/>
    </row>
    <row r="105" spans="1:19" ht="46.5" customHeight="1" x14ac:dyDescent="0.25">
      <c r="A105" s="75"/>
      <c r="B105" s="76" t="s">
        <v>150</v>
      </c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8"/>
      <c r="O105" s="79"/>
      <c r="P105"/>
    </row>
    <row r="106" spans="1:19" ht="15.75" x14ac:dyDescent="0.2">
      <c r="A106" s="75"/>
      <c r="B106" s="111" t="s">
        <v>151</v>
      </c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/>
    </row>
    <row r="107" spans="1:19" ht="15.75" x14ac:dyDescent="0.2">
      <c r="A107" s="75"/>
      <c r="B107" s="111" t="s">
        <v>152</v>
      </c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/>
    </row>
    <row r="108" spans="1:19" ht="46.5" customHeight="1" x14ac:dyDescent="0.2">
      <c r="A108" s="75"/>
      <c r="B108" s="112" t="s">
        <v>153</v>
      </c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/>
    </row>
    <row r="109" spans="1:19" ht="46.5" customHeight="1" x14ac:dyDescent="0.2">
      <c r="A109" s="75"/>
      <c r="B109" s="113" t="s">
        <v>154</v>
      </c>
      <c r="C109" s="113"/>
      <c r="D109" s="113"/>
      <c r="E109" s="113"/>
      <c r="F109" s="113"/>
      <c r="G109" s="113"/>
      <c r="H109" s="113"/>
      <c r="I109" s="113"/>
      <c r="J109" s="113"/>
      <c r="K109" s="113"/>
      <c r="L109" s="113"/>
      <c r="M109" s="113"/>
      <c r="N109" s="113"/>
      <c r="O109" s="113"/>
      <c r="P109"/>
    </row>
    <row r="110" spans="1:19" ht="15.75" x14ac:dyDescent="0.2">
      <c r="A110" s="75"/>
      <c r="B110" s="105" t="s">
        <v>155</v>
      </c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/>
    </row>
    <row r="111" spans="1:19" ht="15.75" x14ac:dyDescent="0.2">
      <c r="B111" s="106" t="s">
        <v>156</v>
      </c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75"/>
      <c r="Q111" s="75"/>
      <c r="R111" s="75"/>
      <c r="S111" s="75"/>
    </row>
    <row r="112" spans="1:19" ht="46.5" customHeight="1" x14ac:dyDescent="0.2">
      <c r="B112" s="107" t="s">
        <v>157</v>
      </c>
      <c r="C112" s="107"/>
      <c r="D112" s="107"/>
      <c r="E112" s="107"/>
      <c r="F112" s="107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107"/>
      <c r="S112" s="107"/>
    </row>
  </sheetData>
  <autoFilter ref="A7:Q103" xr:uid="{00000000-0001-0000-0000-000000000000}"/>
  <mergeCells count="32">
    <mergeCell ref="B110:O110"/>
    <mergeCell ref="B111:O111"/>
    <mergeCell ref="B112:S112"/>
    <mergeCell ref="B102:M102"/>
    <mergeCell ref="B106:O106"/>
    <mergeCell ref="B107:O107"/>
    <mergeCell ref="B108:O108"/>
    <mergeCell ref="B109:O109"/>
    <mergeCell ref="B104:O104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P6:P7"/>
    <mergeCell ref="B103:O103"/>
    <mergeCell ref="K6:K7"/>
    <mergeCell ref="L6:L7"/>
    <mergeCell ref="M6:M7"/>
    <mergeCell ref="N6:N7"/>
    <mergeCell ref="O6:O7"/>
    <mergeCell ref="B99:M99"/>
    <mergeCell ref="B100:M100"/>
    <mergeCell ref="B101:M101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R30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XFD1048576"/>
    </sheetView>
  </sheetViews>
  <sheetFormatPr defaultColWidth="10.5" defaultRowHeight="11.25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x14ac:dyDescent="0.2">
      <c r="A1" s="116" t="s">
        <v>121</v>
      </c>
      <c r="B1" s="116"/>
      <c r="C1" s="116"/>
      <c r="D1" s="116"/>
      <c r="E1" s="116"/>
      <c r="F1" s="116"/>
    </row>
    <row r="3" spans="1:6" x14ac:dyDescent="0.2">
      <c r="A3" s="45" t="s">
        <v>2</v>
      </c>
      <c r="B3" s="2" t="s">
        <v>5</v>
      </c>
      <c r="C3" s="2" t="s">
        <v>9</v>
      </c>
      <c r="D3" s="52" t="s">
        <v>10</v>
      </c>
      <c r="E3" s="52" t="s">
        <v>11</v>
      </c>
      <c r="F3" s="46" t="s">
        <v>12</v>
      </c>
    </row>
    <row r="4" spans="1:6" x14ac:dyDescent="0.2">
      <c r="A4" s="43" t="s">
        <v>22</v>
      </c>
      <c r="B4" s="37" t="s">
        <v>23</v>
      </c>
      <c r="C4" s="38">
        <v>718</v>
      </c>
      <c r="D4" s="41"/>
      <c r="E4" s="41">
        <f>ROUND(Р[[#This Row],[Количество]]*Р[[#This Row],[Цена за ед., руб]],2)</f>
        <v>0</v>
      </c>
      <c r="F4" s="44"/>
    </row>
    <row r="5" spans="1:6" x14ac:dyDescent="0.2">
      <c r="A5" s="43" t="s">
        <v>24</v>
      </c>
      <c r="B5" s="37" t="s">
        <v>23</v>
      </c>
      <c r="C5" s="38">
        <v>240</v>
      </c>
      <c r="D5" s="41"/>
      <c r="E5" s="41">
        <f>ROUND(Р[[#This Row],[Количество]]*Р[[#This Row],[Цена за ед., руб]],2)</f>
        <v>0</v>
      </c>
      <c r="F5" s="44"/>
    </row>
    <row r="6" spans="1:6" x14ac:dyDescent="0.2">
      <c r="A6" s="43" t="s">
        <v>25</v>
      </c>
      <c r="B6" s="37" t="s">
        <v>23</v>
      </c>
      <c r="C6" s="38">
        <v>24</v>
      </c>
      <c r="D6" s="41"/>
      <c r="E6" s="41">
        <f>ROUND(Р[[#This Row],[Количество]]*Р[[#This Row],[Цена за ед., руб]],2)</f>
        <v>0</v>
      </c>
      <c r="F6" s="44"/>
    </row>
    <row r="7" spans="1:6" x14ac:dyDescent="0.2">
      <c r="A7" s="43" t="s">
        <v>30</v>
      </c>
      <c r="B7" s="37" t="s">
        <v>23</v>
      </c>
      <c r="C7" s="38">
        <v>199</v>
      </c>
      <c r="D7" s="41"/>
      <c r="E7" s="41">
        <f>ROUND(Р[[#This Row],[Количество]]*Р[[#This Row],[Цена за ед., руб]],2)</f>
        <v>0</v>
      </c>
      <c r="F7" s="44"/>
    </row>
    <row r="8" spans="1:6" x14ac:dyDescent="0.2">
      <c r="A8" s="43" t="s">
        <v>43</v>
      </c>
      <c r="B8" s="37" t="s">
        <v>23</v>
      </c>
      <c r="C8" s="38">
        <v>696</v>
      </c>
      <c r="D8" s="41"/>
      <c r="E8" s="41">
        <f>ROUND(Р[[#This Row],[Количество]]*Р[[#This Row],[Цена за ед., руб]],2)</f>
        <v>0</v>
      </c>
      <c r="F8" s="44"/>
    </row>
    <row r="9" spans="1:6" x14ac:dyDescent="0.2">
      <c r="A9" s="43" t="s">
        <v>54</v>
      </c>
      <c r="B9" s="37" t="s">
        <v>23</v>
      </c>
      <c r="C9" s="38">
        <v>10</v>
      </c>
      <c r="D9" s="41"/>
      <c r="E9" s="41">
        <f>ROUND(Р[[#This Row],[Количество]]*Р[[#This Row],[Цена за ед., руб]],2)</f>
        <v>0</v>
      </c>
      <c r="F9" s="44"/>
    </row>
    <row r="10" spans="1:6" x14ac:dyDescent="0.2">
      <c r="A10" s="43" t="s">
        <v>60</v>
      </c>
      <c r="B10" s="37" t="s">
        <v>23</v>
      </c>
      <c r="C10" s="38">
        <v>48</v>
      </c>
      <c r="D10" s="41"/>
      <c r="E10" s="41">
        <f>ROUND(Р[[#This Row],[Количество]]*Р[[#This Row],[Цена за ед., руб]],2)</f>
        <v>0</v>
      </c>
      <c r="F10" s="44"/>
    </row>
    <row r="11" spans="1:6" x14ac:dyDescent="0.2">
      <c r="A11" s="43" t="s">
        <v>65</v>
      </c>
      <c r="B11" s="37" t="s">
        <v>23</v>
      </c>
      <c r="C11" s="38">
        <v>66</v>
      </c>
      <c r="D11" s="41"/>
      <c r="E11" s="41">
        <f>ROUND(Р[[#This Row],[Количество]]*Р[[#This Row],[Цена за ед., руб]],2)</f>
        <v>0</v>
      </c>
      <c r="F11" s="44"/>
    </row>
    <row r="12" spans="1:6" ht="22.5" x14ac:dyDescent="0.2">
      <c r="A12" s="83" t="s">
        <v>158</v>
      </c>
      <c r="B12" s="37" t="s">
        <v>23</v>
      </c>
      <c r="C12" s="38">
        <v>2</v>
      </c>
      <c r="D12" s="41"/>
      <c r="E12" s="41">
        <f>ROUND(Р[[#This Row],[Количество]]*Р[[#This Row],[Цена за ед., руб]],2)</f>
        <v>0</v>
      </c>
      <c r="F12" s="44"/>
    </row>
    <row r="13" spans="1:6" x14ac:dyDescent="0.2">
      <c r="A13" s="43" t="s">
        <v>77</v>
      </c>
      <c r="B13" s="37" t="s">
        <v>23</v>
      </c>
      <c r="C13" s="38">
        <v>336</v>
      </c>
      <c r="D13" s="41"/>
      <c r="E13" s="41">
        <f>ROUND(Р[[#This Row],[Количество]]*Р[[#This Row],[Цена за ед., руб]],2)</f>
        <v>0</v>
      </c>
      <c r="F13" s="44"/>
    </row>
    <row r="14" spans="1:6" x14ac:dyDescent="0.2">
      <c r="A14" s="43" t="s">
        <v>81</v>
      </c>
      <c r="B14" s="37" t="s">
        <v>23</v>
      </c>
      <c r="C14" s="38">
        <v>348</v>
      </c>
      <c r="D14" s="41"/>
      <c r="E14" s="41">
        <f>ROUND(Р[[#This Row],[Количество]]*Р[[#This Row],[Цена за ед., руб]],2)</f>
        <v>0</v>
      </c>
      <c r="F14" s="44"/>
    </row>
    <row r="15" spans="1:6" ht="22.5" x14ac:dyDescent="0.2">
      <c r="A15" s="43" t="s">
        <v>88</v>
      </c>
      <c r="B15" s="37" t="s">
        <v>23</v>
      </c>
      <c r="C15" s="38">
        <v>58</v>
      </c>
      <c r="D15" s="41"/>
      <c r="E15" s="41">
        <f>ROUND(Р[[#This Row],[Количество]]*Р[[#This Row],[Цена за ед., руб]],2)</f>
        <v>0</v>
      </c>
      <c r="F15" s="44"/>
    </row>
    <row r="16" spans="1:6" x14ac:dyDescent="0.2">
      <c r="A16" s="43" t="s">
        <v>91</v>
      </c>
      <c r="B16" s="37" t="s">
        <v>92</v>
      </c>
      <c r="C16" s="40">
        <v>668.82</v>
      </c>
      <c r="D16" s="41"/>
      <c r="E16" s="41">
        <f>ROUND(Р[[#This Row],[Количество]]*Р[[#This Row],[Цена за ед., руб]],2)</f>
        <v>0</v>
      </c>
      <c r="F16" s="44"/>
    </row>
    <row r="17" spans="1:18" x14ac:dyDescent="0.2">
      <c r="A17" s="43" t="s">
        <v>96</v>
      </c>
      <c r="B17" s="37" t="s">
        <v>97</v>
      </c>
      <c r="C17" s="38">
        <v>174</v>
      </c>
      <c r="D17" s="41"/>
      <c r="E17" s="41">
        <f>ROUND(Р[[#This Row],[Количество]]*Р[[#This Row],[Цена за ед., руб]],2)</f>
        <v>0</v>
      </c>
      <c r="F17" s="44"/>
    </row>
    <row r="18" spans="1:18" x14ac:dyDescent="0.2">
      <c r="A18" s="43" t="s">
        <v>100</v>
      </c>
      <c r="B18" s="37" t="s">
        <v>97</v>
      </c>
      <c r="C18" s="41">
        <v>6880.32</v>
      </c>
      <c r="D18" s="41"/>
      <c r="E18" s="41">
        <f>ROUND(Р[[#This Row],[Количество]]*Р[[#This Row],[Цена за ед., руб]],2)</f>
        <v>0</v>
      </c>
      <c r="F18" s="44"/>
    </row>
    <row r="19" spans="1:18" ht="22.5" x14ac:dyDescent="0.2">
      <c r="A19" s="47" t="s">
        <v>115</v>
      </c>
      <c r="B19" s="48" t="s">
        <v>116</v>
      </c>
      <c r="C19" s="49">
        <v>5</v>
      </c>
      <c r="D19" s="41"/>
      <c r="E19" s="53">
        <f>ROUND(Р[[#This Row],[Количество]]*Р[[#This Row],[Цена за ед., руб]],2)</f>
        <v>0</v>
      </c>
      <c r="F19" s="51"/>
    </row>
    <row r="20" spans="1:18" x14ac:dyDescent="0.2">
      <c r="A20" s="47" t="s">
        <v>140</v>
      </c>
      <c r="B20" s="48"/>
      <c r="C20" s="50"/>
      <c r="D20" s="53"/>
      <c r="E20" s="53">
        <f>SUBTOTAL(109,Р[Сумма, руб])</f>
        <v>0</v>
      </c>
      <c r="F20" s="51"/>
    </row>
    <row r="21" spans="1:18" x14ac:dyDescent="0.2">
      <c r="D21" s="71" t="s">
        <v>147</v>
      </c>
      <c r="E21" s="72">
        <f>ЛСР!N100-Р[[#Totals],[Сумма, руб]]</f>
        <v>0</v>
      </c>
    </row>
    <row r="23" spans="1:18" ht="15.75" x14ac:dyDescent="0.25">
      <c r="A23" s="76" t="s">
        <v>150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8"/>
      <c r="N23" s="79"/>
    </row>
    <row r="24" spans="1:18" ht="15.75" x14ac:dyDescent="0.2">
      <c r="A24" s="111" t="s">
        <v>151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</row>
    <row r="25" spans="1:18" ht="15.75" x14ac:dyDescent="0.2">
      <c r="A25" s="111" t="s">
        <v>152</v>
      </c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</row>
    <row r="26" spans="1:18" ht="15.75" x14ac:dyDescent="0.2">
      <c r="A26" s="112" t="s">
        <v>153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</row>
    <row r="27" spans="1:18" ht="15.75" x14ac:dyDescent="0.2">
      <c r="A27" s="113" t="s">
        <v>154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</row>
    <row r="28" spans="1:18" ht="15.75" x14ac:dyDescent="0.2">
      <c r="A28" s="105" t="s">
        <v>155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</row>
    <row r="29" spans="1:18" ht="15.75" x14ac:dyDescent="0.2">
      <c r="A29" s="106" t="s">
        <v>156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75"/>
      <c r="P29" s="75"/>
      <c r="Q29" s="75"/>
      <c r="R29" s="75"/>
    </row>
    <row r="30" spans="1:18" ht="15.75" x14ac:dyDescent="0.2">
      <c r="A30" s="107" t="s">
        <v>157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</row>
  </sheetData>
  <mergeCells count="8">
    <mergeCell ref="A28:N28"/>
    <mergeCell ref="A29:N29"/>
    <mergeCell ref="A30:R30"/>
    <mergeCell ref="A1:F1"/>
    <mergeCell ref="A24:N24"/>
    <mergeCell ref="A25:N25"/>
    <mergeCell ref="A26:N26"/>
    <mergeCell ref="A27:N27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R53"/>
  <sheetViews>
    <sheetView zoomScale="85" zoomScaleNormal="85" workbookViewId="0">
      <pane xSplit="5" ySplit="3" topLeftCell="F13" activePane="bottomRight" state="frozen"/>
      <selection pane="topRight" activeCell="F1" sqref="F1"/>
      <selection pane="bottomLeft" activeCell="A4" sqref="A4"/>
      <selection pane="bottomRight" activeCell="I42" sqref="I4:I42"/>
    </sheetView>
  </sheetViews>
  <sheetFormatPr defaultColWidth="10.5" defaultRowHeight="11.25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x14ac:dyDescent="0.2">
      <c r="A1" s="116" t="s">
        <v>122</v>
      </c>
      <c r="B1" s="116"/>
      <c r="C1" s="116"/>
      <c r="D1" s="116"/>
      <c r="E1" s="116"/>
      <c r="F1" s="116"/>
      <c r="G1" s="116"/>
      <c r="H1" s="116"/>
    </row>
    <row r="3" spans="1:9" x14ac:dyDescent="0.2">
      <c r="A3" s="45" t="s">
        <v>123</v>
      </c>
      <c r="B3" s="54" t="s">
        <v>124</v>
      </c>
      <c r="C3" s="46" t="s">
        <v>125</v>
      </c>
      <c r="D3" s="2" t="s">
        <v>5</v>
      </c>
      <c r="E3" s="2" t="s">
        <v>9</v>
      </c>
      <c r="F3" s="52" t="s">
        <v>10</v>
      </c>
      <c r="G3" s="52" t="s">
        <v>11</v>
      </c>
      <c r="H3" s="2" t="s">
        <v>126</v>
      </c>
      <c r="I3" s="46" t="s">
        <v>127</v>
      </c>
    </row>
    <row r="4" spans="1:9" ht="22.5" x14ac:dyDescent="0.2">
      <c r="A4" s="43" t="s">
        <v>67</v>
      </c>
      <c r="B4" s="39"/>
      <c r="C4" s="39" t="s">
        <v>68</v>
      </c>
      <c r="D4" s="37" t="s">
        <v>23</v>
      </c>
      <c r="E4" s="38">
        <v>1</v>
      </c>
      <c r="F4" s="41"/>
      <c r="G4" s="41">
        <f>ROUND(М[[#This Row],[Количество]]*М[[#This Row],[Цена за ед., руб]],2)</f>
        <v>0</v>
      </c>
      <c r="H4" s="39" t="s">
        <v>69</v>
      </c>
      <c r="I4" s="44"/>
    </row>
    <row r="5" spans="1:9" ht="22.5" x14ac:dyDescent="0.2">
      <c r="A5" s="43" t="s">
        <v>67</v>
      </c>
      <c r="B5" s="39"/>
      <c r="C5" s="39" t="s">
        <v>70</v>
      </c>
      <c r="D5" s="37" t="s">
        <v>23</v>
      </c>
      <c r="E5" s="38">
        <v>1</v>
      </c>
      <c r="F5" s="41"/>
      <c r="G5" s="41">
        <f>ROUND(М[[#This Row],[Количество]]*М[[#This Row],[Цена за ед., руб]],2)</f>
        <v>0</v>
      </c>
      <c r="H5" s="39" t="s">
        <v>71</v>
      </c>
      <c r="I5" s="44"/>
    </row>
    <row r="6" spans="1:9" ht="22.5" x14ac:dyDescent="0.2">
      <c r="A6" s="43" t="s">
        <v>89</v>
      </c>
      <c r="B6" s="39"/>
      <c r="C6" s="39" t="s">
        <v>90</v>
      </c>
      <c r="D6" s="37" t="s">
        <v>23</v>
      </c>
      <c r="E6" s="38">
        <v>58</v>
      </c>
      <c r="F6" s="41"/>
      <c r="G6" s="41">
        <f>ROUND(М[[#This Row],[Количество]]*М[[#This Row],[Цена за ед., руб]],2)</f>
        <v>0</v>
      </c>
      <c r="H6" s="39"/>
      <c r="I6" s="44"/>
    </row>
    <row r="7" spans="1:9" ht="33.75" x14ac:dyDescent="0.2">
      <c r="A7" s="43" t="s">
        <v>31</v>
      </c>
      <c r="B7" s="39"/>
      <c r="C7" s="39" t="s">
        <v>32</v>
      </c>
      <c r="D7" s="37" t="s">
        <v>23</v>
      </c>
      <c r="E7" s="38">
        <v>20</v>
      </c>
      <c r="F7" s="41"/>
      <c r="G7" s="41">
        <f>ROUND(М[[#This Row],[Количество]]*М[[#This Row],[Цена за ед., руб]],2)</f>
        <v>0</v>
      </c>
      <c r="H7" s="39"/>
      <c r="I7" s="44"/>
    </row>
    <row r="8" spans="1:9" ht="33.75" x14ac:dyDescent="0.2">
      <c r="A8" s="43" t="s">
        <v>31</v>
      </c>
      <c r="B8" s="39"/>
      <c r="C8" s="39" t="s">
        <v>34</v>
      </c>
      <c r="D8" s="37" t="s">
        <v>23</v>
      </c>
      <c r="E8" s="38">
        <v>24</v>
      </c>
      <c r="F8" s="41"/>
      <c r="G8" s="41">
        <f>ROUND(М[[#This Row],[Количество]]*М[[#This Row],[Цена за ед., руб]],2)</f>
        <v>0</v>
      </c>
      <c r="H8" s="39"/>
      <c r="I8" s="44"/>
    </row>
    <row r="9" spans="1:9" ht="33.75" x14ac:dyDescent="0.2">
      <c r="A9" s="43" t="s">
        <v>31</v>
      </c>
      <c r="B9" s="39"/>
      <c r="C9" s="39" t="s">
        <v>36</v>
      </c>
      <c r="D9" s="37" t="s">
        <v>23</v>
      </c>
      <c r="E9" s="38">
        <v>108</v>
      </c>
      <c r="F9" s="41"/>
      <c r="G9" s="41">
        <f>ROUND(М[[#This Row],[Количество]]*М[[#This Row],[Цена за ед., руб]],2)</f>
        <v>0</v>
      </c>
      <c r="H9" s="39"/>
      <c r="I9" s="44"/>
    </row>
    <row r="10" spans="1:9" ht="33.75" x14ac:dyDescent="0.2">
      <c r="A10" s="43" t="s">
        <v>31</v>
      </c>
      <c r="B10" s="39"/>
      <c r="C10" s="39" t="s">
        <v>38</v>
      </c>
      <c r="D10" s="37" t="s">
        <v>23</v>
      </c>
      <c r="E10" s="38">
        <v>12</v>
      </c>
      <c r="F10" s="41"/>
      <c r="G10" s="41">
        <f>ROUND(М[[#This Row],[Количество]]*М[[#This Row],[Цена за ед., руб]],2)</f>
        <v>0</v>
      </c>
      <c r="H10" s="39"/>
      <c r="I10" s="44"/>
    </row>
    <row r="11" spans="1:9" ht="33.75" x14ac:dyDescent="0.2">
      <c r="A11" s="43" t="s">
        <v>31</v>
      </c>
      <c r="B11" s="39"/>
      <c r="C11" s="39" t="s">
        <v>40</v>
      </c>
      <c r="D11" s="37" t="s">
        <v>23</v>
      </c>
      <c r="E11" s="38">
        <v>34</v>
      </c>
      <c r="F11" s="41"/>
      <c r="G11" s="41">
        <f>ROUND(М[[#This Row],[Количество]]*М[[#This Row],[Цена за ед., руб]],2)</f>
        <v>0</v>
      </c>
      <c r="H11" s="39"/>
      <c r="I11" s="44"/>
    </row>
    <row r="12" spans="1:9" ht="33.75" x14ac:dyDescent="0.2">
      <c r="A12" s="43" t="s">
        <v>31</v>
      </c>
      <c r="B12" s="39"/>
      <c r="C12" s="39" t="s">
        <v>42</v>
      </c>
      <c r="D12" s="37" t="s">
        <v>23</v>
      </c>
      <c r="E12" s="38">
        <v>1</v>
      </c>
      <c r="F12" s="41"/>
      <c r="G12" s="41">
        <f>ROUND(М[[#This Row],[Количество]]*М[[#This Row],[Цена за ед., руб]],2)</f>
        <v>0</v>
      </c>
      <c r="H12" s="39"/>
      <c r="I12" s="44"/>
    </row>
    <row r="13" spans="1:9" x14ac:dyDescent="0.2">
      <c r="A13" s="43" t="s">
        <v>98</v>
      </c>
      <c r="B13" s="39"/>
      <c r="C13" s="39" t="s">
        <v>99</v>
      </c>
      <c r="D13" s="37" t="s">
        <v>97</v>
      </c>
      <c r="E13" s="38">
        <v>174</v>
      </c>
      <c r="F13" s="41"/>
      <c r="G13" s="41">
        <f>ROUND(М[[#This Row],[Количество]]*М[[#This Row],[Цена за ед., руб]],2)</f>
        <v>0</v>
      </c>
      <c r="H13" s="39"/>
      <c r="I13" s="44"/>
    </row>
    <row r="14" spans="1:9" x14ac:dyDescent="0.2">
      <c r="A14" s="43" t="s">
        <v>101</v>
      </c>
      <c r="B14" s="39"/>
      <c r="C14" s="39" t="s">
        <v>102</v>
      </c>
      <c r="D14" s="37" t="s">
        <v>97</v>
      </c>
      <c r="E14" s="38">
        <v>642</v>
      </c>
      <c r="F14" s="41"/>
      <c r="G14" s="41">
        <f>ROUND(М[[#This Row],[Количество]]*М[[#This Row],[Цена за ед., руб]],2)</f>
        <v>0</v>
      </c>
      <c r="H14" s="39"/>
      <c r="I14" s="44"/>
    </row>
    <row r="15" spans="1:9" x14ac:dyDescent="0.2">
      <c r="A15" s="43" t="s">
        <v>101</v>
      </c>
      <c r="B15" s="39"/>
      <c r="C15" s="39" t="s">
        <v>103</v>
      </c>
      <c r="D15" s="37" t="s">
        <v>97</v>
      </c>
      <c r="E15" s="41">
        <v>1020.72</v>
      </c>
      <c r="F15" s="41"/>
      <c r="G15" s="41">
        <f>ROUND(М[[#This Row],[Количество]]*М[[#This Row],[Цена за ед., руб]],2)</f>
        <v>0</v>
      </c>
      <c r="H15" s="39"/>
      <c r="I15" s="44"/>
    </row>
    <row r="16" spans="1:9" x14ac:dyDescent="0.2">
      <c r="A16" s="43" t="s">
        <v>101</v>
      </c>
      <c r="B16" s="39"/>
      <c r="C16" s="39" t="s">
        <v>104</v>
      </c>
      <c r="D16" s="37" t="s">
        <v>97</v>
      </c>
      <c r="E16" s="38">
        <v>63</v>
      </c>
      <c r="F16" s="41"/>
      <c r="G16" s="41">
        <f>ROUND(М[[#This Row],[Количество]]*М[[#This Row],[Цена за ед., руб]],2)</f>
        <v>0</v>
      </c>
      <c r="H16" s="39"/>
      <c r="I16" s="44"/>
    </row>
    <row r="17" spans="1:9" x14ac:dyDescent="0.2">
      <c r="A17" s="43" t="s">
        <v>101</v>
      </c>
      <c r="B17" s="39"/>
      <c r="C17" s="39" t="s">
        <v>105</v>
      </c>
      <c r="D17" s="37" t="s">
        <v>97</v>
      </c>
      <c r="E17" s="38">
        <v>57</v>
      </c>
      <c r="F17" s="41"/>
      <c r="G17" s="41">
        <f>ROUND(М[[#This Row],[Количество]]*М[[#This Row],[Цена за ед., руб]],2)</f>
        <v>0</v>
      </c>
      <c r="H17" s="39"/>
      <c r="I17" s="44"/>
    </row>
    <row r="18" spans="1:9" x14ac:dyDescent="0.2">
      <c r="A18" s="43" t="s">
        <v>101</v>
      </c>
      <c r="B18" s="39"/>
      <c r="C18" s="39" t="s">
        <v>106</v>
      </c>
      <c r="D18" s="37" t="s">
        <v>97</v>
      </c>
      <c r="E18" s="41">
        <v>2196.96</v>
      </c>
      <c r="F18" s="41"/>
      <c r="G18" s="41">
        <f>ROUND(М[[#This Row],[Количество]]*М[[#This Row],[Цена за ед., руб]],2)</f>
        <v>0</v>
      </c>
      <c r="H18" s="39"/>
      <c r="I18" s="44"/>
    </row>
    <row r="19" spans="1:9" x14ac:dyDescent="0.2">
      <c r="A19" s="43" t="s">
        <v>101</v>
      </c>
      <c r="B19" s="39"/>
      <c r="C19" s="39" t="s">
        <v>107</v>
      </c>
      <c r="D19" s="37" t="s">
        <v>97</v>
      </c>
      <c r="E19" s="40">
        <v>992.64</v>
      </c>
      <c r="F19" s="41"/>
      <c r="G19" s="41">
        <f>ROUND(М[[#This Row],[Количество]]*М[[#This Row],[Цена за ед., руб]],2)</f>
        <v>0</v>
      </c>
      <c r="H19" s="39" t="s">
        <v>108</v>
      </c>
      <c r="I19" s="44"/>
    </row>
    <row r="20" spans="1:9" x14ac:dyDescent="0.2">
      <c r="A20" s="43" t="s">
        <v>101</v>
      </c>
      <c r="B20" s="39"/>
      <c r="C20" s="39" t="s">
        <v>110</v>
      </c>
      <c r="D20" s="37" t="s">
        <v>97</v>
      </c>
      <c r="E20" s="42">
        <v>1908</v>
      </c>
      <c r="F20" s="41"/>
      <c r="G20" s="41">
        <f>ROUND(М[[#This Row],[Количество]]*М[[#This Row],[Цена за ед., руб]],2)</f>
        <v>0</v>
      </c>
      <c r="H20" s="39"/>
      <c r="I20" s="44"/>
    </row>
    <row r="21" spans="1:9" x14ac:dyDescent="0.2">
      <c r="A21" s="43" t="s">
        <v>61</v>
      </c>
      <c r="B21" s="39"/>
      <c r="C21" s="39" t="s">
        <v>62</v>
      </c>
      <c r="D21" s="37" t="s">
        <v>23</v>
      </c>
      <c r="E21" s="38">
        <v>24</v>
      </c>
      <c r="F21" s="41"/>
      <c r="G21" s="41">
        <f>ROUND(М[[#This Row],[Количество]]*М[[#This Row],[Цена за ед., руб]],2)</f>
        <v>0</v>
      </c>
      <c r="H21" s="39"/>
      <c r="I21" s="44"/>
    </row>
    <row r="22" spans="1:9" x14ac:dyDescent="0.2">
      <c r="A22" s="43" t="s">
        <v>61</v>
      </c>
      <c r="B22" s="39"/>
      <c r="C22" s="39" t="s">
        <v>66</v>
      </c>
      <c r="D22" s="37" t="s">
        <v>23</v>
      </c>
      <c r="E22" s="38">
        <v>66</v>
      </c>
      <c r="F22" s="41"/>
      <c r="G22" s="41">
        <f>ROUND(М[[#This Row],[Количество]]*М[[#This Row],[Цена за ед., руб]],2)</f>
        <v>0</v>
      </c>
      <c r="H22" s="39"/>
      <c r="I22" s="44"/>
    </row>
    <row r="23" spans="1:9" x14ac:dyDescent="0.2">
      <c r="A23" s="43" t="s">
        <v>28</v>
      </c>
      <c r="B23" s="39"/>
      <c r="C23" s="39" t="s">
        <v>29</v>
      </c>
      <c r="D23" s="37" t="s">
        <v>23</v>
      </c>
      <c r="E23" s="38">
        <v>24</v>
      </c>
      <c r="F23" s="41"/>
      <c r="G23" s="41">
        <f>ROUND(М[[#This Row],[Количество]]*М[[#This Row],[Цена за ед., руб]],2)</f>
        <v>0</v>
      </c>
      <c r="H23" s="39"/>
      <c r="I23" s="44"/>
    </row>
    <row r="24" spans="1:9" ht="22.5" x14ac:dyDescent="0.2">
      <c r="A24" s="43" t="s">
        <v>44</v>
      </c>
      <c r="B24" s="39"/>
      <c r="C24" s="39" t="s">
        <v>45</v>
      </c>
      <c r="D24" s="37" t="s">
        <v>23</v>
      </c>
      <c r="E24" s="38">
        <v>650</v>
      </c>
      <c r="F24" s="41"/>
      <c r="G24" s="41">
        <f>ROUND(М[[#This Row],[Количество]]*М[[#This Row],[Цена за ед., руб]],2)</f>
        <v>0</v>
      </c>
      <c r="H24" s="39"/>
      <c r="I24" s="44"/>
    </row>
    <row r="25" spans="1:9" ht="22.5" x14ac:dyDescent="0.2">
      <c r="A25" s="43" t="s">
        <v>44</v>
      </c>
      <c r="B25" s="39"/>
      <c r="C25" s="39" t="s">
        <v>46</v>
      </c>
      <c r="D25" s="37" t="s">
        <v>23</v>
      </c>
      <c r="E25" s="38">
        <v>46</v>
      </c>
      <c r="F25" s="41"/>
      <c r="G25" s="41">
        <f>ROUND(М[[#This Row],[Количество]]*М[[#This Row],[Цена за ед., руб]],2)</f>
        <v>0</v>
      </c>
      <c r="H25" s="39"/>
      <c r="I25" s="44"/>
    </row>
    <row r="26" spans="1:9" x14ac:dyDescent="0.2">
      <c r="A26" s="43" t="s">
        <v>47</v>
      </c>
      <c r="B26" s="39"/>
      <c r="C26" s="39" t="s">
        <v>48</v>
      </c>
      <c r="D26" s="37" t="s">
        <v>23</v>
      </c>
      <c r="E26" s="38">
        <v>46</v>
      </c>
      <c r="F26" s="41"/>
      <c r="G26" s="41">
        <f>ROUND(М[[#This Row],[Количество]]*М[[#This Row],[Цена за ед., руб]],2)</f>
        <v>0</v>
      </c>
      <c r="H26" s="39"/>
      <c r="I26" s="44"/>
    </row>
    <row r="27" spans="1:9" x14ac:dyDescent="0.2">
      <c r="A27" s="43" t="s">
        <v>47</v>
      </c>
      <c r="B27" s="39"/>
      <c r="C27" s="39" t="s">
        <v>49</v>
      </c>
      <c r="D27" s="37" t="s">
        <v>23</v>
      </c>
      <c r="E27" s="38">
        <v>650</v>
      </c>
      <c r="F27" s="41"/>
      <c r="G27" s="41">
        <f>ROUND(М[[#This Row],[Количество]]*М[[#This Row],[Цена за ед., руб]],2)</f>
        <v>0</v>
      </c>
      <c r="H27" s="39"/>
      <c r="I27" s="44"/>
    </row>
    <row r="28" spans="1:9" ht="22.5" x14ac:dyDescent="0.2">
      <c r="A28" s="43" t="s">
        <v>63</v>
      </c>
      <c r="B28" s="39"/>
      <c r="C28" s="39" t="s">
        <v>64</v>
      </c>
      <c r="D28" s="37" t="s">
        <v>23</v>
      </c>
      <c r="E28" s="38">
        <v>24</v>
      </c>
      <c r="F28" s="41"/>
      <c r="G28" s="41">
        <f>ROUND(М[[#This Row],[Количество]]*М[[#This Row],[Цена за ед., руб]],2)</f>
        <v>0</v>
      </c>
      <c r="H28" s="39"/>
      <c r="I28" s="44"/>
    </row>
    <row r="29" spans="1:9" ht="22.5" x14ac:dyDescent="0.2">
      <c r="A29" s="43" t="s">
        <v>50</v>
      </c>
      <c r="B29" s="39"/>
      <c r="C29" s="39" t="s">
        <v>51</v>
      </c>
      <c r="D29" s="37" t="s">
        <v>23</v>
      </c>
      <c r="E29" s="38">
        <v>650</v>
      </c>
      <c r="F29" s="41"/>
      <c r="G29" s="41">
        <f>ROUND(М[[#This Row],[Количество]]*М[[#This Row],[Цена за ед., руб]],2)</f>
        <v>0</v>
      </c>
      <c r="H29" s="39" t="s">
        <v>52</v>
      </c>
      <c r="I29" s="44"/>
    </row>
    <row r="30" spans="1:9" ht="22.5" x14ac:dyDescent="0.2">
      <c r="A30" s="43" t="s">
        <v>50</v>
      </c>
      <c r="B30" s="39"/>
      <c r="C30" s="39" t="s">
        <v>53</v>
      </c>
      <c r="D30" s="37" t="s">
        <v>23</v>
      </c>
      <c r="E30" s="38">
        <v>46</v>
      </c>
      <c r="F30" s="41"/>
      <c r="G30" s="41">
        <f>ROUND(М[[#This Row],[Количество]]*М[[#This Row],[Цена за ед., руб]],2)</f>
        <v>0</v>
      </c>
      <c r="H30" s="39" t="s">
        <v>52</v>
      </c>
      <c r="I30" s="44"/>
    </row>
    <row r="31" spans="1:9" x14ac:dyDescent="0.2">
      <c r="A31" s="43" t="s">
        <v>82</v>
      </c>
      <c r="B31" s="39"/>
      <c r="C31" s="39" t="s">
        <v>83</v>
      </c>
      <c r="D31" s="37" t="s">
        <v>23</v>
      </c>
      <c r="E31" s="38">
        <v>302</v>
      </c>
      <c r="F31" s="41"/>
      <c r="G31" s="41">
        <f>ROUND(М[[#This Row],[Количество]]*М[[#This Row],[Цена за ед., руб]],2)</f>
        <v>0</v>
      </c>
      <c r="H31" s="39"/>
      <c r="I31" s="44"/>
    </row>
    <row r="32" spans="1:9" x14ac:dyDescent="0.2">
      <c r="A32" s="43" t="s">
        <v>82</v>
      </c>
      <c r="B32" s="39"/>
      <c r="C32" s="39" t="s">
        <v>84</v>
      </c>
      <c r="D32" s="37" t="s">
        <v>23</v>
      </c>
      <c r="E32" s="38">
        <v>23</v>
      </c>
      <c r="F32" s="41"/>
      <c r="G32" s="41">
        <f>ROUND(М[[#This Row],[Количество]]*М[[#This Row],[Цена за ед., руб]],2)</f>
        <v>0</v>
      </c>
      <c r="H32" s="39"/>
      <c r="I32" s="44"/>
    </row>
    <row r="33" spans="1:14" x14ac:dyDescent="0.2">
      <c r="A33" s="43" t="s">
        <v>82</v>
      </c>
      <c r="B33" s="39"/>
      <c r="C33" s="39" t="s">
        <v>85</v>
      </c>
      <c r="D33" s="37" t="s">
        <v>23</v>
      </c>
      <c r="E33" s="38">
        <v>23</v>
      </c>
      <c r="F33" s="41"/>
      <c r="G33" s="41">
        <f>ROUND(М[[#This Row],[Количество]]*М[[#This Row],[Цена за ед., руб]],2)</f>
        <v>0</v>
      </c>
      <c r="H33" s="39"/>
      <c r="I33" s="44"/>
    </row>
    <row r="34" spans="1:14" x14ac:dyDescent="0.2">
      <c r="A34" s="43" t="s">
        <v>93</v>
      </c>
      <c r="B34" s="39"/>
      <c r="C34" s="39" t="s">
        <v>94</v>
      </c>
      <c r="D34" s="37" t="s">
        <v>92</v>
      </c>
      <c r="E34" s="40">
        <v>668.82</v>
      </c>
      <c r="F34" s="41"/>
      <c r="G34" s="41">
        <f>ROUND(М[[#This Row],[Количество]]*М[[#This Row],[Цена за ед., руб]],2)</f>
        <v>0</v>
      </c>
      <c r="H34" s="39" t="s">
        <v>95</v>
      </c>
      <c r="I34" s="44"/>
    </row>
    <row r="35" spans="1:14" ht="22.5" x14ac:dyDescent="0.2">
      <c r="A35" s="43" t="s">
        <v>78</v>
      </c>
      <c r="B35" s="39"/>
      <c r="C35" s="39" t="s">
        <v>79</v>
      </c>
      <c r="D35" s="37" t="s">
        <v>23</v>
      </c>
      <c r="E35" s="38">
        <v>336</v>
      </c>
      <c r="F35" s="41"/>
      <c r="G35" s="41">
        <f>ROUND(М[[#This Row],[Количество]]*М[[#This Row],[Цена за ед., руб]],2)</f>
        <v>0</v>
      </c>
      <c r="H35" s="39" t="s">
        <v>80</v>
      </c>
      <c r="I35" s="44"/>
    </row>
    <row r="36" spans="1:14" ht="22.5" x14ac:dyDescent="0.2">
      <c r="A36" s="43" t="s">
        <v>72</v>
      </c>
      <c r="B36" s="39"/>
      <c r="C36" s="39" t="s">
        <v>73</v>
      </c>
      <c r="D36" s="37" t="s">
        <v>23</v>
      </c>
      <c r="E36" s="38">
        <v>1</v>
      </c>
      <c r="F36" s="41"/>
      <c r="G36" s="41">
        <f>ROUND(М[[#This Row],[Количество]]*М[[#This Row],[Цена за ед., руб]],2)</f>
        <v>0</v>
      </c>
      <c r="H36" s="39" t="s">
        <v>74</v>
      </c>
      <c r="I36" s="44"/>
    </row>
    <row r="37" spans="1:14" ht="22.5" x14ac:dyDescent="0.2">
      <c r="A37" s="43" t="s">
        <v>72</v>
      </c>
      <c r="B37" s="39"/>
      <c r="C37" s="39" t="s">
        <v>75</v>
      </c>
      <c r="D37" s="37" t="s">
        <v>23</v>
      </c>
      <c r="E37" s="38">
        <v>1</v>
      </c>
      <c r="F37" s="41"/>
      <c r="G37" s="41">
        <f>ROUND(М[[#This Row],[Количество]]*М[[#This Row],[Цена за ед., руб]],2)</f>
        <v>0</v>
      </c>
      <c r="H37" s="39" t="s">
        <v>76</v>
      </c>
      <c r="I37" s="44"/>
    </row>
    <row r="38" spans="1:14" x14ac:dyDescent="0.2">
      <c r="A38" s="43" t="s">
        <v>86</v>
      </c>
      <c r="B38" s="39"/>
      <c r="C38" s="39" t="s">
        <v>87</v>
      </c>
      <c r="D38" s="37" t="s">
        <v>23</v>
      </c>
      <c r="E38" s="38">
        <v>46</v>
      </c>
      <c r="F38" s="41"/>
      <c r="G38" s="41">
        <f>ROUND(М[[#This Row],[Количество]]*М[[#This Row],[Цена за ед., руб]],2)</f>
        <v>0</v>
      </c>
      <c r="H38" s="39"/>
      <c r="I38" s="44"/>
    </row>
    <row r="39" spans="1:14" ht="22.5" x14ac:dyDescent="0.2">
      <c r="A39" s="43" t="s">
        <v>55</v>
      </c>
      <c r="B39" s="39"/>
      <c r="C39" s="39" t="s">
        <v>56</v>
      </c>
      <c r="D39" s="37" t="s">
        <v>23</v>
      </c>
      <c r="E39" s="38">
        <v>8</v>
      </c>
      <c r="F39" s="41"/>
      <c r="G39" s="41">
        <f>ROUND(М[[#This Row],[Количество]]*М[[#This Row],[Цена за ед., руб]],2)</f>
        <v>0</v>
      </c>
      <c r="H39" s="39"/>
      <c r="I39" s="44"/>
    </row>
    <row r="40" spans="1:14" x14ac:dyDescent="0.2">
      <c r="A40" s="47" t="s">
        <v>57</v>
      </c>
      <c r="B40" s="55"/>
      <c r="C40" s="55" t="s">
        <v>58</v>
      </c>
      <c r="D40" s="48" t="s">
        <v>23</v>
      </c>
      <c r="E40" s="49">
        <v>2</v>
      </c>
      <c r="F40" s="41"/>
      <c r="G40" s="53">
        <f>ROUND(М[[#This Row],[Количество]]*М[[#This Row],[Цена за ед., руб]],2)</f>
        <v>0</v>
      </c>
      <c r="H40" s="55" t="s">
        <v>59</v>
      </c>
      <c r="I40" s="51"/>
    </row>
    <row r="41" spans="1:14" ht="22.5" x14ac:dyDescent="0.2">
      <c r="A41" s="47" t="s">
        <v>145</v>
      </c>
      <c r="B41" s="55"/>
      <c r="C41" s="55"/>
      <c r="D41" s="48" t="s">
        <v>111</v>
      </c>
      <c r="E41" s="70"/>
      <c r="F41" s="53"/>
      <c r="G41" s="53">
        <f ca="1">SUMIF(ЛСР!$B$6:$N$98,М[[#This Row],[Наим.]],ЛСР!$N$6:$N$98)</f>
        <v>0</v>
      </c>
      <c r="H41" s="55" t="s">
        <v>146</v>
      </c>
      <c r="I41" s="51"/>
    </row>
    <row r="42" spans="1:14" ht="22.5" x14ac:dyDescent="0.2">
      <c r="A42" s="47" t="s">
        <v>144</v>
      </c>
      <c r="B42" s="55"/>
      <c r="C42" s="55"/>
      <c r="D42" s="48" t="s">
        <v>111</v>
      </c>
      <c r="E42" s="70"/>
      <c r="F42" s="53"/>
      <c r="G42" s="53">
        <f ca="1">SUMIF(ЛСР!$B$6:$N$98,М[[#This Row],[Наим.]],ЛСР!$N$6:$N$98)</f>
        <v>0</v>
      </c>
      <c r="H42" s="55" t="s">
        <v>146</v>
      </c>
      <c r="I42" s="51"/>
    </row>
    <row r="43" spans="1:14" x14ac:dyDescent="0.2">
      <c r="A43" s="47" t="s">
        <v>140</v>
      </c>
      <c r="B43" s="55"/>
      <c r="C43" s="55"/>
      <c r="D43" s="48"/>
      <c r="E43" s="50"/>
      <c r="F43" s="53"/>
      <c r="G43" s="53">
        <f ca="1">SUBTOTAL(109,М[Сумма, руб])</f>
        <v>0</v>
      </c>
      <c r="H43" s="55"/>
      <c r="I43" s="51"/>
    </row>
    <row r="44" spans="1:14" x14ac:dyDescent="0.2">
      <c r="F44" s="71" t="s">
        <v>147</v>
      </c>
      <c r="G44" s="72">
        <f ca="1">ЛСР!N101-М[[#Totals],[Сумма, руб]]</f>
        <v>0</v>
      </c>
    </row>
    <row r="46" spans="1:14" ht="15.75" x14ac:dyDescent="0.25">
      <c r="A46" s="76" t="s">
        <v>150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8"/>
      <c r="N46" s="79"/>
    </row>
    <row r="47" spans="1:14" ht="15.75" x14ac:dyDescent="0.2">
      <c r="A47" s="111" t="s">
        <v>151</v>
      </c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</row>
    <row r="48" spans="1:14" ht="15.75" x14ac:dyDescent="0.2">
      <c r="A48" s="111" t="s">
        <v>152</v>
      </c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</row>
    <row r="49" spans="1:18" ht="15.75" x14ac:dyDescent="0.2">
      <c r="A49" s="112" t="s">
        <v>153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</row>
    <row r="50" spans="1:18" ht="15.75" x14ac:dyDescent="0.2">
      <c r="A50" s="113" t="s">
        <v>154</v>
      </c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</row>
    <row r="51" spans="1:18" ht="15.75" x14ac:dyDescent="0.2">
      <c r="A51" s="105" t="s">
        <v>155</v>
      </c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</row>
    <row r="52" spans="1:18" ht="15.75" x14ac:dyDescent="0.2">
      <c r="A52" s="106" t="s">
        <v>156</v>
      </c>
      <c r="B52" s="106"/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75"/>
      <c r="P52" s="75"/>
      <c r="Q52" s="75"/>
      <c r="R52" s="75"/>
    </row>
    <row r="53" spans="1:18" ht="15.75" x14ac:dyDescent="0.2">
      <c r="A53" s="107" t="s">
        <v>157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</row>
  </sheetData>
  <mergeCells count="8">
    <mergeCell ref="A51:N51"/>
    <mergeCell ref="A52:N52"/>
    <mergeCell ref="A53:R53"/>
    <mergeCell ref="A1:H1"/>
    <mergeCell ref="A47:N47"/>
    <mergeCell ref="A48:N48"/>
    <mergeCell ref="A49:N49"/>
    <mergeCell ref="A50:N50"/>
  </mergeCells>
  <dataValidations count="1">
    <dataValidation type="list" errorStyle="information" allowBlank="1" showInputMessage="1" showErrorMessage="1" sqref="I3:I42" xr:uid="{2EE70073-FC35-4A5E-87C8-514E81F134F4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128</v>
      </c>
      <c r="B1" s="1" t="s">
        <v>129</v>
      </c>
    </row>
    <row r="2" spans="1:2" ht="11.1" customHeight="1" x14ac:dyDescent="0.2">
      <c r="A2" s="1" t="s">
        <v>130</v>
      </c>
      <c r="B2" s="1" t="s">
        <v>131</v>
      </c>
    </row>
    <row r="3" spans="1:2" ht="11.1" customHeight="1" x14ac:dyDescent="0.2">
      <c r="A3" s="1" t="s">
        <v>132</v>
      </c>
      <c r="B3" s="1" t="s">
        <v>133</v>
      </c>
    </row>
    <row r="4" spans="1:2" ht="11.1" customHeight="1" x14ac:dyDescent="0.2">
      <c r="A4" s="1" t="s">
        <v>134</v>
      </c>
      <c r="B4" s="1" t="s">
        <v>135</v>
      </c>
    </row>
    <row r="5" spans="1:2" ht="11.1" customHeight="1" x14ac:dyDescent="0.2">
      <c r="A5" s="1" t="s">
        <v>136</v>
      </c>
      <c r="B5" s="1" t="s">
        <v>137</v>
      </c>
    </row>
    <row r="6" spans="1:2" ht="11.1" customHeight="1" x14ac:dyDescent="0.2">
      <c r="A6" s="1" t="s">
        <v>138</v>
      </c>
      <c r="B6" s="1" t="s">
        <v>139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2026-08-25T04:22:28Z</dcterms:modified>
</cp:coreProperties>
</file>