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limullinakp\Desktop\Карина\ЕКБ\Соната\Внутренние инженерные сети\Отопление, канализация, водоснабжение, пожаротушение\Для отправки в тендер\"/>
    </mc:Choice>
  </mc:AlternateContent>
  <xr:revisionPtr revIDLastSave="0" documentId="13_ncr:1_{9C63BAA6-2ADA-4F38-963C-CF9A1AB8E92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ЛСР!$A$7:$L$128</definedName>
  </definedNames>
  <calcPr calcId="191029" fullPrecision="0"/>
</workbook>
</file>

<file path=xl/calcChain.xml><?xml version="1.0" encoding="utf-8"?>
<calcChain xmlns="http://schemas.openxmlformats.org/spreadsheetml/2006/main">
  <c r="H119" i="1" l="1"/>
  <c r="H118" i="1"/>
  <c r="L119" i="1" a="1"/>
  <c r="L119" i="1" s="1"/>
  <c r="L118" i="1" a="1"/>
  <c r="L118" i="1" s="1"/>
  <c r="L107" i="1" a="1"/>
  <c r="L107" i="1" s="1"/>
  <c r="L106" i="1" a="1"/>
  <c r="L106" i="1" s="1"/>
  <c r="E21" i="2"/>
  <c r="E22" i="2"/>
  <c r="E23" i="2"/>
  <c r="G37" i="3"/>
  <c r="G36" i="3"/>
  <c r="G35" i="3"/>
  <c r="G34" i="3"/>
  <c r="G33" i="3"/>
  <c r="G6" i="3"/>
  <c r="G7" i="3"/>
  <c r="G8" i="3"/>
  <c r="G25" i="3"/>
  <c r="G26" i="3"/>
  <c r="G27" i="3"/>
  <c r="G28" i="3"/>
  <c r="G29" i="3"/>
  <c r="G30" i="3"/>
  <c r="G31" i="3"/>
  <c r="G32" i="3"/>
  <c r="E16" i="2"/>
  <c r="E17" i="2"/>
  <c r="E18" i="2"/>
  <c r="E19" i="2"/>
  <c r="E20" i="2"/>
  <c r="G116" i="1"/>
  <c r="H116" i="1" s="1"/>
  <c r="G115" i="1"/>
  <c r="H115" i="1" s="1"/>
  <c r="G113" i="1"/>
  <c r="L112" i="1" a="1"/>
  <c r="L112" i="1" s="1"/>
  <c r="I112" i="1" a="1"/>
  <c r="I112" i="1" s="1"/>
  <c r="H112" i="1"/>
  <c r="I107" i="1" a="1"/>
  <c r="I107" i="1" s="1"/>
  <c r="H107" i="1"/>
  <c r="I106" i="1" a="1"/>
  <c r="I106" i="1" s="1"/>
  <c r="H106" i="1"/>
  <c r="I104" i="1" a="1"/>
  <c r="I104" i="1" s="1"/>
  <c r="H104" i="1"/>
  <c r="G102" i="1"/>
  <c r="L90" i="1" a="1"/>
  <c r="L90" i="1" s="1"/>
  <c r="I90" i="1" a="1"/>
  <c r="I90" i="1" s="1"/>
  <c r="H90" i="1"/>
  <c r="L89" i="1" a="1"/>
  <c r="L89" i="1" s="1"/>
  <c r="I89" i="1" a="1"/>
  <c r="I89" i="1" s="1"/>
  <c r="H89" i="1"/>
  <c r="L85" i="1" a="1"/>
  <c r="L85" i="1" s="1"/>
  <c r="I85" i="1" a="1"/>
  <c r="I85" i="1" s="1"/>
  <c r="H85" i="1"/>
  <c r="I87" i="1" a="1"/>
  <c r="I87" i="1" s="1"/>
  <c r="H87" i="1"/>
  <c r="I83" i="1" a="1"/>
  <c r="I83" i="1" s="1"/>
  <c r="H83" i="1"/>
  <c r="H78" i="1"/>
  <c r="L81" i="1" a="1"/>
  <c r="L81" i="1" s="1"/>
  <c r="I81" i="1" a="1"/>
  <c r="I81" i="1" s="1"/>
  <c r="H81" i="1"/>
  <c r="L80" i="1" a="1"/>
  <c r="L80" i="1" s="1"/>
  <c r="I80" i="1" a="1"/>
  <c r="I80" i="1" s="1"/>
  <c r="H80" i="1"/>
  <c r="I78" i="1" a="1"/>
  <c r="I78" i="1" s="1"/>
  <c r="G73" i="1"/>
  <c r="H73" i="1" s="1"/>
  <c r="L76" i="1" a="1"/>
  <c r="L76" i="1" s="1"/>
  <c r="I76" i="1" a="1"/>
  <c r="I76" i="1" s="1"/>
  <c r="H76" i="1"/>
  <c r="I69" i="1" a="1"/>
  <c r="I69" i="1" s="1"/>
  <c r="H69" i="1"/>
  <c r="L71" i="1" a="1"/>
  <c r="L71" i="1" s="1"/>
  <c r="I71" i="1" a="1"/>
  <c r="I71" i="1" s="1"/>
  <c r="H71" i="1"/>
  <c r="L67" i="1" a="1"/>
  <c r="L67" i="1" s="1"/>
  <c r="I67" i="1" a="1"/>
  <c r="I67" i="1" s="1"/>
  <c r="H67" i="1"/>
  <c r="I65" i="1" a="1"/>
  <c r="I65" i="1" s="1"/>
  <c r="H65" i="1"/>
  <c r="I60" i="1" a="1"/>
  <c r="I60" i="1" s="1"/>
  <c r="L63" i="1" a="1"/>
  <c r="L63" i="1" s="1"/>
  <c r="I63" i="1" a="1"/>
  <c r="I63" i="1" s="1"/>
  <c r="H63" i="1"/>
  <c r="L62" i="1" a="1"/>
  <c r="L62" i="1" s="1"/>
  <c r="I62" i="1" a="1"/>
  <c r="I62" i="1" s="1"/>
  <c r="H62" i="1"/>
  <c r="H60" i="1"/>
  <c r="H58" i="1"/>
  <c r="H56" i="1"/>
  <c r="H53" i="1"/>
  <c r="H54" i="1"/>
  <c r="I56" i="1" a="1"/>
  <c r="I56" i="1" s="1"/>
  <c r="L58" i="1" a="1"/>
  <c r="L58" i="1" s="1"/>
  <c r="I58" i="1" a="1"/>
  <c r="I58" i="1" s="1"/>
  <c r="G47" i="1"/>
  <c r="H47" i="1" s="1"/>
  <c r="L52" i="1" a="1"/>
  <c r="L52" i="1" s="1"/>
  <c r="L53" i="1" a="1"/>
  <c r="L53" i="1" s="1"/>
  <c r="L54" i="1" a="1"/>
  <c r="L54" i="1" s="1"/>
  <c r="I54" i="1" a="1"/>
  <c r="I54" i="1" s="1"/>
  <c r="I53" i="1" a="1"/>
  <c r="I53" i="1" s="1"/>
  <c r="I52" i="1" a="1"/>
  <c r="I52" i="1" s="1"/>
  <c r="G49" i="1"/>
  <c r="H49" i="1" s="1"/>
  <c r="H52" i="1"/>
  <c r="H13" i="1"/>
  <c r="I13" i="1" a="1"/>
  <c r="I13" i="1" s="1"/>
  <c r="H15" i="1"/>
  <c r="I15" i="1" a="1"/>
  <c r="I15" i="1" s="1"/>
  <c r="H17" i="1"/>
  <c r="L17" i="1" a="1"/>
  <c r="L17" i="1" s="1"/>
  <c r="I17" i="1" a="1"/>
  <c r="I17" i="1" s="1"/>
  <c r="H18" i="1"/>
  <c r="L18" i="1" a="1"/>
  <c r="L18" i="1" s="1"/>
  <c r="I18" i="1" a="1"/>
  <c r="I18" i="1" s="1"/>
  <c r="H19" i="1"/>
  <c r="L19" i="1" a="1"/>
  <c r="L19" i="1" s="1"/>
  <c r="I19" i="1" a="1"/>
  <c r="I19" i="1" s="1"/>
  <c r="H21" i="1"/>
  <c r="I21" i="1" a="1"/>
  <c r="I21" i="1" s="1"/>
  <c r="J21" i="1" s="1"/>
  <c r="J20" i="1" s="1"/>
  <c r="H23" i="1"/>
  <c r="L23" i="1" a="1"/>
  <c r="L23" i="1" s="1"/>
  <c r="I23" i="1" a="1"/>
  <c r="I23" i="1" s="1"/>
  <c r="H25" i="1"/>
  <c r="I25" i="1" a="1"/>
  <c r="I25" i="1" s="1"/>
  <c r="H27" i="1"/>
  <c r="L27" i="1" a="1"/>
  <c r="L27" i="1" s="1"/>
  <c r="I27" i="1" a="1"/>
  <c r="I27" i="1" s="1"/>
  <c r="H28" i="1"/>
  <c r="L28" i="1" a="1"/>
  <c r="L28" i="1" s="1"/>
  <c r="I28" i="1" a="1"/>
  <c r="I28" i="1" s="1"/>
  <c r="J28" i="1" s="1"/>
  <c r="H30" i="1"/>
  <c r="I30" i="1" a="1"/>
  <c r="I30" i="1" s="1"/>
  <c r="H32" i="1"/>
  <c r="L32" i="1" a="1"/>
  <c r="L32" i="1" s="1"/>
  <c r="I32" i="1" a="1"/>
  <c r="I32" i="1" s="1"/>
  <c r="H33" i="1"/>
  <c r="L33" i="1" a="1"/>
  <c r="L33" i="1" s="1"/>
  <c r="I33" i="1" a="1"/>
  <c r="I33" i="1" s="1"/>
  <c r="J33" i="1" s="1"/>
  <c r="H35" i="1"/>
  <c r="I35" i="1" a="1"/>
  <c r="I35" i="1" s="1"/>
  <c r="H37" i="1"/>
  <c r="L37" i="1" a="1"/>
  <c r="L37" i="1" s="1"/>
  <c r="I37" i="1" a="1"/>
  <c r="I37" i="1" s="1"/>
  <c r="H39" i="1"/>
  <c r="I39" i="1" a="1"/>
  <c r="I39" i="1" s="1"/>
  <c r="H41" i="1"/>
  <c r="L41" i="1" a="1"/>
  <c r="L41" i="1" s="1"/>
  <c r="I41" i="1" a="1"/>
  <c r="I41" i="1" s="1"/>
  <c r="H42" i="1"/>
  <c r="L42" i="1" a="1"/>
  <c r="L42" i="1" s="1"/>
  <c r="I42" i="1" a="1"/>
  <c r="I42" i="1" s="1"/>
  <c r="H43" i="1"/>
  <c r="L43" i="1" a="1"/>
  <c r="L43" i="1" s="1"/>
  <c r="I43" i="1" a="1"/>
  <c r="I43" i="1" s="1"/>
  <c r="I47" i="1" a="1"/>
  <c r="I47" i="1" s="1"/>
  <c r="I49" i="1" a="1"/>
  <c r="I49" i="1" s="1"/>
  <c r="H51" i="1"/>
  <c r="L51" i="1" a="1"/>
  <c r="L51" i="1" s="1"/>
  <c r="I51" i="1" a="1"/>
  <c r="I51" i="1" s="1"/>
  <c r="I73" i="1" a="1"/>
  <c r="I73" i="1" s="1"/>
  <c r="H75" i="1"/>
  <c r="L75" i="1" a="1"/>
  <c r="L75" i="1" s="1"/>
  <c r="I75" i="1" a="1"/>
  <c r="I75" i="1" s="1"/>
  <c r="H92" i="1"/>
  <c r="I92" i="1" a="1"/>
  <c r="I92" i="1" s="1"/>
  <c r="H94" i="1"/>
  <c r="L94" i="1" a="1"/>
  <c r="L94" i="1" s="1"/>
  <c r="I94" i="1" a="1"/>
  <c r="I94" i="1" s="1"/>
  <c r="H96" i="1"/>
  <c r="I96" i="1" a="1"/>
  <c r="I96" i="1" s="1"/>
  <c r="H98" i="1"/>
  <c r="L98" i="1" a="1"/>
  <c r="L98" i="1" s="1"/>
  <c r="I98" i="1" a="1"/>
  <c r="I98" i="1" s="1"/>
  <c r="I100" i="1" a="1"/>
  <c r="I100" i="1" s="1"/>
  <c r="L102" i="1" a="1"/>
  <c r="L102" i="1" s="1"/>
  <c r="I102" i="1" a="1"/>
  <c r="I102" i="1" s="1"/>
  <c r="I109" i="1" a="1"/>
  <c r="I109" i="1" s="1"/>
  <c r="H111" i="1"/>
  <c r="L111" i="1" a="1"/>
  <c r="L111" i="1" s="1"/>
  <c r="I111" i="1" a="1"/>
  <c r="I111" i="1" s="1"/>
  <c r="L113" i="1" a="1"/>
  <c r="L113" i="1" s="1"/>
  <c r="I113" i="1" a="1"/>
  <c r="I113" i="1" s="1"/>
  <c r="H114" i="1"/>
  <c r="L114" i="1" a="1"/>
  <c r="L114" i="1" s="1"/>
  <c r="I114" i="1" a="1"/>
  <c r="I114" i="1" s="1"/>
  <c r="L115" i="1" a="1"/>
  <c r="L115" i="1" s="1"/>
  <c r="I115" i="1" a="1"/>
  <c r="I115" i="1" s="1"/>
  <c r="L116" i="1" a="1"/>
  <c r="L116" i="1" s="1"/>
  <c r="I116" i="1" a="1"/>
  <c r="I116" i="1" s="1"/>
  <c r="H123" i="1"/>
  <c r="I123" i="1" a="1"/>
  <c r="I123" i="1" s="1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5" i="3"/>
  <c r="G4" i="3"/>
  <c r="E15" i="2"/>
  <c r="E14" i="2"/>
  <c r="E13" i="2"/>
  <c r="E12" i="2"/>
  <c r="E11" i="2"/>
  <c r="E10" i="2"/>
  <c r="E9" i="2"/>
  <c r="E8" i="2"/>
  <c r="E7" i="2"/>
  <c r="E6" i="2"/>
  <c r="E5" i="2"/>
  <c r="E4" i="2"/>
  <c r="E24" i="2"/>
  <c r="J75" i="1" l="1"/>
  <c r="J17" i="1"/>
  <c r="J27" i="1"/>
  <c r="J26" i="1" s="1"/>
  <c r="J107" i="1"/>
  <c r="J78" i="1"/>
  <c r="J77" i="1" s="1"/>
  <c r="J106" i="1"/>
  <c r="J90" i="1"/>
  <c r="J89" i="1"/>
  <c r="J85" i="1"/>
  <c r="J84" i="1" s="1"/>
  <c r="J81" i="1"/>
  <c r="J80" i="1"/>
  <c r="J76" i="1"/>
  <c r="J71" i="1"/>
  <c r="J70" i="1" s="1"/>
  <c r="J67" i="1"/>
  <c r="J66" i="1" s="1"/>
  <c r="J63" i="1"/>
  <c r="J62" i="1"/>
  <c r="J58" i="1"/>
  <c r="J57" i="1" s="1"/>
  <c r="J112" i="1"/>
  <c r="J54" i="1"/>
  <c r="J53" i="1"/>
  <c r="J52" i="1"/>
  <c r="J104" i="1"/>
  <c r="J103" i="1" s="1"/>
  <c r="J69" i="1"/>
  <c r="J68" i="1" s="1"/>
  <c r="J60" i="1"/>
  <c r="J59" i="1" s="1"/>
  <c r="J87" i="1"/>
  <c r="J86" i="1" s="1"/>
  <c r="J83" i="1"/>
  <c r="J82" i="1" s="1"/>
  <c r="J65" i="1"/>
  <c r="J64" i="1" s="1"/>
  <c r="J56" i="1"/>
  <c r="J55" i="1" s="1"/>
  <c r="J39" i="1"/>
  <c r="J38" i="1" s="1"/>
  <c r="J94" i="1"/>
  <c r="J93" i="1" s="1"/>
  <c r="H113" i="1"/>
  <c r="J113" i="1" s="1"/>
  <c r="G109" i="1"/>
  <c r="H109" i="1" s="1"/>
  <c r="J109" i="1" s="1"/>
  <c r="J108" i="1" s="1"/>
  <c r="J25" i="1"/>
  <c r="J24" i="1" s="1"/>
  <c r="H102" i="1"/>
  <c r="J102" i="1" s="1"/>
  <c r="J101" i="1" s="1"/>
  <c r="G100" i="1"/>
  <c r="H100" i="1" s="1"/>
  <c r="J100" i="1" s="1"/>
  <c r="J99" i="1" s="1"/>
  <c r="J96" i="1"/>
  <c r="J95" i="1" s="1"/>
  <c r="J73" i="1"/>
  <c r="J72" i="1" s="1"/>
  <c r="J15" i="1"/>
  <c r="J14" i="1" s="1"/>
  <c r="J18" i="1"/>
  <c r="J43" i="1"/>
  <c r="J13" i="1"/>
  <c r="J12" i="1" s="1"/>
  <c r="J19" i="1"/>
  <c r="J111" i="1"/>
  <c r="J47" i="1"/>
  <c r="J46" i="1" s="1"/>
  <c r="J32" i="1"/>
  <c r="J31" i="1" s="1"/>
  <c r="J92" i="1"/>
  <c r="J91" i="1" s="1"/>
  <c r="J123" i="1"/>
  <c r="J122" i="1" s="1"/>
  <c r="J37" i="1"/>
  <c r="J36" i="1" s="1"/>
  <c r="J116" i="1"/>
  <c r="J23" i="1"/>
  <c r="J22" i="1" s="1"/>
  <c r="J35" i="1"/>
  <c r="J34" i="1" s="1"/>
  <c r="J114" i="1"/>
  <c r="J30" i="1"/>
  <c r="J29" i="1" s="1"/>
  <c r="J51" i="1"/>
  <c r="J41" i="1"/>
  <c r="J42" i="1"/>
  <c r="J49" i="1"/>
  <c r="J48" i="1" s="1"/>
  <c r="J98" i="1"/>
  <c r="J97" i="1" s="1"/>
  <c r="J115" i="1"/>
  <c r="J74" i="1" l="1"/>
  <c r="J105" i="1"/>
  <c r="J110" i="1"/>
  <c r="J79" i="1"/>
  <c r="J61" i="1"/>
  <c r="J88" i="1"/>
  <c r="J119" i="1"/>
  <c r="J118" i="1"/>
  <c r="J121" i="1"/>
  <c r="J120" i="1" s="1"/>
  <c r="J125" i="1"/>
  <c r="E25" i="2" s="1"/>
  <c r="J16" i="1"/>
  <c r="J50" i="1"/>
  <c r="J40" i="1"/>
  <c r="J117" i="1" l="1"/>
  <c r="J11" i="1"/>
  <c r="J10" i="1" s="1"/>
  <c r="J45" i="1" l="1"/>
  <c r="J44" i="1" s="1"/>
  <c r="J9" i="1" s="1"/>
  <c r="J126" i="1"/>
  <c r="J124" i="1" l="1"/>
  <c r="G39" i="3"/>
  <c r="G38" i="3"/>
  <c r="G40" i="3" l="1"/>
  <c r="G41" i="3" s="1"/>
</calcChain>
</file>

<file path=xl/sharedStrings.xml><?xml version="1.0" encoding="utf-8"?>
<sst xmlns="http://schemas.openxmlformats.org/spreadsheetml/2006/main" count="487" uniqueCount="146">
  <si>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6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</si>
  <si>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</si>
  <si>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</si>
  <si>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</si>
  <si>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</si>
  <si>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</si>
  <si>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</si>
  <si>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</si>
  <si>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</si>
  <si>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</si>
  <si>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</si>
  <si>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</si>
  <si>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</si>
  <si>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</si>
  <si>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</si>
  <si>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</si>
  <si>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</si>
  <si>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</si>
  <si>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</si>
  <si>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</si>
  <si>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</si>
  <si>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</si>
  <si>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Монтаж клапана (с учетом пожарного рукава и ствола)</t>
  </si>
  <si>
    <t>Материалы:</t>
  </si>
  <si>
    <t>1</t>
  </si>
  <si>
    <t>Рукав пожарный</t>
  </si>
  <si>
    <t>Ду-50мм L-20м с головкой ГР-50</t>
  </si>
  <si>
    <t>2</t>
  </si>
  <si>
    <t>Ствол пожарный</t>
  </si>
  <si>
    <t>РС-50А</t>
  </si>
  <si>
    <t>3</t>
  </si>
  <si>
    <t>Вентиль пожарный</t>
  </si>
  <si>
    <t>чугунный угловой Ду-50 муфта-цапка</t>
  </si>
  <si>
    <t>с ДППК</t>
  </si>
  <si>
    <t>Монтаж кранов (фланцевые, резьбовые) от 40 мм</t>
  </si>
  <si>
    <t>Кран шаровой</t>
  </si>
  <si>
    <t>ВР-ВР Ду-50 полнопроходной</t>
  </si>
  <si>
    <t>Монтаж пожарного шкафа</t>
  </si>
  <si>
    <t>Шкаф пожарный</t>
  </si>
  <si>
    <t>ШПК-320-12 Н3</t>
  </si>
  <si>
    <t>Огнетушитель</t>
  </si>
  <si>
    <t>порошковый ОП-4 АВСЕ</t>
  </si>
  <si>
    <t>Монтаж трубной изоляции</t>
  </si>
  <si>
    <t>м</t>
  </si>
  <si>
    <t>Теплоизоляция трубная</t>
  </si>
  <si>
    <t>133х20мм навивные цилидры из каменной ваты</t>
  </si>
  <si>
    <t>пог. м</t>
  </si>
  <si>
    <t>76х20мм навивные цилидры из каменной ваты</t>
  </si>
  <si>
    <t>Покраска эмалью</t>
  </si>
  <si>
    <t>кг</t>
  </si>
  <si>
    <t>Эмаль (кг.)</t>
  </si>
  <si>
    <t>ПФ-115</t>
  </si>
  <si>
    <t>в 2 слоя</t>
  </si>
  <si>
    <t>Прокладка трубы стальной от 57 мм</t>
  </si>
  <si>
    <t>Труба электросварная (пог.м.)</t>
  </si>
  <si>
    <t>стальная D-133х4,2</t>
  </si>
  <si>
    <t>стальная D-76х3,5</t>
  </si>
  <si>
    <t>стальная D-57х3,5</t>
  </si>
  <si>
    <t>%</t>
  </si>
  <si>
    <t>11.07.02</t>
  </si>
  <si>
    <t>Устройство системы автоматического пожаротушения спринклерная (В21)</t>
  </si>
  <si>
    <t>11.07.02.00</t>
  </si>
  <si>
    <t>Бурение отверстий</t>
  </si>
  <si>
    <t>Монтаж затвора</t>
  </si>
  <si>
    <t>Затвор поворотный дисковый</t>
  </si>
  <si>
    <t>межфланцевый Ду-100 Py-10bar ручной с контролем положения</t>
  </si>
  <si>
    <t>Монтаж оросителя</t>
  </si>
  <si>
    <t>Ороситель</t>
  </si>
  <si>
    <t>спринклерный розеткой вверх t-57±3°С К-0,77</t>
  </si>
  <si>
    <t>с запасом на ПНР</t>
  </si>
  <si>
    <t>Монтаж эксгаустера</t>
  </si>
  <si>
    <t>Эксгаустер</t>
  </si>
  <si>
    <t>50 1,2 12 ВМ.УЗ.1</t>
  </si>
  <si>
    <t>стальная D-108х4,0</t>
  </si>
  <si>
    <t>стальная D-159х4,0</t>
  </si>
  <si>
    <t>4</t>
  </si>
  <si>
    <t>стальная D-89х3,5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</si>
  <si>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</si>
  <si>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</si>
  <si>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</si>
  <si>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</si>
  <si>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</si>
  <si>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</si>
  <si>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</si>
  <si>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</si>
  <si>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</si>
  <si>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</si>
  <si>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</si>
  <si>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</si>
  <si>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</si>
  <si>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</si>
  <si>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</si>
  <si>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</si>
  <si>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</si>
  <si>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</si>
  <si>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Екатеринбург.06.11.07 Секция 6_Устройство системы пожаротушения №1</t>
  </si>
  <si>
    <t>6bed4775-96f5-11f1-9619-cc5d3c3b48f3</t>
  </si>
  <si>
    <t>Итог</t>
  </si>
  <si>
    <t>межфланцевый Ду-150 Py-16bar ручной с контролем положения</t>
  </si>
  <si>
    <t>межфланцевый Ду-50 Py- с электроприводом 380В</t>
  </si>
  <si>
    <t>межфланцевый Ду-125 Py-16bar ручной с контролем положения</t>
  </si>
  <si>
    <t>Монтаж клапана (фланцевые, резьбовые) до 32 мм</t>
  </si>
  <si>
    <t>Клапан обратный</t>
  </si>
  <si>
    <t>муфтовый Ду-32 Ру-16бар</t>
  </si>
  <si>
    <t>Монтаж клапана (фланцевые, резьбовые) от 40 мм</t>
  </si>
  <si>
    <t>муфтовый Ду-40 Ру-16бар</t>
  </si>
  <si>
    <t>Межфланцевый Ду-125 Ру-16бар</t>
  </si>
  <si>
    <t>Монтаж компрессора</t>
  </si>
  <si>
    <t>Компрессор поршневой с осушителем воздуха</t>
  </si>
  <si>
    <t>Q=360л/мин 10 бар 2,2кВт</t>
  </si>
  <si>
    <t>Монтаж кранов (фланцевые, резьбовые) до 32 мм</t>
  </si>
  <si>
    <t>с накидной гайкой Ду-32 полнопроходный</t>
  </si>
  <si>
    <t>с накидной гайкой Ду-40 полнопроходный</t>
  </si>
  <si>
    <t>Монтаж насосной установки (в тч жокей-насос)</t>
  </si>
  <si>
    <t>Насосная станция пожаротушения</t>
  </si>
  <si>
    <t>Q-64,27 л/сН=62,06 м</t>
  </si>
  <si>
    <t>Жокей-насос</t>
  </si>
  <si>
    <t>Q-1,0 л/с H-65,3 м N-1,5 кВт V бака-50 л</t>
  </si>
  <si>
    <t>Монтаж счетчика</t>
  </si>
  <si>
    <t>Счетчик воды</t>
  </si>
  <si>
    <t>электромагнитный Ду-100 Qn-150м3/час L-250мм</t>
  </si>
  <si>
    <t>Монтаж узла управления</t>
  </si>
  <si>
    <t>Узел управления спринклерный</t>
  </si>
  <si>
    <t>воздухозаполненный DN-150 Ру-1,6</t>
  </si>
  <si>
    <t>прямоточный DN-150 Ру-1,6</t>
  </si>
  <si>
    <t>Прокладка трубы стальной до 40 мм</t>
  </si>
  <si>
    <t>Труба водогазопроводная</t>
  </si>
  <si>
    <t>стальная D-32х3,2 СТ3</t>
  </si>
  <si>
    <t>стальная D-40х3,5 СТ3</t>
  </si>
  <si>
    <t>Прочие материалы</t>
  </si>
  <si>
    <t xml:space="preserve">Фитинги для стальной трубы </t>
  </si>
  <si>
    <t>Проверка:</t>
  </si>
  <si>
    <t>для всех разделов, расчитывается от стоимости материалов</t>
  </si>
  <si>
    <t>в тч НДС ____%</t>
  </si>
  <si>
    <t>указать %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</si>
  <si>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</si>
  <si>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</si>
  <si>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</si>
  <si>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</si>
  <si>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</si>
  <si>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</si>
  <si>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</si>
  <si>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</si>
  <si>
    <t>Паркинг</t>
  </si>
  <si>
    <t>Локальный сметный расчет (ЛСР) №6</t>
  </si>
  <si>
    <t>Устройство системы пожаротушения и сопутствующим работам (согласно проекту шифр ПТ, стадия 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</si>
</sst>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8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7" fillId="0" borderId="0"/>
    <xf numFmtId="0" fontId="8" fillId="0" borderId="0"/>
    <xf numFmtId="0" fontId="11" fillId="0" borderId="0"/>
    <xf numFmtId="0" fontId="1" fillId="0" borderId="0"/>
  </cellStyleXfs>
  <cellXfs count="115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/>
    </xf>
    <xf numFmtId="0" fontId="0" fillId="3" borderId="5" xfId="0" applyFill="1" applyBorder="1" applyAlignment="1">
      <alignment horizontal="left" wrapText="1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left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right" vertical="center"/>
    </xf>
    <xf numFmtId="0" fontId="0" fillId="4" borderId="5" xfId="0" applyFill="1" applyBorder="1" applyAlignment="1">
      <alignment horizontal="right" vertical="center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left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/>
    </xf>
    <xf numFmtId="0" fontId="0" fillId="5" borderId="5" xfId="0" applyFill="1" applyBorder="1" applyAlignment="1">
      <alignment horizontal="center"/>
    </xf>
    <xf numFmtId="0" fontId="0" fillId="5" borderId="5" xfId="0" applyFill="1" applyBorder="1" applyAlignment="1">
      <alignment horizontal="left" wrapText="1"/>
    </xf>
    <xf numFmtId="0" fontId="0" fillId="5" borderId="5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right" vertical="center"/>
    </xf>
    <xf numFmtId="1" fontId="0" fillId="5" borderId="5" xfId="0" applyNumberFormat="1" applyFill="1" applyBorder="1" applyAlignment="1">
      <alignment horizontal="right" vertical="center"/>
    </xf>
    <xf numFmtId="2" fontId="0" fillId="5" borderId="5" xfId="0" applyNumberFormat="1" applyFill="1" applyBorder="1" applyAlignment="1">
      <alignment horizontal="right" vertical="center"/>
    </xf>
    <xf numFmtId="3" fontId="0" fillId="5" borderId="5" xfId="0" applyNumberFormat="1" applyFill="1" applyBorder="1" applyAlignment="1">
      <alignment horizontal="right" vertical="center"/>
    </xf>
    <xf numFmtId="4" fontId="0" fillId="5" borderId="5" xfId="0" applyNumberFormat="1" applyFill="1" applyBorder="1" applyAlignment="1">
      <alignment horizontal="right" vertical="center"/>
    </xf>
    <xf numFmtId="164" fontId="0" fillId="5" borderId="5" xfId="0" applyNumberFormat="1" applyFill="1" applyBorder="1" applyAlignment="1">
      <alignment horizontal="right" vertical="center"/>
    </xf>
    <xf numFmtId="0" fontId="0" fillId="6" borderId="5" xfId="0" applyFill="1" applyBorder="1" applyAlignment="1">
      <alignment horizontal="left"/>
    </xf>
    <xf numFmtId="0" fontId="0" fillId="6" borderId="5" xfId="0" applyFill="1" applyBorder="1" applyAlignment="1">
      <alignment horizontal="right"/>
    </xf>
    <xf numFmtId="0" fontId="0" fillId="7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2" fontId="0" fillId="0" borderId="5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64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0" fillId="4" borderId="5" xfId="0" applyNumberFormat="1" applyFill="1" applyBorder="1" applyAlignment="1">
      <alignment horizontal="center" vertical="center"/>
    </xf>
    <xf numFmtId="4" fontId="3" fillId="4" borderId="0" xfId="0" applyNumberFormat="1" applyFont="1" applyFill="1" applyAlignment="1">
      <alignment horizontal="right" vertical="center"/>
    </xf>
    <xf numFmtId="4" fontId="3" fillId="6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left"/>
    </xf>
    <xf numFmtId="0" fontId="6" fillId="4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left" wrapText="1"/>
    </xf>
    <xf numFmtId="0" fontId="5" fillId="5" borderId="5" xfId="0" applyFont="1" applyFill="1" applyBorder="1" applyAlignment="1">
      <alignment horizontal="center" vertical="center"/>
    </xf>
    <xf numFmtId="1" fontId="5" fillId="9" borderId="5" xfId="0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left"/>
    </xf>
    <xf numFmtId="1" fontId="0" fillId="9" borderId="2" xfId="0" applyNumberFormat="1" applyFill="1" applyBorder="1" applyAlignment="1">
      <alignment horizontal="right" vertical="center"/>
    </xf>
    <xf numFmtId="0" fontId="5" fillId="5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right" vertical="center"/>
    </xf>
    <xf numFmtId="4" fontId="5" fillId="5" borderId="5" xfId="0" applyNumberFormat="1" applyFont="1" applyFill="1" applyBorder="1" applyAlignment="1">
      <alignment horizontal="right" vertical="center"/>
    </xf>
    <xf numFmtId="4" fontId="3" fillId="6" borderId="7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/>
    </xf>
    <xf numFmtId="0" fontId="7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0" fontId="0" fillId="0" borderId="5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left" wrapText="1"/>
    </xf>
    <xf numFmtId="0" fontId="3" fillId="7" borderId="7" xfId="0" applyFont="1" applyFill="1" applyBorder="1" applyAlignment="1">
      <alignment horizontal="center" vertical="center" wrapText="1"/>
    </xf>
    <xf numFmtId="4" fontId="3" fillId="7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9" xfId="0" applyFont="1" applyFill="1" applyBorder="1" applyAlignment="1">
      <alignment horizontal="right"/>
    </xf>
    <xf numFmtId="0" fontId="3" fillId="6" borderId="6" xfId="0" applyFont="1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/>
    </xf>
    <xf numFmtId="0" fontId="0" fillId="6" borderId="6" xfId="0" applyFill="1" applyBorder="1" applyAlignment="1">
      <alignment horizontal="right"/>
    </xf>
    <xf numFmtId="0" fontId="0" fillId="6" borderId="7" xfId="0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13" fillId="8" borderId="0" xfId="1" applyFont="1" applyFill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D8AF79C4-443F-46EF-9CE4-98C387F9E8B9}"/>
    <cellStyle name="Обычный 3" xfId="1" xr:uid="{A1B34A5F-1FF6-4C3C-9301-3E9A74219A29}"/>
    <cellStyle name="Обычный 3 2 2 4 2" xfId="4" xr:uid="{C96F8AFF-3A10-4D1B-B589-041BF0C9DF6A}"/>
    <cellStyle name="Обычный 5" xfId="2" xr:uid="{73FDBD03-039A-4B5A-8D06-150589B62BD0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9AE210A-E35A-4277-A84F-8D566BF1D21F}" name="Р" displayName="Р" ref="A3:F24" totalsRowCount="1" headerRowDxfId="37" headerRowBorderDxfId="36" tableBorderDxfId="35" totalsRowBorderDxfId="34">
  <autoFilter ref="A3:F23" xr:uid="{19AE210A-E35A-4277-A84F-8D566BF1D21F}"/>
  <tableColumns count="6">
    <tableColumn id="1" xr3:uid="{C51D560D-249D-445B-9268-0DC9E4CA1570}" name="Наименование" totalsRowLabel="Итог" dataDxfId="33" totalsRowDxfId="32"/>
    <tableColumn id="2" xr3:uid="{384B4BED-77E6-4911-AD35-EE9C5221D252}" name="Ед. изм." dataDxfId="31" totalsRowDxfId="30"/>
    <tableColumn id="3" xr3:uid="{A037BB93-8995-4090-A2DA-534E32D7A546}" name="Количество" dataDxfId="29" totalsRowDxfId="28"/>
    <tableColumn id="4" xr3:uid="{843D9CBD-1F2C-4259-8334-3E54CC10A58E}" name="Цена за ед., руб" dataDxfId="27" totalsRowDxfId="26"/>
    <tableColumn id="5" xr3:uid="{0230852C-33A4-4901-8F8A-C7EE7388075D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33288379-12FC-4F2E-BA71-891B2F913334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193FB-D313-41FA-90FC-A2FF88BCBF4A}" name="М" displayName="М" ref="A3:I40" totalsRowCount="1" headerRowDxfId="21" headerRowBorderDxfId="20" tableBorderDxfId="19" totalsRowBorderDxfId="18">
  <autoFilter ref="A3:I39" xr:uid="{89C193FB-D313-41FA-90FC-A2FF88BCBF4A}"/>
  <tableColumns count="9">
    <tableColumn id="1" xr3:uid="{7D36FA20-F100-40C4-A450-3B5C327A1449}" name="Наим." totalsRowLabel="Итог" dataDxfId="17" totalsRowDxfId="16"/>
    <tableColumn id="2" xr3:uid="{06B3636B-B619-4D39-8BF6-450521E99CD0}" name="Артикул, марка, произв." dataDxfId="15" totalsRowDxfId="14"/>
    <tableColumn id="3" xr3:uid="{27D70280-CCB8-499D-BF4C-9317BC9BDB9D}" name="Хар-ка" dataDxfId="13" totalsRowDxfId="12"/>
    <tableColumn id="4" xr3:uid="{4788316F-D9F0-4BCB-AC57-F84905C155A8}" name="Ед. изм." dataDxfId="11" totalsRowDxfId="10"/>
    <tableColumn id="5" xr3:uid="{F305DA61-C6DA-48EA-A752-EF371A8459C1}" name="Количество" dataDxfId="9" totalsRowDxfId="8"/>
    <tableColumn id="6" xr3:uid="{5933383A-DA87-4D21-873A-79546B17CA3D}" name="Цена за ед., руб" dataDxfId="7" totalsRowDxfId="6"/>
    <tableColumn id="7" xr3:uid="{2A1DDFEC-1088-46A8-A37D-561D31570C09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BA735F94-BACB-4E70-9039-98DF468FFF42}" name="Прим." dataDxfId="3" totalsRowDxfId="2"/>
    <tableColumn id="9" xr3:uid="{98A28CC3-F9DE-41DC-868F-38B5B7B54AC2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S137"/>
  <sheetViews>
    <sheetView tabSelected="1" workbookViewId="0">
      <pane ySplit="7" topLeftCell="A8" activePane="bottomLeft" state="frozen"/>
      <selection pane="bottomLeft" activeCell="L56" sqref="L56:L69"/>
    </sheetView>
  </sheetViews>
  <sheetFormatPr defaultColWidth="10.5" defaultRowHeight="11.25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2" spans="1:12" x14ac:dyDescent="0.2">
      <c r="B2" s="100" t="s">
        <v>144</v>
      </c>
      <c r="C2" s="100"/>
      <c r="D2" s="100"/>
      <c r="E2" s="100"/>
      <c r="F2" s="100"/>
      <c r="G2" s="100"/>
      <c r="H2" s="100"/>
      <c r="I2" s="100"/>
      <c r="J2" s="100"/>
    </row>
    <row r="3" spans="1:12" ht="28.5" customHeight="1" x14ac:dyDescent="0.2">
      <c r="B3" s="101" t="s">
        <v>0</v>
      </c>
      <c r="C3" s="101"/>
      <c r="D3" s="101"/>
      <c r="E3" s="101"/>
      <c r="F3" s="101"/>
      <c r="G3" s="101"/>
      <c r="H3" s="101"/>
      <c r="I3" s="101"/>
      <c r="J3" s="101"/>
    </row>
    <row r="4" spans="1:12" x14ac:dyDescent="0.2">
      <c r="B4" s="101" t="s">
        <v>145</v>
      </c>
      <c r="C4" s="101"/>
      <c r="D4" s="101"/>
      <c r="E4" s="101"/>
      <c r="F4" s="101"/>
      <c r="G4" s="101"/>
      <c r="H4" s="101"/>
      <c r="I4" s="101"/>
      <c r="J4" s="101"/>
    </row>
    <row r="6" spans="1:12" x14ac:dyDescent="0.2">
      <c r="A6" s="87" t="s">
        <v>1</v>
      </c>
      <c r="B6" s="87" t="s">
        <v>2</v>
      </c>
      <c r="C6" s="102" t="s">
        <v>3</v>
      </c>
      <c r="D6" s="104" t="s">
        <v>4</v>
      </c>
      <c r="E6" s="87" t="s">
        <v>5</v>
      </c>
      <c r="F6" s="89" t="s">
        <v>6</v>
      </c>
      <c r="G6" s="106" t="s">
        <v>143</v>
      </c>
      <c r="H6" s="87" t="s">
        <v>7</v>
      </c>
      <c r="I6" s="89" t="s">
        <v>8</v>
      </c>
      <c r="J6" s="89" t="s">
        <v>9</v>
      </c>
      <c r="K6" s="87" t="s">
        <v>10</v>
      </c>
      <c r="L6" s="89" t="s">
        <v>11</v>
      </c>
    </row>
    <row r="7" spans="1:12" x14ac:dyDescent="0.2">
      <c r="A7" s="88"/>
      <c r="B7" s="88"/>
      <c r="C7" s="103"/>
      <c r="D7" s="105"/>
      <c r="E7" s="88"/>
      <c r="F7" s="90"/>
      <c r="G7" s="107"/>
      <c r="H7" s="88"/>
      <c r="I7" s="90"/>
      <c r="J7" s="90"/>
      <c r="K7" s="88"/>
      <c r="L7" s="90"/>
    </row>
    <row r="8" spans="1:12" x14ac:dyDescent="0.2">
      <c r="A8" s="3" t="s">
        <v>12</v>
      </c>
      <c r="B8" s="4" t="s">
        <v>13</v>
      </c>
      <c r="C8" s="5"/>
      <c r="D8" s="5"/>
      <c r="E8" s="6"/>
      <c r="F8" s="7"/>
      <c r="G8" s="7"/>
      <c r="H8" s="7"/>
      <c r="I8" s="56"/>
      <c r="J8" s="56"/>
      <c r="K8" s="5"/>
      <c r="L8" s="5"/>
    </row>
    <row r="9" spans="1:12" outlineLevel="1" x14ac:dyDescent="0.2">
      <c r="A9" s="8" t="s">
        <v>14</v>
      </c>
      <c r="B9" s="9" t="s">
        <v>15</v>
      </c>
      <c r="C9" s="10"/>
      <c r="D9" s="10"/>
      <c r="E9" s="11"/>
      <c r="F9" s="12"/>
      <c r="G9" s="12"/>
      <c r="H9" s="12"/>
      <c r="I9" s="57"/>
      <c r="J9" s="57">
        <f>SUM($J$120,$J$44,$J$10)</f>
        <v>0</v>
      </c>
      <c r="K9" s="10"/>
      <c r="L9" s="10"/>
    </row>
    <row r="10" spans="1:12" outlineLevel="2" x14ac:dyDescent="0.2">
      <c r="A10" s="13" t="s">
        <v>16</v>
      </c>
      <c r="B10" s="14" t="s">
        <v>17</v>
      </c>
      <c r="C10" s="15"/>
      <c r="D10" s="15"/>
      <c r="E10" s="16"/>
      <c r="F10" s="17"/>
      <c r="G10" s="18"/>
      <c r="H10" s="18"/>
      <c r="I10" s="58"/>
      <c r="J10" s="58">
        <f>SUM($J$11)</f>
        <v>0</v>
      </c>
      <c r="K10" s="19"/>
      <c r="L10" s="19"/>
    </row>
    <row r="11" spans="1:12" outlineLevel="3" x14ac:dyDescent="0.2">
      <c r="A11" s="13" t="s">
        <v>18</v>
      </c>
      <c r="B11" s="14" t="s">
        <v>17</v>
      </c>
      <c r="C11" s="15"/>
      <c r="D11" s="15"/>
      <c r="E11" s="16"/>
      <c r="F11" s="17"/>
      <c r="G11" s="18"/>
      <c r="H11" s="18"/>
      <c r="I11" s="58"/>
      <c r="J11" s="58">
        <f>SUM($J$40,$J$38,$J$36,$J$34,$J$31,$J$29,$J$26,$J$24,$J$22,$J$20,$J$16,$J$14,$J$12)</f>
        <v>0</v>
      </c>
      <c r="K11" s="19"/>
      <c r="L11" s="19"/>
    </row>
    <row r="12" spans="1:12" outlineLevel="4" x14ac:dyDescent="0.2">
      <c r="A12" s="20"/>
      <c r="B12" s="14" t="s">
        <v>19</v>
      </c>
      <c r="C12" s="21"/>
      <c r="D12" s="21"/>
      <c r="E12" s="21"/>
      <c r="F12" s="21"/>
      <c r="G12" s="21"/>
      <c r="H12" s="21"/>
      <c r="I12" s="59"/>
      <c r="J12" s="60">
        <f>SUM($J$13)</f>
        <v>0</v>
      </c>
      <c r="K12" s="18"/>
      <c r="L12" s="22"/>
    </row>
    <row r="13" spans="1:12" outlineLevel="4" x14ac:dyDescent="0.2">
      <c r="A13" s="23"/>
      <c r="B13" s="24" t="s">
        <v>20</v>
      </c>
      <c r="C13" s="25"/>
      <c r="D13" s="25"/>
      <c r="E13" s="26" t="s">
        <v>21</v>
      </c>
      <c r="F13" s="27"/>
      <c r="G13" s="28">
        <v>26</v>
      </c>
      <c r="H13" s="28">
        <f>SUM($G$13:$G$13)</f>
        <v>26</v>
      </c>
      <c r="I13" s="31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31">
        <f>ROUND($H$13*$I$13,2)</f>
        <v>0</v>
      </c>
      <c r="K13" s="25"/>
      <c r="L13" s="25"/>
    </row>
    <row r="14" spans="1:12" outlineLevel="4" x14ac:dyDescent="0.2">
      <c r="A14" s="20"/>
      <c r="B14" s="14" t="s">
        <v>19</v>
      </c>
      <c r="C14" s="21"/>
      <c r="D14" s="21"/>
      <c r="E14" s="21"/>
      <c r="F14" s="21"/>
      <c r="G14" s="21"/>
      <c r="H14" s="21"/>
      <c r="I14" s="59"/>
      <c r="J14" s="60">
        <f>SUM($J$15)</f>
        <v>0</v>
      </c>
      <c r="K14" s="18"/>
      <c r="L14" s="22"/>
    </row>
    <row r="15" spans="1:12" ht="22.5" outlineLevel="4" x14ac:dyDescent="0.2">
      <c r="A15" s="23"/>
      <c r="B15" s="24" t="s">
        <v>22</v>
      </c>
      <c r="C15" s="25"/>
      <c r="D15" s="25"/>
      <c r="E15" s="26" t="s">
        <v>21</v>
      </c>
      <c r="F15" s="27"/>
      <c r="G15" s="28">
        <v>62</v>
      </c>
      <c r="H15" s="28">
        <f>SUM($G$15:$G$15)</f>
        <v>62</v>
      </c>
      <c r="I15" s="31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31">
        <f>ROUND($H$15*$I$15,2)</f>
        <v>0</v>
      </c>
      <c r="K15" s="25"/>
      <c r="L15" s="25"/>
    </row>
    <row r="16" spans="1:12" outlineLevel="4" x14ac:dyDescent="0.2">
      <c r="A16" s="20"/>
      <c r="B16" s="14" t="s">
        <v>23</v>
      </c>
      <c r="C16" s="21"/>
      <c r="D16" s="21"/>
      <c r="E16" s="21"/>
      <c r="F16" s="21"/>
      <c r="G16" s="21"/>
      <c r="H16" s="21"/>
      <c r="I16" s="59"/>
      <c r="J16" s="60">
        <f>SUM($J$17:$J$19)</f>
        <v>0</v>
      </c>
      <c r="K16" s="18"/>
      <c r="L16" s="22"/>
    </row>
    <row r="17" spans="1:12" ht="22.5" outlineLevel="4" x14ac:dyDescent="0.2">
      <c r="A17" s="23" t="s">
        <v>24</v>
      </c>
      <c r="B17" s="24" t="s">
        <v>25</v>
      </c>
      <c r="C17" s="25"/>
      <c r="D17" s="25" t="s">
        <v>26</v>
      </c>
      <c r="E17" s="26" t="s">
        <v>21</v>
      </c>
      <c r="F17" s="27"/>
      <c r="G17" s="28">
        <v>62</v>
      </c>
      <c r="H17" s="28">
        <f>SUM($G$17:$G$17)</f>
        <v>62</v>
      </c>
      <c r="I17" s="31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31">
        <f>ROUND($H$17*$I$17,2)</f>
        <v>0</v>
      </c>
      <c r="K17" s="25"/>
      <c r="L17" s="25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outlineLevel="4" x14ac:dyDescent="0.2">
      <c r="A18" s="23" t="s">
        <v>27</v>
      </c>
      <c r="B18" s="24" t="s">
        <v>28</v>
      </c>
      <c r="C18" s="25"/>
      <c r="D18" s="25" t="s">
        <v>29</v>
      </c>
      <c r="E18" s="26" t="s">
        <v>21</v>
      </c>
      <c r="F18" s="27"/>
      <c r="G18" s="28">
        <v>62</v>
      </c>
      <c r="H18" s="28">
        <f>SUM($G$18:$G$18)</f>
        <v>62</v>
      </c>
      <c r="I18" s="31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31">
        <f>ROUND($H$18*$I$18,2)</f>
        <v>0</v>
      </c>
      <c r="K18" s="25"/>
      <c r="L18" s="25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33.75" outlineLevel="4" x14ac:dyDescent="0.2">
      <c r="A19" s="23" t="s">
        <v>30</v>
      </c>
      <c r="B19" s="24" t="s">
        <v>31</v>
      </c>
      <c r="C19" s="25"/>
      <c r="D19" s="25" t="s">
        <v>32</v>
      </c>
      <c r="E19" s="26" t="s">
        <v>21</v>
      </c>
      <c r="F19" s="27"/>
      <c r="G19" s="28">
        <v>62</v>
      </c>
      <c r="H19" s="28">
        <f>SUM($G$19:$G$19)</f>
        <v>62</v>
      </c>
      <c r="I19" s="31">
        <f t="array" ref="I19">INDEX(М[Цена за ед., руб],MATCH(1,IF(($B19=М[Наим.])*($C19=М[Артикул,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  <c r="J19" s="31">
        <f>ROUND($H$19*$I$19,2)</f>
        <v>0</v>
      </c>
      <c r="K19" s="25" t="s">
        <v>33</v>
      </c>
      <c r="L19" s="25">
        <f t="array" ref="L19">INDEX(М[Форма закупа],MATCH(1,IF(($B19=М[Наим.])*($C19=М[Артикул, марка, произв.])*($D19=М[Хар-ка])*($K19=М[Прим.]),{1},($B19=М[Наим.])*($C19=М[Артикул, марка, произв.])*($D19=М[Хар-ка])*($K19=М[Прим.])),0))</f>
        <v>0</v>
      </c>
    </row>
    <row r="20" spans="1:12" outlineLevel="4" x14ac:dyDescent="0.2">
      <c r="A20" s="20"/>
      <c r="B20" s="14" t="s">
        <v>19</v>
      </c>
      <c r="C20" s="21"/>
      <c r="D20" s="21"/>
      <c r="E20" s="21"/>
      <c r="F20" s="21"/>
      <c r="G20" s="21"/>
      <c r="H20" s="21"/>
      <c r="I20" s="59"/>
      <c r="J20" s="60">
        <f>SUM($J$21)</f>
        <v>0</v>
      </c>
      <c r="K20" s="18"/>
      <c r="L20" s="22"/>
    </row>
    <row r="21" spans="1:12" ht="22.5" outlineLevel="4" x14ac:dyDescent="0.2">
      <c r="A21" s="23"/>
      <c r="B21" s="24" t="s">
        <v>34</v>
      </c>
      <c r="C21" s="25"/>
      <c r="D21" s="25"/>
      <c r="E21" s="26" t="s">
        <v>21</v>
      </c>
      <c r="F21" s="27"/>
      <c r="G21" s="28">
        <v>16</v>
      </c>
      <c r="H21" s="28">
        <f>SUM($G$21:$G$21)</f>
        <v>16</v>
      </c>
      <c r="I21" s="31">
        <f t="array" ref="I21">INDEX(Р[Цена за ед., руб],MATCH(1,IF(($B21=Р[Наименование])*($K21=Р[Примечание]),{1},($B21=Р[Наименование])*($K21=Р[Примечание])),0))</f>
        <v>0</v>
      </c>
      <c r="J21" s="31">
        <f>ROUND($H$21*$I$21,2)</f>
        <v>0</v>
      </c>
      <c r="K21" s="25"/>
      <c r="L21" s="25"/>
    </row>
    <row r="22" spans="1:12" outlineLevel="4" x14ac:dyDescent="0.2">
      <c r="A22" s="20"/>
      <c r="B22" s="14" t="s">
        <v>23</v>
      </c>
      <c r="C22" s="21"/>
      <c r="D22" s="21"/>
      <c r="E22" s="21"/>
      <c r="F22" s="21"/>
      <c r="G22" s="21"/>
      <c r="H22" s="21"/>
      <c r="I22" s="59"/>
      <c r="J22" s="60">
        <f>SUM($J$23)</f>
        <v>0</v>
      </c>
      <c r="K22" s="18"/>
      <c r="L22" s="22"/>
    </row>
    <row r="23" spans="1:12" ht="22.5" outlineLevel="4" x14ac:dyDescent="0.2">
      <c r="A23" s="23" t="s">
        <v>24</v>
      </c>
      <c r="B23" s="24" t="s">
        <v>35</v>
      </c>
      <c r="C23" s="25"/>
      <c r="D23" s="25" t="s">
        <v>36</v>
      </c>
      <c r="E23" s="26" t="s">
        <v>21</v>
      </c>
      <c r="F23" s="27"/>
      <c r="G23" s="28">
        <v>16</v>
      </c>
      <c r="H23" s="28">
        <f>SUM($G$23:$G$23)</f>
        <v>16</v>
      </c>
      <c r="I23" s="31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31">
        <f>ROUND($H$23*$I$23,2)</f>
        <v>0</v>
      </c>
      <c r="K23" s="25"/>
      <c r="L23" s="25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outlineLevel="4" x14ac:dyDescent="0.2">
      <c r="A24" s="20"/>
      <c r="B24" s="14" t="s">
        <v>19</v>
      </c>
      <c r="C24" s="21"/>
      <c r="D24" s="21"/>
      <c r="E24" s="21"/>
      <c r="F24" s="21"/>
      <c r="G24" s="21"/>
      <c r="H24" s="21"/>
      <c r="I24" s="59"/>
      <c r="J24" s="60">
        <f>SUM($J$25)</f>
        <v>0</v>
      </c>
      <c r="K24" s="18"/>
      <c r="L24" s="22"/>
    </row>
    <row r="25" spans="1:12" outlineLevel="4" x14ac:dyDescent="0.2">
      <c r="A25" s="23"/>
      <c r="B25" s="24" t="s">
        <v>37</v>
      </c>
      <c r="C25" s="25"/>
      <c r="D25" s="25"/>
      <c r="E25" s="26" t="s">
        <v>21</v>
      </c>
      <c r="F25" s="27"/>
      <c r="G25" s="28">
        <v>31</v>
      </c>
      <c r="H25" s="28">
        <f>SUM($G$25:$G$25)</f>
        <v>31</v>
      </c>
      <c r="I25" s="31">
        <f t="array" ref="I25">INDEX(Р[Цена за ед., руб],MATCH(1,IF(($B25=Р[Наименование])*($K25=Р[Примечание]),{1},($B25=Р[Наименование])*($K25=Р[Примечание])),0))</f>
        <v>0</v>
      </c>
      <c r="J25" s="31">
        <f>ROUND($H$25*$I$25,2)</f>
        <v>0</v>
      </c>
      <c r="K25" s="25"/>
      <c r="L25" s="25"/>
    </row>
    <row r="26" spans="1:12" outlineLevel="4" x14ac:dyDescent="0.2">
      <c r="A26" s="20"/>
      <c r="B26" s="14" t="s">
        <v>23</v>
      </c>
      <c r="C26" s="21"/>
      <c r="D26" s="21"/>
      <c r="E26" s="21"/>
      <c r="F26" s="21"/>
      <c r="G26" s="21"/>
      <c r="H26" s="21"/>
      <c r="I26" s="59"/>
      <c r="J26" s="60">
        <f>SUM($J$27:$J$28)</f>
        <v>0</v>
      </c>
      <c r="K26" s="18"/>
      <c r="L26" s="22"/>
    </row>
    <row r="27" spans="1:12" outlineLevel="4" x14ac:dyDescent="0.2">
      <c r="A27" s="23" t="s">
        <v>24</v>
      </c>
      <c r="B27" s="24" t="s">
        <v>38</v>
      </c>
      <c r="C27" s="25"/>
      <c r="D27" s="25" t="s">
        <v>39</v>
      </c>
      <c r="E27" s="26" t="s">
        <v>21</v>
      </c>
      <c r="F27" s="27"/>
      <c r="G27" s="28">
        <v>31</v>
      </c>
      <c r="H27" s="28">
        <f>SUM($G$27:$G$27)</f>
        <v>31</v>
      </c>
      <c r="I27" s="31">
        <f t="array" ref="I27">INDEX(М[Цена за ед., руб],MATCH(1,IF(($B27=М[Наим.])*($C27=М[Артикул,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  <c r="J27" s="31">
        <f>ROUND($H$27*$I$27,2)</f>
        <v>0</v>
      </c>
      <c r="K27" s="25"/>
      <c r="L27" s="25">
        <f t="array" ref="L27">INDEX(М[Форма закупа],MATCH(1,IF(($B27=М[Наим.])*($C27=М[Артикул, марка, произв.])*($D27=М[Хар-ка])*($K27=М[Прим.]),{1},($B27=М[Наим.])*($C27=М[Артикул, марка, произв.])*($D27=М[Хар-ка])*($K27=М[Прим.])),0))</f>
        <v>0</v>
      </c>
    </row>
    <row r="28" spans="1:12" ht="22.5" outlineLevel="4" x14ac:dyDescent="0.2">
      <c r="A28" s="23" t="s">
        <v>27</v>
      </c>
      <c r="B28" s="24" t="s">
        <v>40</v>
      </c>
      <c r="C28" s="25"/>
      <c r="D28" s="25" t="s">
        <v>41</v>
      </c>
      <c r="E28" s="26" t="s">
        <v>21</v>
      </c>
      <c r="F28" s="27"/>
      <c r="G28" s="28">
        <v>62</v>
      </c>
      <c r="H28" s="28">
        <f>SUM($G$28:$G$28)</f>
        <v>62</v>
      </c>
      <c r="I28" s="31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31">
        <f>ROUND($H$28*$I$28,2)</f>
        <v>0</v>
      </c>
      <c r="K28" s="25"/>
      <c r="L28" s="25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outlineLevel="4" x14ac:dyDescent="0.2">
      <c r="A29" s="20"/>
      <c r="B29" s="14" t="s">
        <v>19</v>
      </c>
      <c r="C29" s="21"/>
      <c r="D29" s="21"/>
      <c r="E29" s="21"/>
      <c r="F29" s="21"/>
      <c r="G29" s="21"/>
      <c r="H29" s="21"/>
      <c r="I29" s="59"/>
      <c r="J29" s="60">
        <f>SUM($J$30)</f>
        <v>0</v>
      </c>
      <c r="K29" s="18"/>
      <c r="L29" s="22"/>
    </row>
    <row r="30" spans="1:12" outlineLevel="4" x14ac:dyDescent="0.2">
      <c r="A30" s="23"/>
      <c r="B30" s="24" t="s">
        <v>42</v>
      </c>
      <c r="C30" s="25"/>
      <c r="D30" s="25"/>
      <c r="E30" s="26" t="s">
        <v>43</v>
      </c>
      <c r="F30" s="27"/>
      <c r="G30" s="28">
        <v>532</v>
      </c>
      <c r="H30" s="28">
        <f>SUM($G$30:$G$30)</f>
        <v>532</v>
      </c>
      <c r="I30" s="31">
        <f t="array" ref="I30">INDEX(Р[Цена за ед., руб],MATCH(1,IF(($B30=Р[Наименование])*($K30=Р[Примечание]),{1},($B30=Р[Наименование])*($K30=Р[Примечание])),0))</f>
        <v>0</v>
      </c>
      <c r="J30" s="31">
        <f>ROUND($H$30*$I$30,2)</f>
        <v>0</v>
      </c>
      <c r="K30" s="25"/>
      <c r="L30" s="25"/>
    </row>
    <row r="31" spans="1:12" outlineLevel="4" x14ac:dyDescent="0.2">
      <c r="A31" s="20"/>
      <c r="B31" s="14" t="s">
        <v>23</v>
      </c>
      <c r="C31" s="21"/>
      <c r="D31" s="21"/>
      <c r="E31" s="21"/>
      <c r="F31" s="21"/>
      <c r="G31" s="21"/>
      <c r="H31" s="21"/>
      <c r="I31" s="59"/>
      <c r="J31" s="60">
        <f>SUM($J$32:$J$33)</f>
        <v>0</v>
      </c>
      <c r="K31" s="18"/>
      <c r="L31" s="22"/>
    </row>
    <row r="32" spans="1:12" ht="45" outlineLevel="4" x14ac:dyDescent="0.2">
      <c r="A32" s="23" t="s">
        <v>24</v>
      </c>
      <c r="B32" s="24" t="s">
        <v>44</v>
      </c>
      <c r="C32" s="25"/>
      <c r="D32" s="25" t="s">
        <v>45</v>
      </c>
      <c r="E32" s="26" t="s">
        <v>46</v>
      </c>
      <c r="F32" s="27"/>
      <c r="G32" s="28">
        <v>429</v>
      </c>
      <c r="H32" s="28">
        <f>SUM($G$32:$G$32)</f>
        <v>429</v>
      </c>
      <c r="I32" s="31">
        <f t="array" ref="I32">INDEX(М[Цена за ед., руб],MATCH(1,IF(($B32=М[Наим.])*($C32=М[Артикул,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  <c r="J32" s="31">
        <f>ROUND($H$32*$I$32,2)</f>
        <v>0</v>
      </c>
      <c r="K32" s="25"/>
      <c r="L32" s="25">
        <f t="array" ref="L32">INDEX(М[Форма закупа],MATCH(1,IF(($B32=М[Наим.])*($C32=М[Артикул, марка, произв.])*($D32=М[Хар-ка])*($K32=М[Прим.]),{1},($B32=М[Наим.])*($C32=М[Артикул, марка, произв.])*($D32=М[Хар-ка])*($K32=М[Прим.])),0))</f>
        <v>0</v>
      </c>
    </row>
    <row r="33" spans="1:12" ht="45" outlineLevel="4" x14ac:dyDescent="0.2">
      <c r="A33" s="23" t="s">
        <v>27</v>
      </c>
      <c r="B33" s="24" t="s">
        <v>44</v>
      </c>
      <c r="C33" s="25"/>
      <c r="D33" s="25" t="s">
        <v>47</v>
      </c>
      <c r="E33" s="26" t="s">
        <v>46</v>
      </c>
      <c r="F33" s="27"/>
      <c r="G33" s="28">
        <v>103</v>
      </c>
      <c r="H33" s="28">
        <f>SUM($G$33:$G$33)</f>
        <v>103</v>
      </c>
      <c r="I33" s="31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31">
        <f>ROUND($H$33*$I$33,2)</f>
        <v>0</v>
      </c>
      <c r="K33" s="25"/>
      <c r="L33" s="25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outlineLevel="4" x14ac:dyDescent="0.2">
      <c r="A34" s="20"/>
      <c r="B34" s="14" t="s">
        <v>19</v>
      </c>
      <c r="C34" s="21"/>
      <c r="D34" s="21"/>
      <c r="E34" s="21"/>
      <c r="F34" s="21"/>
      <c r="G34" s="21"/>
      <c r="H34" s="21"/>
      <c r="I34" s="59"/>
      <c r="J34" s="60">
        <f>SUM($J$35)</f>
        <v>0</v>
      </c>
      <c r="K34" s="18"/>
      <c r="L34" s="22"/>
    </row>
    <row r="35" spans="1:12" outlineLevel="4" x14ac:dyDescent="0.2">
      <c r="A35" s="23"/>
      <c r="B35" s="24" t="s">
        <v>48</v>
      </c>
      <c r="C35" s="25"/>
      <c r="D35" s="25"/>
      <c r="E35" s="26" t="s">
        <v>49</v>
      </c>
      <c r="F35" s="27"/>
      <c r="G35" s="29">
        <v>172.25</v>
      </c>
      <c r="H35" s="29">
        <f>SUM($G$35:$G$35)</f>
        <v>172.25</v>
      </c>
      <c r="I35" s="31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31">
        <f>ROUND($H$35*$I$35,2)</f>
        <v>0</v>
      </c>
      <c r="K35" s="25"/>
      <c r="L35" s="25"/>
    </row>
    <row r="36" spans="1:12" outlineLevel="4" x14ac:dyDescent="0.2">
      <c r="A36" s="20"/>
      <c r="B36" s="14" t="s">
        <v>23</v>
      </c>
      <c r="C36" s="21"/>
      <c r="D36" s="21"/>
      <c r="E36" s="21"/>
      <c r="F36" s="21"/>
      <c r="G36" s="21"/>
      <c r="H36" s="21"/>
      <c r="I36" s="59"/>
      <c r="J36" s="60">
        <f>SUM($J$37)</f>
        <v>0</v>
      </c>
      <c r="K36" s="18"/>
      <c r="L36" s="22"/>
    </row>
    <row r="37" spans="1:12" outlineLevel="4" x14ac:dyDescent="0.2">
      <c r="A37" s="23" t="s">
        <v>24</v>
      </c>
      <c r="B37" s="24" t="s">
        <v>50</v>
      </c>
      <c r="C37" s="25"/>
      <c r="D37" s="25" t="s">
        <v>51</v>
      </c>
      <c r="E37" s="26" t="s">
        <v>49</v>
      </c>
      <c r="F37" s="27"/>
      <c r="G37" s="29">
        <v>172.25</v>
      </c>
      <c r="H37" s="29">
        <f>SUM($G$37:$G$37)</f>
        <v>172.25</v>
      </c>
      <c r="I37" s="31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31">
        <f>ROUND($H$37*$I$37,2)</f>
        <v>0</v>
      </c>
      <c r="K37" s="25" t="s">
        <v>52</v>
      </c>
      <c r="L37" s="25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outlineLevel="4" x14ac:dyDescent="0.2">
      <c r="A38" s="20"/>
      <c r="B38" s="14" t="s">
        <v>19</v>
      </c>
      <c r="C38" s="21"/>
      <c r="D38" s="21"/>
      <c r="E38" s="21"/>
      <c r="F38" s="21"/>
      <c r="G38" s="21"/>
      <c r="H38" s="21"/>
      <c r="I38" s="59"/>
      <c r="J38" s="60">
        <f>SUM($J$39)</f>
        <v>0</v>
      </c>
      <c r="K38" s="18"/>
      <c r="L38" s="22"/>
    </row>
    <row r="39" spans="1:12" outlineLevel="4" x14ac:dyDescent="0.2">
      <c r="A39" s="23"/>
      <c r="B39" s="24" t="s">
        <v>53</v>
      </c>
      <c r="C39" s="25"/>
      <c r="D39" s="25"/>
      <c r="E39" s="26" t="s">
        <v>46</v>
      </c>
      <c r="F39" s="27"/>
      <c r="G39" s="31">
        <v>2067</v>
      </c>
      <c r="H39" s="31">
        <f>SUM($G$39:$G$39)</f>
        <v>2067</v>
      </c>
      <c r="I39" s="31">
        <f t="array" ref="I39">INDEX(Р[Цена за ед., руб],MATCH(1,IF(($B39=Р[Наименование])*($K39=Р[Примечание]),{1},($B39=Р[Наименование])*($K39=Р[Примечание])),0))</f>
        <v>0</v>
      </c>
      <c r="J39" s="31">
        <f>ROUND($H$39*$I$39,2)</f>
        <v>0</v>
      </c>
      <c r="K39" s="25"/>
      <c r="L39" s="25"/>
    </row>
    <row r="40" spans="1:12" outlineLevel="4" x14ac:dyDescent="0.2">
      <c r="A40" s="20"/>
      <c r="B40" s="14" t="s">
        <v>23</v>
      </c>
      <c r="C40" s="21"/>
      <c r="D40" s="21"/>
      <c r="E40" s="21"/>
      <c r="F40" s="21"/>
      <c r="G40" s="21"/>
      <c r="H40" s="21"/>
      <c r="I40" s="59"/>
      <c r="J40" s="60">
        <f>SUM($J$41:$J$43)</f>
        <v>0</v>
      </c>
      <c r="K40" s="18"/>
      <c r="L40" s="22"/>
    </row>
    <row r="41" spans="1:12" ht="22.5" outlineLevel="4" x14ac:dyDescent="0.2">
      <c r="A41" s="80" t="s">
        <v>24</v>
      </c>
      <c r="B41" s="24" t="s">
        <v>54</v>
      </c>
      <c r="C41" s="25"/>
      <c r="D41" s="25" t="s">
        <v>55</v>
      </c>
      <c r="E41" s="26" t="s">
        <v>46</v>
      </c>
      <c r="F41" s="27"/>
      <c r="G41" s="28">
        <v>429</v>
      </c>
      <c r="H41" s="28">
        <f>SUM($G$41:$G$41)</f>
        <v>429</v>
      </c>
      <c r="I41" s="31">
        <f t="array" ref="I41">INDEX(М[Цена за ед., руб],MATCH(1,IF(($B41=М[Наим.])*($C41=М[Артикул,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  <c r="J41" s="31">
        <f>ROUND($H$41*$I$41,2)</f>
        <v>0</v>
      </c>
      <c r="K41" s="25"/>
      <c r="L41" s="25">
        <f t="array" ref="L41">INDEX(М[Форма закупа],MATCH(1,IF(($B41=М[Наим.])*($C41=М[Артикул, марка, произв.])*($D41=М[Хар-ка])*($K41=М[Прим.]),{1},($B41=М[Наим.])*($C41=М[Артикул, марка, произв.])*($D41=М[Хар-ка])*($K41=М[Прим.])),0))</f>
        <v>0</v>
      </c>
    </row>
    <row r="42" spans="1:12" ht="22.5" outlineLevel="4" x14ac:dyDescent="0.2">
      <c r="A42" s="80" t="s">
        <v>27</v>
      </c>
      <c r="B42" s="24" t="s">
        <v>54</v>
      </c>
      <c r="C42" s="25"/>
      <c r="D42" s="25" t="s">
        <v>56</v>
      </c>
      <c r="E42" s="26" t="s">
        <v>46</v>
      </c>
      <c r="F42" s="27"/>
      <c r="G42" s="28">
        <v>103</v>
      </c>
      <c r="H42" s="28">
        <f>SUM($G$42:$G$42)</f>
        <v>103</v>
      </c>
      <c r="I42" s="31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31">
        <f>ROUND($H$42*$I$42,2)</f>
        <v>0</v>
      </c>
      <c r="K42" s="25"/>
      <c r="L42" s="25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22.5" outlineLevel="4" x14ac:dyDescent="0.2">
      <c r="A43" s="80" t="s">
        <v>30</v>
      </c>
      <c r="B43" s="24" t="s">
        <v>54</v>
      </c>
      <c r="C43" s="25"/>
      <c r="D43" s="25" t="s">
        <v>57</v>
      </c>
      <c r="E43" s="26" t="s">
        <v>46</v>
      </c>
      <c r="F43" s="27"/>
      <c r="G43" s="31">
        <v>1535</v>
      </c>
      <c r="H43" s="31">
        <f>SUM($G$43:$G$43)</f>
        <v>1535</v>
      </c>
      <c r="I43" s="31">
        <f t="array" ref="I43">INDEX(М[Цена за ед., руб],MATCH(1,IF(($B43=М[Наим.])*($C43=М[Артикул,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  <c r="J43" s="31">
        <f>ROUND($H$43*$I$43,2)</f>
        <v>0</v>
      </c>
      <c r="K43" s="25"/>
      <c r="L43" s="25">
        <f t="array" ref="L43">INDEX(М[Форма закупа],MATCH(1,IF(($B43=М[Наим.])*($C43=М[Артикул, марка, произв.])*($D43=М[Хар-ка])*($K43=М[Прим.]),{1},($B43=М[Наим.])*($C43=М[Артикул, марка, произв.])*($D43=М[Хар-ка])*($K43=М[Прим.])),0))</f>
        <v>0</v>
      </c>
    </row>
    <row r="44" spans="1:12" ht="33.75" outlineLevel="2" x14ac:dyDescent="0.2">
      <c r="A44" s="13" t="s">
        <v>59</v>
      </c>
      <c r="B44" s="14" t="s">
        <v>60</v>
      </c>
      <c r="C44" s="15"/>
      <c r="D44" s="15"/>
      <c r="E44" s="16"/>
      <c r="F44" s="17"/>
      <c r="G44" s="18"/>
      <c r="H44" s="18"/>
      <c r="I44" s="58"/>
      <c r="J44" s="58">
        <f>SUM($J$45)</f>
        <v>0</v>
      </c>
      <c r="K44" s="19"/>
      <c r="L44" s="19"/>
    </row>
    <row r="45" spans="1:12" ht="33.75" outlineLevel="3" x14ac:dyDescent="0.2">
      <c r="A45" s="13" t="s">
        <v>61</v>
      </c>
      <c r="B45" s="14" t="s">
        <v>60</v>
      </c>
      <c r="C45" s="15"/>
      <c r="D45" s="15"/>
      <c r="E45" s="16"/>
      <c r="F45" s="17"/>
      <c r="G45" s="18"/>
      <c r="H45" s="18"/>
      <c r="I45" s="58"/>
      <c r="J45" s="58">
        <f>SUM($J$110,$J$108,$J$101,$J$99,$J$97,$J$95,$J$93,$J$91,$J$74,$J$72,$J$50,$J$48,$J$46,J55,J57,J59,J61,J64,J66,J68,J70,J77,J79,J82,J84,J86,J88,J103,J105,J117)</f>
        <v>0</v>
      </c>
      <c r="K45" s="19"/>
      <c r="L45" s="19"/>
    </row>
    <row r="46" spans="1:12" outlineLevel="4" x14ac:dyDescent="0.2">
      <c r="A46" s="20"/>
      <c r="B46" s="14" t="s">
        <v>19</v>
      </c>
      <c r="C46" s="21"/>
      <c r="D46" s="21"/>
      <c r="E46" s="21"/>
      <c r="F46" s="21"/>
      <c r="G46" s="21"/>
      <c r="H46" s="21"/>
      <c r="I46" s="59"/>
      <c r="J46" s="60">
        <f>SUM($J$47)</f>
        <v>0</v>
      </c>
      <c r="K46" s="18"/>
      <c r="L46" s="22"/>
    </row>
    <row r="47" spans="1:12" outlineLevel="4" x14ac:dyDescent="0.2">
      <c r="A47" s="23"/>
      <c r="B47" s="24" t="s">
        <v>62</v>
      </c>
      <c r="C47" s="25"/>
      <c r="D47" s="25"/>
      <c r="E47" s="26" t="s">
        <v>21</v>
      </c>
      <c r="F47" s="27"/>
      <c r="G47" s="28">
        <f>2+8</f>
        <v>10</v>
      </c>
      <c r="H47" s="28">
        <f>SUM($G$47:$G$47)</f>
        <v>10</v>
      </c>
      <c r="I47" s="31">
        <f t="array" ref="I47">INDEX(Р[Цена за ед., руб],MATCH(1,IF(($B47=Р[Наименование])*($K47=Р[Примечание]),{1},($B47=Р[Наименование])*($K47=Р[Примечание])),0))</f>
        <v>0</v>
      </c>
      <c r="J47" s="31">
        <f>ROUND($H$47*$I$47,2)</f>
        <v>0</v>
      </c>
      <c r="K47" s="25"/>
      <c r="L47" s="25"/>
    </row>
    <row r="48" spans="1:12" outlineLevel="4" x14ac:dyDescent="0.2">
      <c r="A48" s="20"/>
      <c r="B48" s="14" t="s">
        <v>19</v>
      </c>
      <c r="C48" s="21"/>
      <c r="D48" s="21"/>
      <c r="E48" s="21"/>
      <c r="F48" s="21"/>
      <c r="G48" s="21"/>
      <c r="H48" s="21"/>
      <c r="I48" s="59"/>
      <c r="J48" s="60">
        <f>SUM($J$49)</f>
        <v>0</v>
      </c>
      <c r="K48" s="18"/>
      <c r="L48" s="22"/>
    </row>
    <row r="49" spans="1:12" outlineLevel="4" x14ac:dyDescent="0.2">
      <c r="A49" s="23"/>
      <c r="B49" s="24" t="s">
        <v>63</v>
      </c>
      <c r="C49" s="25"/>
      <c r="D49" s="25"/>
      <c r="E49" s="26" t="s">
        <v>21</v>
      </c>
      <c r="F49" s="27"/>
      <c r="G49" s="28">
        <f>SUM(G51:G54)</f>
        <v>29</v>
      </c>
      <c r="H49" s="28">
        <f>SUM($G$49:$G$49)</f>
        <v>29</v>
      </c>
      <c r="I49" s="31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31">
        <f>ROUND($H$49*$I$49,2)</f>
        <v>0</v>
      </c>
      <c r="K49" s="25"/>
      <c r="L49" s="25"/>
    </row>
    <row r="50" spans="1:12" outlineLevel="4" x14ac:dyDescent="0.2">
      <c r="A50" s="20"/>
      <c r="B50" s="14" t="s">
        <v>23</v>
      </c>
      <c r="C50" s="21"/>
      <c r="D50" s="21"/>
      <c r="E50" s="21"/>
      <c r="F50" s="21"/>
      <c r="G50" s="21"/>
      <c r="H50" s="21"/>
      <c r="I50" s="59"/>
      <c r="J50" s="60">
        <f>SUM($J$51:$J$54)</f>
        <v>0</v>
      </c>
      <c r="K50" s="18"/>
      <c r="L50" s="22"/>
    </row>
    <row r="51" spans="1:12" ht="56.25" outlineLevel="4" x14ac:dyDescent="0.2">
      <c r="A51" s="80" t="s">
        <v>24</v>
      </c>
      <c r="B51" s="24" t="s">
        <v>64</v>
      </c>
      <c r="C51" s="25"/>
      <c r="D51" s="25" t="s">
        <v>65</v>
      </c>
      <c r="E51" s="26" t="s">
        <v>21</v>
      </c>
      <c r="F51" s="27"/>
      <c r="G51" s="28">
        <v>3</v>
      </c>
      <c r="H51" s="28">
        <f>SUM($G$51:$G$51)</f>
        <v>3</v>
      </c>
      <c r="I51" s="31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31">
        <f>ROUND($H$51*$I$51,2)</f>
        <v>0</v>
      </c>
      <c r="K51" s="25"/>
      <c r="L51" s="25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</row>
    <row r="52" spans="1:12" ht="56.25" outlineLevel="4" x14ac:dyDescent="0.2">
      <c r="A52" s="80" t="s">
        <v>27</v>
      </c>
      <c r="B52" s="24" t="s">
        <v>64</v>
      </c>
      <c r="C52" s="25"/>
      <c r="D52" s="25" t="s">
        <v>98</v>
      </c>
      <c r="E52" s="26" t="s">
        <v>21</v>
      </c>
      <c r="F52" s="27"/>
      <c r="G52" s="28">
        <v>14</v>
      </c>
      <c r="H52" s="28">
        <f>SUM(G52)</f>
        <v>14</v>
      </c>
      <c r="I52" s="31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31">
        <f>ROUND(H52*I52,2)</f>
        <v>0</v>
      </c>
      <c r="K52" s="25"/>
      <c r="L52" s="25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45" outlineLevel="4" x14ac:dyDescent="0.2">
      <c r="A53" s="80" t="s">
        <v>30</v>
      </c>
      <c r="B53" s="24" t="s">
        <v>64</v>
      </c>
      <c r="C53" s="25"/>
      <c r="D53" s="25" t="s">
        <v>99</v>
      </c>
      <c r="E53" s="26" t="s">
        <v>21</v>
      </c>
      <c r="F53" s="27"/>
      <c r="G53" s="28">
        <v>8</v>
      </c>
      <c r="H53" s="28">
        <f t="shared" ref="H53:H69" si="0">SUM(G53)</f>
        <v>8</v>
      </c>
      <c r="I53" s="31">
        <f t="array" ref="I53">INDEX(М[Цена за ед., руб],MATCH(1,IF(($B53=М[Наим.])*($C53=М[Артикул,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  <c r="J53" s="31">
        <f>ROUND(H53*I53,2)</f>
        <v>0</v>
      </c>
      <c r="K53" s="25"/>
      <c r="L53" s="25">
        <f t="array" ref="L53">INDEX(М[Форма закупа],MATCH(1,IF(($B53=М[Наим.])*($C53=М[Артикул, марка, произв.])*($D53=М[Хар-ка])*($K53=М[Прим.]),{1},($B53=М[Наим.])*($C53=М[Артикул, марка, произв.])*($D53=М[Хар-ка])*($K53=М[Прим.])),0))</f>
        <v>0</v>
      </c>
    </row>
    <row r="54" spans="1:12" ht="56.25" outlineLevel="4" x14ac:dyDescent="0.2">
      <c r="A54" s="80" t="s">
        <v>75</v>
      </c>
      <c r="B54" s="24" t="s">
        <v>64</v>
      </c>
      <c r="C54" s="25"/>
      <c r="D54" s="25" t="s">
        <v>100</v>
      </c>
      <c r="E54" s="26" t="s">
        <v>21</v>
      </c>
      <c r="F54" s="27"/>
      <c r="G54" s="28">
        <v>4</v>
      </c>
      <c r="H54" s="28">
        <f t="shared" si="0"/>
        <v>4</v>
      </c>
      <c r="I54" s="31">
        <f t="array" ref="I54">INDEX(М[Цена за ед., руб],MATCH(1,IF(($B54=М[Наим.])*($C54=М[Артикул,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  <c r="J54" s="31">
        <f>ROUND(H54*I54,2)</f>
        <v>0</v>
      </c>
      <c r="K54" s="25"/>
      <c r="L54" s="25">
        <f t="array" ref="L54">INDEX(М[Форма закупа],MATCH(1,IF(($B54=М[Наим.])*($C54=М[Артикул, марка, произв.])*($D54=М[Хар-ка])*($K54=М[Прим.]),{1},($B54=М[Наим.])*($C54=М[Артикул, марка, произв.])*($D54=М[Хар-ка])*($K54=М[Прим.])),0))</f>
        <v>0</v>
      </c>
    </row>
    <row r="55" spans="1:12" outlineLevel="4" x14ac:dyDescent="0.2">
      <c r="A55" s="20"/>
      <c r="B55" s="14" t="s">
        <v>19</v>
      </c>
      <c r="C55" s="21"/>
      <c r="D55" s="21"/>
      <c r="E55" s="21"/>
      <c r="F55" s="21"/>
      <c r="G55" s="21"/>
      <c r="H55" s="21"/>
      <c r="I55" s="21"/>
      <c r="J55" s="60">
        <f>SUM(J56)</f>
        <v>0</v>
      </c>
      <c r="K55" s="21"/>
      <c r="L55" s="21"/>
    </row>
    <row r="56" spans="1:12" ht="22.5" outlineLevel="4" x14ac:dyDescent="0.2">
      <c r="A56" s="23"/>
      <c r="B56" s="24" t="s">
        <v>101</v>
      </c>
      <c r="C56" s="25"/>
      <c r="D56" s="25"/>
      <c r="E56" s="26" t="s">
        <v>21</v>
      </c>
      <c r="F56" s="27"/>
      <c r="G56" s="28">
        <v>2</v>
      </c>
      <c r="H56" s="28">
        <f t="shared" si="0"/>
        <v>2</v>
      </c>
      <c r="I56" s="31">
        <f t="array" ref="I56">INDEX(Р[Цена за ед., руб],MATCH(1,IF(($B56=Р[Наименование])*($K56=Р[Примечание]),{1},($B56=Р[Наименование])*($K56=Р[Примечание])),0))</f>
        <v>0</v>
      </c>
      <c r="J56" s="31">
        <f>ROUND(H56*I56,2)</f>
        <v>0</v>
      </c>
      <c r="K56" s="25"/>
      <c r="L56" s="25"/>
    </row>
    <row r="57" spans="1:12" outlineLevel="4" x14ac:dyDescent="0.2">
      <c r="A57" s="20"/>
      <c r="B57" s="14" t="s">
        <v>23</v>
      </c>
      <c r="C57" s="21"/>
      <c r="D57" s="21"/>
      <c r="E57" s="21"/>
      <c r="F57" s="21"/>
      <c r="G57" s="21"/>
      <c r="H57" s="21"/>
      <c r="I57" s="21"/>
      <c r="J57" s="60">
        <f>SUM(J58)</f>
        <v>0</v>
      </c>
      <c r="K57" s="21"/>
      <c r="L57" s="21"/>
    </row>
    <row r="58" spans="1:12" ht="22.5" outlineLevel="4" x14ac:dyDescent="0.2">
      <c r="A58" s="23" t="s">
        <v>24</v>
      </c>
      <c r="B58" s="24" t="s">
        <v>102</v>
      </c>
      <c r="C58" s="25"/>
      <c r="D58" s="25" t="s">
        <v>103</v>
      </c>
      <c r="E58" s="26" t="s">
        <v>21</v>
      </c>
      <c r="F58" s="27"/>
      <c r="G58" s="28">
        <v>2</v>
      </c>
      <c r="H58" s="28">
        <f t="shared" si="0"/>
        <v>2</v>
      </c>
      <c r="I58" s="31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31">
        <f>ROUND(H58*I58,2)</f>
        <v>0</v>
      </c>
      <c r="K58" s="25"/>
      <c r="L58" s="25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outlineLevel="4" x14ac:dyDescent="0.2">
      <c r="A59" s="20"/>
      <c r="B59" s="14" t="s">
        <v>19</v>
      </c>
      <c r="C59" s="21"/>
      <c r="D59" s="21"/>
      <c r="E59" s="21"/>
      <c r="F59" s="21"/>
      <c r="G59" s="21"/>
      <c r="H59" s="21"/>
      <c r="I59" s="21"/>
      <c r="J59" s="60">
        <f>SUM(J60)</f>
        <v>0</v>
      </c>
      <c r="K59" s="21"/>
      <c r="L59" s="21"/>
    </row>
    <row r="60" spans="1:12" ht="22.5" outlineLevel="4" x14ac:dyDescent="0.2">
      <c r="A60" s="23"/>
      <c r="B60" s="24" t="s">
        <v>104</v>
      </c>
      <c r="C60" s="25"/>
      <c r="D60" s="25"/>
      <c r="E60" s="26" t="s">
        <v>21</v>
      </c>
      <c r="F60" s="27"/>
      <c r="G60" s="28">
        <v>3</v>
      </c>
      <c r="H60" s="28">
        <f t="shared" si="0"/>
        <v>3</v>
      </c>
      <c r="I60" s="31">
        <f t="array" ref="I60">INDEX(Р[Цена за ед., руб],MATCH(1,IF(($B60=Р[Наименование])*($K60=Р[Примечание]),{1},($B60=Р[Наименование])*($K60=Р[Примечание])),0))</f>
        <v>0</v>
      </c>
      <c r="J60" s="31">
        <f>ROUND(H60*I60,2)</f>
        <v>0</v>
      </c>
      <c r="K60" s="25"/>
      <c r="L60" s="25"/>
    </row>
    <row r="61" spans="1:12" outlineLevel="4" x14ac:dyDescent="0.2">
      <c r="A61" s="20"/>
      <c r="B61" s="14" t="s">
        <v>23</v>
      </c>
      <c r="C61" s="21"/>
      <c r="D61" s="21"/>
      <c r="E61" s="21"/>
      <c r="F61" s="21"/>
      <c r="G61" s="21"/>
      <c r="H61" s="21"/>
      <c r="I61" s="21"/>
      <c r="J61" s="60">
        <f>SUM(J62:J63)</f>
        <v>0</v>
      </c>
      <c r="K61" s="21"/>
      <c r="L61" s="21"/>
    </row>
    <row r="62" spans="1:12" ht="22.5" outlineLevel="4" x14ac:dyDescent="0.2">
      <c r="A62" s="23" t="s">
        <v>24</v>
      </c>
      <c r="B62" s="24" t="s">
        <v>102</v>
      </c>
      <c r="C62" s="25"/>
      <c r="D62" s="25" t="s">
        <v>105</v>
      </c>
      <c r="E62" s="26" t="s">
        <v>21</v>
      </c>
      <c r="F62" s="27"/>
      <c r="G62" s="28">
        <v>1</v>
      </c>
      <c r="H62" s="28">
        <f t="shared" si="0"/>
        <v>1</v>
      </c>
      <c r="I62" s="31">
        <f t="array" ref="I62">INDEX(М[Цена за ед., руб],MATCH(1,IF(($B62=М[Наим.])*($C62=М[Артикул,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  <c r="J62" s="31">
        <f>ROUND(H62*I62,2)</f>
        <v>0</v>
      </c>
      <c r="K62" s="25"/>
      <c r="L62" s="25">
        <f t="array" ref="L62">INDEX(М[Форма закупа],MATCH(1,IF(($B62=М[Наим.])*($C62=М[Артикул, марка, произв.])*($D62=М[Хар-ка])*($K62=М[Прим.]),{1},($B62=М[Наим.])*($C62=М[Артикул, марка, произв.])*($D62=М[Хар-ка])*($K62=М[Прим.])),0))</f>
        <v>0</v>
      </c>
    </row>
    <row r="63" spans="1:12" ht="22.5" outlineLevel="4" x14ac:dyDescent="0.2">
      <c r="A63" s="23" t="s">
        <v>27</v>
      </c>
      <c r="B63" s="24" t="s">
        <v>102</v>
      </c>
      <c r="C63" s="25"/>
      <c r="D63" s="25" t="s">
        <v>106</v>
      </c>
      <c r="E63" s="26" t="s">
        <v>21</v>
      </c>
      <c r="F63" s="27"/>
      <c r="G63" s="28">
        <v>2</v>
      </c>
      <c r="H63" s="28">
        <f t="shared" si="0"/>
        <v>2</v>
      </c>
      <c r="I63" s="31">
        <f t="array" ref="I63">INDEX(М[Цена за ед., руб],MATCH(1,IF(($B63=М[Наим.])*($C63=М[Артикул,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  <c r="J63" s="31">
        <f>ROUND(H63*I63,2)</f>
        <v>0</v>
      </c>
      <c r="K63" s="25"/>
      <c r="L63" s="25">
        <f t="array" ref="L63">INDEX(М[Форма закупа],MATCH(1,IF(($B63=М[Наим.])*($C63=М[Артикул, марка, произв.])*($D63=М[Хар-ка])*($K63=М[Прим.]),{1},($B63=М[Наим.])*($C63=М[Артикул, марка, произв.])*($D63=М[Хар-ка])*($K63=М[Прим.])),0))</f>
        <v>0</v>
      </c>
    </row>
    <row r="64" spans="1:12" outlineLevel="4" x14ac:dyDescent="0.2">
      <c r="A64" s="20"/>
      <c r="B64" s="14" t="s">
        <v>19</v>
      </c>
      <c r="C64" s="21"/>
      <c r="D64" s="21"/>
      <c r="E64" s="21"/>
      <c r="F64" s="21"/>
      <c r="G64" s="21"/>
      <c r="H64" s="21"/>
      <c r="I64" s="21"/>
      <c r="J64" s="60">
        <f>SUM(J65)</f>
        <v>0</v>
      </c>
      <c r="K64" s="21"/>
      <c r="L64" s="21"/>
    </row>
    <row r="65" spans="1:12" outlineLevel="4" x14ac:dyDescent="0.2">
      <c r="A65" s="23"/>
      <c r="B65" s="24" t="s">
        <v>107</v>
      </c>
      <c r="C65" s="25"/>
      <c r="D65" s="25"/>
      <c r="E65" s="26" t="s">
        <v>21</v>
      </c>
      <c r="F65" s="27"/>
      <c r="G65" s="28">
        <v>5</v>
      </c>
      <c r="H65" s="28">
        <f t="shared" si="0"/>
        <v>5</v>
      </c>
      <c r="I65" s="31">
        <f t="array" ref="I65">INDEX(Р[Цена за ед., руб],MATCH(1,IF(($B65=Р[Наименование])*($K65=Р[Примечание]),{1},($B65=Р[Наименование])*($K65=Р[Примечание])),0))</f>
        <v>0</v>
      </c>
      <c r="J65" s="31">
        <f>ROUND(H65*I65,2)</f>
        <v>0</v>
      </c>
      <c r="K65" s="25"/>
      <c r="L65" s="25"/>
    </row>
    <row r="66" spans="1:12" outlineLevel="4" x14ac:dyDescent="0.2">
      <c r="A66" s="20"/>
      <c r="B66" s="14" t="s">
        <v>23</v>
      </c>
      <c r="C66" s="21"/>
      <c r="D66" s="21"/>
      <c r="E66" s="21"/>
      <c r="F66" s="21"/>
      <c r="G66" s="21"/>
      <c r="H66" s="21"/>
      <c r="I66" s="21"/>
      <c r="J66" s="60">
        <f>SUM(J67)</f>
        <v>0</v>
      </c>
      <c r="K66" s="21"/>
      <c r="L66" s="21"/>
    </row>
    <row r="67" spans="1:12" ht="22.5" outlineLevel="4" x14ac:dyDescent="0.2">
      <c r="A67" s="23" t="s">
        <v>24</v>
      </c>
      <c r="B67" s="24" t="s">
        <v>108</v>
      </c>
      <c r="C67" s="25"/>
      <c r="D67" s="25" t="s">
        <v>109</v>
      </c>
      <c r="E67" s="26" t="s">
        <v>21</v>
      </c>
      <c r="F67" s="27"/>
      <c r="G67" s="28">
        <v>5</v>
      </c>
      <c r="H67" s="28">
        <f t="shared" si="0"/>
        <v>5</v>
      </c>
      <c r="I67" s="31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31">
        <f>ROUND(H67*I67,2)</f>
        <v>0</v>
      </c>
      <c r="K67" s="25"/>
      <c r="L67" s="25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2" outlineLevel="4" x14ac:dyDescent="0.2">
      <c r="A68" s="20"/>
      <c r="B68" s="14" t="s">
        <v>19</v>
      </c>
      <c r="C68" s="21"/>
      <c r="D68" s="21"/>
      <c r="E68" s="21"/>
      <c r="F68" s="21"/>
      <c r="G68" s="21"/>
      <c r="H68" s="21"/>
      <c r="I68" s="21"/>
      <c r="J68" s="60">
        <f>SUM(J69)</f>
        <v>0</v>
      </c>
      <c r="K68" s="21"/>
      <c r="L68" s="21"/>
    </row>
    <row r="69" spans="1:12" ht="22.5" outlineLevel="4" x14ac:dyDescent="0.2">
      <c r="A69" s="23"/>
      <c r="B69" s="24" t="s">
        <v>110</v>
      </c>
      <c r="C69" s="25"/>
      <c r="D69" s="25"/>
      <c r="E69" s="26" t="s">
        <v>21</v>
      </c>
      <c r="F69" s="27"/>
      <c r="G69" s="28">
        <v>2</v>
      </c>
      <c r="H69" s="28">
        <f t="shared" si="0"/>
        <v>2</v>
      </c>
      <c r="I69" s="31">
        <f t="array" ref="I69">INDEX(Р[Цена за ед., руб],MATCH(1,IF(($B69=Р[Наименование])*($K69=Р[Примечание]),{1},($B69=Р[Наименование])*($K69=Р[Примечание])),0))</f>
        <v>0</v>
      </c>
      <c r="J69" s="31">
        <f>ROUND(H69*I69,2)</f>
        <v>0</v>
      </c>
      <c r="K69" s="25"/>
      <c r="L69" s="25"/>
    </row>
    <row r="70" spans="1:12" outlineLevel="4" x14ac:dyDescent="0.2">
      <c r="A70" s="20"/>
      <c r="B70" s="14" t="s">
        <v>23</v>
      </c>
      <c r="C70" s="21"/>
      <c r="D70" s="21"/>
      <c r="E70" s="21"/>
      <c r="F70" s="21"/>
      <c r="G70" s="21"/>
      <c r="H70" s="21"/>
      <c r="I70" s="21"/>
      <c r="J70" s="60">
        <f>SUM(J71)</f>
        <v>0</v>
      </c>
      <c r="K70" s="21"/>
      <c r="L70" s="21"/>
    </row>
    <row r="71" spans="1:12" ht="33.75" outlineLevel="4" x14ac:dyDescent="0.2">
      <c r="A71" s="23" t="s">
        <v>24</v>
      </c>
      <c r="B71" s="24" t="s">
        <v>35</v>
      </c>
      <c r="C71" s="25"/>
      <c r="D71" s="25" t="s">
        <v>111</v>
      </c>
      <c r="E71" s="26" t="s">
        <v>21</v>
      </c>
      <c r="F71" s="27"/>
      <c r="G71" s="28">
        <v>2</v>
      </c>
      <c r="H71" s="28">
        <f t="shared" ref="H71" si="1">SUM(G71)</f>
        <v>2</v>
      </c>
      <c r="I71" s="31">
        <f t="array" ref="I71">INDEX(М[Цена за ед., руб],MATCH(1,IF(($B71=М[Наим.])*($C71=М[Артикул,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  <c r="J71" s="31">
        <f>ROUND(H71*I71,2)</f>
        <v>0</v>
      </c>
      <c r="K71" s="25"/>
      <c r="L71" s="25">
        <f t="array" ref="L71">INDEX(М[Форма закупа],MATCH(1,IF(($B71=М[Наим.])*($C71=М[Артикул, марка, произв.])*($D71=М[Хар-ка])*($K71=М[Прим.]),{1},($B71=М[Наим.])*($C71=М[Артикул, марка, произв.])*($D71=М[Хар-ка])*($K71=М[Прим.])),0))</f>
        <v>0</v>
      </c>
    </row>
    <row r="72" spans="1:12" outlineLevel="4" x14ac:dyDescent="0.2">
      <c r="A72" s="20"/>
      <c r="B72" s="14" t="s">
        <v>19</v>
      </c>
      <c r="C72" s="21"/>
      <c r="D72" s="21"/>
      <c r="E72" s="21"/>
      <c r="F72" s="21"/>
      <c r="G72" s="21"/>
      <c r="H72" s="21"/>
      <c r="I72" s="59"/>
      <c r="J72" s="60">
        <f>SUM($J$73)</f>
        <v>0</v>
      </c>
      <c r="K72" s="18"/>
      <c r="L72" s="22"/>
    </row>
    <row r="73" spans="1:12" ht="22.5" outlineLevel="4" x14ac:dyDescent="0.2">
      <c r="A73" s="23"/>
      <c r="B73" s="24" t="s">
        <v>34</v>
      </c>
      <c r="C73" s="25"/>
      <c r="D73" s="25"/>
      <c r="E73" s="26" t="s">
        <v>21</v>
      </c>
      <c r="F73" s="27"/>
      <c r="G73" s="28">
        <f>SUM(G75:G76)</f>
        <v>47</v>
      </c>
      <c r="H73" s="28">
        <f>SUM($G$73:$G$73)</f>
        <v>47</v>
      </c>
      <c r="I73" s="31">
        <f t="array" ref="I73">INDEX(Р[Цена за ед., руб],MATCH(1,IF(($B73=Р[Наименование])*($K73=Р[Примечание]),{1},($B73=Р[Наименование])*($K73=Р[Примечание])),0))</f>
        <v>0</v>
      </c>
      <c r="J73" s="31">
        <f>ROUND($H$73*$I$73,2)</f>
        <v>0</v>
      </c>
      <c r="K73" s="25"/>
      <c r="L73" s="25"/>
    </row>
    <row r="74" spans="1:12" outlineLevel="4" x14ac:dyDescent="0.2">
      <c r="A74" s="20"/>
      <c r="B74" s="14" t="s">
        <v>23</v>
      </c>
      <c r="C74" s="21"/>
      <c r="D74" s="21"/>
      <c r="E74" s="21"/>
      <c r="F74" s="21"/>
      <c r="G74" s="21"/>
      <c r="H74" s="21"/>
      <c r="I74" s="59"/>
      <c r="J74" s="60">
        <f>SUM($J$75:$J$76)</f>
        <v>0</v>
      </c>
      <c r="K74" s="18"/>
      <c r="L74" s="22"/>
    </row>
    <row r="75" spans="1:12" ht="22.5" outlineLevel="4" x14ac:dyDescent="0.2">
      <c r="A75" s="23" t="s">
        <v>24</v>
      </c>
      <c r="B75" s="24" t="s">
        <v>35</v>
      </c>
      <c r="C75" s="25"/>
      <c r="D75" s="25" t="s">
        <v>36</v>
      </c>
      <c r="E75" s="26" t="s">
        <v>21</v>
      </c>
      <c r="F75" s="27"/>
      <c r="G75" s="28">
        <v>46</v>
      </c>
      <c r="H75" s="28">
        <f>SUM($G$75:$G$75)</f>
        <v>46</v>
      </c>
      <c r="I75" s="31">
        <f t="array" ref="I75">INDEX(М[Цена за ед., руб],MATCH(1,IF(($B75=М[Наим.])*($C75=М[Артикул,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  <c r="J75" s="31">
        <f>ROUND($H$75*$I$75,2)</f>
        <v>0</v>
      </c>
      <c r="K75" s="25"/>
      <c r="L75" s="25">
        <f t="array" ref="L75">INDEX(М[Форма закупа],MATCH(1,IF(($B75=М[Наим.])*($C75=М[Артикул, марка, произв.])*($D75=М[Хар-ка])*($K75=М[Прим.]),{1},($B75=М[Наим.])*($C75=М[Артикул, марка, произв.])*($D75=М[Хар-ка])*($K75=М[Прим.])),0))</f>
        <v>0</v>
      </c>
    </row>
    <row r="76" spans="1:12" ht="33.75" outlineLevel="4" x14ac:dyDescent="0.2">
      <c r="A76" s="23">
        <v>2</v>
      </c>
      <c r="B76" s="24" t="s">
        <v>35</v>
      </c>
      <c r="C76" s="25"/>
      <c r="D76" s="25" t="s">
        <v>112</v>
      </c>
      <c r="E76" s="26" t="s">
        <v>21</v>
      </c>
      <c r="F76" s="27"/>
      <c r="G76" s="28">
        <v>1</v>
      </c>
      <c r="H76" s="28">
        <f t="shared" ref="H76" si="2">SUM(G76)</f>
        <v>1</v>
      </c>
      <c r="I76" s="31">
        <f t="array" ref="I76">INDEX(М[Цена за ед., руб],MATCH(1,IF(($B76=М[Наим.])*($C76=М[Артикул,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  <c r="J76" s="31">
        <f>ROUND(H76*I76,2)</f>
        <v>0</v>
      </c>
      <c r="K76" s="25"/>
      <c r="L76" s="25">
        <f t="array" ref="L76">INDEX(М[Форма закупа],MATCH(1,IF(($B76=М[Наим.])*($C76=М[Артикул, марка, произв.])*($D76=М[Хар-ка])*($K76=М[Прим.]),{1},($B76=М[Наим.])*($C76=М[Артикул, марка, произв.])*($D76=М[Хар-ка])*($K76=М[Прим.])),0))</f>
        <v>0</v>
      </c>
    </row>
    <row r="77" spans="1:12" outlineLevel="4" x14ac:dyDescent="0.2">
      <c r="A77" s="20"/>
      <c r="B77" s="14" t="s">
        <v>19</v>
      </c>
      <c r="C77" s="21"/>
      <c r="D77" s="21"/>
      <c r="E77" s="21"/>
      <c r="F77" s="21"/>
      <c r="G77" s="21"/>
      <c r="H77" s="21"/>
      <c r="I77" s="59"/>
      <c r="J77" s="60">
        <f>SUM(J78)</f>
        <v>0</v>
      </c>
      <c r="K77" s="18"/>
      <c r="L77" s="22"/>
    </row>
    <row r="78" spans="1:12" ht="22.5" outlineLevel="4" x14ac:dyDescent="0.2">
      <c r="A78" s="23"/>
      <c r="B78" s="82" t="s">
        <v>113</v>
      </c>
      <c r="C78" s="25"/>
      <c r="D78" s="25"/>
      <c r="E78" s="26" t="s">
        <v>21</v>
      </c>
      <c r="F78" s="27"/>
      <c r="G78" s="28">
        <v>1</v>
      </c>
      <c r="H78" s="28">
        <f>SUM(G78)</f>
        <v>1</v>
      </c>
      <c r="I78" s="31">
        <f t="array" ref="I78">INDEX(Р[Цена за ед., руб],MATCH(1,IF(($B78=Р[Наименование])*($K78=Р[Примечание]),{1},($B78=Р[Наименование])*($K78=Р[Примечание])),0))</f>
        <v>0</v>
      </c>
      <c r="J78" s="31">
        <f>ROUND(H78*I78,2)</f>
        <v>0</v>
      </c>
      <c r="K78" s="25"/>
      <c r="L78" s="25"/>
    </row>
    <row r="79" spans="1:12" outlineLevel="4" x14ac:dyDescent="0.2">
      <c r="A79" s="20"/>
      <c r="B79" s="14" t="s">
        <v>23</v>
      </c>
      <c r="C79" s="21"/>
      <c r="D79" s="21"/>
      <c r="E79" s="21"/>
      <c r="F79" s="21"/>
      <c r="G79" s="21"/>
      <c r="H79" s="21"/>
      <c r="I79" s="59"/>
      <c r="J79" s="60">
        <f>SUM(J80:J81)</f>
        <v>0</v>
      </c>
      <c r="K79" s="18"/>
      <c r="L79" s="22"/>
    </row>
    <row r="80" spans="1:12" ht="22.5" outlineLevel="4" x14ac:dyDescent="0.2">
      <c r="A80" s="23" t="s">
        <v>24</v>
      </c>
      <c r="B80" s="82" t="s">
        <v>114</v>
      </c>
      <c r="C80" s="25"/>
      <c r="D80" s="25" t="s">
        <v>115</v>
      </c>
      <c r="E80" s="26" t="s">
        <v>21</v>
      </c>
      <c r="F80" s="27"/>
      <c r="G80" s="28">
        <v>1</v>
      </c>
      <c r="H80" s="28">
        <f t="shared" ref="H80:H81" si="3">SUM(G80)</f>
        <v>1</v>
      </c>
      <c r="I80" s="31">
        <f t="array" ref="I80">INDEX(М[Цена за ед., руб],MATCH(1,IF(($B80=М[Наим.])*($C80=М[Артикул,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  <c r="J80" s="31">
        <f>ROUND(H80*I80,2)</f>
        <v>0</v>
      </c>
      <c r="K80" s="25"/>
      <c r="L80" s="25">
        <f t="array" ref="L80">INDEX(М[Форма закупа],MATCH(1,IF(($B80=М[Наим.])*($C80=М[Артикул, марка, произв.])*($D80=М[Хар-ка])*($K80=М[Прим.]),{1},($B80=М[Наим.])*($C80=М[Артикул, марка, произв.])*($D80=М[Хар-ка])*($K80=М[Прим.])),0))</f>
        <v>0</v>
      </c>
    </row>
    <row r="81" spans="1:12" ht="33.75" outlineLevel="4" x14ac:dyDescent="0.2">
      <c r="A81" s="23" t="s">
        <v>27</v>
      </c>
      <c r="B81" s="24" t="s">
        <v>116</v>
      </c>
      <c r="C81" s="25"/>
      <c r="D81" s="25" t="s">
        <v>117</v>
      </c>
      <c r="E81" s="26" t="s">
        <v>21</v>
      </c>
      <c r="F81" s="27"/>
      <c r="G81" s="28">
        <v>1</v>
      </c>
      <c r="H81" s="28">
        <f t="shared" si="3"/>
        <v>1</v>
      </c>
      <c r="I81" s="31">
        <f t="array" ref="I81">INDEX(М[Цена за ед., руб],MATCH(1,IF(($B81=М[Наим.])*($C81=М[Артикул,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  <c r="J81" s="31">
        <f>ROUND(H81*I81,2)</f>
        <v>0</v>
      </c>
      <c r="K81" s="25"/>
      <c r="L81" s="25">
        <f t="array" ref="L81">INDEX(М[Форма закупа],MATCH(1,IF(($B81=М[Наим.])*($C81=М[Артикул, марка, произв.])*($D81=М[Хар-ка])*($K81=М[Прим.]),{1},($B81=М[Наим.])*($C81=М[Артикул, марка, произв.])*($D81=М[Хар-ка])*($K81=М[Прим.])),0))</f>
        <v>0</v>
      </c>
    </row>
    <row r="82" spans="1:12" outlineLevel="4" x14ac:dyDescent="0.2">
      <c r="A82" s="20"/>
      <c r="B82" s="14" t="s">
        <v>19</v>
      </c>
      <c r="C82" s="21"/>
      <c r="D82" s="21"/>
      <c r="E82" s="21"/>
      <c r="F82" s="21"/>
      <c r="G82" s="21"/>
      <c r="H82" s="21"/>
      <c r="I82" s="59"/>
      <c r="J82" s="60">
        <f>SUM(J83)</f>
        <v>0</v>
      </c>
      <c r="K82" s="18"/>
      <c r="L82" s="22"/>
    </row>
    <row r="83" spans="1:12" outlineLevel="4" x14ac:dyDescent="0.2">
      <c r="A83" s="23"/>
      <c r="B83" s="24" t="s">
        <v>118</v>
      </c>
      <c r="C83" s="25"/>
      <c r="D83" s="25"/>
      <c r="E83" s="26" t="s">
        <v>21</v>
      </c>
      <c r="F83" s="27"/>
      <c r="G83" s="28">
        <v>3</v>
      </c>
      <c r="H83" s="28">
        <f>SUM(G83)</f>
        <v>3</v>
      </c>
      <c r="I83" s="31">
        <f t="array" ref="I83">INDEX(Р[Цена за ед., руб],MATCH(1,IF(($B83=Р[Наименование])*($K83=Р[Примечание]),{1},($B83=Р[Наименование])*($K83=Р[Примечание])),0))</f>
        <v>0</v>
      </c>
      <c r="J83" s="31">
        <f>ROUND(H83*I83,2)</f>
        <v>0</v>
      </c>
      <c r="K83" s="25"/>
      <c r="L83" s="25"/>
    </row>
    <row r="84" spans="1:12" outlineLevel="4" x14ac:dyDescent="0.2">
      <c r="A84" s="20"/>
      <c r="B84" s="14" t="s">
        <v>23</v>
      </c>
      <c r="C84" s="21"/>
      <c r="D84" s="21"/>
      <c r="E84" s="21"/>
      <c r="F84" s="21"/>
      <c r="G84" s="21"/>
      <c r="H84" s="21"/>
      <c r="I84" s="59"/>
      <c r="J84" s="60">
        <f>SUM(J85)</f>
        <v>0</v>
      </c>
      <c r="K84" s="18"/>
      <c r="L84" s="22"/>
    </row>
    <row r="85" spans="1:12" ht="45" outlineLevel="4" x14ac:dyDescent="0.2">
      <c r="A85" s="23" t="s">
        <v>24</v>
      </c>
      <c r="B85" s="24" t="s">
        <v>119</v>
      </c>
      <c r="C85" s="25"/>
      <c r="D85" s="25" t="s">
        <v>120</v>
      </c>
      <c r="E85" s="26" t="s">
        <v>21</v>
      </c>
      <c r="F85" s="27"/>
      <c r="G85" s="28">
        <v>3</v>
      </c>
      <c r="H85" s="28">
        <f t="shared" ref="H85" si="4">SUM(G85)</f>
        <v>3</v>
      </c>
      <c r="I85" s="31">
        <f t="array" ref="I85">INDEX(М[Цена за ед., руб],MATCH(1,IF(($B85=М[Наим.])*($C85=М[Артикул,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  <c r="J85" s="31">
        <f>ROUND(H85*I85,2)</f>
        <v>0</v>
      </c>
      <c r="K85" s="25"/>
      <c r="L85" s="25">
        <f t="array" ref="L85">INDEX(М[Форма закупа],MATCH(1,IF(($B85=М[Наим.])*($C85=М[Артикул, марка, произв.])*($D85=М[Хар-ка])*($K85=М[Прим.]),{1},($B85=М[Наим.])*($C85=М[Артикул, марка, произв.])*($D85=М[Хар-ка])*($K85=М[Прим.])),0))</f>
        <v>0</v>
      </c>
    </row>
    <row r="86" spans="1:12" outlineLevel="4" x14ac:dyDescent="0.2">
      <c r="A86" s="20"/>
      <c r="B86" s="14" t="s">
        <v>19</v>
      </c>
      <c r="C86" s="21"/>
      <c r="D86" s="21"/>
      <c r="E86" s="21"/>
      <c r="F86" s="21"/>
      <c r="G86" s="21"/>
      <c r="H86" s="21"/>
      <c r="I86" s="59"/>
      <c r="J86" s="60">
        <f>SUM(J87)</f>
        <v>0</v>
      </c>
      <c r="K86" s="18"/>
      <c r="L86" s="22"/>
    </row>
    <row r="87" spans="1:12" outlineLevel="4" x14ac:dyDescent="0.2">
      <c r="A87" s="23"/>
      <c r="B87" s="24" t="s">
        <v>121</v>
      </c>
      <c r="C87" s="25"/>
      <c r="D87" s="25"/>
      <c r="E87" s="26" t="s">
        <v>21</v>
      </c>
      <c r="F87" s="27"/>
      <c r="G87" s="28">
        <v>9</v>
      </c>
      <c r="H87" s="28">
        <f>SUM(G87)</f>
        <v>9</v>
      </c>
      <c r="I87" s="31">
        <f t="array" ref="I87">INDEX(Р[Цена за ед., руб],MATCH(1,IF(($B87=Р[Наименование])*($K87=Р[Примечание]),{1},($B87=Р[Наименование])*($K87=Р[Примечание])),0))</f>
        <v>0</v>
      </c>
      <c r="J87" s="31">
        <f>ROUND(H87*I87,2)</f>
        <v>0</v>
      </c>
      <c r="K87" s="25"/>
      <c r="L87" s="25"/>
    </row>
    <row r="88" spans="1:12" outlineLevel="4" x14ac:dyDescent="0.2">
      <c r="A88" s="20"/>
      <c r="B88" s="14" t="s">
        <v>23</v>
      </c>
      <c r="C88" s="21"/>
      <c r="D88" s="21"/>
      <c r="E88" s="21"/>
      <c r="F88" s="21"/>
      <c r="G88" s="21"/>
      <c r="H88" s="21"/>
      <c r="I88" s="59"/>
      <c r="J88" s="60">
        <f>SUM(J89:J90)</f>
        <v>0</v>
      </c>
      <c r="K88" s="18"/>
      <c r="L88" s="22"/>
    </row>
    <row r="89" spans="1:12" ht="22.5" outlineLevel="4" x14ac:dyDescent="0.2">
      <c r="A89" s="23" t="s">
        <v>24</v>
      </c>
      <c r="B89" s="24" t="s">
        <v>122</v>
      </c>
      <c r="C89" s="25"/>
      <c r="D89" s="25" t="s">
        <v>123</v>
      </c>
      <c r="E89" s="26" t="s">
        <v>21</v>
      </c>
      <c r="F89" s="27"/>
      <c r="G89" s="28">
        <v>5</v>
      </c>
      <c r="H89" s="28">
        <f t="shared" ref="H89:H90" si="5">SUM(G89)</f>
        <v>5</v>
      </c>
      <c r="I89" s="31">
        <f t="array" ref="I89">INDEX(М[Цена за ед., руб],MATCH(1,IF(($B89=М[Наим.])*($C89=М[Артикул,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  <c r="J89" s="31">
        <f>ROUND(H89*I89,2)</f>
        <v>0</v>
      </c>
      <c r="K89" s="25"/>
      <c r="L89" s="25">
        <f t="array" ref="L89">INDEX(М[Форма закупа],MATCH(1,IF(($B89=М[Наим.])*($C89=М[Артикул, марка, произв.])*($D89=М[Хар-ка])*($K89=М[Прим.]),{1},($B89=М[Наим.])*($C89=М[Артикул, марка, произв.])*($D89=М[Хар-ка])*($K89=М[Прим.])),0))</f>
        <v>0</v>
      </c>
    </row>
    <row r="90" spans="1:12" ht="22.5" outlineLevel="4" x14ac:dyDescent="0.2">
      <c r="A90" s="23" t="s">
        <v>27</v>
      </c>
      <c r="B90" s="24" t="s">
        <v>122</v>
      </c>
      <c r="C90" s="25"/>
      <c r="D90" s="25" t="s">
        <v>124</v>
      </c>
      <c r="E90" s="26" t="s">
        <v>21</v>
      </c>
      <c r="F90" s="27"/>
      <c r="G90" s="28">
        <v>4</v>
      </c>
      <c r="H90" s="28">
        <f t="shared" si="5"/>
        <v>4</v>
      </c>
      <c r="I90" s="31">
        <f t="array" ref="I90">INDEX(М[Цена за ед., руб],MATCH(1,IF(($B90=М[Наим.])*($C90=М[Артикул,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  <c r="J90" s="31">
        <f>ROUND(H90*I90,2)</f>
        <v>0</v>
      </c>
      <c r="K90" s="25"/>
      <c r="L90" s="25">
        <f t="array" ref="L90">INDEX(М[Форма закупа],MATCH(1,IF(($B90=М[Наим.])*($C90=М[Артикул, марка, произв.])*($D90=М[Хар-ка])*($K90=М[Прим.]),{1},($B90=М[Наим.])*($C90=М[Артикул, марка, произв.])*($D90=М[Хар-ка])*($K90=М[Прим.])),0))</f>
        <v>0</v>
      </c>
    </row>
    <row r="91" spans="1:12" outlineLevel="4" x14ac:dyDescent="0.2">
      <c r="A91" s="20"/>
      <c r="B91" s="14" t="s">
        <v>19</v>
      </c>
      <c r="C91" s="21"/>
      <c r="D91" s="21"/>
      <c r="E91" s="21"/>
      <c r="F91" s="21"/>
      <c r="G91" s="21"/>
      <c r="H91" s="21"/>
      <c r="I91" s="59"/>
      <c r="J91" s="60">
        <f>SUM($J$92)</f>
        <v>0</v>
      </c>
      <c r="K91" s="18"/>
      <c r="L91" s="22"/>
    </row>
    <row r="92" spans="1:12" outlineLevel="4" x14ac:dyDescent="0.2">
      <c r="A92" s="23"/>
      <c r="B92" s="24" t="s">
        <v>66</v>
      </c>
      <c r="C92" s="25"/>
      <c r="D92" s="25"/>
      <c r="E92" s="26" t="s">
        <v>21</v>
      </c>
      <c r="F92" s="27"/>
      <c r="G92" s="30">
        <v>1791</v>
      </c>
      <c r="H92" s="30">
        <f>SUM($G$92:$G$92)</f>
        <v>1791</v>
      </c>
      <c r="I92" s="31">
        <f t="array" ref="I92">INDEX(Р[Цена за ед., руб],MATCH(1,IF(($B92=Р[Наименование])*($K92=Р[Примечание]),{1},($B92=Р[Наименование])*($K92=Р[Примечание])),0))</f>
        <v>0</v>
      </c>
      <c r="J92" s="31">
        <f>ROUND($H$92*$I$92,2)</f>
        <v>0</v>
      </c>
      <c r="K92" s="25"/>
      <c r="L92" s="25"/>
    </row>
    <row r="93" spans="1:12" outlineLevel="4" x14ac:dyDescent="0.2">
      <c r="A93" s="20"/>
      <c r="B93" s="14" t="s">
        <v>23</v>
      </c>
      <c r="C93" s="21"/>
      <c r="D93" s="21"/>
      <c r="E93" s="21"/>
      <c r="F93" s="21"/>
      <c r="G93" s="21"/>
      <c r="H93" s="21"/>
      <c r="I93" s="59"/>
      <c r="J93" s="60">
        <f>SUM($J$94)</f>
        <v>0</v>
      </c>
      <c r="K93" s="18"/>
      <c r="L93" s="22"/>
    </row>
    <row r="94" spans="1:12" ht="33.75" outlineLevel="4" x14ac:dyDescent="0.2">
      <c r="A94" s="23" t="s">
        <v>24</v>
      </c>
      <c r="B94" s="24" t="s">
        <v>67</v>
      </c>
      <c r="C94" s="25"/>
      <c r="D94" s="25" t="s">
        <v>68</v>
      </c>
      <c r="E94" s="26" t="s">
        <v>21</v>
      </c>
      <c r="F94" s="27"/>
      <c r="G94" s="30">
        <v>1791</v>
      </c>
      <c r="H94" s="30">
        <f>SUM($G$94:$G$94)</f>
        <v>1791</v>
      </c>
      <c r="I94" s="31">
        <f t="array" ref="I94">INDEX(М[Цена за ед., руб],MATCH(1,IF(($B94=М[Наим.])*($C94=М[Артикул,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  <c r="J94" s="31">
        <f>ROUND($H$94*$I$94,2)</f>
        <v>0</v>
      </c>
      <c r="K94" s="25" t="s">
        <v>69</v>
      </c>
      <c r="L94" s="25">
        <f t="array" ref="L94">INDEX(М[Форма закупа],MATCH(1,IF(($B94=М[Наим.])*($C94=М[Артикул, марка, произв.])*($D94=М[Хар-ка])*($K94=М[Прим.]),{1},($B94=М[Наим.])*($C94=М[Артикул, марка, произв.])*($D94=М[Хар-ка])*($K94=М[Прим.])),0))</f>
        <v>0</v>
      </c>
    </row>
    <row r="95" spans="1:12" outlineLevel="4" x14ac:dyDescent="0.2">
      <c r="A95" s="20"/>
      <c r="B95" s="14" t="s">
        <v>19</v>
      </c>
      <c r="C95" s="21"/>
      <c r="D95" s="21"/>
      <c r="E95" s="21"/>
      <c r="F95" s="21"/>
      <c r="G95" s="21"/>
      <c r="H95" s="21"/>
      <c r="I95" s="59"/>
      <c r="J95" s="60">
        <f>SUM($J$96)</f>
        <v>0</v>
      </c>
      <c r="K95" s="18"/>
      <c r="L95" s="22"/>
    </row>
    <row r="96" spans="1:12" outlineLevel="4" x14ac:dyDescent="0.2">
      <c r="A96" s="23"/>
      <c r="B96" s="24" t="s">
        <v>70</v>
      </c>
      <c r="C96" s="25"/>
      <c r="D96" s="25"/>
      <c r="E96" s="26" t="s">
        <v>21</v>
      </c>
      <c r="F96" s="27"/>
      <c r="G96" s="28">
        <v>14</v>
      </c>
      <c r="H96" s="28">
        <f>SUM($G$96:$G$96)</f>
        <v>14</v>
      </c>
      <c r="I96" s="31">
        <f t="array" ref="I96">INDEX(Р[Цена за ед., руб],MATCH(1,IF(($B96=Р[Наименование])*($K96=Р[Примечание]),{1},($B96=Р[Наименование])*($K96=Р[Примечание])),0))</f>
        <v>0</v>
      </c>
      <c r="J96" s="31">
        <f>ROUND($H$96*$I$96,2)</f>
        <v>0</v>
      </c>
      <c r="K96" s="25"/>
      <c r="L96" s="25"/>
    </row>
    <row r="97" spans="1:12" outlineLevel="4" x14ac:dyDescent="0.2">
      <c r="A97" s="20"/>
      <c r="B97" s="14" t="s">
        <v>23</v>
      </c>
      <c r="C97" s="21"/>
      <c r="D97" s="21"/>
      <c r="E97" s="21"/>
      <c r="F97" s="21"/>
      <c r="G97" s="21"/>
      <c r="H97" s="21"/>
      <c r="I97" s="59"/>
      <c r="J97" s="60">
        <f>SUM($J$98)</f>
        <v>0</v>
      </c>
      <c r="K97" s="18"/>
      <c r="L97" s="22"/>
    </row>
    <row r="98" spans="1:12" outlineLevel="4" x14ac:dyDescent="0.2">
      <c r="A98" s="23" t="s">
        <v>24</v>
      </c>
      <c r="B98" s="24" t="s">
        <v>71</v>
      </c>
      <c r="C98" s="25"/>
      <c r="D98" s="25" t="s">
        <v>72</v>
      </c>
      <c r="E98" s="26" t="s">
        <v>21</v>
      </c>
      <c r="F98" s="27"/>
      <c r="G98" s="28">
        <v>14</v>
      </c>
      <c r="H98" s="28">
        <f>SUM($G$98:$G$98)</f>
        <v>14</v>
      </c>
      <c r="I98" s="31">
        <f t="array" ref="I98">INDEX(М[Цена за ед., руб],MATCH(1,IF(($B98=М[Наим.])*($C98=М[Артикул,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  <c r="J98" s="31">
        <f>ROUND($H$98*$I$98,2)</f>
        <v>0</v>
      </c>
      <c r="K98" s="25"/>
      <c r="L98" s="25">
        <f t="array" ref="L98">INDEX(М[Форма закупа],MATCH(1,IF(($B98=М[Наим.])*($C98=М[Артикул, марка, произв.])*($D98=М[Хар-ка])*($K98=М[Прим.]),{1},($B98=М[Наим.])*($C98=М[Артикул, марка, произв.])*($D98=М[Хар-ка])*($K98=М[Прим.])),0))</f>
        <v>0</v>
      </c>
    </row>
    <row r="99" spans="1:12" outlineLevel="4" x14ac:dyDescent="0.2">
      <c r="A99" s="20"/>
      <c r="B99" s="14" t="s">
        <v>19</v>
      </c>
      <c r="C99" s="21"/>
      <c r="D99" s="21"/>
      <c r="E99" s="21"/>
      <c r="F99" s="21"/>
      <c r="G99" s="21"/>
      <c r="H99" s="21"/>
      <c r="I99" s="59"/>
      <c r="J99" s="60">
        <f>SUM($J$100)</f>
        <v>0</v>
      </c>
      <c r="K99" s="18"/>
      <c r="L99" s="22"/>
    </row>
    <row r="100" spans="1:12" outlineLevel="4" x14ac:dyDescent="0.2">
      <c r="A100" s="23"/>
      <c r="B100" s="24" t="s">
        <v>48</v>
      </c>
      <c r="C100" s="25"/>
      <c r="D100" s="25"/>
      <c r="E100" s="26" t="s">
        <v>49</v>
      </c>
      <c r="F100" s="27"/>
      <c r="G100" s="29">
        <f>G102</f>
        <v>524.95000000000005</v>
      </c>
      <c r="H100" s="29">
        <f>SUM($G$100:$G$100)</f>
        <v>524.95000000000005</v>
      </c>
      <c r="I100" s="31">
        <f t="array" ref="I100">INDEX(Р[Цена за ед., руб],MATCH(1,IF(($B100=Р[Наименование])*($K100=Р[Примечание]),{1},($B100=Р[Наименование])*($K100=Р[Примечание])),0))</f>
        <v>0</v>
      </c>
      <c r="J100" s="31">
        <f>ROUND($H$100*$I$100,2)</f>
        <v>0</v>
      </c>
      <c r="K100" s="25"/>
      <c r="L100" s="25"/>
    </row>
    <row r="101" spans="1:12" outlineLevel="4" x14ac:dyDescent="0.2">
      <c r="A101" s="20"/>
      <c r="B101" s="14" t="s">
        <v>23</v>
      </c>
      <c r="C101" s="21"/>
      <c r="D101" s="21"/>
      <c r="E101" s="21"/>
      <c r="F101" s="21"/>
      <c r="G101" s="21"/>
      <c r="H101" s="21"/>
      <c r="I101" s="59"/>
      <c r="J101" s="60">
        <f>SUM($J$102)</f>
        <v>0</v>
      </c>
      <c r="K101" s="18"/>
      <c r="L101" s="22"/>
    </row>
    <row r="102" spans="1:12" outlineLevel="4" x14ac:dyDescent="0.2">
      <c r="A102" s="23" t="s">
        <v>24</v>
      </c>
      <c r="B102" s="24" t="s">
        <v>50</v>
      </c>
      <c r="C102" s="25"/>
      <c r="D102" s="25" t="s">
        <v>51</v>
      </c>
      <c r="E102" s="26" t="s">
        <v>49</v>
      </c>
      <c r="F102" s="27"/>
      <c r="G102" s="29">
        <f>506.66+18.29</f>
        <v>524.95000000000005</v>
      </c>
      <c r="H102" s="29">
        <f>SUM($G$102:$G$102)</f>
        <v>524.95000000000005</v>
      </c>
      <c r="I102" s="31">
        <f t="array" ref="I102">INDEX(М[Цена за ед., руб],MATCH(1,IF(($B102=М[Наим.])*($C102=М[Артикул,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  <c r="J102" s="31">
        <f>ROUND($H$102*$I$102,2)</f>
        <v>0</v>
      </c>
      <c r="K102" s="25" t="s">
        <v>52</v>
      </c>
      <c r="L102" s="25">
        <f t="array" ref="L102">INDEX(М[Форма закупа],MATCH(1,IF(($B102=М[Наим.])*($C102=М[Артикул, марка, произв.])*($D102=М[Хар-ка])*($K102=М[Прим.]),{1},($B102=М[Наим.])*($C102=М[Артикул, марка, произв.])*($D102=М[Хар-ка])*($K102=М[Прим.])),0))</f>
        <v>0</v>
      </c>
    </row>
    <row r="103" spans="1:12" outlineLevel="4" x14ac:dyDescent="0.2">
      <c r="A103" s="20"/>
      <c r="B103" s="14" t="s">
        <v>19</v>
      </c>
      <c r="C103" s="21"/>
      <c r="D103" s="21"/>
      <c r="E103" s="21"/>
      <c r="F103" s="21"/>
      <c r="G103" s="21"/>
      <c r="H103" s="21"/>
      <c r="I103" s="59"/>
      <c r="J103" s="60">
        <f>SUM(J104)</f>
        <v>0</v>
      </c>
      <c r="K103" s="18"/>
      <c r="L103" s="22"/>
    </row>
    <row r="104" spans="1:12" outlineLevel="4" x14ac:dyDescent="0.2">
      <c r="A104" s="23"/>
      <c r="B104" s="24" t="s">
        <v>125</v>
      </c>
      <c r="C104" s="25"/>
      <c r="D104" s="25"/>
      <c r="E104" s="26" t="s">
        <v>46</v>
      </c>
      <c r="F104" s="27"/>
      <c r="G104" s="29">
        <v>8</v>
      </c>
      <c r="H104" s="28">
        <f>SUM(G104)</f>
        <v>8</v>
      </c>
      <c r="I104" s="31">
        <f t="array" ref="I104">INDEX(Р[Цена за ед., руб],MATCH(1,IF(($B104=Р[Наименование])*($K104=Р[Примечание]),{1},($B104=Р[Наименование])*($K104=Р[Примечание])),0))</f>
        <v>0</v>
      </c>
      <c r="J104" s="31">
        <f>ROUND(H104*I104,2)</f>
        <v>0</v>
      </c>
      <c r="K104" s="25"/>
      <c r="L104" s="25"/>
    </row>
    <row r="105" spans="1:12" outlineLevel="4" x14ac:dyDescent="0.2">
      <c r="A105" s="20"/>
      <c r="B105" s="14" t="s">
        <v>23</v>
      </c>
      <c r="C105" s="21"/>
      <c r="D105" s="21"/>
      <c r="E105" s="21"/>
      <c r="F105" s="21"/>
      <c r="G105" s="21"/>
      <c r="H105" s="21"/>
      <c r="I105" s="59"/>
      <c r="J105" s="60">
        <f>SUM(J106:J107)</f>
        <v>0</v>
      </c>
      <c r="K105" s="18"/>
      <c r="L105" s="22"/>
    </row>
    <row r="106" spans="1:12" ht="22.5" outlineLevel="4" x14ac:dyDescent="0.2">
      <c r="A106" s="80" t="s">
        <v>24</v>
      </c>
      <c r="B106" s="24" t="s">
        <v>126</v>
      </c>
      <c r="C106" s="25"/>
      <c r="D106" s="25" t="s">
        <v>127</v>
      </c>
      <c r="E106" s="26" t="s">
        <v>46</v>
      </c>
      <c r="F106" s="27"/>
      <c r="G106" s="29">
        <v>5</v>
      </c>
      <c r="H106" s="28">
        <f t="shared" ref="H106:H107" si="6">SUM(G106)</f>
        <v>5</v>
      </c>
      <c r="I106" s="31">
        <f t="array" ref="I106">INDEX(М[Цена за ед., руб],MATCH(1,IF(($B106=М[Наим.])*($C106=М[Артикул,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  <c r="J106" s="31">
        <f>ROUND(H106*I106,2)</f>
        <v>0</v>
      </c>
      <c r="K106" s="25"/>
      <c r="L106" s="25">
        <f t="array" ref="L106">INDEX(М[Форма закупа],MATCH(1,IF(($B106=М[Наим.])*($C106=М[Артикул, марка, произв.])*($D106=М[Хар-ка])*($K106=М[Прим.]),{1},($B106=М[Наим.])*($C106=М[Артикул, марка, произв.])*($D106=М[Хар-ка])*($K106=М[Прим.])),0))</f>
        <v>0</v>
      </c>
    </row>
    <row r="107" spans="1:12" ht="22.5" outlineLevel="4" x14ac:dyDescent="0.2">
      <c r="A107" s="80" t="s">
        <v>27</v>
      </c>
      <c r="B107" s="24" t="s">
        <v>126</v>
      </c>
      <c r="C107" s="25"/>
      <c r="D107" s="25" t="s">
        <v>128</v>
      </c>
      <c r="E107" s="26" t="s">
        <v>46</v>
      </c>
      <c r="F107" s="27"/>
      <c r="G107" s="29">
        <v>3</v>
      </c>
      <c r="H107" s="28">
        <f t="shared" si="6"/>
        <v>3</v>
      </c>
      <c r="I107" s="31">
        <f t="array" ref="I107">INDEX(М[Цена за ед., руб],MATCH(1,IF(($B107=М[Наим.])*($C107=М[Артикул,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  <c r="J107" s="31">
        <f>ROUND(H107*I107,2)</f>
        <v>0</v>
      </c>
      <c r="K107" s="25"/>
      <c r="L107" s="25">
        <f t="array" ref="L107">INDEX(М[Форма закупа],MATCH(1,IF(($B107=М[Наим.])*($C107=М[Артикул, марка, произв.])*($D107=М[Хар-ка])*($K107=М[Прим.]),{1},($B107=М[Наим.])*($C107=М[Артикул, марка, произв.])*($D107=М[Хар-ка])*($K107=М[Прим.])),0))</f>
        <v>0</v>
      </c>
    </row>
    <row r="108" spans="1:12" outlineLevel="4" x14ac:dyDescent="0.2">
      <c r="A108" s="20"/>
      <c r="B108" s="14" t="s">
        <v>19</v>
      </c>
      <c r="C108" s="21"/>
      <c r="D108" s="21"/>
      <c r="E108" s="21"/>
      <c r="F108" s="21"/>
      <c r="G108" s="21"/>
      <c r="H108" s="21"/>
      <c r="I108" s="59"/>
      <c r="J108" s="60">
        <f>SUM($J$109)</f>
        <v>0</v>
      </c>
      <c r="K108" s="18"/>
      <c r="L108" s="22"/>
    </row>
    <row r="109" spans="1:12" outlineLevel="4" x14ac:dyDescent="0.2">
      <c r="A109" s="23"/>
      <c r="B109" s="24" t="s">
        <v>53</v>
      </c>
      <c r="C109" s="25"/>
      <c r="D109" s="25"/>
      <c r="E109" s="26" t="s">
        <v>46</v>
      </c>
      <c r="F109" s="27"/>
      <c r="G109" s="31">
        <f>SUM(G111:G116)</f>
        <v>5838.39</v>
      </c>
      <c r="H109" s="31">
        <f>SUM($G$109:$G$109)</f>
        <v>5838.39</v>
      </c>
      <c r="I109" s="31">
        <f t="array" ref="I109">INDEX(Р[Цена за ед., руб],MATCH(1,IF(($B109=Р[Наименование])*($K109=Р[Примечание]),{1},($B109=Р[Наименование])*($K109=Р[Примечание])),0))</f>
        <v>0</v>
      </c>
      <c r="J109" s="31">
        <f>ROUND($H$109*$I$109,2)</f>
        <v>0</v>
      </c>
      <c r="K109" s="25"/>
      <c r="L109" s="25"/>
    </row>
    <row r="110" spans="1:12" outlineLevel="4" x14ac:dyDescent="0.2">
      <c r="A110" s="20"/>
      <c r="B110" s="14" t="s">
        <v>23</v>
      </c>
      <c r="C110" s="21"/>
      <c r="D110" s="21"/>
      <c r="E110" s="21"/>
      <c r="F110" s="21"/>
      <c r="G110" s="21"/>
      <c r="H110" s="21"/>
      <c r="I110" s="59"/>
      <c r="J110" s="60">
        <f>SUM($J$111:$J$116)</f>
        <v>0</v>
      </c>
      <c r="K110" s="18"/>
      <c r="L110" s="22"/>
    </row>
    <row r="111" spans="1:12" ht="22.5" outlineLevel="4" x14ac:dyDescent="0.2">
      <c r="A111" s="80">
        <v>1</v>
      </c>
      <c r="B111" s="24" t="s">
        <v>54</v>
      </c>
      <c r="C111" s="25"/>
      <c r="D111" s="25" t="s">
        <v>73</v>
      </c>
      <c r="E111" s="26" t="s">
        <v>46</v>
      </c>
      <c r="F111" s="27"/>
      <c r="G111" s="31">
        <v>1855.35</v>
      </c>
      <c r="H111" s="31">
        <f>SUM($G$111:$G$111)</f>
        <v>1855.35</v>
      </c>
      <c r="I111" s="31">
        <f t="array" ref="I111">INDEX(М[Цена за ед., руб],MATCH(1,IF(($B111=М[Наим.])*($C111=М[Артикул,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  <c r="J111" s="31">
        <f>ROUND($H$111*$I$111,2)</f>
        <v>0</v>
      </c>
      <c r="K111" s="25"/>
      <c r="L111" s="25">
        <f t="array" ref="L111">INDEX(М[Форма закупа],MATCH(1,IF(($B111=М[Наим.])*($C111=М[Артикул, марка, произв.])*($D111=М[Хар-ка])*($K111=М[Прим.]),{1},($B111=М[Наим.])*($C111=М[Артикул, марка, произв.])*($D111=М[Хар-ка])*($K111=М[Прим.])),0))</f>
        <v>0</v>
      </c>
    </row>
    <row r="112" spans="1:12" ht="22.5" outlineLevel="4" x14ac:dyDescent="0.2">
      <c r="A112" s="80">
        <v>2</v>
      </c>
      <c r="B112" s="24" t="s">
        <v>54</v>
      </c>
      <c r="C112" s="25"/>
      <c r="D112" s="25" t="s">
        <v>55</v>
      </c>
      <c r="E112" s="26" t="s">
        <v>46</v>
      </c>
      <c r="F112" s="27"/>
      <c r="G112" s="31">
        <v>32</v>
      </c>
      <c r="H112" s="28">
        <f t="shared" ref="H112" si="7">SUM(G112)</f>
        <v>32</v>
      </c>
      <c r="I112" s="31">
        <f t="array" ref="I112">INDEX(М[Цена за ед., руб],MATCH(1,IF(($B112=М[Наим.])*($C112=М[Артикул,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  <c r="J112" s="31">
        <f>ROUND(H112*I112,2)</f>
        <v>0</v>
      </c>
      <c r="K112" s="25"/>
      <c r="L112" s="25">
        <f t="array" ref="L112">INDEX(М[Форма закупа],MATCH(1,IF(($B112=М[Наим.])*($C112=М[Артикул, марка, произв.])*($D112=М[Хар-ка])*($K112=М[Прим.]),{1},($B112=М[Наим.])*($C112=М[Артикул, марка, произв.])*($D112=М[Хар-ка])*($K112=М[Прим.])),0))</f>
        <v>0</v>
      </c>
    </row>
    <row r="113" spans="1:12" ht="22.5" outlineLevel="4" x14ac:dyDescent="0.2">
      <c r="A113" s="80">
        <v>3</v>
      </c>
      <c r="B113" s="24" t="s">
        <v>54</v>
      </c>
      <c r="C113" s="25"/>
      <c r="D113" s="25" t="s">
        <v>74</v>
      </c>
      <c r="E113" s="26" t="s">
        <v>46</v>
      </c>
      <c r="F113" s="27"/>
      <c r="G113" s="32">
        <f>216.3+36</f>
        <v>252.3</v>
      </c>
      <c r="H113" s="32">
        <f>SUM($G$113:$G$113)</f>
        <v>252.3</v>
      </c>
      <c r="I113" s="31">
        <f t="array" ref="I113">INDEX(М[Цена за ед., руб],MATCH(1,IF(($B113=М[Наим.])*($C113=М[Артикул,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  <c r="J113" s="31">
        <f>ROUND($H$113*$I$113,2)</f>
        <v>0</v>
      </c>
      <c r="K113" s="25"/>
      <c r="L113" s="25">
        <f t="array" ref="L113">INDEX(М[Форма закупа],MATCH(1,IF(($B113=М[Наим.])*($C113=М[Артикул, марка, произв.])*($D113=М[Хар-ка])*($K113=М[Прим.]),{1},($B113=М[Наим.])*($C113=М[Артикул, марка, произв.])*($D113=М[Хар-ка])*($K113=М[Прим.])),0))</f>
        <v>0</v>
      </c>
    </row>
    <row r="114" spans="1:12" ht="22.5" outlineLevel="4" x14ac:dyDescent="0.2">
      <c r="A114" s="80">
        <v>4</v>
      </c>
      <c r="B114" s="24" t="s">
        <v>54</v>
      </c>
      <c r="C114" s="25"/>
      <c r="D114" s="25" t="s">
        <v>56</v>
      </c>
      <c r="E114" s="26" t="s">
        <v>46</v>
      </c>
      <c r="F114" s="27"/>
      <c r="G114" s="29">
        <v>415.38</v>
      </c>
      <c r="H114" s="29">
        <f>SUM($G$114:$G$114)</f>
        <v>415.38</v>
      </c>
      <c r="I114" s="31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31">
        <f>ROUND($H$114*$I$114,2)</f>
        <v>0</v>
      </c>
      <c r="K114" s="25"/>
      <c r="L114" s="25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22.5" outlineLevel="4" x14ac:dyDescent="0.2">
      <c r="A115" s="80">
        <v>5</v>
      </c>
      <c r="B115" s="24" t="s">
        <v>54</v>
      </c>
      <c r="C115" s="25"/>
      <c r="D115" s="25" t="s">
        <v>76</v>
      </c>
      <c r="E115" s="26" t="s">
        <v>46</v>
      </c>
      <c r="F115" s="27"/>
      <c r="G115" s="28">
        <f>8+21</f>
        <v>29</v>
      </c>
      <c r="H115" s="28">
        <f>SUM($G$115:$G$115)</f>
        <v>29</v>
      </c>
      <c r="I115" s="31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31">
        <f>ROUND($H$115*$I$115,2)</f>
        <v>0</v>
      </c>
      <c r="K115" s="25"/>
      <c r="L115" s="25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ht="22.5" outlineLevel="4" x14ac:dyDescent="0.2">
      <c r="A116" s="80">
        <v>6</v>
      </c>
      <c r="B116" s="24" t="s">
        <v>54</v>
      </c>
      <c r="C116" s="25"/>
      <c r="D116" s="25" t="s">
        <v>57</v>
      </c>
      <c r="E116" s="26" t="s">
        <v>46</v>
      </c>
      <c r="F116" s="27"/>
      <c r="G116" s="31">
        <f>3178.36+76</f>
        <v>3254.36</v>
      </c>
      <c r="H116" s="31">
        <f>SUM($G$116:$G$116)</f>
        <v>3254.36</v>
      </c>
      <c r="I116" s="31">
        <f t="array" ref="I116">INDEX(М[Цена за ед., руб],MATCH(1,IF(($B116=М[Наим.])*($C116=М[Артикул,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  <c r="J116" s="31">
        <f>ROUND($H$116*$I$116,2)</f>
        <v>0</v>
      </c>
      <c r="K116" s="25"/>
      <c r="L116" s="25">
        <f t="array" ref="L116">INDEX(М[Форма закупа],MATCH(1,IF(($B116=М[Наим.])*($C116=М[Артикул, марка, произв.])*($D116=М[Хар-ка])*($K116=М[Прим.]),{1},($B116=М[Наим.])*($C116=М[Артикул, марка, произв.])*($D116=М[Хар-ка])*($K116=М[Прим.])),0))</f>
        <v>0</v>
      </c>
    </row>
    <row r="117" spans="1:12" outlineLevel="4" x14ac:dyDescent="0.2">
      <c r="A117" s="62"/>
      <c r="B117" s="63" t="s">
        <v>23</v>
      </c>
      <c r="C117" s="21"/>
      <c r="D117" s="21"/>
      <c r="E117" s="21"/>
      <c r="F117" s="21"/>
      <c r="G117" s="21"/>
      <c r="H117" s="21"/>
      <c r="I117" s="59"/>
      <c r="J117" s="60">
        <f>SUM(J118:J119)</f>
        <v>0</v>
      </c>
      <c r="K117" s="18"/>
      <c r="L117" s="22"/>
    </row>
    <row r="118" spans="1:12" ht="22.5" outlineLevel="4" x14ac:dyDescent="0.2">
      <c r="A118" s="81" t="s">
        <v>24</v>
      </c>
      <c r="B118" s="64" t="s">
        <v>130</v>
      </c>
      <c r="C118" s="70"/>
      <c r="D118" s="70"/>
      <c r="E118" s="65" t="s">
        <v>58</v>
      </c>
      <c r="F118" s="71"/>
      <c r="G118" s="71"/>
      <c r="H118" s="66">
        <f>Материалы!E38</f>
        <v>0</v>
      </c>
      <c r="I118" s="72"/>
      <c r="J118" s="72">
        <f>ROUND(SUM(J41:J43,J106:J107,J111:J116)*H118%,3)</f>
        <v>0</v>
      </c>
      <c r="K118" s="70" t="s">
        <v>132</v>
      </c>
      <c r="L118" s="70">
        <f t="array" ref="L118">INDEX(М[Форма закупа],MATCH(1,IF(($B118=М[Наим.])*($C118=М[Артикул, марка, произв.])*($D118=М[Хар-ка])*($K118=М[Прим.]),{1},($B118=М[Наим.])*($C118=М[Артикул, марка, произв.])*($D118=М[Хар-ка])*($K118=М[Прим.])),0))</f>
        <v>0</v>
      </c>
    </row>
    <row r="119" spans="1:12" ht="22.5" outlineLevel="4" x14ac:dyDescent="0.2">
      <c r="A119" s="81">
        <v>2</v>
      </c>
      <c r="B119" s="64" t="s">
        <v>129</v>
      </c>
      <c r="C119" s="70"/>
      <c r="D119" s="70"/>
      <c r="E119" s="65" t="s">
        <v>58</v>
      </c>
      <c r="F119" s="71"/>
      <c r="G119" s="71"/>
      <c r="H119" s="66">
        <f>Материалы!E39</f>
        <v>0</v>
      </c>
      <c r="I119" s="72"/>
      <c r="J119" s="72">
        <f>ROUND(SUM(J17:J19,J23,J27:J28,J32:J33,J37,J41:J43,J51:J54,J58,J62:J63,J67,J71,J75:J76,J80:J81,J85,J89:J90,J94,J98,J102,J106:J107,J111:J116)*H119%,3)</f>
        <v>0</v>
      </c>
      <c r="K119" s="70" t="s">
        <v>132</v>
      </c>
      <c r="L119" s="70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outlineLevel="2" x14ac:dyDescent="0.2">
      <c r="A120" s="13" t="s">
        <v>77</v>
      </c>
      <c r="B120" s="14" t="s">
        <v>78</v>
      </c>
      <c r="C120" s="15"/>
      <c r="D120" s="15"/>
      <c r="E120" s="16"/>
      <c r="F120" s="17"/>
      <c r="G120" s="18"/>
      <c r="H120" s="18"/>
      <c r="I120" s="58"/>
      <c r="J120" s="58">
        <f>SUM($J$121)</f>
        <v>0</v>
      </c>
      <c r="K120" s="19"/>
      <c r="L120" s="19"/>
    </row>
    <row r="121" spans="1:12" outlineLevel="3" x14ac:dyDescent="0.2">
      <c r="A121" s="13" t="s">
        <v>79</v>
      </c>
      <c r="B121" s="14" t="s">
        <v>78</v>
      </c>
      <c r="C121" s="15"/>
      <c r="D121" s="15"/>
      <c r="E121" s="16"/>
      <c r="F121" s="17"/>
      <c r="G121" s="18"/>
      <c r="H121" s="18"/>
      <c r="I121" s="58"/>
      <c r="J121" s="58">
        <f>SUM($J$122)</f>
        <v>0</v>
      </c>
      <c r="K121" s="19"/>
      <c r="L121" s="19"/>
    </row>
    <row r="122" spans="1:12" outlineLevel="4" x14ac:dyDescent="0.2">
      <c r="A122" s="20"/>
      <c r="B122" s="14" t="s">
        <v>19</v>
      </c>
      <c r="C122" s="21"/>
      <c r="D122" s="21"/>
      <c r="E122" s="21"/>
      <c r="F122" s="21"/>
      <c r="G122" s="21"/>
      <c r="H122" s="21"/>
      <c r="I122" s="59"/>
      <c r="J122" s="60">
        <f>SUM($J$123)</f>
        <v>0</v>
      </c>
      <c r="K122" s="18"/>
      <c r="L122" s="22"/>
    </row>
    <row r="123" spans="1:12" ht="33.75" outlineLevel="4" x14ac:dyDescent="0.2">
      <c r="A123" s="23"/>
      <c r="B123" s="24" t="s">
        <v>80</v>
      </c>
      <c r="C123" s="25"/>
      <c r="D123" s="25"/>
      <c r="E123" s="26" t="s">
        <v>81</v>
      </c>
      <c r="F123" s="27"/>
      <c r="G123" s="28">
        <v>1</v>
      </c>
      <c r="H123" s="28">
        <f>SUM($G$123:$G$123)</f>
        <v>1</v>
      </c>
      <c r="I123" s="31">
        <f t="array" ref="I123">INDEX(Р[Цена за ед., руб],MATCH(1,IF(($B123=Р[Наименование])*($K123=Р[Примечание]),{1},($B123=Р[Наименование])*($K123=Р[Примечание])),0))</f>
        <v>0</v>
      </c>
      <c r="J123" s="31">
        <f>ROUND($H$123*$I$123,2)</f>
        <v>0</v>
      </c>
      <c r="K123" s="25"/>
      <c r="L123" s="25"/>
    </row>
    <row r="124" spans="1:12" x14ac:dyDescent="0.2">
      <c r="A124" s="33"/>
      <c r="B124" s="91" t="s">
        <v>82</v>
      </c>
      <c r="C124" s="92"/>
      <c r="D124" s="92"/>
      <c r="E124" s="92"/>
      <c r="F124" s="92"/>
      <c r="G124" s="92"/>
      <c r="H124" s="92"/>
      <c r="I124" s="93"/>
      <c r="J124" s="61">
        <f>$J$9</f>
        <v>0</v>
      </c>
      <c r="K124" s="34"/>
      <c r="L124" s="34"/>
    </row>
    <row r="125" spans="1:12" x14ac:dyDescent="0.2">
      <c r="A125" s="33"/>
      <c r="B125" s="94" t="s">
        <v>83</v>
      </c>
      <c r="C125" s="95"/>
      <c r="D125" s="95"/>
      <c r="E125" s="95"/>
      <c r="F125" s="95"/>
      <c r="G125" s="95"/>
      <c r="H125" s="95"/>
      <c r="I125" s="96"/>
      <c r="J125" s="61">
        <f>SUM($J$122,$J$108,$J$99,$J$95,$J$91,$J$72,$J$48,$J$46,$J$38,$J$34,$J$29,$J$24,$J$20,$J$14,$J$12,J55,J59,J64,J68,J77,J82,J86,J103)</f>
        <v>0</v>
      </c>
      <c r="K125" s="34"/>
      <c r="L125" s="34"/>
    </row>
    <row r="126" spans="1:12" x14ac:dyDescent="0.2">
      <c r="A126" s="33"/>
      <c r="B126" s="94" t="s">
        <v>84</v>
      </c>
      <c r="C126" s="95"/>
      <c r="D126" s="95"/>
      <c r="E126" s="95"/>
      <c r="F126" s="95"/>
      <c r="G126" s="95"/>
      <c r="H126" s="95"/>
      <c r="I126" s="96"/>
      <c r="J126" s="61">
        <f>SUM($J$110,$J$101,$J$97,$J$93,$J$74,$J$50,$J$40,$J$36,$J$31,$J$26,$J$22,$J$16,J57,J61,J66,J70,J79,J84,J88,J105,J117)</f>
        <v>0</v>
      </c>
      <c r="K126" s="34"/>
      <c r="L126" s="34"/>
    </row>
    <row r="127" spans="1:12" x14ac:dyDescent="0.2">
      <c r="A127" s="33"/>
      <c r="B127" s="97" t="s">
        <v>133</v>
      </c>
      <c r="C127" s="98"/>
      <c r="D127" s="98"/>
      <c r="E127" s="98"/>
      <c r="F127" s="98"/>
      <c r="G127" s="98"/>
      <c r="H127" s="98"/>
      <c r="I127" s="99"/>
      <c r="J127" s="73"/>
      <c r="K127" s="74" t="s">
        <v>134</v>
      </c>
      <c r="L127" s="34"/>
    </row>
    <row r="128" spans="1:12" x14ac:dyDescent="0.2">
      <c r="A128" s="35"/>
      <c r="B128" s="83" t="s">
        <v>85</v>
      </c>
      <c r="C128" s="83"/>
      <c r="D128" s="83"/>
      <c r="E128" s="83"/>
      <c r="F128" s="83"/>
      <c r="G128" s="83"/>
      <c r="H128" s="83"/>
      <c r="I128" s="84"/>
      <c r="J128" s="84"/>
      <c r="K128" s="83"/>
      <c r="L128" s="35"/>
    </row>
    <row r="129" spans="1:19" x14ac:dyDescent="0.2">
      <c r="B129" s="85"/>
      <c r="C129" s="85"/>
      <c r="D129" s="85"/>
      <c r="E129" s="85"/>
      <c r="F129" s="85"/>
      <c r="G129" s="85"/>
      <c r="H129" s="85"/>
      <c r="I129" s="86"/>
      <c r="J129" s="86"/>
      <c r="K129" s="85"/>
    </row>
    <row r="130" spans="1:19" ht="46.5" customHeight="1" x14ac:dyDescent="0.25">
      <c r="A130" s="75"/>
      <c r="B130" s="76" t="s">
        <v>135</v>
      </c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8"/>
      <c r="O130" s="79"/>
    </row>
    <row r="131" spans="1:19" ht="15.75" x14ac:dyDescent="0.2">
      <c r="A131" s="75"/>
      <c r="B131" s="110" t="s">
        <v>136</v>
      </c>
      <c r="C131" s="110"/>
      <c r="D131" s="110"/>
      <c r="E131" s="110"/>
      <c r="F131" s="110"/>
      <c r="G131" s="110"/>
      <c r="H131" s="110"/>
      <c r="I131" s="110"/>
      <c r="J131" s="110"/>
      <c r="K131" s="110"/>
      <c r="L131" s="110"/>
      <c r="M131" s="110"/>
      <c r="N131" s="110"/>
      <c r="O131" s="110"/>
    </row>
    <row r="132" spans="1:19" ht="15.75" x14ac:dyDescent="0.2">
      <c r="A132" s="75"/>
      <c r="B132" s="110" t="s">
        <v>137</v>
      </c>
      <c r="C132" s="110"/>
      <c r="D132" s="110"/>
      <c r="E132" s="110"/>
      <c r="F132" s="110"/>
      <c r="G132" s="110"/>
      <c r="H132" s="110"/>
      <c r="I132" s="110"/>
      <c r="J132" s="110"/>
      <c r="K132" s="110"/>
      <c r="L132" s="110"/>
      <c r="M132" s="110"/>
      <c r="N132" s="110"/>
      <c r="O132" s="110"/>
    </row>
    <row r="133" spans="1:19" ht="46.5" customHeight="1" x14ac:dyDescent="0.2">
      <c r="A133" s="75"/>
      <c r="B133" s="111" t="s">
        <v>138</v>
      </c>
      <c r="C133" s="111"/>
      <c r="D133" s="111"/>
      <c r="E133" s="111"/>
      <c r="F133" s="111"/>
      <c r="G133" s="111"/>
      <c r="H133" s="111"/>
      <c r="I133" s="111"/>
      <c r="J133" s="111"/>
      <c r="K133" s="111"/>
      <c r="L133" s="111"/>
      <c r="M133" s="111"/>
      <c r="N133" s="111"/>
      <c r="O133" s="111"/>
    </row>
    <row r="134" spans="1:19" ht="46.5" customHeight="1" x14ac:dyDescent="0.2">
      <c r="A134" s="75"/>
      <c r="B134" s="112" t="s">
        <v>139</v>
      </c>
      <c r="C134" s="112"/>
      <c r="D134" s="112"/>
      <c r="E134" s="112"/>
      <c r="F134" s="112"/>
      <c r="G134" s="112"/>
      <c r="H134" s="112"/>
      <c r="I134" s="112"/>
      <c r="J134" s="112"/>
      <c r="K134" s="112"/>
      <c r="L134" s="112"/>
      <c r="M134" s="112"/>
      <c r="N134" s="112"/>
      <c r="O134" s="112"/>
    </row>
    <row r="135" spans="1:19" ht="15.75" x14ac:dyDescent="0.2">
      <c r="A135" s="75"/>
      <c r="B135" s="113" t="s">
        <v>140</v>
      </c>
      <c r="C135" s="113"/>
      <c r="D135" s="113"/>
      <c r="E135" s="113"/>
      <c r="F135" s="113"/>
      <c r="G135" s="113"/>
      <c r="H135" s="113"/>
      <c r="I135" s="113"/>
      <c r="J135" s="113"/>
      <c r="K135" s="113"/>
      <c r="L135" s="113"/>
      <c r="M135" s="113"/>
      <c r="N135" s="113"/>
      <c r="O135" s="113"/>
    </row>
    <row r="136" spans="1:19" ht="15.75" x14ac:dyDescent="0.2">
      <c r="B136" s="108" t="s">
        <v>141</v>
      </c>
      <c r="C136" s="108"/>
      <c r="D136" s="108"/>
      <c r="E136" s="108"/>
      <c r="F136" s="108"/>
      <c r="G136" s="108"/>
      <c r="H136" s="108"/>
      <c r="I136" s="108"/>
      <c r="J136" s="108"/>
      <c r="K136" s="108"/>
      <c r="L136" s="108"/>
      <c r="M136" s="108"/>
      <c r="N136" s="108"/>
      <c r="O136" s="108"/>
      <c r="P136" s="75"/>
      <c r="Q136" s="75"/>
      <c r="R136" s="75"/>
      <c r="S136" s="75"/>
    </row>
    <row r="137" spans="1:19" ht="46.5" customHeight="1" x14ac:dyDescent="0.2">
      <c r="B137" s="109" t="s">
        <v>142</v>
      </c>
      <c r="C137" s="109"/>
      <c r="D137" s="109"/>
      <c r="E137" s="109"/>
      <c r="F137" s="109"/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109"/>
      <c r="R137" s="109"/>
      <c r="S137" s="109"/>
    </row>
  </sheetData>
  <autoFilter ref="A7:L128" xr:uid="{00000000-0001-0000-0000-000000000000}"/>
  <mergeCells count="28">
    <mergeCell ref="B136:O136"/>
    <mergeCell ref="B137:S137"/>
    <mergeCell ref="B131:O131"/>
    <mergeCell ref="B132:O132"/>
    <mergeCell ref="B133:O133"/>
    <mergeCell ref="B134:O134"/>
    <mergeCell ref="B135:O135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28:K128"/>
    <mergeCell ref="B129:K129"/>
    <mergeCell ref="K6:K7"/>
    <mergeCell ref="L6:L7"/>
    <mergeCell ref="B124:I124"/>
    <mergeCell ref="B125:I125"/>
    <mergeCell ref="B126:I126"/>
    <mergeCell ref="B127:I127"/>
  </mergeCells>
  <phoneticPr fontId="7" type="noConversion"/>
  <pageMargins left="0.39370078740157483" right="0.39370078740157483" top="0.39370078740157483" bottom="0.39370078740157483" header="0" footer="0"/>
  <pageSetup paperSize="9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R34"/>
  <sheetViews>
    <sheetView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D4" sqref="D4:D23"/>
    </sheetView>
  </sheetViews>
  <sheetFormatPr defaultColWidth="10.5" defaultRowHeight="11.25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x14ac:dyDescent="0.2">
      <c r="A1" s="114" t="s">
        <v>86</v>
      </c>
      <c r="B1" s="114"/>
      <c r="C1" s="114"/>
      <c r="D1" s="114"/>
      <c r="E1" s="114"/>
      <c r="F1" s="114"/>
    </row>
    <row r="3" spans="1:6" x14ac:dyDescent="0.2">
      <c r="A3" s="45" t="s">
        <v>2</v>
      </c>
      <c r="B3" s="2" t="s">
        <v>5</v>
      </c>
      <c r="C3" s="2" t="s">
        <v>7</v>
      </c>
      <c r="D3" s="52" t="s">
        <v>8</v>
      </c>
      <c r="E3" s="52" t="s">
        <v>9</v>
      </c>
      <c r="F3" s="46" t="s">
        <v>10</v>
      </c>
    </row>
    <row r="4" spans="1:6" x14ac:dyDescent="0.2">
      <c r="A4" s="43" t="s">
        <v>20</v>
      </c>
      <c r="B4" s="36" t="s">
        <v>21</v>
      </c>
      <c r="C4" s="37">
        <v>26</v>
      </c>
      <c r="D4" s="40"/>
      <c r="E4" s="40">
        <f>ROUND(Р[[#This Row],[Количество]]*Р[[#This Row],[Цена за ед., руб]],2)</f>
        <v>0</v>
      </c>
      <c r="F4" s="44"/>
    </row>
    <row r="5" spans="1:6" x14ac:dyDescent="0.2">
      <c r="A5" s="43" t="s">
        <v>22</v>
      </c>
      <c r="B5" s="36" t="s">
        <v>21</v>
      </c>
      <c r="C5" s="37">
        <v>62</v>
      </c>
      <c r="D5" s="40"/>
      <c r="E5" s="40">
        <f>ROUND(Р[[#This Row],[Количество]]*Р[[#This Row],[Цена за ед., руб]],2)</f>
        <v>0</v>
      </c>
      <c r="F5" s="44"/>
    </row>
    <row r="6" spans="1:6" x14ac:dyDescent="0.2">
      <c r="A6" s="43" t="s">
        <v>34</v>
      </c>
      <c r="B6" s="36" t="s">
        <v>21</v>
      </c>
      <c r="C6" s="37">
        <v>63</v>
      </c>
      <c r="D6" s="40"/>
      <c r="E6" s="40">
        <f>ROUND(Р[[#This Row],[Количество]]*Р[[#This Row],[Цена за ед., руб]],2)</f>
        <v>0</v>
      </c>
      <c r="F6" s="44"/>
    </row>
    <row r="7" spans="1:6" x14ac:dyDescent="0.2">
      <c r="A7" s="43" t="s">
        <v>37</v>
      </c>
      <c r="B7" s="36" t="s">
        <v>21</v>
      </c>
      <c r="C7" s="37">
        <v>31</v>
      </c>
      <c r="D7" s="40"/>
      <c r="E7" s="40">
        <f>ROUND(Р[[#This Row],[Количество]]*Р[[#This Row],[Цена за ед., руб]],2)</f>
        <v>0</v>
      </c>
      <c r="F7" s="44"/>
    </row>
    <row r="8" spans="1:6" x14ac:dyDescent="0.2">
      <c r="A8" s="43" t="s">
        <v>42</v>
      </c>
      <c r="B8" s="36" t="s">
        <v>43</v>
      </c>
      <c r="C8" s="37">
        <v>532</v>
      </c>
      <c r="D8" s="40"/>
      <c r="E8" s="40">
        <f>ROUND(Р[[#This Row],[Количество]]*Р[[#This Row],[Цена за ед., руб]],2)</f>
        <v>0</v>
      </c>
      <c r="F8" s="44"/>
    </row>
    <row r="9" spans="1:6" x14ac:dyDescent="0.2">
      <c r="A9" s="43" t="s">
        <v>48</v>
      </c>
      <c r="B9" s="36" t="s">
        <v>49</v>
      </c>
      <c r="C9" s="39">
        <v>697.2</v>
      </c>
      <c r="D9" s="40"/>
      <c r="E9" s="40">
        <f>ROUND(Р[[#This Row],[Количество]]*Р[[#This Row],[Цена за ед., руб]],2)</f>
        <v>0</v>
      </c>
      <c r="F9" s="44"/>
    </row>
    <row r="10" spans="1:6" x14ac:dyDescent="0.2">
      <c r="A10" s="43" t="s">
        <v>53</v>
      </c>
      <c r="B10" s="36" t="s">
        <v>46</v>
      </c>
      <c r="C10" s="40">
        <v>7905.39</v>
      </c>
      <c r="D10" s="40"/>
      <c r="E10" s="40">
        <f>ROUND(Р[[#This Row],[Количество]]*Р[[#This Row],[Цена за ед., руб]],2)</f>
        <v>0</v>
      </c>
      <c r="F10" s="44"/>
    </row>
    <row r="11" spans="1:6" x14ac:dyDescent="0.2">
      <c r="A11" s="43" t="s">
        <v>62</v>
      </c>
      <c r="B11" s="36" t="s">
        <v>21</v>
      </c>
      <c r="C11" s="37">
        <v>10</v>
      </c>
      <c r="D11" s="40"/>
      <c r="E11" s="40">
        <f>ROUND(Р[[#This Row],[Количество]]*Р[[#This Row],[Цена за ед., руб]],2)</f>
        <v>0</v>
      </c>
      <c r="F11" s="44"/>
    </row>
    <row r="12" spans="1:6" x14ac:dyDescent="0.2">
      <c r="A12" s="43" t="s">
        <v>63</v>
      </c>
      <c r="B12" s="36" t="s">
        <v>21</v>
      </c>
      <c r="C12" s="37">
        <v>29</v>
      </c>
      <c r="D12" s="40"/>
      <c r="E12" s="40">
        <f>ROUND(Р[[#This Row],[Количество]]*Р[[#This Row],[Цена за ед., руб]],2)</f>
        <v>0</v>
      </c>
      <c r="F12" s="44"/>
    </row>
    <row r="13" spans="1:6" x14ac:dyDescent="0.2">
      <c r="A13" s="43" t="s">
        <v>66</v>
      </c>
      <c r="B13" s="36" t="s">
        <v>21</v>
      </c>
      <c r="C13" s="41">
        <v>1791</v>
      </c>
      <c r="D13" s="40"/>
      <c r="E13" s="40">
        <f>ROUND(Р[[#This Row],[Количество]]*Р[[#This Row],[Цена за ед., руб]],2)</f>
        <v>0</v>
      </c>
      <c r="F13" s="44"/>
    </row>
    <row r="14" spans="1:6" x14ac:dyDescent="0.2">
      <c r="A14" s="43" t="s">
        <v>70</v>
      </c>
      <c r="B14" s="36" t="s">
        <v>21</v>
      </c>
      <c r="C14" s="37">
        <v>14</v>
      </c>
      <c r="D14" s="40"/>
      <c r="E14" s="40">
        <f>ROUND(Р[[#This Row],[Количество]]*Р[[#This Row],[Цена за ед., руб]],2)</f>
        <v>0</v>
      </c>
      <c r="F14" s="44"/>
    </row>
    <row r="15" spans="1:6" ht="22.5" x14ac:dyDescent="0.2">
      <c r="A15" s="47" t="s">
        <v>80</v>
      </c>
      <c r="B15" s="48" t="s">
        <v>81</v>
      </c>
      <c r="C15" s="49">
        <v>1</v>
      </c>
      <c r="D15" s="40"/>
      <c r="E15" s="53">
        <f>ROUND(Р[[#This Row],[Количество]]*Р[[#This Row],[Цена за ед., руб]],2)</f>
        <v>0</v>
      </c>
      <c r="F15" s="51"/>
    </row>
    <row r="16" spans="1:6" x14ac:dyDescent="0.2">
      <c r="A16" s="43" t="s">
        <v>101</v>
      </c>
      <c r="B16" s="36" t="s">
        <v>21</v>
      </c>
      <c r="C16" s="37">
        <v>2</v>
      </c>
      <c r="D16" s="40"/>
      <c r="E16" s="53">
        <f>ROUND(Р[[#This Row],[Количество]]*Р[[#This Row],[Цена за ед., руб]],2)</f>
        <v>0</v>
      </c>
      <c r="F16" s="51"/>
    </row>
    <row r="17" spans="1:14" x14ac:dyDescent="0.2">
      <c r="A17" s="43" t="s">
        <v>107</v>
      </c>
      <c r="B17" s="36" t="s">
        <v>21</v>
      </c>
      <c r="C17" s="37">
        <v>5</v>
      </c>
      <c r="D17" s="40"/>
      <c r="E17" s="53">
        <f>ROUND(Р[[#This Row],[Количество]]*Р[[#This Row],[Цена за ед., руб]],2)</f>
        <v>0</v>
      </c>
      <c r="F17" s="51"/>
    </row>
    <row r="18" spans="1:14" x14ac:dyDescent="0.2">
      <c r="A18" s="43" t="s">
        <v>113</v>
      </c>
      <c r="B18" s="36" t="s">
        <v>21</v>
      </c>
      <c r="C18" s="37">
        <v>1</v>
      </c>
      <c r="D18" s="40"/>
      <c r="E18" s="53">
        <f>ROUND(Р[[#This Row],[Количество]]*Р[[#This Row],[Цена за ед., руб]],2)</f>
        <v>0</v>
      </c>
      <c r="F18" s="51"/>
    </row>
    <row r="19" spans="1:14" x14ac:dyDescent="0.2">
      <c r="A19" s="43" t="s">
        <v>118</v>
      </c>
      <c r="B19" s="36" t="s">
        <v>21</v>
      </c>
      <c r="C19" s="37">
        <v>3</v>
      </c>
      <c r="D19" s="40"/>
      <c r="E19" s="53">
        <f>ROUND(Р[[#This Row],[Количество]]*Р[[#This Row],[Цена за ед., руб]],2)</f>
        <v>0</v>
      </c>
      <c r="F19" s="51"/>
    </row>
    <row r="20" spans="1:14" x14ac:dyDescent="0.2">
      <c r="A20" s="43" t="s">
        <v>121</v>
      </c>
      <c r="B20" s="36" t="s">
        <v>21</v>
      </c>
      <c r="C20" s="37">
        <v>9</v>
      </c>
      <c r="D20" s="40"/>
      <c r="E20" s="53">
        <f>ROUND(Р[[#This Row],[Количество]]*Р[[#This Row],[Цена за ед., руб]],2)</f>
        <v>0</v>
      </c>
      <c r="F20" s="51"/>
    </row>
    <row r="21" spans="1:14" x14ac:dyDescent="0.2">
      <c r="A21" s="47" t="s">
        <v>104</v>
      </c>
      <c r="B21" s="36" t="s">
        <v>21</v>
      </c>
      <c r="C21" s="37">
        <v>3</v>
      </c>
      <c r="D21" s="40"/>
      <c r="E21" s="53">
        <f>ROUND(Р[[#This Row],[Количество]]*Р[[#This Row],[Цена за ед., руб]],2)</f>
        <v>0</v>
      </c>
      <c r="F21" s="51"/>
    </row>
    <row r="22" spans="1:14" x14ac:dyDescent="0.2">
      <c r="A22" s="47" t="s">
        <v>110</v>
      </c>
      <c r="B22" s="36" t="s">
        <v>21</v>
      </c>
      <c r="C22" s="37">
        <v>2</v>
      </c>
      <c r="D22" s="40"/>
      <c r="E22" s="53">
        <f>ROUND(Р[[#This Row],[Количество]]*Р[[#This Row],[Цена за ед., руб]],2)</f>
        <v>0</v>
      </c>
      <c r="F22" s="51"/>
    </row>
    <row r="23" spans="1:14" x14ac:dyDescent="0.2">
      <c r="A23" s="47" t="s">
        <v>125</v>
      </c>
      <c r="B23" s="36" t="s">
        <v>46</v>
      </c>
      <c r="C23" s="49">
        <v>8</v>
      </c>
      <c r="D23" s="40"/>
      <c r="E23" s="53">
        <f>ROUND(Р[[#This Row],[Количество]]*Р[[#This Row],[Цена за ед., руб]],2)</f>
        <v>0</v>
      </c>
      <c r="F23" s="51"/>
    </row>
    <row r="24" spans="1:14" x14ac:dyDescent="0.2">
      <c r="A24" s="47" t="s">
        <v>97</v>
      </c>
      <c r="B24" s="48"/>
      <c r="C24" s="50"/>
      <c r="D24" s="53"/>
      <c r="E24" s="53">
        <f>SUBTOTAL(109,Р[Сумма, руб])</f>
        <v>0</v>
      </c>
      <c r="F24" s="51"/>
    </row>
    <row r="25" spans="1:14" x14ac:dyDescent="0.2">
      <c r="D25" s="67" t="s">
        <v>131</v>
      </c>
      <c r="E25" s="68">
        <f>ЛСР!J125-Р[[#Totals],[Сумма, руб]]</f>
        <v>0</v>
      </c>
    </row>
    <row r="27" spans="1:14" ht="15.75" x14ac:dyDescent="0.25">
      <c r="A27" s="76" t="s">
        <v>135</v>
      </c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8"/>
      <c r="N27" s="79"/>
    </row>
    <row r="28" spans="1:14" ht="15.75" x14ac:dyDescent="0.2">
      <c r="A28" s="110" t="s">
        <v>136</v>
      </c>
      <c r="B28" s="110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</row>
    <row r="29" spans="1:14" ht="15.75" x14ac:dyDescent="0.2">
      <c r="A29" s="110" t="s">
        <v>137</v>
      </c>
      <c r="B29" s="110"/>
      <c r="C29" s="110"/>
      <c r="D29" s="110"/>
      <c r="E29" s="110"/>
      <c r="F29" s="110"/>
      <c r="G29" s="110"/>
      <c r="H29" s="110"/>
      <c r="I29" s="110"/>
      <c r="J29" s="110"/>
      <c r="K29" s="110"/>
      <c r="L29" s="110"/>
      <c r="M29" s="110"/>
      <c r="N29" s="110"/>
    </row>
    <row r="30" spans="1:14" ht="15.75" x14ac:dyDescent="0.2">
      <c r="A30" s="111" t="s">
        <v>138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11"/>
      <c r="L30" s="111"/>
      <c r="M30" s="111"/>
      <c r="N30" s="111"/>
    </row>
    <row r="31" spans="1:14" ht="15.75" x14ac:dyDescent="0.2">
      <c r="A31" s="112" t="s">
        <v>139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</row>
    <row r="32" spans="1:14" ht="15.75" x14ac:dyDescent="0.2">
      <c r="A32" s="113" t="s">
        <v>140</v>
      </c>
      <c r="B32" s="113"/>
      <c r="C32" s="113"/>
      <c r="D32" s="113"/>
      <c r="E32" s="113"/>
      <c r="F32" s="113"/>
      <c r="G32" s="113"/>
      <c r="H32" s="113"/>
      <c r="I32" s="113"/>
      <c r="J32" s="113"/>
      <c r="K32" s="113"/>
      <c r="L32" s="113"/>
      <c r="M32" s="113"/>
      <c r="N32" s="113"/>
    </row>
    <row r="33" spans="1:18" ht="15.75" x14ac:dyDescent="0.2">
      <c r="A33" s="108" t="s">
        <v>141</v>
      </c>
      <c r="B33" s="108"/>
      <c r="C33" s="108"/>
      <c r="D33" s="108"/>
      <c r="E33" s="108"/>
      <c r="F33" s="108"/>
      <c r="G33" s="108"/>
      <c r="H33" s="108"/>
      <c r="I33" s="108"/>
      <c r="J33" s="108"/>
      <c r="K33" s="108"/>
      <c r="L33" s="108"/>
      <c r="M33" s="108"/>
      <c r="N33" s="108"/>
      <c r="O33" s="75"/>
      <c r="P33" s="75"/>
      <c r="Q33" s="75"/>
      <c r="R33" s="75"/>
    </row>
    <row r="34" spans="1:18" ht="15.75" x14ac:dyDescent="0.2">
      <c r="A34" s="109" t="s">
        <v>142</v>
      </c>
      <c r="B34" s="109"/>
      <c r="C34" s="109"/>
      <c r="D34" s="109"/>
      <c r="E34" s="109"/>
      <c r="F34" s="109"/>
      <c r="G34" s="109"/>
      <c r="H34" s="109"/>
      <c r="I34" s="109"/>
      <c r="J34" s="109"/>
      <c r="K34" s="109"/>
      <c r="L34" s="109"/>
      <c r="M34" s="109"/>
      <c r="N34" s="109"/>
      <c r="O34" s="109"/>
      <c r="P34" s="109"/>
      <c r="Q34" s="109"/>
      <c r="R34" s="109"/>
    </row>
  </sheetData>
  <mergeCells count="8">
    <mergeCell ref="A32:N32"/>
    <mergeCell ref="A33:N33"/>
    <mergeCell ref="A34:R34"/>
    <mergeCell ref="A1:F1"/>
    <mergeCell ref="A28:N28"/>
    <mergeCell ref="A29:N29"/>
    <mergeCell ref="A30:N30"/>
    <mergeCell ref="A31:N3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R50"/>
  <sheetViews>
    <sheetView workbookViewId="0">
      <pane xSplit="5" ySplit="3" topLeftCell="F10" activePane="bottomRight" state="frozen"/>
      <selection pane="topRight" activeCell="F1" sqref="F1"/>
      <selection pane="bottomLeft" activeCell="A4" sqref="A4"/>
      <selection pane="bottomRight" activeCell="F37" sqref="F37"/>
    </sheetView>
  </sheetViews>
  <sheetFormatPr defaultColWidth="10.5" defaultRowHeight="11.25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x14ac:dyDescent="0.2">
      <c r="A1" s="114" t="s">
        <v>87</v>
      </c>
      <c r="B1" s="114"/>
      <c r="C1" s="114"/>
      <c r="D1" s="114"/>
      <c r="E1" s="114"/>
      <c r="F1" s="114"/>
      <c r="G1" s="114"/>
      <c r="H1" s="114"/>
    </row>
    <row r="3" spans="1:9" x14ac:dyDescent="0.2">
      <c r="A3" s="45" t="s">
        <v>88</v>
      </c>
      <c r="B3" s="54" t="s">
        <v>89</v>
      </c>
      <c r="C3" s="46" t="s">
        <v>90</v>
      </c>
      <c r="D3" s="2" t="s">
        <v>5</v>
      </c>
      <c r="E3" s="2" t="s">
        <v>7</v>
      </c>
      <c r="F3" s="52" t="s">
        <v>8</v>
      </c>
      <c r="G3" s="52" t="s">
        <v>9</v>
      </c>
      <c r="H3" s="2" t="s">
        <v>91</v>
      </c>
      <c r="I3" s="46" t="s">
        <v>92</v>
      </c>
    </row>
    <row r="4" spans="1:9" x14ac:dyDescent="0.2">
      <c r="A4" s="43" t="s">
        <v>71</v>
      </c>
      <c r="B4" s="38"/>
      <c r="C4" s="38" t="s">
        <v>72</v>
      </c>
      <c r="D4" s="36" t="s">
        <v>21</v>
      </c>
      <c r="E4" s="37">
        <v>14</v>
      </c>
      <c r="F4" s="40"/>
      <c r="G4" s="40">
        <f>ROUND(М[[#This Row],[Количество]]*М[[#This Row],[Цена за ед., руб]],2)</f>
        <v>0</v>
      </c>
      <c r="H4" s="38"/>
      <c r="I4" s="44"/>
    </row>
    <row r="5" spans="1:9" ht="33.75" x14ac:dyDescent="0.2">
      <c r="A5" s="43" t="s">
        <v>64</v>
      </c>
      <c r="B5" s="38"/>
      <c r="C5" s="38" t="s">
        <v>65</v>
      </c>
      <c r="D5" s="36" t="s">
        <v>21</v>
      </c>
      <c r="E5" s="37">
        <v>3</v>
      </c>
      <c r="F5" s="40"/>
      <c r="G5" s="40">
        <f>ROUND(М[[#This Row],[Количество]]*М[[#This Row],[Цена за ед., руб]],2)</f>
        <v>0</v>
      </c>
      <c r="H5" s="38"/>
      <c r="I5" s="44"/>
    </row>
    <row r="6" spans="1:9" ht="33.75" x14ac:dyDescent="0.2">
      <c r="A6" s="47" t="s">
        <v>64</v>
      </c>
      <c r="B6" s="55"/>
      <c r="C6" s="55" t="s">
        <v>98</v>
      </c>
      <c r="D6" s="36" t="s">
        <v>21</v>
      </c>
      <c r="E6" s="37">
        <v>14</v>
      </c>
      <c r="F6" s="40"/>
      <c r="G6" s="40">
        <f>ROUND(М[[#This Row],[Количество]]*М[[#This Row],[Цена за ед., руб]],2)</f>
        <v>0</v>
      </c>
      <c r="H6" s="38"/>
      <c r="I6" s="44"/>
    </row>
    <row r="7" spans="1:9" ht="22.5" x14ac:dyDescent="0.2">
      <c r="A7" s="47" t="s">
        <v>64</v>
      </c>
      <c r="B7" s="55"/>
      <c r="C7" s="55" t="s">
        <v>99</v>
      </c>
      <c r="D7" s="36" t="s">
        <v>21</v>
      </c>
      <c r="E7" s="37">
        <v>8</v>
      </c>
      <c r="F7" s="40"/>
      <c r="G7" s="40">
        <f>ROUND(М[[#This Row],[Количество]]*М[[#This Row],[Цена за ед., руб]],2)</f>
        <v>0</v>
      </c>
      <c r="H7" s="38"/>
      <c r="I7" s="44"/>
    </row>
    <row r="8" spans="1:9" ht="33.75" x14ac:dyDescent="0.2">
      <c r="A8" s="47" t="s">
        <v>64</v>
      </c>
      <c r="B8" s="55"/>
      <c r="C8" s="55" t="s">
        <v>100</v>
      </c>
      <c r="D8" s="36" t="s">
        <v>21</v>
      </c>
      <c r="E8" s="37">
        <v>4</v>
      </c>
      <c r="F8" s="40"/>
      <c r="G8" s="40">
        <f>ROUND(М[[#This Row],[Количество]]*М[[#This Row],[Цена за ед., руб]],2)</f>
        <v>0</v>
      </c>
      <c r="H8" s="38"/>
      <c r="I8" s="44"/>
    </row>
    <row r="9" spans="1:9" x14ac:dyDescent="0.2">
      <c r="A9" s="43" t="s">
        <v>54</v>
      </c>
      <c r="B9" s="38"/>
      <c r="C9" s="38" t="s">
        <v>73</v>
      </c>
      <c r="D9" s="36" t="s">
        <v>46</v>
      </c>
      <c r="E9" s="40">
        <v>1855.35</v>
      </c>
      <c r="F9" s="40"/>
      <c r="G9" s="40">
        <f>ROUND(М[[#This Row],[Количество]]*М[[#This Row],[Цена за ед., руб]],2)</f>
        <v>0</v>
      </c>
      <c r="H9" s="38"/>
      <c r="I9" s="44"/>
    </row>
    <row r="10" spans="1:9" x14ac:dyDescent="0.2">
      <c r="A10" s="43" t="s">
        <v>54</v>
      </c>
      <c r="B10" s="38"/>
      <c r="C10" s="38" t="s">
        <v>55</v>
      </c>
      <c r="D10" s="36" t="s">
        <v>46</v>
      </c>
      <c r="E10" s="37">
        <v>461</v>
      </c>
      <c r="F10" s="40"/>
      <c r="G10" s="40">
        <f>ROUND(М[[#This Row],[Количество]]*М[[#This Row],[Цена за ед., руб]],2)</f>
        <v>0</v>
      </c>
      <c r="H10" s="38"/>
      <c r="I10" s="44"/>
    </row>
    <row r="11" spans="1:9" x14ac:dyDescent="0.2">
      <c r="A11" s="43" t="s">
        <v>54</v>
      </c>
      <c r="B11" s="38"/>
      <c r="C11" s="38" t="s">
        <v>74</v>
      </c>
      <c r="D11" s="36" t="s">
        <v>46</v>
      </c>
      <c r="E11" s="42">
        <v>252.3</v>
      </c>
      <c r="F11" s="40"/>
      <c r="G11" s="40">
        <f>ROUND(М[[#This Row],[Количество]]*М[[#This Row],[Цена за ед., руб]],2)</f>
        <v>0</v>
      </c>
      <c r="H11" s="38"/>
      <c r="I11" s="44"/>
    </row>
    <row r="12" spans="1:9" x14ac:dyDescent="0.2">
      <c r="A12" s="43" t="s">
        <v>54</v>
      </c>
      <c r="B12" s="38"/>
      <c r="C12" s="38" t="s">
        <v>56</v>
      </c>
      <c r="D12" s="36" t="s">
        <v>46</v>
      </c>
      <c r="E12" s="39">
        <v>518.38</v>
      </c>
      <c r="F12" s="40"/>
      <c r="G12" s="40">
        <f>ROUND(М[[#This Row],[Количество]]*М[[#This Row],[Цена за ед., руб]],2)</f>
        <v>0</v>
      </c>
      <c r="H12" s="38"/>
      <c r="I12" s="44"/>
    </row>
    <row r="13" spans="1:9" x14ac:dyDescent="0.2">
      <c r="A13" s="43" t="s">
        <v>54</v>
      </c>
      <c r="B13" s="38"/>
      <c r="C13" s="38" t="s">
        <v>76</v>
      </c>
      <c r="D13" s="36" t="s">
        <v>46</v>
      </c>
      <c r="E13" s="37">
        <v>29</v>
      </c>
      <c r="F13" s="40"/>
      <c r="G13" s="40">
        <f>ROUND(М[[#This Row],[Количество]]*М[[#This Row],[Цена за ед., руб]],2)</f>
        <v>0</v>
      </c>
      <c r="H13" s="38"/>
      <c r="I13" s="44"/>
    </row>
    <row r="14" spans="1:9" x14ac:dyDescent="0.2">
      <c r="A14" s="43" t="s">
        <v>54</v>
      </c>
      <c r="B14" s="38"/>
      <c r="C14" s="38" t="s">
        <v>57</v>
      </c>
      <c r="D14" s="36" t="s">
        <v>46</v>
      </c>
      <c r="E14" s="40">
        <v>4789.3599999999997</v>
      </c>
      <c r="F14" s="40"/>
      <c r="G14" s="40">
        <f>ROUND(М[[#This Row],[Количество]]*М[[#This Row],[Цена за ед., руб]],2)</f>
        <v>0</v>
      </c>
      <c r="H14" s="38"/>
      <c r="I14" s="44"/>
    </row>
    <row r="15" spans="1:9" x14ac:dyDescent="0.2">
      <c r="A15" s="43" t="s">
        <v>35</v>
      </c>
      <c r="B15" s="38"/>
      <c r="C15" s="38" t="s">
        <v>36</v>
      </c>
      <c r="D15" s="36" t="s">
        <v>21</v>
      </c>
      <c r="E15" s="37">
        <v>62</v>
      </c>
      <c r="F15" s="40"/>
      <c r="G15" s="40">
        <f>ROUND(М[[#This Row],[Количество]]*М[[#This Row],[Цена за ед., руб]],2)</f>
        <v>0</v>
      </c>
      <c r="H15" s="38"/>
      <c r="I15" s="44"/>
    </row>
    <row r="16" spans="1:9" ht="22.5" x14ac:dyDescent="0.2">
      <c r="A16" s="43" t="s">
        <v>25</v>
      </c>
      <c r="B16" s="38"/>
      <c r="C16" s="38" t="s">
        <v>26</v>
      </c>
      <c r="D16" s="36" t="s">
        <v>21</v>
      </c>
      <c r="E16" s="37">
        <v>62</v>
      </c>
      <c r="F16" s="40"/>
      <c r="G16" s="40">
        <f>ROUND(М[[#This Row],[Количество]]*М[[#This Row],[Цена за ед., руб]],2)</f>
        <v>0</v>
      </c>
      <c r="H16" s="38"/>
      <c r="I16" s="44"/>
    </row>
    <row r="17" spans="1:9" x14ac:dyDescent="0.2">
      <c r="A17" s="43" t="s">
        <v>28</v>
      </c>
      <c r="B17" s="38"/>
      <c r="C17" s="38" t="s">
        <v>29</v>
      </c>
      <c r="D17" s="36" t="s">
        <v>21</v>
      </c>
      <c r="E17" s="37">
        <v>62</v>
      </c>
      <c r="F17" s="40"/>
      <c r="G17" s="40">
        <f>ROUND(М[[#This Row],[Количество]]*М[[#This Row],[Цена за ед., руб]],2)</f>
        <v>0</v>
      </c>
      <c r="H17" s="38"/>
      <c r="I17" s="44"/>
    </row>
    <row r="18" spans="1:9" ht="22.5" x14ac:dyDescent="0.2">
      <c r="A18" s="43" t="s">
        <v>31</v>
      </c>
      <c r="B18" s="38"/>
      <c r="C18" s="38" t="s">
        <v>32</v>
      </c>
      <c r="D18" s="36" t="s">
        <v>21</v>
      </c>
      <c r="E18" s="37">
        <v>62</v>
      </c>
      <c r="F18" s="40"/>
      <c r="G18" s="40">
        <f>ROUND(М[[#This Row],[Количество]]*М[[#This Row],[Цена за ед., руб]],2)</f>
        <v>0</v>
      </c>
      <c r="H18" s="38" t="s">
        <v>33</v>
      </c>
      <c r="I18" s="44"/>
    </row>
    <row r="19" spans="1:9" x14ac:dyDescent="0.2">
      <c r="A19" s="43" t="s">
        <v>38</v>
      </c>
      <c r="B19" s="38"/>
      <c r="C19" s="38" t="s">
        <v>39</v>
      </c>
      <c r="D19" s="36" t="s">
        <v>21</v>
      </c>
      <c r="E19" s="37">
        <v>31</v>
      </c>
      <c r="F19" s="40"/>
      <c r="G19" s="40">
        <f>ROUND(М[[#This Row],[Количество]]*М[[#This Row],[Цена за ед., руб]],2)</f>
        <v>0</v>
      </c>
      <c r="H19" s="38"/>
      <c r="I19" s="44"/>
    </row>
    <row r="20" spans="1:9" x14ac:dyDescent="0.2">
      <c r="A20" s="43" t="s">
        <v>50</v>
      </c>
      <c r="B20" s="38"/>
      <c r="C20" s="38" t="s">
        <v>51</v>
      </c>
      <c r="D20" s="36" t="s">
        <v>49</v>
      </c>
      <c r="E20" s="39">
        <v>697.2</v>
      </c>
      <c r="F20" s="40"/>
      <c r="G20" s="40">
        <f>ROUND(М[[#This Row],[Количество]]*М[[#This Row],[Цена за ед., руб]],2)</f>
        <v>0</v>
      </c>
      <c r="H20" s="38" t="s">
        <v>52</v>
      </c>
      <c r="I20" s="44"/>
    </row>
    <row r="21" spans="1:9" ht="22.5" x14ac:dyDescent="0.2">
      <c r="A21" s="43" t="s">
        <v>67</v>
      </c>
      <c r="B21" s="38"/>
      <c r="C21" s="38" t="s">
        <v>68</v>
      </c>
      <c r="D21" s="36" t="s">
        <v>21</v>
      </c>
      <c r="E21" s="41">
        <v>1791</v>
      </c>
      <c r="F21" s="40"/>
      <c r="G21" s="40">
        <f>ROUND(М[[#This Row],[Количество]]*М[[#This Row],[Цена за ед., руб]],2)</f>
        <v>0</v>
      </c>
      <c r="H21" s="38" t="s">
        <v>69</v>
      </c>
      <c r="I21" s="44"/>
    </row>
    <row r="22" spans="1:9" x14ac:dyDescent="0.2">
      <c r="A22" s="43" t="s">
        <v>40</v>
      </c>
      <c r="B22" s="38"/>
      <c r="C22" s="38" t="s">
        <v>41</v>
      </c>
      <c r="D22" s="36" t="s">
        <v>21</v>
      </c>
      <c r="E22" s="37">
        <v>62</v>
      </c>
      <c r="F22" s="40"/>
      <c r="G22" s="40">
        <f>ROUND(М[[#This Row],[Количество]]*М[[#This Row],[Цена за ед., руб]],2)</f>
        <v>0</v>
      </c>
      <c r="H22" s="38"/>
      <c r="I22" s="44"/>
    </row>
    <row r="23" spans="1:9" ht="22.5" x14ac:dyDescent="0.2">
      <c r="A23" s="43" t="s">
        <v>44</v>
      </c>
      <c r="B23" s="38"/>
      <c r="C23" s="38" t="s">
        <v>45</v>
      </c>
      <c r="D23" s="36" t="s">
        <v>46</v>
      </c>
      <c r="E23" s="37">
        <v>429</v>
      </c>
      <c r="F23" s="40"/>
      <c r="G23" s="40">
        <f>ROUND(М[[#This Row],[Количество]]*М[[#This Row],[Цена за ед., руб]],2)</f>
        <v>0</v>
      </c>
      <c r="H23" s="38"/>
      <c r="I23" s="44"/>
    </row>
    <row r="24" spans="1:9" ht="22.5" x14ac:dyDescent="0.2">
      <c r="A24" s="47" t="s">
        <v>44</v>
      </c>
      <c r="B24" s="55"/>
      <c r="C24" s="55" t="s">
        <v>47</v>
      </c>
      <c r="D24" s="48" t="s">
        <v>46</v>
      </c>
      <c r="E24" s="49">
        <v>103</v>
      </c>
      <c r="F24" s="40"/>
      <c r="G24" s="53">
        <f>ROUND(М[[#This Row],[Количество]]*М[[#This Row],[Цена за ед., руб]],2)</f>
        <v>0</v>
      </c>
      <c r="H24" s="55"/>
      <c r="I24" s="51"/>
    </row>
    <row r="25" spans="1:9" x14ac:dyDescent="0.2">
      <c r="A25" s="43" t="s">
        <v>102</v>
      </c>
      <c r="B25" s="38"/>
      <c r="C25" s="38" t="s">
        <v>103</v>
      </c>
      <c r="D25" s="36" t="s">
        <v>21</v>
      </c>
      <c r="E25" s="49">
        <v>2</v>
      </c>
      <c r="F25" s="40"/>
      <c r="G25" s="53">
        <f>ROUND(М[[#This Row],[Количество]]*М[[#This Row],[Цена за ед., руб]],2)</f>
        <v>0</v>
      </c>
      <c r="H25" s="55"/>
      <c r="I25" s="51"/>
    </row>
    <row r="26" spans="1:9" x14ac:dyDescent="0.2">
      <c r="A26" s="43" t="s">
        <v>102</v>
      </c>
      <c r="B26" s="38"/>
      <c r="C26" s="38" t="s">
        <v>105</v>
      </c>
      <c r="D26" s="48" t="s">
        <v>21</v>
      </c>
      <c r="E26" s="49">
        <v>1</v>
      </c>
      <c r="F26" s="40"/>
      <c r="G26" s="53">
        <f>ROUND(М[[#This Row],[Количество]]*М[[#This Row],[Цена за ед., руб]],2)</f>
        <v>0</v>
      </c>
      <c r="H26" s="55"/>
      <c r="I26" s="51"/>
    </row>
    <row r="27" spans="1:9" ht="22.5" x14ac:dyDescent="0.2">
      <c r="A27" s="43" t="s">
        <v>102</v>
      </c>
      <c r="B27" s="38"/>
      <c r="C27" s="38" t="s">
        <v>106</v>
      </c>
      <c r="D27" s="48" t="s">
        <v>21</v>
      </c>
      <c r="E27" s="49">
        <v>2</v>
      </c>
      <c r="F27" s="40"/>
      <c r="G27" s="53">
        <f>ROUND(М[[#This Row],[Количество]]*М[[#This Row],[Цена за ед., руб]],2)</f>
        <v>0</v>
      </c>
      <c r="H27" s="55"/>
      <c r="I27" s="51"/>
    </row>
    <row r="28" spans="1:9" x14ac:dyDescent="0.2">
      <c r="A28" s="47" t="s">
        <v>108</v>
      </c>
      <c r="B28" s="55"/>
      <c r="C28" s="55" t="s">
        <v>109</v>
      </c>
      <c r="D28" s="48" t="s">
        <v>21</v>
      </c>
      <c r="E28" s="49">
        <v>5</v>
      </c>
      <c r="F28" s="40"/>
      <c r="G28" s="53">
        <f>ROUND(М[[#This Row],[Количество]]*М[[#This Row],[Цена за ед., руб]],2)</f>
        <v>0</v>
      </c>
      <c r="H28" s="55"/>
      <c r="I28" s="51"/>
    </row>
    <row r="29" spans="1:9" ht="22.5" x14ac:dyDescent="0.2">
      <c r="A29" s="47" t="s">
        <v>35</v>
      </c>
      <c r="B29" s="55"/>
      <c r="C29" s="55" t="s">
        <v>111</v>
      </c>
      <c r="D29" s="48" t="s">
        <v>21</v>
      </c>
      <c r="E29" s="49">
        <v>2</v>
      </c>
      <c r="F29" s="40"/>
      <c r="G29" s="53">
        <f>ROUND(М[[#This Row],[Количество]]*М[[#This Row],[Цена за ед., руб]],2)</f>
        <v>0</v>
      </c>
      <c r="H29" s="55"/>
      <c r="I29" s="51"/>
    </row>
    <row r="30" spans="1:9" ht="22.5" x14ac:dyDescent="0.2">
      <c r="A30" s="47" t="s">
        <v>35</v>
      </c>
      <c r="B30" s="55"/>
      <c r="C30" s="55" t="s">
        <v>112</v>
      </c>
      <c r="D30" s="48" t="s">
        <v>21</v>
      </c>
      <c r="E30" s="49">
        <v>1</v>
      </c>
      <c r="F30" s="40"/>
      <c r="G30" s="53">
        <f>ROUND(М[[#This Row],[Количество]]*М[[#This Row],[Цена за ед., руб]],2)</f>
        <v>0</v>
      </c>
      <c r="H30" s="55"/>
      <c r="I30" s="51"/>
    </row>
    <row r="31" spans="1:9" x14ac:dyDescent="0.2">
      <c r="A31" s="47" t="s">
        <v>114</v>
      </c>
      <c r="B31" s="55"/>
      <c r="C31" s="55" t="s">
        <v>115</v>
      </c>
      <c r="D31" s="48" t="s">
        <v>21</v>
      </c>
      <c r="E31" s="49">
        <v>1</v>
      </c>
      <c r="F31" s="40"/>
      <c r="G31" s="53">
        <f>ROUND(М[[#This Row],[Количество]]*М[[#This Row],[Цена за ед., руб]],2)</f>
        <v>0</v>
      </c>
      <c r="H31" s="55"/>
      <c r="I31" s="51"/>
    </row>
    <row r="32" spans="1:9" ht="22.5" x14ac:dyDescent="0.2">
      <c r="A32" s="47" t="s">
        <v>116</v>
      </c>
      <c r="B32" s="55"/>
      <c r="C32" s="55" t="s">
        <v>117</v>
      </c>
      <c r="D32" s="48" t="s">
        <v>21</v>
      </c>
      <c r="E32" s="49">
        <v>1</v>
      </c>
      <c r="F32" s="40"/>
      <c r="G32" s="53">
        <f>ROUND(М[[#This Row],[Количество]]*М[[#This Row],[Цена за ед., руб]],2)</f>
        <v>0</v>
      </c>
      <c r="H32" s="55"/>
      <c r="I32" s="51"/>
    </row>
    <row r="33" spans="1:14" ht="22.5" x14ac:dyDescent="0.2">
      <c r="A33" s="47" t="s">
        <v>119</v>
      </c>
      <c r="B33" s="55"/>
      <c r="C33" s="55" t="s">
        <v>120</v>
      </c>
      <c r="D33" s="48" t="s">
        <v>21</v>
      </c>
      <c r="E33" s="49">
        <v>3</v>
      </c>
      <c r="F33" s="40"/>
      <c r="G33" s="53">
        <f>ROUND(М[[#This Row],[Количество]]*М[[#This Row],[Цена за ед., руб]],2)</f>
        <v>0</v>
      </c>
      <c r="H33" s="55"/>
      <c r="I33" s="51"/>
    </row>
    <row r="34" spans="1:14" ht="22.5" x14ac:dyDescent="0.2">
      <c r="A34" s="47" t="s">
        <v>122</v>
      </c>
      <c r="B34" s="55"/>
      <c r="C34" s="55" t="s">
        <v>123</v>
      </c>
      <c r="D34" s="48" t="s">
        <v>21</v>
      </c>
      <c r="E34" s="49">
        <v>5</v>
      </c>
      <c r="F34" s="40"/>
      <c r="G34" s="53">
        <f>ROUND(М[[#This Row],[Количество]]*М[[#This Row],[Цена за ед., руб]],2)</f>
        <v>0</v>
      </c>
      <c r="H34" s="55"/>
      <c r="I34" s="51"/>
    </row>
    <row r="35" spans="1:14" x14ac:dyDescent="0.2">
      <c r="A35" s="47" t="s">
        <v>122</v>
      </c>
      <c r="B35" s="55"/>
      <c r="C35" s="55" t="s">
        <v>124</v>
      </c>
      <c r="D35" s="48" t="s">
        <v>21</v>
      </c>
      <c r="E35" s="49">
        <v>4</v>
      </c>
      <c r="F35" s="40"/>
      <c r="G35" s="53">
        <f>ROUND(М[[#This Row],[Количество]]*М[[#This Row],[Цена за ед., руб]],2)</f>
        <v>0</v>
      </c>
      <c r="H35" s="55"/>
      <c r="I35" s="51"/>
    </row>
    <row r="36" spans="1:14" x14ac:dyDescent="0.2">
      <c r="A36" s="47" t="s">
        <v>126</v>
      </c>
      <c r="B36" s="55"/>
      <c r="C36" s="55" t="s">
        <v>127</v>
      </c>
      <c r="D36" s="48" t="s">
        <v>46</v>
      </c>
      <c r="E36" s="49">
        <v>5</v>
      </c>
      <c r="F36" s="40"/>
      <c r="G36" s="53">
        <f>ROUND(М[[#This Row],[Количество]]*М[[#This Row],[Цена за ед., руб]],2)</f>
        <v>0</v>
      </c>
      <c r="H36" s="55"/>
      <c r="I36" s="51"/>
    </row>
    <row r="37" spans="1:14" x14ac:dyDescent="0.2">
      <c r="A37" s="47" t="s">
        <v>126</v>
      </c>
      <c r="B37" s="55"/>
      <c r="C37" s="55" t="s">
        <v>128</v>
      </c>
      <c r="D37" s="48" t="s">
        <v>46</v>
      </c>
      <c r="E37" s="49">
        <v>3</v>
      </c>
      <c r="F37" s="40"/>
      <c r="G37" s="53">
        <f>ROUND(М[[#This Row],[Количество]]*М[[#This Row],[Цена за ед., руб]],2)</f>
        <v>0</v>
      </c>
      <c r="H37" s="55"/>
      <c r="I37" s="51"/>
    </row>
    <row r="38" spans="1:14" ht="22.5" x14ac:dyDescent="0.2">
      <c r="A38" s="47" t="s">
        <v>130</v>
      </c>
      <c r="B38" s="55"/>
      <c r="C38" s="55"/>
      <c r="D38" s="48" t="s">
        <v>58</v>
      </c>
      <c r="E38" s="69"/>
      <c r="F38" s="53"/>
      <c r="G38" s="53">
        <f ca="1">SUMIF(ЛСР!$B$6:$J$123,М[[#This Row],[Наим.]],ЛСР!$J$6:$J$123)</f>
        <v>0</v>
      </c>
      <c r="H38" s="55" t="s">
        <v>132</v>
      </c>
      <c r="I38" s="51"/>
    </row>
    <row r="39" spans="1:14" ht="22.5" x14ac:dyDescent="0.2">
      <c r="A39" s="47" t="s">
        <v>129</v>
      </c>
      <c r="B39" s="55"/>
      <c r="C39" s="55"/>
      <c r="D39" s="48" t="s">
        <v>58</v>
      </c>
      <c r="E39" s="69"/>
      <c r="F39" s="53"/>
      <c r="G39" s="53">
        <f ca="1">SUMIF(ЛСР!$B$6:$J$123,М[[#This Row],[Наим.]],ЛСР!$J$6:$J$123)</f>
        <v>0</v>
      </c>
      <c r="H39" s="55" t="s">
        <v>132</v>
      </c>
      <c r="I39" s="51"/>
    </row>
    <row r="40" spans="1:14" x14ac:dyDescent="0.2">
      <c r="A40" s="47" t="s">
        <v>97</v>
      </c>
      <c r="B40" s="55"/>
      <c r="C40" s="55"/>
      <c r="D40" s="48"/>
      <c r="E40" s="50"/>
      <c r="F40" s="53"/>
      <c r="G40" s="53">
        <f ca="1">SUBTOTAL(109,М[Сумма, руб])</f>
        <v>0</v>
      </c>
      <c r="H40" s="55"/>
      <c r="I40" s="51"/>
    </row>
    <row r="41" spans="1:14" x14ac:dyDescent="0.2">
      <c r="F41" s="67" t="s">
        <v>131</v>
      </c>
      <c r="G41" s="68">
        <f ca="1">ЛСР!J126-М[[#Totals],[Сумма, руб]]</f>
        <v>0</v>
      </c>
    </row>
    <row r="43" spans="1:14" ht="15.75" x14ac:dyDescent="0.25">
      <c r="A43" s="76" t="s">
        <v>135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8"/>
      <c r="N43" s="79"/>
    </row>
    <row r="44" spans="1:14" ht="15.75" x14ac:dyDescent="0.2">
      <c r="A44" s="110" t="s">
        <v>136</v>
      </c>
      <c r="B44" s="110"/>
      <c r="C44" s="110"/>
      <c r="D44" s="110"/>
      <c r="E44" s="110"/>
      <c r="F44" s="110"/>
      <c r="G44" s="110"/>
      <c r="H44" s="110"/>
      <c r="I44" s="110"/>
      <c r="J44" s="110"/>
      <c r="K44" s="110"/>
      <c r="L44" s="110"/>
      <c r="M44" s="110"/>
      <c r="N44" s="110"/>
    </row>
    <row r="45" spans="1:14" ht="15.75" x14ac:dyDescent="0.2">
      <c r="A45" s="110" t="s">
        <v>137</v>
      </c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0"/>
      <c r="M45" s="110"/>
      <c r="N45" s="110"/>
    </row>
    <row r="46" spans="1:14" ht="15.75" x14ac:dyDescent="0.2">
      <c r="A46" s="111" t="s">
        <v>138</v>
      </c>
      <c r="B46" s="111"/>
      <c r="C46" s="111"/>
      <c r="D46" s="111"/>
      <c r="E46" s="111"/>
      <c r="F46" s="111"/>
      <c r="G46" s="111"/>
      <c r="H46" s="111"/>
      <c r="I46" s="111"/>
      <c r="J46" s="111"/>
      <c r="K46" s="111"/>
      <c r="L46" s="111"/>
      <c r="M46" s="111"/>
      <c r="N46" s="111"/>
    </row>
    <row r="47" spans="1:14" ht="15.75" x14ac:dyDescent="0.2">
      <c r="A47" s="112" t="s">
        <v>139</v>
      </c>
      <c r="B47" s="112"/>
      <c r="C47" s="112"/>
      <c r="D47" s="112"/>
      <c r="E47" s="112"/>
      <c r="F47" s="112"/>
      <c r="G47" s="112"/>
      <c r="H47" s="112"/>
      <c r="I47" s="112"/>
      <c r="J47" s="112"/>
      <c r="K47" s="112"/>
      <c r="L47" s="112"/>
      <c r="M47" s="112"/>
      <c r="N47" s="112"/>
    </row>
    <row r="48" spans="1:14" ht="15.75" x14ac:dyDescent="0.2">
      <c r="A48" s="113" t="s">
        <v>140</v>
      </c>
      <c r="B48" s="113"/>
      <c r="C48" s="113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</row>
    <row r="49" spans="1:18" ht="15.75" x14ac:dyDescent="0.2">
      <c r="A49" s="108" t="s">
        <v>141</v>
      </c>
      <c r="B49" s="108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75"/>
      <c r="P49" s="75"/>
      <c r="Q49" s="75"/>
      <c r="R49" s="75"/>
    </row>
    <row r="50" spans="1:18" ht="15.75" x14ac:dyDescent="0.2">
      <c r="A50" s="109" t="s">
        <v>142</v>
      </c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</row>
  </sheetData>
  <mergeCells count="8">
    <mergeCell ref="A48:N48"/>
    <mergeCell ref="A49:N49"/>
    <mergeCell ref="A50:R50"/>
    <mergeCell ref="A1:H1"/>
    <mergeCell ref="A44:N44"/>
    <mergeCell ref="A45:N45"/>
    <mergeCell ref="A46:N46"/>
    <mergeCell ref="A47:N47"/>
  </mergeCells>
  <dataValidations count="1">
    <dataValidation type="list" errorStyle="information" allowBlank="1" showInputMessage="1" showErrorMessage="1" sqref="I3:I39" xr:uid="{0FD801BC-C7E3-4892-80FB-CD45429E2D3C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93</v>
      </c>
      <c r="B1" s="1" t="s">
        <v>94</v>
      </c>
    </row>
    <row r="2" spans="1:2" ht="11.1" customHeight="1" x14ac:dyDescent="0.2">
      <c r="A2" s="1" t="s">
        <v>95</v>
      </c>
      <c r="B2" s="1" t="s">
        <v>96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2026-08-25T04:22:34Z</dcterms:modified>
</cp:coreProperties>
</file>