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30326"/>
  <workbookPr defaultThemeVersion="124226"/>
  <mc:AlternateContent xmlns:mc="http://schemas.openxmlformats.org/markup-compatibility/2006">
    <mc:Choice Requires="x15">
      <x15ac:absPath xmlns:x15ac="http://schemas.microsoft.com/office/spreadsheetml/2010/11/ac" url="I:\_Сметный отдел\2. ТЕНДЕРЫ\ЕКБ\Амундсена\11 Внутренние инженерные сети\11.10-11.14,11.16,11.17,11.20,11.21 Слаботочные сети\На отправку в тендер\"/>
    </mc:Choice>
  </mc:AlternateContent>
  <xr:revisionPtr revIDLastSave="0" documentId="13_ncr:1_{D408BDAE-D8C5-4614-9DD8-F1C54DA7905C}" xr6:coauthVersionLast="47" xr6:coauthVersionMax="47" xr10:uidLastSave="{00000000-0000-0000-0000-000000000000}"/>
  <bookViews>
    <workbookView xWindow="1080" yWindow="1440" windowWidth="29130" windowHeight="18270" xr2:uid="{00000000-000D-0000-FFFF-FFFF00000000}"/>
  </bookViews>
  <sheets>
    <sheet name="ЛСР" sheetId="1" r:id="rId1"/>
    <sheet name="Работы" sheetId="2" r:id="rId2"/>
    <sheet name="Материалы" sheetId="3" r:id="rId3"/>
    <sheet name="ПараметрыЗагрузки" sheetId="4" state="veryHidden" r:id="rId4"/>
  </sheets>
  <definedNames>
    <definedName name="_xlnm._FilterDatabase" localSheetId="0" hidden="1">ЛСР!$A$7:$R$7</definedName>
  </definedNames>
  <calcPr calcId="191029"/>
</workbook>
</file>

<file path=xl/calcChain.xml><?xml version="1.0" encoding="utf-8"?>
<calcChain xmlns="http://schemas.openxmlformats.org/spreadsheetml/2006/main">
  <c r="P26" i="1" l="1" a="1"/>
  <c r="P26" i="1" s="1"/>
  <c r="L26" i="1"/>
  <c r="G4" i="3"/>
  <c r="G5" i="3"/>
  <c r="G6" i="3"/>
  <c r="G7" i="3"/>
  <c r="G8" i="3"/>
  <c r="G9" i="3"/>
  <c r="G10" i="3"/>
  <c r="G11" i="3"/>
  <c r="G12" i="3"/>
  <c r="G13" i="3"/>
  <c r="G14" i="3"/>
  <c r="G15" i="3"/>
  <c r="G16" i="3"/>
  <c r="E11" i="2"/>
  <c r="E10" i="2"/>
  <c r="E9" i="2"/>
  <c r="E8" i="2"/>
  <c r="E7" i="2"/>
  <c r="E12" i="2"/>
  <c r="E13" i="2"/>
  <c r="E14" i="2"/>
  <c r="H22" i="1"/>
  <c r="I22" i="1"/>
  <c r="J22" i="1"/>
  <c r="K22" i="1"/>
  <c r="L22" i="1" s="1"/>
  <c r="G22" i="1"/>
  <c r="H17" i="1"/>
  <c r="I17" i="1"/>
  <c r="J17" i="1"/>
  <c r="K17" i="1"/>
  <c r="G17" i="1"/>
  <c r="L17" i="1" s="1"/>
  <c r="H13" i="1"/>
  <c r="L13" i="1" s="1"/>
  <c r="I13" i="1"/>
  <c r="J13" i="1"/>
  <c r="K13" i="1"/>
  <c r="G13" i="1"/>
  <c r="H57" i="1"/>
  <c r="I57" i="1"/>
  <c r="J57" i="1"/>
  <c r="K57" i="1"/>
  <c r="G57" i="1"/>
  <c r="L57" i="1" s="1"/>
  <c r="H53" i="1"/>
  <c r="I53" i="1"/>
  <c r="J53" i="1"/>
  <c r="K53" i="1"/>
  <c r="G53" i="1"/>
  <c r="L53" i="1" s="1"/>
  <c r="H42" i="1"/>
  <c r="I42" i="1"/>
  <c r="J42" i="1"/>
  <c r="K42" i="1"/>
  <c r="G42" i="1"/>
  <c r="L42" i="1" s="1"/>
  <c r="H41" i="1"/>
  <c r="I41" i="1"/>
  <c r="J41" i="1"/>
  <c r="K41" i="1"/>
  <c r="G41" i="1"/>
  <c r="L41" i="1" s="1"/>
  <c r="M42" i="1" a="1"/>
  <c r="M42" i="1" s="1"/>
  <c r="M41" i="1" a="1"/>
  <c r="M41" i="1" s="1"/>
  <c r="M40" i="1" a="1"/>
  <c r="M40" i="1" s="1"/>
  <c r="L40" i="1"/>
  <c r="M39" i="1" a="1"/>
  <c r="M39" i="1" s="1"/>
  <c r="M38" i="1" a="1"/>
  <c r="M38" i="1" s="1"/>
  <c r="H38" i="1"/>
  <c r="L38" i="1" s="1"/>
  <c r="I38" i="1"/>
  <c r="J38" i="1"/>
  <c r="K38" i="1"/>
  <c r="H39" i="1"/>
  <c r="I39" i="1"/>
  <c r="J39" i="1"/>
  <c r="K39" i="1"/>
  <c r="H40" i="1"/>
  <c r="I40" i="1"/>
  <c r="J40" i="1"/>
  <c r="K40" i="1"/>
  <c r="G39" i="1"/>
  <c r="L39" i="1" s="1"/>
  <c r="G40" i="1"/>
  <c r="G38" i="1"/>
  <c r="M32" i="1" a="1"/>
  <c r="M32" i="1" s="1"/>
  <c r="M31" i="1" a="1"/>
  <c r="M31" i="1" s="1"/>
  <c r="M30" i="1" a="1"/>
  <c r="M30" i="1" s="1"/>
  <c r="H30" i="1"/>
  <c r="I30" i="1"/>
  <c r="J30" i="1"/>
  <c r="K30" i="1"/>
  <c r="H31" i="1"/>
  <c r="I31" i="1"/>
  <c r="J31" i="1"/>
  <c r="K31" i="1"/>
  <c r="H32" i="1"/>
  <c r="I32" i="1"/>
  <c r="J32" i="1"/>
  <c r="K32" i="1"/>
  <c r="G32" i="1"/>
  <c r="G31" i="1"/>
  <c r="G30" i="1"/>
  <c r="M13" i="1" a="1"/>
  <c r="M13" i="1" s="1"/>
  <c r="L15" i="1"/>
  <c r="P15" i="1" a="1"/>
  <c r="P15" i="1" s="1"/>
  <c r="M15" i="1" a="1"/>
  <c r="M15" i="1" s="1"/>
  <c r="M17" i="1" a="1"/>
  <c r="M17" i="1" s="1"/>
  <c r="L19" i="1"/>
  <c r="P19" i="1" a="1"/>
  <c r="P19" i="1" s="1"/>
  <c r="M19" i="1" a="1"/>
  <c r="M19" i="1" s="1"/>
  <c r="L20" i="1"/>
  <c r="P20" i="1" a="1"/>
  <c r="P20" i="1" s="1"/>
  <c r="M20" i="1" a="1"/>
  <c r="M20" i="1" s="1"/>
  <c r="M22" i="1" a="1"/>
  <c r="M22" i="1" s="1"/>
  <c r="L24" i="1"/>
  <c r="P24" i="1" a="1"/>
  <c r="P24" i="1" s="1"/>
  <c r="M24" i="1" a="1"/>
  <c r="M24" i="1" s="1"/>
  <c r="L34" i="1"/>
  <c r="P34" i="1" a="1"/>
  <c r="P34" i="1" s="1"/>
  <c r="M34" i="1" a="1"/>
  <c r="M34" i="1" s="1"/>
  <c r="N34" i="1" s="1"/>
  <c r="L35" i="1"/>
  <c r="P35" i="1" a="1"/>
  <c r="P35" i="1" s="1"/>
  <c r="M35" i="1" a="1"/>
  <c r="M35" i="1" s="1"/>
  <c r="L36" i="1"/>
  <c r="P36" i="1" a="1"/>
  <c r="P36" i="1" s="1"/>
  <c r="M36" i="1" a="1"/>
  <c r="M36" i="1" s="1"/>
  <c r="L44" i="1"/>
  <c r="P44" i="1" a="1"/>
  <c r="P44" i="1" s="1"/>
  <c r="M44" i="1" a="1"/>
  <c r="M44" i="1" s="1"/>
  <c r="L45" i="1"/>
  <c r="P45" i="1" a="1"/>
  <c r="P45" i="1" s="1"/>
  <c r="M45" i="1" a="1"/>
  <c r="M45" i="1" s="1"/>
  <c r="L46" i="1"/>
  <c r="P46" i="1" a="1"/>
  <c r="P46" i="1" s="1"/>
  <c r="M46" i="1" a="1"/>
  <c r="M46" i="1" s="1"/>
  <c r="L47" i="1"/>
  <c r="P47" i="1" a="1"/>
  <c r="P47" i="1" s="1"/>
  <c r="M47" i="1" a="1"/>
  <c r="M47" i="1" s="1"/>
  <c r="L48" i="1"/>
  <c r="P48" i="1" a="1"/>
  <c r="P48" i="1" s="1"/>
  <c r="M48" i="1" a="1"/>
  <c r="M48" i="1" s="1"/>
  <c r="N48" i="1" s="1"/>
  <c r="L49" i="1"/>
  <c r="P49" i="1" a="1"/>
  <c r="P49" i="1" s="1"/>
  <c r="M49" i="1" a="1"/>
  <c r="M49" i="1" s="1"/>
  <c r="M53" i="1" a="1"/>
  <c r="M53" i="1" s="1"/>
  <c r="L55" i="1"/>
  <c r="P55" i="1" a="1"/>
  <c r="P55" i="1" s="1"/>
  <c r="M55" i="1" a="1"/>
  <c r="M55" i="1" s="1"/>
  <c r="M57" i="1" a="1"/>
  <c r="M57" i="1" s="1"/>
  <c r="L59" i="1"/>
  <c r="P59" i="1" a="1"/>
  <c r="P59" i="1" s="1"/>
  <c r="M59" i="1" a="1"/>
  <c r="M59" i="1" s="1"/>
  <c r="L60" i="1"/>
  <c r="P60" i="1" a="1"/>
  <c r="P60" i="1" s="1"/>
  <c r="M60" i="1" a="1"/>
  <c r="M60" i="1" s="1"/>
  <c r="L64" i="1"/>
  <c r="M64" i="1" a="1"/>
  <c r="M64" i="1" s="1"/>
  <c r="E15" i="2"/>
  <c r="E6" i="2"/>
  <c r="E5" i="2"/>
  <c r="E4" i="2"/>
  <c r="E16" i="2" l="1"/>
  <c r="N40" i="1"/>
  <c r="N42" i="1"/>
  <c r="N41" i="1"/>
  <c r="N38" i="1"/>
  <c r="L32" i="1"/>
  <c r="N39" i="1"/>
  <c r="N49" i="1"/>
  <c r="N32" i="1"/>
  <c r="L31" i="1"/>
  <c r="N31" i="1" s="1"/>
  <c r="L30" i="1"/>
  <c r="N30" i="1" s="1"/>
  <c r="N19" i="1"/>
  <c r="N64" i="1"/>
  <c r="N63" i="1" s="1"/>
  <c r="N62" i="1" s="1"/>
  <c r="N61" i="1" s="1"/>
  <c r="N35" i="1"/>
  <c r="N55" i="1"/>
  <c r="N54" i="1" s="1"/>
  <c r="N22" i="1"/>
  <c r="N21" i="1" s="1"/>
  <c r="N44" i="1"/>
  <c r="N46" i="1"/>
  <c r="N24" i="1"/>
  <c r="N23" i="1" s="1"/>
  <c r="N57" i="1"/>
  <c r="N56" i="1" s="1"/>
  <c r="N15" i="1"/>
  <c r="N17" i="1"/>
  <c r="N16" i="1" s="1"/>
  <c r="N20" i="1"/>
  <c r="N36" i="1"/>
  <c r="N59" i="1"/>
  <c r="N60" i="1"/>
  <c r="N13" i="1"/>
  <c r="N12" i="1" s="1"/>
  <c r="N45" i="1"/>
  <c r="N53" i="1"/>
  <c r="N52" i="1" s="1"/>
  <c r="N47" i="1"/>
  <c r="N14" i="1" l="1"/>
  <c r="N26" i="1"/>
  <c r="N37" i="1"/>
  <c r="N29" i="1"/>
  <c r="N18" i="1"/>
  <c r="N33" i="1"/>
  <c r="N43" i="1"/>
  <c r="N58" i="1"/>
  <c r="N51" i="1" s="1"/>
  <c r="N50" i="1" s="1"/>
  <c r="N25" i="1" l="1"/>
  <c r="G17" i="3"/>
  <c r="G18" i="3" s="1"/>
  <c r="N66" i="1"/>
  <c r="E17" i="2" s="1"/>
  <c r="N28" i="1"/>
  <c r="N27" i="1" s="1"/>
  <c r="N11" i="1" l="1"/>
  <c r="N10" i="1" s="1"/>
  <c r="N9" i="1" s="1"/>
  <c r="N65" i="1" s="1"/>
  <c r="N67" i="1"/>
  <c r="G19" i="3" s="1"/>
</calcChain>
</file>

<file path=xl/sharedStrings.xml><?xml version="1.0" encoding="utf-8"?>
<sst xmlns="http://schemas.openxmlformats.org/spreadsheetml/2006/main" count="279" uniqueCount="121">
  <si>
    <t>Объект: «Пятисекционный многоквартирный жилой дом со встроенно-пристроенными нежилыми помещениями общественного назначения (№ 1.1, 1.2, 1.3, 2, 3 по ПЗУ) и встроенно-пристроенной подземной автостоянкой» Секция 1, 2, 3, 4, 5</t>
  </si>
  <si>
    <t>№</t>
  </si>
  <si>
    <t>Наименование</t>
  </si>
  <si>
    <t>Артикул, марка, производитель</t>
  </si>
  <si>
    <t>Характеристика</t>
  </si>
  <si>
    <t>Ед. изм.</t>
  </si>
  <si>
    <t>Норма расхода</t>
  </si>
  <si>
    <t>Секция 1</t>
  </si>
  <si>
    <t>Секция 2</t>
  </si>
  <si>
    <t>Секция 3</t>
  </si>
  <si>
    <t>Секция 4</t>
  </si>
  <si>
    <t>Секция 5</t>
  </si>
  <si>
    <t>Количество</t>
  </si>
  <si>
    <t>Цена за ед., руб</t>
  </si>
  <si>
    <t>Сумма, руб</t>
  </si>
  <si>
    <t>Примечание</t>
  </si>
  <si>
    <t>Форма закупа материала</t>
  </si>
  <si>
    <t>11</t>
  </si>
  <si>
    <t>Внутренние инженерные сети</t>
  </si>
  <si>
    <t>11.11</t>
  </si>
  <si>
    <t>Устройство домофонии</t>
  </si>
  <si>
    <t>11.11.01</t>
  </si>
  <si>
    <t>Прокладка КПП и КНС (горизонтальные КЛ)</t>
  </si>
  <si>
    <t>11.11.01.00</t>
  </si>
  <si>
    <t>Работы:</t>
  </si>
  <si>
    <t>Прокладка кабеля «витая пара» (LAN)</t>
  </si>
  <si>
    <t>м</t>
  </si>
  <si>
    <t>Материалы:</t>
  </si>
  <si>
    <t>1</t>
  </si>
  <si>
    <t>Кабель</t>
  </si>
  <si>
    <t>КВПнг(А)-LS-5E 4х2х0,52</t>
  </si>
  <si>
    <t>Прокладка КПП многожильного до 4 кв.мм</t>
  </si>
  <si>
    <t>КПСЭнг(А)-LS 1х2х1,5</t>
  </si>
  <si>
    <t>2</t>
  </si>
  <si>
    <t>КПСЭнг(А)-LS 1х2х0,5</t>
  </si>
  <si>
    <t>Прокладка трубы гофрированной до 32 мм</t>
  </si>
  <si>
    <t>Труба электромонтажная</t>
  </si>
  <si>
    <t>ПВХ гофр. легкая с протяжкой 20мм</t>
  </si>
  <si>
    <t>пог. м</t>
  </si>
  <si>
    <t>%</t>
  </si>
  <si>
    <t>11.11.02</t>
  </si>
  <si>
    <t>Установка оборудования</t>
  </si>
  <si>
    <t>11.11.02.00</t>
  </si>
  <si>
    <t>компл.</t>
  </si>
  <si>
    <t>Модуль связи</t>
  </si>
  <si>
    <t>шт</t>
  </si>
  <si>
    <t>PoE удлинитель PEXT-E интерфейса Ethernet (либо аналог)</t>
  </si>
  <si>
    <t>Интерком-монитор</t>
  </si>
  <si>
    <t>IP монитор (интерком-панель) C313S (либо аналог)</t>
  </si>
  <si>
    <t>3</t>
  </si>
  <si>
    <t>Коммутатор</t>
  </si>
  <si>
    <t>PoE коммутатор на 8 портов SH-20.8 (либо аналог)</t>
  </si>
  <si>
    <t>Контроллер управления доступом</t>
  </si>
  <si>
    <t>Терминал контроля доступа Akuvox A01 (либо аналог)</t>
  </si>
  <si>
    <t>Панель вызывная</t>
  </si>
  <si>
    <t>Многоабонентская IP вызывная панель Akuvox R20K (либо аналог)</t>
  </si>
  <si>
    <t>Замок</t>
  </si>
  <si>
    <t>электромагнитный</t>
  </si>
  <si>
    <t>Замок электромагнитный AL-300 Premium (либо аналог)</t>
  </si>
  <si>
    <t>4</t>
  </si>
  <si>
    <t>Источник бесперебойного электропитания</t>
  </si>
  <si>
    <t>12В UPS-DP/S</t>
  </si>
  <si>
    <t>Блок бесперебойного питания 12В UPS-DP/S EAN-5060514912171 (либо аналог)</t>
  </si>
  <si>
    <t>5</t>
  </si>
  <si>
    <t>ИБП-12/3-6,4/Li</t>
  </si>
  <si>
    <t>Источник бесперебойного питания СКАТ-1200М Li-ion СКАТ ИБП-12/3-6,4/Li (либо аналог)</t>
  </si>
  <si>
    <t>6</t>
  </si>
  <si>
    <t>Кнопка выхода</t>
  </si>
  <si>
    <t>Бесконтактная кнопка выхода SH-45TR (либо аналог)</t>
  </si>
  <si>
    <t>11.11.03</t>
  </si>
  <si>
    <t>Прокладка КПП и КНС (вертикальные КЛ)</t>
  </si>
  <si>
    <t>11.11.03.00</t>
  </si>
  <si>
    <t>11.11.04</t>
  </si>
  <si>
    <t>ПНР</t>
  </si>
  <si>
    <t>11.11.04.00</t>
  </si>
  <si>
    <t>Пусконаладочные работы</t>
  </si>
  <si>
    <t>ИТОГО по сметному расчету:</t>
  </si>
  <si>
    <t>Всего стоимость работ</t>
  </si>
  <si>
    <t>Всего стоимость материалов</t>
  </si>
  <si>
    <t>Расценки на работы включают:</t>
  </si>
  <si>
    <t>Сводная ведомость объемов работ</t>
  </si>
  <si>
    <t>Сводная ведомость объемов материала</t>
  </si>
  <si>
    <t>Наим.</t>
  </si>
  <si>
    <t>Артикул, марка, произв.</t>
  </si>
  <si>
    <t>Хар-ка</t>
  </si>
  <si>
    <t>Прим.</t>
  </si>
  <si>
    <t>Форма закупа</t>
  </si>
  <si>
    <t>ЛСР</t>
  </si>
  <si>
    <t>ЛСРГуид</t>
  </si>
  <si>
    <t>ГП Амундсмена Екатеринбург.01.11.11 Секция 1.1_Устройство домофонии №1</t>
  </si>
  <si>
    <t>150aadb4-9c81-11f1-9619-cc5d3c3b48f3</t>
  </si>
  <si>
    <t>ГП Амундсмена Екатеринбург.02.11.11 Секция 1.2_Устройство домофонии №1</t>
  </si>
  <si>
    <t>150aaf0a-9c81-11f1-9619-cc5d3c3b48f3</t>
  </si>
  <si>
    <t>ГП Амундсмена Екатеринбург.03.11.11 Секция 1.3_Устройство домофонии №1</t>
  </si>
  <si>
    <t>1b25715e-9c81-11f1-9619-cc5d3c3b48f3</t>
  </si>
  <si>
    <t>ГП Амундсмена Екатеринбург.04.11.11 Секция 2_Устройство домофонии №1</t>
  </si>
  <si>
    <t>212247fa-9c81-11f1-9619-cc5d3c3b48f3</t>
  </si>
  <si>
    <t>ГП Амундсмена Екатеринбург.05.11.11 Секция 3_Устройство домофонии №1</t>
  </si>
  <si>
    <t>2a1d296b-9c81-11f1-9619-cc5d3c3b48f3</t>
  </si>
  <si>
    <t>Итог</t>
  </si>
  <si>
    <t xml:space="preserve"> Устройство домофонии </t>
  </si>
  <si>
    <t>Монтаж модуля связи</t>
  </si>
  <si>
    <t>Монтаж интерком-монитора</t>
  </si>
  <si>
    <t>Монтаж коммутатора</t>
  </si>
  <si>
    <t>Работы (типовой этаж):</t>
  </si>
  <si>
    <t>Монтаж контроллера</t>
  </si>
  <si>
    <t>Монтаж вызывной панели</t>
  </si>
  <si>
    <t>Монтаж замка</t>
  </si>
  <si>
    <t>Монтаж источника бесперебойного электропитания</t>
  </si>
  <si>
    <t>Монтаж кнопки выхода</t>
  </si>
  <si>
    <t>Прочие материалы</t>
  </si>
  <si>
    <t>Проверка:</t>
  </si>
  <si>
    <t>Примечание:</t>
  </si>
  <si>
    <t>-</t>
  </si>
  <si>
    <t>В случае, если один из перечисленных прочих материалов не был использован по факту при производстве работ, заказчик вправе откорректировать процент расходных материалов в актах выполненных работ (формы КС-2, КС-3), уменьшив на сумму исключенного материала.</t>
  </si>
  <si>
    <t>Стоимость СМР учитывает - затраты на все второстепенные материалы и работы необходимые для осуществления полного комплекса работ, включая затраты: обеспечение технической водой для производства работ и бытовых целей; на мобилизацию, аренду и эксплуатацию всех необходимых механизмов, оборудования и инструментов, бытовых помещений и биотуалетов; на подъем материалов и разноску по этажам к местам производства работ; выполнение сопутствующих работ;  вывоз мусора; накладные расходы, прибыль организации, налоги и иные издержки Подрядчика. Обеспечение безопасного производства работ на участке.</t>
  </si>
  <si>
    <t>Стоимость материалов учитывает стоимость доставки.</t>
  </si>
  <si>
    <t>В случае изменения системы налогообложения, риски увеличения стоимости договора относятся на сторону, чья система налогообложения изменяется.</t>
  </si>
  <si>
    <t>в тч НДС ____%</t>
  </si>
  <si>
    <t>указать %</t>
  </si>
  <si>
    <t>Локальный сметный расчет (ЛСР) №2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</si>
</sst>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.00\ _₽"/>
  </numFmts>
  <fonts count="14" x14ac:knownFonts="1">
    <font>
      <sz val="8"/>
      <name val="Arial"/>
    </font>
    <font>
      <sz val="11"/>
      <color theme="1"/>
      <name val="Calibri"/>
      <family val="2"/>
      <charset val="204"/>
      <scheme val="minor"/>
    </font>
    <font>
      <b/>
      <sz val="8"/>
      <name val="Arial"/>
      <family val="2"/>
    </font>
    <font>
      <sz val="12"/>
      <name val="Times New Roman"/>
      <family val="1"/>
      <charset val="204"/>
    </font>
    <font>
      <b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rgb="FFFF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b/>
      <i/>
      <u/>
      <sz val="8"/>
      <color theme="1"/>
      <name val="Times New Roman"/>
      <family val="1"/>
      <charset val="204"/>
    </font>
    <font>
      <sz val="8"/>
      <color theme="1"/>
      <name val="Times New Roman"/>
      <family val="1"/>
      <charset val="204"/>
    </font>
    <font>
      <sz val="8"/>
      <name val="Times New Roman"/>
      <family val="1"/>
      <charset val="204"/>
    </font>
  </fonts>
  <fills count="10">
    <fill>
      <patternFill patternType="none"/>
    </fill>
    <fill>
      <patternFill patternType="gray125"/>
    </fill>
    <fill>
      <patternFill patternType="solid">
        <fgColor rgb="FFE5B8B7"/>
        <bgColor auto="1"/>
      </patternFill>
    </fill>
    <fill>
      <patternFill patternType="solid">
        <fgColor rgb="FFFFFF00"/>
        <bgColor auto="1"/>
      </patternFill>
    </fill>
    <fill>
      <patternFill patternType="solid">
        <fgColor rgb="FFB4C6E7"/>
        <bgColor auto="1"/>
      </patternFill>
    </fill>
    <fill>
      <patternFill patternType="solid">
        <fgColor rgb="FFFFFFFF"/>
        <bgColor auto="1"/>
      </patternFill>
    </fill>
    <fill>
      <patternFill patternType="solid">
        <fgColor rgb="FF8EAADB"/>
        <bgColor auto="1"/>
      </patternFill>
    </fill>
    <fill>
      <patternFill patternType="solid">
        <fgColor rgb="FFFF0000"/>
        <bgColor auto="1"/>
      </patternFill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</borders>
  <cellStyleXfs count="2">
    <xf numFmtId="0" fontId="0" fillId="0" borderId="0"/>
    <xf numFmtId="0" fontId="1" fillId="0" borderId="0"/>
  </cellStyleXfs>
  <cellXfs count="121">
    <xf numFmtId="0" fontId="0" fillId="0" borderId="0" xfId="0"/>
    <xf numFmtId="0" fontId="0" fillId="0" borderId="0" xfId="0" applyAlignment="1">
      <alignment horizontal="left"/>
    </xf>
    <xf numFmtId="0" fontId="2" fillId="0" borderId="1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" fontId="0" fillId="0" borderId="5" xfId="0" applyNumberFormat="1" applyBorder="1" applyAlignment="1">
      <alignment horizontal="right" vertical="center"/>
    </xf>
    <xf numFmtId="0" fontId="0" fillId="0" borderId="5" xfId="0" applyBorder="1" applyAlignment="1">
      <alignment horizontal="center" vertical="center" wrapText="1"/>
    </xf>
    <xf numFmtId="1" fontId="0" fillId="0" borderId="5" xfId="0" applyNumberFormat="1" applyBorder="1" applyAlignment="1">
      <alignment horizontal="right" vertical="center"/>
    </xf>
    <xf numFmtId="0" fontId="0" fillId="0" borderId="7" xfId="0" applyBorder="1" applyAlignment="1">
      <alignment horizontal="left" wrapText="1"/>
    </xf>
    <xf numFmtId="0" fontId="0" fillId="0" borderId="9" xfId="0" applyBorder="1" applyAlignment="1">
      <alignment horizontal="center" vertical="center" wrapText="1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0" borderId="12" xfId="0" applyBorder="1" applyAlignment="1">
      <alignment horizontal="left" wrapText="1"/>
    </xf>
    <xf numFmtId="0" fontId="0" fillId="0" borderId="2" xfId="0" applyBorder="1" applyAlignment="1">
      <alignment horizontal="center" vertical="center"/>
    </xf>
    <xf numFmtId="1" fontId="0" fillId="0" borderId="2" xfId="0" applyNumberFormat="1" applyBorder="1" applyAlignment="1">
      <alignment horizontal="right" vertical="center"/>
    </xf>
    <xf numFmtId="0" fontId="0" fillId="0" borderId="2" xfId="0" applyBorder="1" applyAlignment="1">
      <alignment horizontal="right" vertical="center"/>
    </xf>
    <xf numFmtId="0" fontId="0" fillId="0" borderId="4" xfId="0" applyBorder="1" applyAlignment="1">
      <alignment horizontal="center" vertical="center" wrapText="1"/>
    </xf>
    <xf numFmtId="4" fontId="2" fillId="0" borderId="1" xfId="0" applyNumberFormat="1" applyFont="1" applyBorder="1" applyAlignment="1">
      <alignment horizontal="center" vertical="center" wrapText="1"/>
    </xf>
    <xf numFmtId="4" fontId="0" fillId="0" borderId="5" xfId="0" applyNumberFormat="1" applyBorder="1" applyAlignment="1">
      <alignment horizontal="right" vertical="center"/>
    </xf>
    <xf numFmtId="4" fontId="0" fillId="0" borderId="2" xfId="0" applyNumberFormat="1" applyBorder="1" applyAlignment="1">
      <alignment horizontal="right" vertical="center"/>
    </xf>
    <xf numFmtId="0" fontId="2" fillId="0" borderId="11" xfId="0" applyFon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3" fillId="0" borderId="0" xfId="0" applyFont="1" applyAlignment="1">
      <alignment horizontal="left"/>
    </xf>
    <xf numFmtId="0" fontId="3" fillId="0" borderId="0" xfId="0" applyFont="1"/>
    <xf numFmtId="0" fontId="3" fillId="2" borderId="5" xfId="0" applyFont="1" applyFill="1" applyBorder="1" applyAlignment="1">
      <alignment horizontal="center"/>
    </xf>
    <xf numFmtId="0" fontId="3" fillId="2" borderId="5" xfId="0" applyFont="1" applyFill="1" applyBorder="1" applyAlignment="1">
      <alignment horizontal="left" wrapText="1"/>
    </xf>
    <xf numFmtId="0" fontId="3" fillId="2" borderId="5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right" vertical="center"/>
    </xf>
    <xf numFmtId="4" fontId="3" fillId="2" borderId="5" xfId="0" applyNumberFormat="1" applyFont="1" applyFill="1" applyBorder="1" applyAlignment="1">
      <alignment horizontal="right" vertical="center"/>
    </xf>
    <xf numFmtId="0" fontId="3" fillId="3" borderId="5" xfId="0" applyFont="1" applyFill="1" applyBorder="1" applyAlignment="1">
      <alignment horizontal="center"/>
    </xf>
    <xf numFmtId="0" fontId="3" fillId="3" borderId="5" xfId="0" applyFont="1" applyFill="1" applyBorder="1" applyAlignment="1">
      <alignment horizontal="left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right" vertical="center"/>
    </xf>
    <xf numFmtId="4" fontId="3" fillId="3" borderId="5" xfId="0" applyNumberFormat="1" applyFont="1" applyFill="1" applyBorder="1" applyAlignment="1">
      <alignment horizontal="right" vertical="center"/>
    </xf>
    <xf numFmtId="0" fontId="4" fillId="4" borderId="5" xfId="0" applyFont="1" applyFill="1" applyBorder="1" applyAlignment="1">
      <alignment horizontal="center"/>
    </xf>
    <xf numFmtId="0" fontId="4" fillId="4" borderId="5" xfId="0" applyFont="1" applyFill="1" applyBorder="1" applyAlignment="1">
      <alignment horizontal="left" wrapText="1"/>
    </xf>
    <xf numFmtId="0" fontId="4" fillId="4" borderId="5" xfId="0" applyFont="1" applyFill="1" applyBorder="1" applyAlignment="1">
      <alignment horizontal="center" vertical="center" wrapText="1"/>
    </xf>
    <xf numFmtId="0" fontId="4" fillId="4" borderId="5" xfId="0" applyFont="1" applyFill="1" applyBorder="1" applyAlignment="1">
      <alignment horizontal="center" vertical="center"/>
    </xf>
    <xf numFmtId="0" fontId="4" fillId="4" borderId="5" xfId="0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right" vertical="center"/>
    </xf>
    <xf numFmtId="4" fontId="3" fillId="4" borderId="5" xfId="0" applyNumberFormat="1" applyFont="1" applyFill="1" applyBorder="1" applyAlignment="1">
      <alignment horizontal="right" vertical="center"/>
    </xf>
    <xf numFmtId="0" fontId="3" fillId="4" borderId="5" xfId="0" applyFont="1" applyFill="1" applyBorder="1" applyAlignment="1">
      <alignment horizontal="center" vertical="center" wrapText="1"/>
    </xf>
    <xf numFmtId="0" fontId="3" fillId="4" borderId="5" xfId="0" applyFont="1" applyFill="1" applyBorder="1" applyAlignment="1">
      <alignment horizontal="left"/>
    </xf>
    <xf numFmtId="0" fontId="3" fillId="4" borderId="5" xfId="0" applyFont="1" applyFill="1" applyBorder="1" applyAlignment="1">
      <alignment horizontal="center" vertical="center"/>
    </xf>
    <xf numFmtId="4" fontId="3" fillId="4" borderId="5" xfId="0" applyNumberFormat="1" applyFont="1" applyFill="1" applyBorder="1" applyAlignment="1">
      <alignment horizontal="center" vertical="center"/>
    </xf>
    <xf numFmtId="4" fontId="4" fillId="4" borderId="0" xfId="0" applyNumberFormat="1" applyFont="1" applyFill="1" applyAlignment="1">
      <alignment horizontal="right" vertical="center"/>
    </xf>
    <xf numFmtId="0" fontId="3" fillId="4" borderId="5" xfId="0" applyFont="1" applyFill="1" applyBorder="1" applyAlignment="1">
      <alignment horizontal="right"/>
    </xf>
    <xf numFmtId="0" fontId="3" fillId="5" borderId="5" xfId="0" applyFont="1" applyFill="1" applyBorder="1" applyAlignment="1">
      <alignment horizontal="center"/>
    </xf>
    <xf numFmtId="0" fontId="3" fillId="5" borderId="5" xfId="0" applyFont="1" applyFill="1" applyBorder="1" applyAlignment="1">
      <alignment horizontal="left" wrapText="1"/>
    </xf>
    <xf numFmtId="0" fontId="3" fillId="5" borderId="5" xfId="0" applyFont="1" applyFill="1" applyBorder="1" applyAlignment="1">
      <alignment horizontal="center" vertical="center" wrapText="1"/>
    </xf>
    <xf numFmtId="0" fontId="3" fillId="5" borderId="5" xfId="0" applyFont="1" applyFill="1" applyBorder="1" applyAlignment="1">
      <alignment horizontal="center" vertical="center"/>
    </xf>
    <xf numFmtId="0" fontId="3" fillId="5" borderId="5" xfId="0" applyFont="1" applyFill="1" applyBorder="1" applyAlignment="1">
      <alignment horizontal="right" vertical="center"/>
    </xf>
    <xf numFmtId="3" fontId="3" fillId="5" borderId="5" xfId="0" applyNumberFormat="1" applyFont="1" applyFill="1" applyBorder="1" applyAlignment="1">
      <alignment horizontal="right" vertical="center"/>
    </xf>
    <xf numFmtId="4" fontId="3" fillId="5" borderId="5" xfId="0" applyNumberFormat="1" applyFont="1" applyFill="1" applyBorder="1" applyAlignment="1">
      <alignment horizontal="right" vertical="center"/>
    </xf>
    <xf numFmtId="1" fontId="3" fillId="5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left"/>
    </xf>
    <xf numFmtId="4" fontId="4" fillId="6" borderId="5" xfId="0" applyNumberFormat="1" applyFont="1" applyFill="1" applyBorder="1" applyAlignment="1">
      <alignment horizontal="right" vertical="center"/>
    </xf>
    <xf numFmtId="0" fontId="3" fillId="6" borderId="5" xfId="0" applyFont="1" applyFill="1" applyBorder="1" applyAlignment="1">
      <alignment horizontal="right"/>
    </xf>
    <xf numFmtId="0" fontId="3" fillId="7" borderId="5" xfId="0" applyFont="1" applyFill="1" applyBorder="1" applyAlignment="1">
      <alignment horizontal="left"/>
    </xf>
    <xf numFmtId="4" fontId="4" fillId="6" borderId="7" xfId="0" applyNumberFormat="1" applyFont="1" applyFill="1" applyBorder="1" applyAlignment="1">
      <alignment horizontal="right" vertical="center"/>
    </xf>
    <xf numFmtId="0" fontId="6" fillId="5" borderId="5" xfId="0" applyFont="1" applyFill="1" applyBorder="1" applyAlignment="1">
      <alignment horizontal="left" wrapText="1"/>
    </xf>
    <xf numFmtId="0" fontId="6" fillId="5" borderId="5" xfId="0" applyFont="1" applyFill="1" applyBorder="1" applyAlignment="1">
      <alignment horizontal="center" vertical="center" wrapText="1"/>
    </xf>
    <xf numFmtId="0" fontId="6" fillId="5" borderId="5" xfId="0" applyFont="1" applyFill="1" applyBorder="1" applyAlignment="1">
      <alignment horizontal="center" vertical="center"/>
    </xf>
    <xf numFmtId="0" fontId="8" fillId="0" borderId="0" xfId="0" applyFont="1" applyAlignment="1">
      <alignment horizontal="right"/>
    </xf>
    <xf numFmtId="0" fontId="8" fillId="0" borderId="12" xfId="0" applyFont="1" applyBorder="1" applyAlignment="1">
      <alignment horizontal="left" wrapText="1"/>
    </xf>
    <xf numFmtId="0" fontId="9" fillId="8" borderId="0" xfId="0" applyFont="1" applyFill="1" applyAlignment="1">
      <alignment vertical="center" wrapText="1"/>
    </xf>
    <xf numFmtId="0" fontId="0" fillId="0" borderId="0" xfId="0" applyAlignment="1">
      <alignment wrapText="1"/>
    </xf>
    <xf numFmtId="0" fontId="7" fillId="0" borderId="0" xfId="0" applyFont="1"/>
    <xf numFmtId="0" fontId="10" fillId="0" borderId="0" xfId="0" applyFont="1"/>
    <xf numFmtId="49" fontId="7" fillId="8" borderId="0" xfId="0" applyNumberFormat="1" applyFont="1" applyFill="1" applyAlignment="1">
      <alignment horizontal="center" vertical="center"/>
    </xf>
    <xf numFmtId="0" fontId="7" fillId="0" borderId="0" xfId="0" applyFont="1" applyAlignment="1">
      <alignment horizontal="center" vertical="center"/>
    </xf>
    <xf numFmtId="49" fontId="3" fillId="0" borderId="0" xfId="0" applyNumberFormat="1" applyFont="1"/>
    <xf numFmtId="164" fontId="10" fillId="0" borderId="0" xfId="0" applyNumberFormat="1" applyFont="1"/>
    <xf numFmtId="0" fontId="7" fillId="0" borderId="0" xfId="1" applyFont="1" applyAlignment="1">
      <alignment vertical="center" wrapText="1"/>
    </xf>
    <xf numFmtId="0" fontId="7" fillId="0" borderId="0" xfId="0" applyFont="1" applyAlignment="1">
      <alignment vertical="center" wrapText="1"/>
    </xf>
    <xf numFmtId="0" fontId="11" fillId="8" borderId="0" xfId="0" applyFont="1" applyFill="1" applyAlignment="1">
      <alignment vertical="center" wrapText="1"/>
    </xf>
    <xf numFmtId="0" fontId="8" fillId="0" borderId="0" xfId="0" applyFont="1"/>
    <xf numFmtId="0" fontId="8" fillId="0" borderId="0" xfId="0" applyFont="1" applyAlignment="1">
      <alignment wrapText="1"/>
    </xf>
    <xf numFmtId="0" fontId="12" fillId="0" borderId="0" xfId="0" applyFont="1"/>
    <xf numFmtId="0" fontId="12" fillId="0" borderId="0" xfId="1" applyFont="1" applyAlignment="1">
      <alignment vertical="center" wrapText="1"/>
    </xf>
    <xf numFmtId="0" fontId="12" fillId="0" borderId="0" xfId="0" applyFont="1" applyAlignment="1">
      <alignment vertical="center" wrapText="1"/>
    </xf>
    <xf numFmtId="0" fontId="13" fillId="0" borderId="0" xfId="0" applyFont="1" applyAlignment="1">
      <alignment wrapText="1"/>
    </xf>
    <xf numFmtId="4" fontId="0" fillId="0" borderId="0" xfId="0" applyNumberFormat="1" applyAlignment="1">
      <alignment horizontal="left"/>
    </xf>
    <xf numFmtId="0" fontId="8" fillId="0" borderId="2" xfId="0" applyFont="1" applyBorder="1" applyAlignment="1">
      <alignment horizontal="center" vertical="center"/>
    </xf>
    <xf numFmtId="1" fontId="0" fillId="9" borderId="5" xfId="0" applyNumberFormat="1" applyFill="1" applyBorder="1" applyAlignment="1">
      <alignment horizontal="right" vertical="center"/>
    </xf>
    <xf numFmtId="1" fontId="6" fillId="9" borderId="5" xfId="0" applyNumberFormat="1" applyFont="1" applyFill="1" applyBorder="1" applyAlignment="1">
      <alignment horizontal="right" vertical="center"/>
    </xf>
    <xf numFmtId="4" fontId="6" fillId="5" borderId="5" xfId="0" applyNumberFormat="1" applyFont="1" applyFill="1" applyBorder="1" applyAlignment="1">
      <alignment horizontal="right" vertical="center"/>
    </xf>
    <xf numFmtId="0" fontId="6" fillId="6" borderId="7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2" fillId="0" borderId="0" xfId="1" applyFont="1" applyAlignment="1">
      <alignment horizontal="left" vertical="center" wrapText="1"/>
    </xf>
    <xf numFmtId="0" fontId="12" fillId="0" borderId="0" xfId="0" applyFont="1" applyAlignment="1">
      <alignment horizontal="left" vertical="center" wrapText="1"/>
    </xf>
    <xf numFmtId="0" fontId="13" fillId="0" borderId="0" xfId="0" applyFont="1" applyAlignment="1">
      <alignment horizontal="left" wrapText="1"/>
    </xf>
    <xf numFmtId="0" fontId="3" fillId="0" borderId="0" xfId="0" applyFont="1" applyAlignment="1">
      <alignment horizontal="left" wrapText="1"/>
    </xf>
    <xf numFmtId="0" fontId="7" fillId="0" borderId="0" xfId="1" applyFont="1" applyAlignment="1">
      <alignment horizontal="left" vertical="center" wrapText="1"/>
    </xf>
    <xf numFmtId="0" fontId="7" fillId="0" borderId="0" xfId="0" applyFont="1" applyAlignment="1">
      <alignment horizontal="left" vertical="center" wrapText="1"/>
    </xf>
    <xf numFmtId="0" fontId="4" fillId="0" borderId="0" xfId="0" applyFont="1" applyAlignment="1">
      <alignment horizontal="center" wrapText="1"/>
    </xf>
    <xf numFmtId="0" fontId="3" fillId="0" borderId="0" xfId="0" applyFont="1" applyAlignment="1">
      <alignment horizontal="center" vertical="top" wrapText="1"/>
    </xf>
    <xf numFmtId="0" fontId="4" fillId="0" borderId="2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8" xfId="0" applyFont="1" applyBorder="1" applyAlignment="1">
      <alignment horizontal="left" vertical="top" wrapText="1"/>
    </xf>
    <xf numFmtId="4" fontId="4" fillId="0" borderId="8" xfId="0" applyNumberFormat="1" applyFont="1" applyBorder="1" applyAlignment="1">
      <alignment horizontal="left" vertical="top" wrapText="1"/>
    </xf>
    <xf numFmtId="0" fontId="4" fillId="7" borderId="7" xfId="0" applyFont="1" applyFill="1" applyBorder="1" applyAlignment="1">
      <alignment horizontal="center" vertical="center" wrapText="1"/>
    </xf>
    <xf numFmtId="4" fontId="4" fillId="7" borderId="7" xfId="0" applyNumberFormat="1" applyFont="1" applyFill="1" applyBorder="1" applyAlignment="1">
      <alignment horizontal="center" vertical="center" wrapText="1"/>
    </xf>
    <xf numFmtId="0" fontId="4" fillId="0" borderId="2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/>
    </xf>
    <xf numFmtId="0" fontId="4" fillId="0" borderId="3" xfId="0" applyFont="1" applyBorder="1" applyAlignment="1">
      <alignment horizontal="center" vertical="center"/>
    </xf>
    <xf numFmtId="4" fontId="5" fillId="6" borderId="9" xfId="0" applyNumberFormat="1" applyFont="1" applyFill="1" applyBorder="1" applyAlignment="1">
      <alignment horizontal="right"/>
    </xf>
    <xf numFmtId="4" fontId="5" fillId="6" borderId="6" xfId="0" applyNumberFormat="1" applyFont="1" applyFill="1" applyBorder="1" applyAlignment="1">
      <alignment horizontal="right"/>
    </xf>
    <xf numFmtId="4" fontId="5" fillId="6" borderId="7" xfId="0" applyNumberFormat="1" applyFont="1" applyFill="1" applyBorder="1" applyAlignment="1">
      <alignment horizontal="right"/>
    </xf>
    <xf numFmtId="0" fontId="5" fillId="6" borderId="9" xfId="0" applyFont="1" applyFill="1" applyBorder="1" applyAlignment="1">
      <alignment horizontal="right"/>
    </xf>
    <xf numFmtId="0" fontId="5" fillId="6" borderId="6" xfId="0" applyFont="1" applyFill="1" applyBorder="1" applyAlignment="1">
      <alignment horizontal="right"/>
    </xf>
    <xf numFmtId="0" fontId="5" fillId="6" borderId="7" xfId="0" applyFont="1" applyFill="1" applyBorder="1" applyAlignment="1">
      <alignment horizontal="right"/>
    </xf>
    <xf numFmtId="0" fontId="4" fillId="6" borderId="9" xfId="0" applyFont="1" applyFill="1" applyBorder="1" applyAlignment="1">
      <alignment horizontal="right"/>
    </xf>
    <xf numFmtId="0" fontId="4" fillId="6" borderId="6" xfId="0" applyFont="1" applyFill="1" applyBorder="1" applyAlignment="1">
      <alignment horizontal="right"/>
    </xf>
    <xf numFmtId="0" fontId="4" fillId="6" borderId="7" xfId="0" applyFont="1" applyFill="1" applyBorder="1" applyAlignment="1">
      <alignment horizontal="right"/>
    </xf>
  </cellXfs>
  <cellStyles count="2">
    <cellStyle name="Обычный" xfId="0" builtinId="0"/>
    <cellStyle name="Обычный 3 2 2 2" xfId="1" xr:uid="{9B617E18-BAEA-4EC8-BCC2-0D45600285E9}"/>
  </cellStyles>
  <dxfs count="38"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/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/>
      </border>
    </dxf>
    <dxf>
      <alignment horizontal="center" vertical="center" textRotation="0" wrapText="1" indent="0" justifyLastLine="0" shrinkToFit="0" readingOrder="0"/>
      <border diagonalUp="0" diagonalDown="0" outline="0">
        <left style="thin">
          <color rgb="FF000000"/>
        </left>
        <right/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4" formatCode="#,##0.0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numFmt numFmtId="1" formatCode="0"/>
      <alignment horizontal="right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 style="thin">
          <color rgb="FF000000"/>
        </top>
        <bottom/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alignment horizontal="left" vertical="bottom" textRotation="0" wrapText="1" indent="0" justifyLastLine="0" shrinkToFit="0" readingOrder="0"/>
      <border diagonalUp="0" diagonalDown="0" outline="0">
        <left/>
        <right style="thin">
          <color rgb="FF000000"/>
        </right>
        <top style="thin">
          <color rgb="FF000000"/>
        </top>
        <bottom/>
      </border>
    </dxf>
    <dxf>
      <alignment horizontal="left" vertical="bottom" textRotation="0" wrapText="1" indent="0" justifyLastLine="0" shrinkToFit="0" readingOrder="0"/>
      <border diagonalUp="0" diagonalDown="0">
        <left/>
        <right style="thin">
          <color rgb="FF000000"/>
        </right>
        <top style="thin">
          <color rgb="FF000000"/>
        </top>
        <bottom style="thin">
          <color rgb="FF000000"/>
        </bottom>
        <vertical/>
        <horizontal/>
      </border>
    </dxf>
    <dxf>
      <border outline="0">
        <top style="thin">
          <color rgb="FF000000"/>
        </top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border outline="0">
        <bottom style="thin">
          <color rgb="FF000000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family val="2"/>
        <scheme val="none"/>
      </font>
      <alignment horizontal="center" vertical="center" textRotation="0" wrapText="0" indent="0" justifyLastLine="0" shrinkToFit="0" readingOrder="0"/>
      <border diagonalUp="0" diagonalDown="0" outline="0">
        <left style="thin">
          <color rgb="FF000000"/>
        </left>
        <right style="thin">
          <color rgb="FF000000"/>
        </right>
        <top/>
        <bottom/>
      </border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1A2F194-EEF3-4DAD-A794-86DE9C9F6E92}" name="Р" displayName="Р" ref="A3:F16" totalsRowCount="1" headerRowDxfId="37" headerRowBorderDxfId="36" tableBorderDxfId="35" totalsRowBorderDxfId="34">
  <autoFilter ref="A3:F15" xr:uid="{61A2F194-EEF3-4DAD-A794-86DE9C9F6E92}"/>
  <tableColumns count="6">
    <tableColumn id="1" xr3:uid="{3F4B0EEC-ECC9-43EC-AFC9-2A34EE5D0B94}" name="Наименование" totalsRowLabel="Итог" dataDxfId="33" totalsRowDxfId="32"/>
    <tableColumn id="2" xr3:uid="{51D40AE6-182F-4B99-B204-C905FE6DE64F}" name="Ед. изм." dataDxfId="31" totalsRowDxfId="30"/>
    <tableColumn id="3" xr3:uid="{38331193-AF3A-4450-8840-5FB7952DE3C3}" name="Количество" dataDxfId="29" totalsRowDxfId="28"/>
    <tableColumn id="4" xr3:uid="{322A1D0C-B9B4-4BC7-AAAA-FD6E5A44858E}" name="Цена за ед., руб" dataDxfId="27" totalsRowDxfId="26"/>
    <tableColumn id="5" xr3:uid="{F89BDDCC-EBE3-4194-8CF6-66601601EF23}" name="Сумма, руб" totalsRowFunction="sum" dataDxfId="25" totalsRowDxfId="24">
      <calculatedColumnFormula>ROUND(Р[[#This Row],[Количество]]*Р[[#This Row],[Цена за ед., руб]],2)</calculatedColumnFormula>
    </tableColumn>
    <tableColumn id="6" xr3:uid="{A3FA2315-ECF1-4497-B8C1-114E236000D3}" name="Примечание" dataDxfId="23" totalsRowDxfId="22"/>
  </tableColumns>
  <tableStyleInfo name="TableStyleMedium9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90CBE416-182B-4D3D-8428-6B8D6F18D176}" name="М" displayName="М" ref="A3:I18" totalsRowCount="1" headerRowDxfId="21" headerRowBorderDxfId="20" tableBorderDxfId="19" totalsRowBorderDxfId="18">
  <autoFilter ref="A3:I17" xr:uid="{90CBE416-182B-4D3D-8428-6B8D6F18D176}"/>
  <tableColumns count="9">
    <tableColumn id="1" xr3:uid="{F414286D-E152-44CF-9AD0-38AB8AE88DB0}" name="Наим." totalsRowLabel="Итог" dataDxfId="17" totalsRowDxfId="16"/>
    <tableColumn id="2" xr3:uid="{8C020857-7521-49A8-889A-325F915A9954}" name="Артикул, марка, произв." dataDxfId="15" totalsRowDxfId="14"/>
    <tableColumn id="3" xr3:uid="{59458ADD-12ED-4094-AE2B-AEE083E87E4C}" name="Хар-ка" dataDxfId="13" totalsRowDxfId="12"/>
    <tableColumn id="4" xr3:uid="{98F36C15-83B5-4E35-A0CC-7C7B6DF345E1}" name="Ед. изм." dataDxfId="11" totalsRowDxfId="10"/>
    <tableColumn id="5" xr3:uid="{C86A70A3-527C-4A71-875B-FDDA9F73FB60}" name="Количество" dataDxfId="9" totalsRowDxfId="8"/>
    <tableColumn id="6" xr3:uid="{78F102E6-80FE-428F-99A6-DA3CA15BBF26}" name="Цена за ед., руб" dataDxfId="7" totalsRowDxfId="6"/>
    <tableColumn id="7" xr3:uid="{0E879D3A-948F-4EC1-9E31-C2E0166AA040}" name="Сумма, руб" totalsRowFunction="sum" dataDxfId="5" totalsRowDxfId="4">
      <calculatedColumnFormula>ROUND(М[[#This Row],[Количество]]*М[[#This Row],[Цена за ед., руб]],2)</calculatedColumnFormula>
    </tableColumn>
    <tableColumn id="8" xr3:uid="{3C464C6C-619F-4CA2-A76F-D09C32B28D8A}" name="Прим." dataDxfId="3" totalsRowDxfId="2"/>
    <tableColumn id="9" xr3:uid="{117210CD-2042-48BD-85E3-EBBC44E9304C}" name="Форма закупа" dataDxfId="1" totalsRow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outlinePr summaryBelow="0" summaryRight="0"/>
    <pageSetUpPr autoPageBreaks="0"/>
  </sheetPr>
  <dimension ref="A2:R75"/>
  <sheetViews>
    <sheetView tabSelected="1" zoomScale="55" zoomScaleNormal="55" workbookViewId="0">
      <pane ySplit="7" topLeftCell="A32" activePane="bottomLeft" state="frozen"/>
      <selection pane="bottomLeft" activeCell="B3" sqref="B3:J3"/>
    </sheetView>
  </sheetViews>
  <sheetFormatPr defaultColWidth="10.5" defaultRowHeight="15.75" outlineLevelRow="4" x14ac:dyDescent="0.25"/>
  <cols>
    <col min="1" max="1" width="14" style="21" bestFit="1" customWidth="1"/>
    <col min="2" max="2" width="61.33203125" style="21" bestFit="1" customWidth="1"/>
    <col min="3" max="3" width="15" style="21" bestFit="1" customWidth="1"/>
    <col min="4" max="4" width="30" style="21" customWidth="1"/>
    <col min="5" max="5" width="10.5" style="21" bestFit="1" customWidth="1"/>
    <col min="6" max="6" width="9" style="21" bestFit="1" customWidth="1"/>
    <col min="7" max="11" width="11.5" style="21" bestFit="1" customWidth="1"/>
    <col min="12" max="12" width="15.83203125" style="21" bestFit="1" customWidth="1"/>
    <col min="13" max="13" width="15.1640625" style="21" bestFit="1" customWidth="1"/>
    <col min="14" max="14" width="14.83203125" style="21" bestFit="1" customWidth="1"/>
    <col min="15" max="15" width="64" style="21" customWidth="1"/>
    <col min="16" max="16" width="23" style="21" bestFit="1" customWidth="1"/>
    <col min="17" max="16384" width="10.5" style="22"/>
  </cols>
  <sheetData>
    <row r="2" spans="1:16" x14ac:dyDescent="0.25">
      <c r="B2" s="96" t="s">
        <v>120</v>
      </c>
      <c r="C2" s="96"/>
      <c r="D2" s="96"/>
      <c r="E2" s="96"/>
      <c r="F2" s="96"/>
      <c r="G2" s="96"/>
      <c r="H2" s="96"/>
      <c r="I2" s="96"/>
      <c r="J2" s="96"/>
    </row>
    <row r="3" spans="1:16" x14ac:dyDescent="0.25">
      <c r="B3" s="96" t="s">
        <v>100</v>
      </c>
      <c r="C3" s="96"/>
      <c r="D3" s="96"/>
      <c r="E3" s="96"/>
      <c r="F3" s="96"/>
      <c r="G3" s="96"/>
      <c r="H3" s="96"/>
      <c r="I3" s="96"/>
      <c r="J3" s="96"/>
    </row>
    <row r="4" spans="1:16" ht="36.75" customHeight="1" x14ac:dyDescent="0.25">
      <c r="B4" s="97" t="s">
        <v>0</v>
      </c>
      <c r="C4" s="97"/>
      <c r="D4" s="97"/>
      <c r="E4" s="97"/>
      <c r="F4" s="97"/>
      <c r="G4" s="97"/>
      <c r="H4" s="97"/>
      <c r="I4" s="97"/>
      <c r="J4" s="97"/>
    </row>
    <row r="6" spans="1:16" x14ac:dyDescent="0.25">
      <c r="A6" s="106" t="s">
        <v>1</v>
      </c>
      <c r="B6" s="106" t="s">
        <v>2</v>
      </c>
      <c r="C6" s="108" t="s">
        <v>3</v>
      </c>
      <c r="D6" s="110" t="s">
        <v>4</v>
      </c>
      <c r="E6" s="106" t="s">
        <v>5</v>
      </c>
      <c r="F6" s="98" t="s">
        <v>6</v>
      </c>
      <c r="G6" s="100" t="s">
        <v>7</v>
      </c>
      <c r="H6" s="100" t="s">
        <v>8</v>
      </c>
      <c r="I6" s="100" t="s">
        <v>9</v>
      </c>
      <c r="J6" s="100" t="s">
        <v>10</v>
      </c>
      <c r="K6" s="100" t="s">
        <v>11</v>
      </c>
      <c r="L6" s="106" t="s">
        <v>12</v>
      </c>
      <c r="M6" s="98" t="s">
        <v>13</v>
      </c>
      <c r="N6" s="98" t="s">
        <v>14</v>
      </c>
      <c r="O6" s="106" t="s">
        <v>15</v>
      </c>
      <c r="P6" s="98" t="s">
        <v>16</v>
      </c>
    </row>
    <row r="7" spans="1:16" x14ac:dyDescent="0.25">
      <c r="A7" s="107"/>
      <c r="B7" s="107"/>
      <c r="C7" s="109"/>
      <c r="D7" s="111"/>
      <c r="E7" s="107"/>
      <c r="F7" s="99"/>
      <c r="G7" s="101"/>
      <c r="H7" s="101"/>
      <c r="I7" s="101"/>
      <c r="J7" s="101"/>
      <c r="K7" s="101"/>
      <c r="L7" s="107"/>
      <c r="M7" s="99"/>
      <c r="N7" s="99"/>
      <c r="O7" s="107"/>
      <c r="P7" s="99"/>
    </row>
    <row r="8" spans="1:16" x14ac:dyDescent="0.25">
      <c r="A8" s="23" t="s">
        <v>17</v>
      </c>
      <c r="B8" s="24" t="s">
        <v>18</v>
      </c>
      <c r="C8" s="25"/>
      <c r="D8" s="25"/>
      <c r="E8" s="26"/>
      <c r="F8" s="27"/>
      <c r="G8" s="27"/>
      <c r="H8" s="27"/>
      <c r="I8" s="27"/>
      <c r="J8" s="27"/>
      <c r="K8" s="27"/>
      <c r="L8" s="27"/>
      <c r="M8" s="28"/>
      <c r="N8" s="28"/>
      <c r="O8" s="25"/>
      <c r="P8" s="25"/>
    </row>
    <row r="9" spans="1:16" outlineLevel="1" x14ac:dyDescent="0.25">
      <c r="A9" s="29" t="s">
        <v>19</v>
      </c>
      <c r="B9" s="30" t="s">
        <v>20</v>
      </c>
      <c r="C9" s="31"/>
      <c r="D9" s="31"/>
      <c r="E9" s="32"/>
      <c r="F9" s="33"/>
      <c r="G9" s="33"/>
      <c r="H9" s="33"/>
      <c r="I9" s="33"/>
      <c r="J9" s="33"/>
      <c r="K9" s="33"/>
      <c r="L9" s="33"/>
      <c r="M9" s="34"/>
      <c r="N9" s="34">
        <f>SUM($N$61,$N$50,$N$27,$N$10)</f>
        <v>0</v>
      </c>
      <c r="O9" s="31"/>
      <c r="P9" s="31"/>
    </row>
    <row r="10" spans="1:16" outlineLevel="2" x14ac:dyDescent="0.25">
      <c r="A10" s="35" t="s">
        <v>21</v>
      </c>
      <c r="B10" s="36" t="s">
        <v>22</v>
      </c>
      <c r="C10" s="37"/>
      <c r="D10" s="37"/>
      <c r="E10" s="38"/>
      <c r="F10" s="39"/>
      <c r="G10" s="40"/>
      <c r="H10" s="40"/>
      <c r="I10" s="40"/>
      <c r="J10" s="40"/>
      <c r="K10" s="40"/>
      <c r="L10" s="40"/>
      <c r="M10" s="41"/>
      <c r="N10" s="41">
        <f>SUM($N$11)</f>
        <v>0</v>
      </c>
      <c r="O10" s="42"/>
      <c r="P10" s="42"/>
    </row>
    <row r="11" spans="1:16" outlineLevel="3" x14ac:dyDescent="0.25">
      <c r="A11" s="35" t="s">
        <v>23</v>
      </c>
      <c r="B11" s="36" t="s">
        <v>22</v>
      </c>
      <c r="C11" s="37"/>
      <c r="D11" s="37"/>
      <c r="E11" s="38"/>
      <c r="F11" s="39"/>
      <c r="G11" s="40"/>
      <c r="H11" s="40"/>
      <c r="I11" s="40"/>
      <c r="J11" s="40"/>
      <c r="K11" s="40"/>
      <c r="L11" s="40"/>
      <c r="M11" s="41"/>
      <c r="N11" s="41">
        <f>SUM($N$25,$N$23,$N$21,$N$18,$N$16,$N$14,$N$12)</f>
        <v>0</v>
      </c>
      <c r="O11" s="42"/>
      <c r="P11" s="42"/>
    </row>
    <row r="12" spans="1:16" outlineLevel="4" x14ac:dyDescent="0.25">
      <c r="A12" s="43"/>
      <c r="B12" s="36" t="s">
        <v>24</v>
      </c>
      <c r="C12" s="44"/>
      <c r="D12" s="44"/>
      <c r="E12" s="44"/>
      <c r="F12" s="44"/>
      <c r="G12" s="44"/>
      <c r="H12" s="44"/>
      <c r="I12" s="44"/>
      <c r="J12" s="44"/>
      <c r="K12" s="44"/>
      <c r="L12" s="44"/>
      <c r="M12" s="45"/>
      <c r="N12" s="46">
        <f>SUM($N$13)</f>
        <v>0</v>
      </c>
      <c r="O12" s="40"/>
      <c r="P12" s="47"/>
    </row>
    <row r="13" spans="1:16" outlineLevel="4" x14ac:dyDescent="0.25">
      <c r="A13" s="48"/>
      <c r="B13" s="49" t="s">
        <v>25</v>
      </c>
      <c r="C13" s="50"/>
      <c r="D13" s="50"/>
      <c r="E13" s="51" t="s">
        <v>26</v>
      </c>
      <c r="F13" s="52"/>
      <c r="G13" s="53">
        <f>G15</f>
        <v>1193</v>
      </c>
      <c r="H13" s="53">
        <f t="shared" ref="H13:K13" si="0">H15</f>
        <v>4746</v>
      </c>
      <c r="I13" s="53">
        <f t="shared" si="0"/>
        <v>3117</v>
      </c>
      <c r="J13" s="53">
        <f t="shared" si="0"/>
        <v>7138</v>
      </c>
      <c r="K13" s="53">
        <f t="shared" si="0"/>
        <v>4492</v>
      </c>
      <c r="L13" s="53">
        <f>SUM($G$13:$K$13)</f>
        <v>20686</v>
      </c>
      <c r="M13" s="54">
        <f t="array" ref="M13">INDEX(Р[Цена за ед., руб],MATCH(1,IF(($B13=Р[Наименование])*($O13=Р[Примечание]),{1},($B13=Р[Наименование])*($O13=Р[Примечание])),0))</f>
        <v>0</v>
      </c>
      <c r="N13" s="54">
        <f>ROUND($L$13*$M$13,2)</f>
        <v>0</v>
      </c>
      <c r="O13" s="50"/>
      <c r="P13" s="50"/>
    </row>
    <row r="14" spans="1:16" outlineLevel="4" x14ac:dyDescent="0.25">
      <c r="A14" s="43"/>
      <c r="B14" s="36" t="s">
        <v>27</v>
      </c>
      <c r="C14" s="44"/>
      <c r="D14" s="44"/>
      <c r="E14" s="44"/>
      <c r="F14" s="44"/>
      <c r="G14" s="44"/>
      <c r="H14" s="44"/>
      <c r="I14" s="44"/>
      <c r="J14" s="44"/>
      <c r="K14" s="44"/>
      <c r="L14" s="44"/>
      <c r="M14" s="45"/>
      <c r="N14" s="46">
        <f>SUM($N$15)</f>
        <v>0</v>
      </c>
      <c r="O14" s="40"/>
      <c r="P14" s="47"/>
    </row>
    <row r="15" spans="1:16" ht="31.5" outlineLevel="4" x14ac:dyDescent="0.25">
      <c r="A15" s="48" t="s">
        <v>28</v>
      </c>
      <c r="B15" s="49" t="s">
        <v>29</v>
      </c>
      <c r="C15" s="50"/>
      <c r="D15" s="50" t="s">
        <v>30</v>
      </c>
      <c r="E15" s="51" t="s">
        <v>26</v>
      </c>
      <c r="F15" s="52"/>
      <c r="G15" s="53">
        <v>1193</v>
      </c>
      <c r="H15" s="53">
        <v>4746</v>
      </c>
      <c r="I15" s="53">
        <v>3117</v>
      </c>
      <c r="J15" s="53">
        <v>7138</v>
      </c>
      <c r="K15" s="53">
        <v>4492</v>
      </c>
      <c r="L15" s="53">
        <f>SUM($G$15:$K$15)</f>
        <v>20686</v>
      </c>
      <c r="M15" s="54">
        <f t="array" ref="M15">INDEX(М[Цена за ед., руб],MATCH(1,IF(($B15=М[Наим.])*($C15=М[Артикул, марка, произв.])*($D15=М[Хар-ка])*($O15=М[Прим.]),{1},($B15=М[Наим.])*($C15=М[Артикул, марка, произв.])*($D15=М[Хар-ка])*($O15=М[Прим.])),0))</f>
        <v>0</v>
      </c>
      <c r="N15" s="54">
        <f>ROUND($L$15*$M$15,2)</f>
        <v>0</v>
      </c>
      <c r="O15" s="50"/>
      <c r="P15" s="50">
        <f t="array" ref="P15">INDEX(М[Форма закупа],MATCH(1,IF(($B15=М[Наим.])*($C15=М[Артикул, марка, произв.])*($D15=М[Хар-ка])*($O15=М[Прим.]),{1},($B15=М[Наим.])*($C15=М[Артикул, марка, произв.])*($D15=М[Хар-ка])*($O15=М[Прим.])),0))</f>
        <v>0</v>
      </c>
    </row>
    <row r="16" spans="1:16" outlineLevel="4" x14ac:dyDescent="0.25">
      <c r="A16" s="43"/>
      <c r="B16" s="36" t="s">
        <v>24</v>
      </c>
      <c r="C16" s="44"/>
      <c r="D16" s="44"/>
      <c r="E16" s="44"/>
      <c r="F16" s="44"/>
      <c r="G16" s="44"/>
      <c r="H16" s="44"/>
      <c r="I16" s="44"/>
      <c r="J16" s="44"/>
      <c r="K16" s="44"/>
      <c r="L16" s="44"/>
      <c r="M16" s="45"/>
      <c r="N16" s="46">
        <f>SUM($N$17)</f>
        <v>0</v>
      </c>
      <c r="O16" s="40"/>
      <c r="P16" s="47"/>
    </row>
    <row r="17" spans="1:16" outlineLevel="4" x14ac:dyDescent="0.25">
      <c r="A17" s="48"/>
      <c r="B17" s="49" t="s">
        <v>31</v>
      </c>
      <c r="C17" s="50"/>
      <c r="D17" s="50"/>
      <c r="E17" s="51" t="s">
        <v>26</v>
      </c>
      <c r="F17" s="52"/>
      <c r="G17" s="55">
        <f>G19+G20</f>
        <v>328</v>
      </c>
      <c r="H17" s="55">
        <f t="shared" ref="H17:K17" si="1">H19+H20</f>
        <v>455</v>
      </c>
      <c r="I17" s="55">
        <f t="shared" si="1"/>
        <v>377</v>
      </c>
      <c r="J17" s="55">
        <f t="shared" si="1"/>
        <v>281</v>
      </c>
      <c r="K17" s="55">
        <f t="shared" si="1"/>
        <v>531</v>
      </c>
      <c r="L17" s="53">
        <f>SUM($G$17:$K$17)</f>
        <v>1972</v>
      </c>
      <c r="M17" s="54">
        <f t="array" ref="M17">INDEX(Р[Цена за ед., руб],MATCH(1,IF(($B17=Р[Наименование])*($O17=Р[Примечание]),{1},($B17=Р[Наименование])*($O17=Р[Примечание])),0))</f>
        <v>0</v>
      </c>
      <c r="N17" s="54">
        <f>ROUND($L$17*$M$17,2)</f>
        <v>0</v>
      </c>
      <c r="O17" s="50"/>
      <c r="P17" s="50"/>
    </row>
    <row r="18" spans="1:16" outlineLevel="4" x14ac:dyDescent="0.25">
      <c r="A18" s="43"/>
      <c r="B18" s="36" t="s">
        <v>27</v>
      </c>
      <c r="C18" s="44"/>
      <c r="D18" s="44"/>
      <c r="E18" s="44"/>
      <c r="F18" s="44"/>
      <c r="G18" s="44"/>
      <c r="H18" s="44"/>
      <c r="I18" s="44"/>
      <c r="J18" s="44"/>
      <c r="K18" s="44"/>
      <c r="L18" s="44"/>
      <c r="M18" s="45"/>
      <c r="N18" s="46">
        <f>SUM($N$19:$N$20)</f>
        <v>0</v>
      </c>
      <c r="O18" s="40"/>
      <c r="P18" s="47"/>
    </row>
    <row r="19" spans="1:16" outlineLevel="4" x14ac:dyDescent="0.25">
      <c r="A19" s="48" t="s">
        <v>28</v>
      </c>
      <c r="B19" s="49" t="s">
        <v>29</v>
      </c>
      <c r="C19" s="50"/>
      <c r="D19" s="50" t="s">
        <v>32</v>
      </c>
      <c r="E19" s="51" t="s">
        <v>26</v>
      </c>
      <c r="F19" s="52"/>
      <c r="G19" s="55">
        <v>111</v>
      </c>
      <c r="H19" s="55">
        <v>152</v>
      </c>
      <c r="I19" s="55">
        <v>126</v>
      </c>
      <c r="J19" s="55">
        <v>94</v>
      </c>
      <c r="K19" s="55">
        <v>177</v>
      </c>
      <c r="L19" s="55">
        <f>SUM($G$19:$K$19)</f>
        <v>660</v>
      </c>
      <c r="M19" s="54">
        <f t="array" ref="M19">INDEX(М[Цена за ед., руб],MATCH(1,IF(($B19=М[Наим.])*($C19=М[Артикул,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  <c r="N19" s="54">
        <f>ROUND($L$19*$M$19,2)</f>
        <v>0</v>
      </c>
      <c r="O19" s="50"/>
      <c r="P19" s="50">
        <f t="array" ref="P19">INDEX(М[Форма закупа],MATCH(1,IF(($B19=М[Наим.])*($C19=М[Артикул, марка, произв.])*($D19=М[Хар-ка])*($O19=М[Прим.]),{1},($B19=М[Наим.])*($C19=М[Артикул, марка, произв.])*($D19=М[Хар-ка])*($O19=М[Прим.])),0))</f>
        <v>0</v>
      </c>
    </row>
    <row r="20" spans="1:16" outlineLevel="4" x14ac:dyDescent="0.25">
      <c r="A20" s="48" t="s">
        <v>33</v>
      </c>
      <c r="B20" s="49" t="s">
        <v>29</v>
      </c>
      <c r="C20" s="50"/>
      <c r="D20" s="50" t="s">
        <v>34</v>
      </c>
      <c r="E20" s="51" t="s">
        <v>26</v>
      </c>
      <c r="F20" s="52"/>
      <c r="G20" s="55">
        <v>217</v>
      </c>
      <c r="H20" s="55">
        <v>303</v>
      </c>
      <c r="I20" s="55">
        <v>251</v>
      </c>
      <c r="J20" s="55">
        <v>187</v>
      </c>
      <c r="K20" s="55">
        <v>354</v>
      </c>
      <c r="L20" s="53">
        <f>SUM($G$20:$K$20)</f>
        <v>1312</v>
      </c>
      <c r="M20" s="54">
        <f t="array" ref="M20">INDEX(М[Цена за ед., руб],MATCH(1,IF(($B20=М[Наим.])*($C20=М[Артикул,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  <c r="N20" s="54">
        <f>ROUND($L$20*$M$20,2)</f>
        <v>0</v>
      </c>
      <c r="O20" s="50"/>
      <c r="P20" s="50">
        <f t="array" ref="P20">INDEX(М[Форма закупа],MATCH(1,IF(($B20=М[Наим.])*($C20=М[Артикул, марка, произв.])*($D20=М[Хар-ка])*($O20=М[Прим.]),{1},($B20=М[Наим.])*($C20=М[Артикул, марка, произв.])*($D20=М[Хар-ка])*($O20=М[Прим.])),0))</f>
        <v>0</v>
      </c>
    </row>
    <row r="21" spans="1:16" outlineLevel="4" x14ac:dyDescent="0.25">
      <c r="A21" s="43"/>
      <c r="B21" s="36" t="s">
        <v>24</v>
      </c>
      <c r="C21" s="44"/>
      <c r="D21" s="44"/>
      <c r="E21" s="44"/>
      <c r="F21" s="44"/>
      <c r="G21" s="44"/>
      <c r="H21" s="44"/>
      <c r="I21" s="44"/>
      <c r="J21" s="44"/>
      <c r="K21" s="44"/>
      <c r="L21" s="44"/>
      <c r="M21" s="45"/>
      <c r="N21" s="46">
        <f>SUM($N$22)</f>
        <v>0</v>
      </c>
      <c r="O21" s="40"/>
      <c r="P21" s="47"/>
    </row>
    <row r="22" spans="1:16" outlineLevel="4" x14ac:dyDescent="0.25">
      <c r="A22" s="48"/>
      <c r="B22" s="49" t="s">
        <v>35</v>
      </c>
      <c r="C22" s="50"/>
      <c r="D22" s="50"/>
      <c r="E22" s="51" t="s">
        <v>26</v>
      </c>
      <c r="F22" s="52"/>
      <c r="G22" s="55">
        <f>G24</f>
        <v>217</v>
      </c>
      <c r="H22" s="55">
        <f t="shared" ref="H22:K22" si="2">H24</f>
        <v>303</v>
      </c>
      <c r="I22" s="55">
        <f t="shared" si="2"/>
        <v>251</v>
      </c>
      <c r="J22" s="55">
        <f t="shared" si="2"/>
        <v>187</v>
      </c>
      <c r="K22" s="55">
        <f t="shared" si="2"/>
        <v>354</v>
      </c>
      <c r="L22" s="53">
        <f>SUM($G$22:$K$22)</f>
        <v>1312</v>
      </c>
      <c r="M22" s="54">
        <f t="array" ref="M22">INDEX(Р[Цена за ед., руб],MATCH(1,IF(($B22=Р[Наименование])*($O22=Р[Примечание]),{1},($B22=Р[Наименование])*($O22=Р[Примечание])),0))</f>
        <v>0</v>
      </c>
      <c r="N22" s="54">
        <f>ROUND($L$22*$M$22,2)</f>
        <v>0</v>
      </c>
      <c r="O22" s="50"/>
      <c r="P22" s="50"/>
    </row>
    <row r="23" spans="1:16" outlineLevel="4" x14ac:dyDescent="0.25">
      <c r="A23" s="43"/>
      <c r="B23" s="36" t="s">
        <v>27</v>
      </c>
      <c r="C23" s="44"/>
      <c r="D23" s="44"/>
      <c r="E23" s="44"/>
      <c r="F23" s="44"/>
      <c r="G23" s="44"/>
      <c r="H23" s="44"/>
      <c r="I23" s="44"/>
      <c r="J23" s="44"/>
      <c r="K23" s="44"/>
      <c r="L23" s="44"/>
      <c r="M23" s="45"/>
      <c r="N23" s="46">
        <f>SUM($N$24)</f>
        <v>0</v>
      </c>
      <c r="O23" s="40"/>
      <c r="P23" s="47"/>
    </row>
    <row r="24" spans="1:16" ht="31.5" outlineLevel="4" x14ac:dyDescent="0.25">
      <c r="A24" s="48" t="s">
        <v>28</v>
      </c>
      <c r="B24" s="49" t="s">
        <v>36</v>
      </c>
      <c r="C24" s="50"/>
      <c r="D24" s="50" t="s">
        <v>37</v>
      </c>
      <c r="E24" s="51" t="s">
        <v>38</v>
      </c>
      <c r="F24" s="52"/>
      <c r="G24" s="55">
        <v>217</v>
      </c>
      <c r="H24" s="55">
        <v>303</v>
      </c>
      <c r="I24" s="55">
        <v>251</v>
      </c>
      <c r="J24" s="55">
        <v>187</v>
      </c>
      <c r="K24" s="55">
        <v>354</v>
      </c>
      <c r="L24" s="53">
        <f>SUM($G$24:$K$24)</f>
        <v>1312</v>
      </c>
      <c r="M24" s="54">
        <f t="array" ref="M24">INDEX(М[Цена за ед., руб],MATCH(1,IF(($B24=М[Наим.])*($C24=М[Артикул,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  <c r="N24" s="54">
        <f>ROUND($L$24*$M$24,2)</f>
        <v>0</v>
      </c>
      <c r="O24" s="50"/>
      <c r="P24" s="50">
        <f t="array" ref="P24">INDEX(М[Форма закупа],MATCH(1,IF(($B24=М[Наим.])*($C24=М[Артикул, марка, произв.])*($D24=М[Хар-ка])*($O24=М[Прим.]),{1},($B24=М[Наим.])*($C24=М[Артикул, марка, произв.])*($D24=М[Хар-ка])*($O24=М[Прим.])),0))</f>
        <v>0</v>
      </c>
    </row>
    <row r="25" spans="1:16" outlineLevel="4" x14ac:dyDescent="0.25">
      <c r="A25" s="43"/>
      <c r="B25" s="36" t="s">
        <v>27</v>
      </c>
      <c r="C25" s="44"/>
      <c r="D25" s="44"/>
      <c r="E25" s="44"/>
      <c r="F25" s="44"/>
      <c r="G25" s="44"/>
      <c r="H25" s="44"/>
      <c r="I25" s="44"/>
      <c r="J25" s="44"/>
      <c r="K25" s="44"/>
      <c r="L25" s="44"/>
      <c r="M25" s="45"/>
      <c r="N25" s="46">
        <f>SUM($N$26)</f>
        <v>0</v>
      </c>
      <c r="O25" s="40"/>
      <c r="P25" s="47"/>
    </row>
    <row r="26" spans="1:16" outlineLevel="4" x14ac:dyDescent="0.25">
      <c r="A26" s="48" t="s">
        <v>28</v>
      </c>
      <c r="B26" s="61" t="s">
        <v>110</v>
      </c>
      <c r="C26" s="62"/>
      <c r="D26" s="62"/>
      <c r="E26" s="63" t="s">
        <v>39</v>
      </c>
      <c r="F26" s="52"/>
      <c r="G26" s="52"/>
      <c r="H26" s="52"/>
      <c r="I26" s="52"/>
      <c r="J26" s="52"/>
      <c r="K26" s="52"/>
      <c r="L26" s="86">
        <f>Материалы!E17</f>
        <v>0</v>
      </c>
      <c r="M26" s="87"/>
      <c r="N26" s="87">
        <f>ROUND(SUM(N15,N19:N20,N24)*L26%,3)</f>
        <v>0</v>
      </c>
      <c r="O26" s="50"/>
      <c r="P26" s="50">
        <f t="array" ref="P26">INDEX(М[Форма закупа],MATCH(1,IF(($B26=М[Наим.])*($C26=М[Артикул, марка, произв.])*($D26=М[Хар-ка])*($O26=М[Прим.]),{1},($B26=М[Наим.])*($C26=М[Артикул, марка, произв.])*($D26=М[Хар-ка])*($O26=М[Прим.])),0))</f>
        <v>0</v>
      </c>
    </row>
    <row r="27" spans="1:16" outlineLevel="2" x14ac:dyDescent="0.25">
      <c r="A27" s="35" t="s">
        <v>40</v>
      </c>
      <c r="B27" s="36" t="s">
        <v>41</v>
      </c>
      <c r="C27" s="37"/>
      <c r="D27" s="37"/>
      <c r="E27" s="38"/>
      <c r="F27" s="39"/>
      <c r="G27" s="40"/>
      <c r="H27" s="40"/>
      <c r="I27" s="40"/>
      <c r="J27" s="40"/>
      <c r="K27" s="40"/>
      <c r="L27" s="40"/>
      <c r="M27" s="41"/>
      <c r="N27" s="41">
        <f>SUM($N$28)</f>
        <v>0</v>
      </c>
      <c r="O27" s="42"/>
      <c r="P27" s="42"/>
    </row>
    <row r="28" spans="1:16" outlineLevel="3" x14ac:dyDescent="0.25">
      <c r="A28" s="35" t="s">
        <v>42</v>
      </c>
      <c r="B28" s="36" t="s">
        <v>41</v>
      </c>
      <c r="C28" s="37"/>
      <c r="D28" s="37"/>
      <c r="E28" s="38"/>
      <c r="F28" s="39"/>
      <c r="G28" s="40"/>
      <c r="H28" s="40"/>
      <c r="I28" s="40"/>
      <c r="J28" s="40"/>
      <c r="K28" s="40"/>
      <c r="L28" s="40"/>
      <c r="M28" s="41"/>
      <c r="N28" s="41">
        <f>SUM($N$43,$N$37,$N$33,$N$29)</f>
        <v>0</v>
      </c>
      <c r="O28" s="42"/>
      <c r="P28" s="42"/>
    </row>
    <row r="29" spans="1:16" outlineLevel="4" x14ac:dyDescent="0.25">
      <c r="A29" s="43"/>
      <c r="B29" s="36" t="s">
        <v>104</v>
      </c>
      <c r="C29" s="44"/>
      <c r="D29" s="44"/>
      <c r="E29" s="44"/>
      <c r="F29" s="44"/>
      <c r="G29" s="44"/>
      <c r="H29" s="44"/>
      <c r="I29" s="44"/>
      <c r="J29" s="44"/>
      <c r="K29" s="44"/>
      <c r="L29" s="44"/>
      <c r="M29" s="45"/>
      <c r="N29" s="46">
        <f>SUM($N$30:$N$32)</f>
        <v>0</v>
      </c>
      <c r="O29" s="40"/>
      <c r="P29" s="47"/>
    </row>
    <row r="30" spans="1:16" outlineLevel="4" x14ac:dyDescent="0.25">
      <c r="A30" s="48"/>
      <c r="B30" s="49" t="s">
        <v>101</v>
      </c>
      <c r="C30" s="50"/>
      <c r="D30" s="50"/>
      <c r="E30" s="51" t="s">
        <v>45</v>
      </c>
      <c r="F30" s="52"/>
      <c r="G30" s="55">
        <f>G34</f>
        <v>0</v>
      </c>
      <c r="H30" s="55">
        <f t="shared" ref="H30:K30" si="3">H34</f>
        <v>13</v>
      </c>
      <c r="I30" s="55">
        <f t="shared" si="3"/>
        <v>0</v>
      </c>
      <c r="J30" s="55">
        <f t="shared" si="3"/>
        <v>28</v>
      </c>
      <c r="K30" s="55">
        <f t="shared" si="3"/>
        <v>14</v>
      </c>
      <c r="L30" s="55">
        <f>SUM(G30:K30)</f>
        <v>55</v>
      </c>
      <c r="M30" s="54">
        <f t="array" ref="M30">INDEX(Р[Цена за ед., руб],MATCH(1,IF(($B30=Р[Наименование])*($O30=Р[Примечание]),{1},($B30=Р[Наименование])*($O30=Р[Примечание])),0))</f>
        <v>0</v>
      </c>
      <c r="N30" s="54">
        <f>ROUND(L30*M30,2)</f>
        <v>0</v>
      </c>
      <c r="O30" s="50"/>
      <c r="P30" s="50"/>
    </row>
    <row r="31" spans="1:16" outlineLevel="4" x14ac:dyDescent="0.25">
      <c r="A31" s="48"/>
      <c r="B31" s="49" t="s">
        <v>102</v>
      </c>
      <c r="C31" s="50"/>
      <c r="D31" s="50"/>
      <c r="E31" s="51" t="s">
        <v>45</v>
      </c>
      <c r="F31" s="52"/>
      <c r="G31" s="55">
        <f>G35</f>
        <v>51</v>
      </c>
      <c r="H31" s="55">
        <f t="shared" ref="H31:K31" si="4">H35</f>
        <v>230</v>
      </c>
      <c r="I31" s="55">
        <f t="shared" si="4"/>
        <v>150</v>
      </c>
      <c r="J31" s="55">
        <f t="shared" si="4"/>
        <v>332</v>
      </c>
      <c r="K31" s="55">
        <f t="shared" si="4"/>
        <v>242</v>
      </c>
      <c r="L31" s="55">
        <f t="shared" ref="L31:L32" si="5">SUM(G31:K31)</f>
        <v>1005</v>
      </c>
      <c r="M31" s="54">
        <f t="array" ref="M31">INDEX(Р[Цена за ед., руб],MATCH(1,IF(($B31=Р[Наименование])*($O31=Р[Примечание]),{1},($B31=Р[Наименование])*($O31=Р[Примечание])),0))</f>
        <v>0</v>
      </c>
      <c r="N31" s="54">
        <f t="shared" ref="N31:N32" si="6">ROUND(L31*M31,2)</f>
        <v>0</v>
      </c>
      <c r="O31" s="50"/>
      <c r="P31" s="50"/>
    </row>
    <row r="32" spans="1:16" outlineLevel="4" x14ac:dyDescent="0.25">
      <c r="A32" s="48"/>
      <c r="B32" s="49" t="s">
        <v>103</v>
      </c>
      <c r="C32" s="50"/>
      <c r="D32" s="50"/>
      <c r="E32" s="51" t="s">
        <v>45</v>
      </c>
      <c r="F32" s="52"/>
      <c r="G32" s="55">
        <f>G36</f>
        <v>9</v>
      </c>
      <c r="H32" s="55">
        <f t="shared" ref="H32:K32" si="7">H36</f>
        <v>46</v>
      </c>
      <c r="I32" s="55">
        <f t="shared" si="7"/>
        <v>30</v>
      </c>
      <c r="J32" s="55">
        <f t="shared" si="7"/>
        <v>58</v>
      </c>
      <c r="K32" s="55">
        <f t="shared" si="7"/>
        <v>44</v>
      </c>
      <c r="L32" s="55">
        <f t="shared" si="5"/>
        <v>187</v>
      </c>
      <c r="M32" s="54">
        <f t="array" ref="M32">INDEX(Р[Цена за ед., руб],MATCH(1,IF(($B32=Р[Наименование])*($O32=Р[Примечание]),{1},($B32=Р[Наименование])*($O32=Р[Примечание])),0))</f>
        <v>0</v>
      </c>
      <c r="N32" s="54">
        <f t="shared" si="6"/>
        <v>0</v>
      </c>
      <c r="O32" s="50"/>
      <c r="P32" s="50"/>
    </row>
    <row r="33" spans="1:16" outlineLevel="4" x14ac:dyDescent="0.25">
      <c r="A33" s="43"/>
      <c r="B33" s="36" t="s">
        <v>27</v>
      </c>
      <c r="C33" s="44"/>
      <c r="D33" s="44"/>
      <c r="E33" s="44"/>
      <c r="F33" s="44"/>
      <c r="G33" s="44"/>
      <c r="H33" s="44"/>
      <c r="I33" s="44"/>
      <c r="J33" s="44"/>
      <c r="K33" s="44"/>
      <c r="L33" s="44"/>
      <c r="M33" s="45"/>
      <c r="N33" s="46">
        <f>SUM($N$34:$N$36)</f>
        <v>0</v>
      </c>
      <c r="O33" s="40"/>
      <c r="P33" s="47"/>
    </row>
    <row r="34" spans="1:16" ht="31.5" outlineLevel="4" x14ac:dyDescent="0.25">
      <c r="A34" s="48" t="s">
        <v>28</v>
      </c>
      <c r="B34" s="49" t="s">
        <v>44</v>
      </c>
      <c r="C34" s="50"/>
      <c r="D34" s="50"/>
      <c r="E34" s="51" t="s">
        <v>45</v>
      </c>
      <c r="F34" s="52"/>
      <c r="G34" s="52"/>
      <c r="H34" s="55">
        <v>13</v>
      </c>
      <c r="I34" s="52"/>
      <c r="J34" s="55">
        <v>28</v>
      </c>
      <c r="K34" s="55">
        <v>14</v>
      </c>
      <c r="L34" s="55">
        <f>SUM($G$34:$K$34)</f>
        <v>55</v>
      </c>
      <c r="M34" s="54">
        <f t="array" ref="M34">INDEX(М[Цена за ед., руб],MATCH(1,IF(($B34=М[Наим.])*($C34=М[Артикул,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  <c r="N34" s="54">
        <f>ROUND($L$34*$M$34,2)</f>
        <v>0</v>
      </c>
      <c r="O34" s="50" t="s">
        <v>46</v>
      </c>
      <c r="P34" s="50">
        <f t="array" ref="P34">INDEX(М[Форма закупа],MATCH(1,IF(($B34=М[Наим.])*($C34=М[Артикул, марка, произв.])*($D34=М[Хар-ка])*($O34=М[Прим.]),{1},($B34=М[Наим.])*($C34=М[Артикул, марка, произв.])*($D34=М[Хар-ка])*($O34=М[Прим.])),0))</f>
        <v>0</v>
      </c>
    </row>
    <row r="35" spans="1:16" ht="31.5" outlineLevel="4" x14ac:dyDescent="0.25">
      <c r="A35" s="48" t="s">
        <v>33</v>
      </c>
      <c r="B35" s="49" t="s">
        <v>47</v>
      </c>
      <c r="C35" s="50"/>
      <c r="D35" s="50"/>
      <c r="E35" s="51" t="s">
        <v>45</v>
      </c>
      <c r="F35" s="52"/>
      <c r="G35" s="55">
        <v>51</v>
      </c>
      <c r="H35" s="55">
        <v>230</v>
      </c>
      <c r="I35" s="55">
        <v>150</v>
      </c>
      <c r="J35" s="55">
        <v>332</v>
      </c>
      <c r="K35" s="55">
        <v>242</v>
      </c>
      <c r="L35" s="53">
        <f>SUM($G$35:$K$35)</f>
        <v>1005</v>
      </c>
      <c r="M35" s="54">
        <f t="array" ref="M35">INDEX(М[Цена за ед., руб],MATCH(1,IF(($B35=М[Наим.])*($C35=М[Артикул,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  <c r="N35" s="54">
        <f>ROUND($L$35*$M$35,2)</f>
        <v>0</v>
      </c>
      <c r="O35" s="50" t="s">
        <v>48</v>
      </c>
      <c r="P35" s="50">
        <f t="array" ref="P35">INDEX(М[Форма закупа],MATCH(1,IF(($B35=М[Наим.])*($C35=М[Артикул, марка, произв.])*($D35=М[Хар-ка])*($O35=М[Прим.]),{1},($B35=М[Наим.])*($C35=М[Артикул, марка, произв.])*($D35=М[Хар-ка])*($O35=М[Прим.])),0))</f>
        <v>0</v>
      </c>
    </row>
    <row r="36" spans="1:16" outlineLevel="4" x14ac:dyDescent="0.25">
      <c r="A36" s="48" t="s">
        <v>49</v>
      </c>
      <c r="B36" s="49" t="s">
        <v>50</v>
      </c>
      <c r="C36" s="50"/>
      <c r="D36" s="50"/>
      <c r="E36" s="51" t="s">
        <v>45</v>
      </c>
      <c r="F36" s="52"/>
      <c r="G36" s="55">
        <v>9</v>
      </c>
      <c r="H36" s="55">
        <v>46</v>
      </c>
      <c r="I36" s="55">
        <v>30</v>
      </c>
      <c r="J36" s="55">
        <v>58</v>
      </c>
      <c r="K36" s="55">
        <v>44</v>
      </c>
      <c r="L36" s="55">
        <f>SUM($G$36:$K$36)</f>
        <v>187</v>
      </c>
      <c r="M36" s="54">
        <f t="array" ref="M36">INDEX(М[Цена за ед., руб],MATCH(1,IF(($B36=М[Наим.])*($C36=М[Артикул,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  <c r="N36" s="54">
        <f>ROUND($L$36*$M$36,2)</f>
        <v>0</v>
      </c>
      <c r="O36" s="50" t="s">
        <v>51</v>
      </c>
      <c r="P36" s="50">
        <f t="array" ref="P36">INDEX(М[Форма закупа],MATCH(1,IF(($B36=М[Наим.])*($C36=М[Артикул, марка, произв.])*($D36=М[Хар-ка])*($O36=М[Прим.]),{1},($B36=М[Наим.])*($C36=М[Артикул, марка, произв.])*($D36=М[Хар-ка])*($O36=М[Прим.])),0))</f>
        <v>0</v>
      </c>
    </row>
    <row r="37" spans="1:16" outlineLevel="4" x14ac:dyDescent="0.25">
      <c r="A37" s="43"/>
      <c r="B37" s="36" t="s">
        <v>24</v>
      </c>
      <c r="C37" s="44"/>
      <c r="D37" s="44"/>
      <c r="E37" s="44"/>
      <c r="F37" s="44"/>
      <c r="G37" s="44"/>
      <c r="H37" s="44"/>
      <c r="I37" s="44"/>
      <c r="J37" s="44"/>
      <c r="K37" s="44"/>
      <c r="L37" s="44"/>
      <c r="M37" s="45"/>
      <c r="N37" s="46">
        <f>SUM($N$38:$N$42)</f>
        <v>0</v>
      </c>
      <c r="O37" s="40"/>
      <c r="P37" s="47"/>
    </row>
    <row r="38" spans="1:16" outlineLevel="4" x14ac:dyDescent="0.25">
      <c r="A38" s="48"/>
      <c r="B38" s="49" t="s">
        <v>105</v>
      </c>
      <c r="C38" s="50"/>
      <c r="D38" s="50"/>
      <c r="E38" s="51" t="s">
        <v>45</v>
      </c>
      <c r="F38" s="52"/>
      <c r="G38" s="55">
        <f>G44</f>
        <v>1</v>
      </c>
      <c r="H38" s="55">
        <f t="shared" ref="H38:K38" si="8">H44</f>
        <v>2</v>
      </c>
      <c r="I38" s="55">
        <f t="shared" si="8"/>
        <v>1</v>
      </c>
      <c r="J38" s="55">
        <f t="shared" si="8"/>
        <v>2</v>
      </c>
      <c r="K38" s="55">
        <f t="shared" si="8"/>
        <v>3</v>
      </c>
      <c r="L38" s="55">
        <f t="shared" ref="L38:L42" si="9">SUM(G38:K38)</f>
        <v>9</v>
      </c>
      <c r="M38" s="54">
        <f t="array" ref="M38">INDEX(Р[Цена за ед., руб],MATCH(1,IF(($B38=Р[Наименование])*($O38=Р[Примечание]),{1},($B38=Р[Наименование])*($O38=Р[Примечание])),0))</f>
        <v>0</v>
      </c>
      <c r="N38" s="54">
        <f t="shared" ref="N38:N42" si="10">ROUND(L38*M38,2)</f>
        <v>0</v>
      </c>
      <c r="O38" s="50"/>
      <c r="P38" s="50"/>
    </row>
    <row r="39" spans="1:16" outlineLevel="4" x14ac:dyDescent="0.25">
      <c r="A39" s="48"/>
      <c r="B39" s="49" t="s">
        <v>106</v>
      </c>
      <c r="C39" s="50"/>
      <c r="D39" s="50"/>
      <c r="E39" s="51" t="s">
        <v>45</v>
      </c>
      <c r="F39" s="52"/>
      <c r="G39" s="55">
        <f t="shared" ref="G39:K40" si="11">G45</f>
        <v>2</v>
      </c>
      <c r="H39" s="55">
        <f t="shared" si="11"/>
        <v>2</v>
      </c>
      <c r="I39" s="55">
        <f t="shared" si="11"/>
        <v>2</v>
      </c>
      <c r="J39" s="55">
        <f t="shared" si="11"/>
        <v>2</v>
      </c>
      <c r="K39" s="55">
        <f t="shared" si="11"/>
        <v>2</v>
      </c>
      <c r="L39" s="55">
        <f t="shared" si="9"/>
        <v>10</v>
      </c>
      <c r="M39" s="54">
        <f t="array" ref="M39">INDEX(Р[Цена за ед., руб],MATCH(1,IF(($B39=Р[Наименование])*($O39=Р[Примечание]),{1},($B39=Р[Наименование])*($O39=Р[Примечание])),0))</f>
        <v>0</v>
      </c>
      <c r="N39" s="54">
        <f t="shared" si="10"/>
        <v>0</v>
      </c>
      <c r="O39" s="50"/>
      <c r="P39" s="50"/>
    </row>
    <row r="40" spans="1:16" outlineLevel="4" x14ac:dyDescent="0.25">
      <c r="A40" s="48"/>
      <c r="B40" s="49" t="s">
        <v>107</v>
      </c>
      <c r="C40" s="50"/>
      <c r="D40" s="50"/>
      <c r="E40" s="51" t="s">
        <v>45</v>
      </c>
      <c r="F40" s="52"/>
      <c r="G40" s="55">
        <f t="shared" si="11"/>
        <v>3</v>
      </c>
      <c r="H40" s="55">
        <f t="shared" si="11"/>
        <v>4</v>
      </c>
      <c r="I40" s="55">
        <f t="shared" si="11"/>
        <v>3</v>
      </c>
      <c r="J40" s="55">
        <f t="shared" si="11"/>
        <v>4</v>
      </c>
      <c r="K40" s="55">
        <f t="shared" si="11"/>
        <v>5</v>
      </c>
      <c r="L40" s="55">
        <f t="shared" si="9"/>
        <v>19</v>
      </c>
      <c r="M40" s="54">
        <f t="array" ref="M40">INDEX(Р[Цена за ед., руб],MATCH(1,IF(($B40=Р[Наименование])*($O40=Р[Примечание]),{1},($B40=Р[Наименование])*($O40=Р[Примечание])),0))</f>
        <v>0</v>
      </c>
      <c r="N40" s="54">
        <f t="shared" si="10"/>
        <v>0</v>
      </c>
      <c r="O40" s="50"/>
      <c r="P40" s="50"/>
    </row>
    <row r="41" spans="1:16" ht="31.5" outlineLevel="4" x14ac:dyDescent="0.25">
      <c r="A41" s="48"/>
      <c r="B41" s="49" t="s">
        <v>108</v>
      </c>
      <c r="C41" s="50"/>
      <c r="D41" s="50"/>
      <c r="E41" s="51" t="s">
        <v>45</v>
      </c>
      <c r="F41" s="52"/>
      <c r="G41" s="55">
        <f>G47+G48</f>
        <v>4</v>
      </c>
      <c r="H41" s="55">
        <f t="shared" ref="H41:K41" si="12">H47+H48</f>
        <v>5</v>
      </c>
      <c r="I41" s="55">
        <f t="shared" si="12"/>
        <v>4</v>
      </c>
      <c r="J41" s="55">
        <f t="shared" si="12"/>
        <v>5</v>
      </c>
      <c r="K41" s="55">
        <f t="shared" si="12"/>
        <v>6</v>
      </c>
      <c r="L41" s="55">
        <f t="shared" si="9"/>
        <v>24</v>
      </c>
      <c r="M41" s="54">
        <f t="array" ref="M41">INDEX(Р[Цена за ед., руб],MATCH(1,IF(($B41=Р[Наименование])*($O41=Р[Примечание]),{1},($B41=Р[Наименование])*($O41=Р[Примечание])),0))</f>
        <v>0</v>
      </c>
      <c r="N41" s="54">
        <f t="shared" si="10"/>
        <v>0</v>
      </c>
      <c r="O41" s="50"/>
      <c r="P41" s="50"/>
    </row>
    <row r="42" spans="1:16" outlineLevel="4" x14ac:dyDescent="0.25">
      <c r="A42" s="48"/>
      <c r="B42" s="49" t="s">
        <v>109</v>
      </c>
      <c r="C42" s="50"/>
      <c r="D42" s="50"/>
      <c r="E42" s="51" t="s">
        <v>45</v>
      </c>
      <c r="F42" s="52"/>
      <c r="G42" s="55">
        <f>G49</f>
        <v>3</v>
      </c>
      <c r="H42" s="55">
        <f t="shared" ref="H42:K42" si="13">H49</f>
        <v>4</v>
      </c>
      <c r="I42" s="55">
        <f t="shared" si="13"/>
        <v>3</v>
      </c>
      <c r="J42" s="55">
        <f t="shared" si="13"/>
        <v>4</v>
      </c>
      <c r="K42" s="55">
        <f t="shared" si="13"/>
        <v>5</v>
      </c>
      <c r="L42" s="55">
        <f t="shared" si="9"/>
        <v>19</v>
      </c>
      <c r="M42" s="54">
        <f t="array" ref="M42">INDEX(Р[Цена за ед., руб],MATCH(1,IF(($B42=Р[Наименование])*($O42=Р[Примечание]),{1},($B42=Р[Наименование])*($O42=Р[Примечание])),0))</f>
        <v>0</v>
      </c>
      <c r="N42" s="54">
        <f t="shared" si="10"/>
        <v>0</v>
      </c>
      <c r="O42" s="50"/>
      <c r="P42" s="50"/>
    </row>
    <row r="43" spans="1:16" outlineLevel="4" x14ac:dyDescent="0.25">
      <c r="A43" s="43"/>
      <c r="B43" s="36" t="s">
        <v>27</v>
      </c>
      <c r="C43" s="44"/>
      <c r="D43" s="44"/>
      <c r="E43" s="44"/>
      <c r="F43" s="44"/>
      <c r="G43" s="44"/>
      <c r="H43" s="44"/>
      <c r="I43" s="44"/>
      <c r="J43" s="44"/>
      <c r="K43" s="44"/>
      <c r="L43" s="44"/>
      <c r="M43" s="45"/>
      <c r="N43" s="46">
        <f>SUM($N$44:$N$49)</f>
        <v>0</v>
      </c>
      <c r="O43" s="40"/>
      <c r="P43" s="47"/>
    </row>
    <row r="44" spans="1:16" ht="31.5" outlineLevel="4" x14ac:dyDescent="0.25">
      <c r="A44" s="48" t="s">
        <v>28</v>
      </c>
      <c r="B44" s="49" t="s">
        <v>52</v>
      </c>
      <c r="C44" s="50"/>
      <c r="D44" s="50"/>
      <c r="E44" s="51" t="s">
        <v>45</v>
      </c>
      <c r="F44" s="52"/>
      <c r="G44" s="55">
        <v>1</v>
      </c>
      <c r="H44" s="55">
        <v>2</v>
      </c>
      <c r="I44" s="55">
        <v>1</v>
      </c>
      <c r="J44" s="55">
        <v>2</v>
      </c>
      <c r="K44" s="55">
        <v>3</v>
      </c>
      <c r="L44" s="55">
        <f>SUM($G$44:$K$44)</f>
        <v>9</v>
      </c>
      <c r="M44" s="54">
        <f t="array" ref="M44">INDEX(М[Цена за ед., руб],MATCH(1,IF(($B44=М[Наим.])*($C44=М[Артикул,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  <c r="N44" s="54">
        <f>ROUND($L$44*$M$44,2)</f>
        <v>0</v>
      </c>
      <c r="O44" s="50" t="s">
        <v>53</v>
      </c>
      <c r="P44" s="50">
        <f t="array" ref="P44">INDEX(М[Форма закупа],MATCH(1,IF(($B44=М[Наим.])*($C44=М[Артикул, марка, произв.])*($D44=М[Хар-ка])*($O44=М[Прим.]),{1},($B44=М[Наим.])*($C44=М[Артикул, марка, произв.])*($D44=М[Хар-ка])*($O44=М[Прим.])),0))</f>
        <v>0</v>
      </c>
    </row>
    <row r="45" spans="1:16" ht="31.5" outlineLevel="4" x14ac:dyDescent="0.25">
      <c r="A45" s="48" t="s">
        <v>33</v>
      </c>
      <c r="B45" s="49" t="s">
        <v>54</v>
      </c>
      <c r="C45" s="50"/>
      <c r="D45" s="50"/>
      <c r="E45" s="51" t="s">
        <v>45</v>
      </c>
      <c r="F45" s="52"/>
      <c r="G45" s="55">
        <v>2</v>
      </c>
      <c r="H45" s="55">
        <v>2</v>
      </c>
      <c r="I45" s="55">
        <v>2</v>
      </c>
      <c r="J45" s="55">
        <v>2</v>
      </c>
      <c r="K45" s="55">
        <v>2</v>
      </c>
      <c r="L45" s="55">
        <f>SUM($G$45:$K$45)</f>
        <v>10</v>
      </c>
      <c r="M45" s="54">
        <f t="array" ref="M45">INDEX(М[Цена за ед., руб],MATCH(1,IF(($B45=М[Наим.])*($C45=М[Артикул,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  <c r="N45" s="54">
        <f>ROUND($L$45*$M$45,2)</f>
        <v>0</v>
      </c>
      <c r="O45" s="50" t="s">
        <v>55</v>
      </c>
      <c r="P45" s="50">
        <f t="array" ref="P45">INDEX(М[Форма закупа],MATCH(1,IF(($B45=М[Наим.])*($C45=М[Артикул, марка, произв.])*($D45=М[Хар-ка])*($O45=М[Прим.]),{1},($B45=М[Наим.])*($C45=М[Артикул, марка, произв.])*($D45=М[Хар-ка])*($O45=М[Прим.])),0))</f>
        <v>0</v>
      </c>
    </row>
    <row r="46" spans="1:16" ht="31.5" outlineLevel="4" x14ac:dyDescent="0.25">
      <c r="A46" s="48" t="s">
        <v>49</v>
      </c>
      <c r="B46" s="49" t="s">
        <v>56</v>
      </c>
      <c r="C46" s="50"/>
      <c r="D46" s="50" t="s">
        <v>57</v>
      </c>
      <c r="E46" s="51" t="s">
        <v>45</v>
      </c>
      <c r="F46" s="52"/>
      <c r="G46" s="55">
        <v>3</v>
      </c>
      <c r="H46" s="55">
        <v>4</v>
      </c>
      <c r="I46" s="55">
        <v>3</v>
      </c>
      <c r="J46" s="55">
        <v>4</v>
      </c>
      <c r="K46" s="55">
        <v>5</v>
      </c>
      <c r="L46" s="55">
        <f>SUM($G$46:$K$46)</f>
        <v>19</v>
      </c>
      <c r="M46" s="54">
        <f t="array" ref="M46">INDEX(М[Цена за ед., руб],MATCH(1,IF(($B46=М[Наим.])*($C46=М[Артикул,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  <c r="N46" s="54">
        <f>ROUND($L$46*$M$46,2)</f>
        <v>0</v>
      </c>
      <c r="O46" s="50" t="s">
        <v>58</v>
      </c>
      <c r="P46" s="50">
        <f t="array" ref="P46">INDEX(М[Форма закупа],MATCH(1,IF(($B46=М[Наим.])*($C46=М[Артикул, марка, произв.])*($D46=М[Хар-ка])*($O46=М[Прим.]),{1},($B46=М[Наим.])*($C46=М[Артикул, марка, произв.])*($D46=М[Хар-ка])*($O46=М[Прим.])),0))</f>
        <v>0</v>
      </c>
    </row>
    <row r="47" spans="1:16" ht="31.5" outlineLevel="4" x14ac:dyDescent="0.25">
      <c r="A47" s="48" t="s">
        <v>59</v>
      </c>
      <c r="B47" s="49" t="s">
        <v>60</v>
      </c>
      <c r="C47" s="50"/>
      <c r="D47" s="50" t="s">
        <v>61</v>
      </c>
      <c r="E47" s="51" t="s">
        <v>45</v>
      </c>
      <c r="F47" s="52"/>
      <c r="G47" s="55">
        <v>3</v>
      </c>
      <c r="H47" s="55">
        <v>4</v>
      </c>
      <c r="I47" s="55">
        <v>3</v>
      </c>
      <c r="J47" s="55">
        <v>4</v>
      </c>
      <c r="K47" s="55">
        <v>5</v>
      </c>
      <c r="L47" s="55">
        <f>SUM($G$47:$K$47)</f>
        <v>19</v>
      </c>
      <c r="M47" s="54">
        <f t="array" ref="M47">INDEX(М[Цена за ед., руб],MATCH(1,IF(($B47=М[Наим.])*($C47=М[Артикул,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  <c r="N47" s="54">
        <f>ROUND($L$47*$M$47,2)</f>
        <v>0</v>
      </c>
      <c r="O47" s="50" t="s">
        <v>62</v>
      </c>
      <c r="P47" s="50">
        <f t="array" ref="P47">INDEX(М[Форма закупа],MATCH(1,IF(($B47=М[Наим.])*($C47=М[Артикул, марка, произв.])*($D47=М[Хар-ка])*($O47=М[Прим.]),{1},($B47=М[Наим.])*($C47=М[Артикул, марка, произв.])*($D47=М[Хар-ка])*($O47=М[Прим.])),0))</f>
        <v>0</v>
      </c>
    </row>
    <row r="48" spans="1:16" ht="31.5" outlineLevel="4" x14ac:dyDescent="0.25">
      <c r="A48" s="48" t="s">
        <v>63</v>
      </c>
      <c r="B48" s="49" t="s">
        <v>60</v>
      </c>
      <c r="C48" s="50"/>
      <c r="D48" s="50" t="s">
        <v>64</v>
      </c>
      <c r="E48" s="51" t="s">
        <v>45</v>
      </c>
      <c r="F48" s="52"/>
      <c r="G48" s="55">
        <v>1</v>
      </c>
      <c r="H48" s="55">
        <v>1</v>
      </c>
      <c r="I48" s="55">
        <v>1</v>
      </c>
      <c r="J48" s="55">
        <v>1</v>
      </c>
      <c r="K48" s="55">
        <v>1</v>
      </c>
      <c r="L48" s="55">
        <f>SUM($G$48:$K$48)</f>
        <v>5</v>
      </c>
      <c r="M48" s="54">
        <f t="array" ref="M48">INDEX(М[Цена за ед., руб],MATCH(1,IF(($B48=М[Наим.])*($C48=М[Артикул,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  <c r="N48" s="54">
        <f>ROUND($L$48*$M$48,2)</f>
        <v>0</v>
      </c>
      <c r="O48" s="50" t="s">
        <v>65</v>
      </c>
      <c r="P48" s="50">
        <f t="array" ref="P48">INDEX(М[Форма закупа],MATCH(1,IF(($B48=М[Наим.])*($C48=М[Артикул, марка, произв.])*($D48=М[Хар-ка])*($O48=М[Прим.]),{1},($B48=М[Наим.])*($C48=М[Артикул, марка, произв.])*($D48=М[Хар-ка])*($O48=М[Прим.])),0))</f>
        <v>0</v>
      </c>
    </row>
    <row r="49" spans="1:16" ht="31.5" outlineLevel="4" x14ac:dyDescent="0.25">
      <c r="A49" s="48" t="s">
        <v>66</v>
      </c>
      <c r="B49" s="49" t="s">
        <v>67</v>
      </c>
      <c r="C49" s="50"/>
      <c r="D49" s="50"/>
      <c r="E49" s="51" t="s">
        <v>45</v>
      </c>
      <c r="F49" s="52"/>
      <c r="G49" s="55">
        <v>3</v>
      </c>
      <c r="H49" s="55">
        <v>4</v>
      </c>
      <c r="I49" s="55">
        <v>3</v>
      </c>
      <c r="J49" s="55">
        <v>4</v>
      </c>
      <c r="K49" s="55">
        <v>5</v>
      </c>
      <c r="L49" s="55">
        <f>SUM($G$49:$K$49)</f>
        <v>19</v>
      </c>
      <c r="M49" s="54">
        <f t="array" ref="M49">INDEX(М[Цена за ед., руб],MATCH(1,IF(($B49=М[Наим.])*($C49=М[Артикул,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  <c r="N49" s="54">
        <f>ROUND($L$49*$M$49,2)</f>
        <v>0</v>
      </c>
      <c r="O49" s="50" t="s">
        <v>68</v>
      </c>
      <c r="P49" s="50">
        <f t="array" ref="P49">INDEX(М[Форма закупа],MATCH(1,IF(($B49=М[Наим.])*($C49=М[Артикул, марка, произв.])*($D49=М[Хар-ка])*($O49=М[Прим.]),{1},($B49=М[Наим.])*($C49=М[Артикул, марка, произв.])*($D49=М[Хар-ка])*($O49=М[Прим.])),0))</f>
        <v>0</v>
      </c>
    </row>
    <row r="50" spans="1:16" outlineLevel="2" x14ac:dyDescent="0.25">
      <c r="A50" s="35" t="s">
        <v>69</v>
      </c>
      <c r="B50" s="36" t="s">
        <v>70</v>
      </c>
      <c r="C50" s="37"/>
      <c r="D50" s="37"/>
      <c r="E50" s="38"/>
      <c r="F50" s="39"/>
      <c r="G50" s="40"/>
      <c r="H50" s="40"/>
      <c r="I50" s="40"/>
      <c r="J50" s="40"/>
      <c r="K50" s="40"/>
      <c r="L50" s="40"/>
      <c r="M50" s="41"/>
      <c r="N50" s="41">
        <f>SUM($N$51)</f>
        <v>0</v>
      </c>
      <c r="O50" s="42"/>
      <c r="P50" s="42"/>
    </row>
    <row r="51" spans="1:16" outlineLevel="3" x14ac:dyDescent="0.25">
      <c r="A51" s="35" t="s">
        <v>71</v>
      </c>
      <c r="B51" s="36" t="s">
        <v>70</v>
      </c>
      <c r="C51" s="37"/>
      <c r="D51" s="37"/>
      <c r="E51" s="38"/>
      <c r="F51" s="39"/>
      <c r="G51" s="40"/>
      <c r="H51" s="40"/>
      <c r="I51" s="40"/>
      <c r="J51" s="40"/>
      <c r="K51" s="40"/>
      <c r="L51" s="40"/>
      <c r="M51" s="41"/>
      <c r="N51" s="41">
        <f>SUM($N$58,$N$56,$N$54,$N$52)</f>
        <v>0</v>
      </c>
      <c r="O51" s="42"/>
      <c r="P51" s="42"/>
    </row>
    <row r="52" spans="1:16" outlineLevel="4" x14ac:dyDescent="0.25">
      <c r="A52" s="43"/>
      <c r="B52" s="36" t="s">
        <v>24</v>
      </c>
      <c r="C52" s="44"/>
      <c r="D52" s="44"/>
      <c r="E52" s="44"/>
      <c r="F52" s="44"/>
      <c r="G52" s="44"/>
      <c r="H52" s="44"/>
      <c r="I52" s="44"/>
      <c r="J52" s="44"/>
      <c r="K52" s="44"/>
      <c r="L52" s="44"/>
      <c r="M52" s="45"/>
      <c r="N52" s="46">
        <f>SUM($N$53)</f>
        <v>0</v>
      </c>
      <c r="O52" s="40"/>
      <c r="P52" s="47"/>
    </row>
    <row r="53" spans="1:16" outlineLevel="4" x14ac:dyDescent="0.25">
      <c r="A53" s="48"/>
      <c r="B53" s="49" t="s">
        <v>25</v>
      </c>
      <c r="C53" s="50"/>
      <c r="D53" s="50"/>
      <c r="E53" s="51" t="s">
        <v>26</v>
      </c>
      <c r="F53" s="52"/>
      <c r="G53" s="53">
        <f>G55</f>
        <v>255</v>
      </c>
      <c r="H53" s="53">
        <f t="shared" ref="H53:K53" si="14">H55</f>
        <v>2658</v>
      </c>
      <c r="I53" s="53">
        <f t="shared" si="14"/>
        <v>1210</v>
      </c>
      <c r="J53" s="53">
        <f t="shared" si="14"/>
        <v>4110</v>
      </c>
      <c r="K53" s="53">
        <f t="shared" si="14"/>
        <v>2451</v>
      </c>
      <c r="L53" s="53">
        <f>SUM($G$53:$K$53)</f>
        <v>10684</v>
      </c>
      <c r="M53" s="54">
        <f t="array" ref="M53">INDEX(Р[Цена за ед., руб],MATCH(1,IF(($B53=Р[Наименование])*($O53=Р[Примечание]),{1},($B53=Р[Наименование])*($O53=Р[Примечание])),0))</f>
        <v>0</v>
      </c>
      <c r="N53" s="54">
        <f>ROUND($L$53*$M$53,2)</f>
        <v>0</v>
      </c>
      <c r="O53" s="50"/>
      <c r="P53" s="50"/>
    </row>
    <row r="54" spans="1:16" outlineLevel="4" x14ac:dyDescent="0.25">
      <c r="A54" s="43"/>
      <c r="B54" s="36" t="s">
        <v>27</v>
      </c>
      <c r="C54" s="44"/>
      <c r="D54" s="44"/>
      <c r="E54" s="44"/>
      <c r="F54" s="44"/>
      <c r="G54" s="44"/>
      <c r="H54" s="44"/>
      <c r="I54" s="44"/>
      <c r="J54" s="44"/>
      <c r="K54" s="44"/>
      <c r="L54" s="44"/>
      <c r="M54" s="45"/>
      <c r="N54" s="46">
        <f>SUM($N$55)</f>
        <v>0</v>
      </c>
      <c r="O54" s="40"/>
      <c r="P54" s="47"/>
    </row>
    <row r="55" spans="1:16" ht="31.5" outlineLevel="4" x14ac:dyDescent="0.25">
      <c r="A55" s="48" t="s">
        <v>28</v>
      </c>
      <c r="B55" s="49" t="s">
        <v>29</v>
      </c>
      <c r="C55" s="50"/>
      <c r="D55" s="50" t="s">
        <v>30</v>
      </c>
      <c r="E55" s="51" t="s">
        <v>26</v>
      </c>
      <c r="F55" s="52"/>
      <c r="G55" s="55">
        <v>255</v>
      </c>
      <c r="H55" s="53">
        <v>2658</v>
      </c>
      <c r="I55" s="53">
        <v>1210</v>
      </c>
      <c r="J55" s="53">
        <v>4110</v>
      </c>
      <c r="K55" s="53">
        <v>2451</v>
      </c>
      <c r="L55" s="53">
        <f>SUM($G$55:$K$55)</f>
        <v>10684</v>
      </c>
      <c r="M55" s="54">
        <f t="array" ref="M55">INDEX(М[Цена за ед., руб],MATCH(1,IF(($B55=М[Наим.])*($C55=М[Артикул,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  <c r="N55" s="54">
        <f>ROUND($L$55*$M$55,2)</f>
        <v>0</v>
      </c>
      <c r="O55" s="50"/>
      <c r="P55" s="50">
        <f t="array" ref="P55">INDEX(М[Форма закупа],MATCH(1,IF(($B55=М[Наим.])*($C55=М[Артикул, марка, произв.])*($D55=М[Хар-ка])*($O55=М[Прим.]),{1},($B55=М[Наим.])*($C55=М[Артикул, марка, произв.])*($D55=М[Хар-ка])*($O55=М[Прим.])),0))</f>
        <v>0</v>
      </c>
    </row>
    <row r="56" spans="1:16" outlineLevel="4" x14ac:dyDescent="0.25">
      <c r="A56" s="43"/>
      <c r="B56" s="36" t="s">
        <v>24</v>
      </c>
      <c r="C56" s="44"/>
      <c r="D56" s="44"/>
      <c r="E56" s="44"/>
      <c r="F56" s="44"/>
      <c r="G56" s="44"/>
      <c r="H56" s="44"/>
      <c r="I56" s="44"/>
      <c r="J56" s="44"/>
      <c r="K56" s="44"/>
      <c r="L56" s="44"/>
      <c r="M56" s="45"/>
      <c r="N56" s="46">
        <f>SUM($N$57)</f>
        <v>0</v>
      </c>
      <c r="O56" s="40"/>
      <c r="P56" s="47"/>
    </row>
    <row r="57" spans="1:16" outlineLevel="4" x14ac:dyDescent="0.25">
      <c r="A57" s="48"/>
      <c r="B57" s="49" t="s">
        <v>31</v>
      </c>
      <c r="C57" s="50"/>
      <c r="D57" s="50"/>
      <c r="E57" s="51" t="s">
        <v>26</v>
      </c>
      <c r="F57" s="52"/>
      <c r="G57" s="55">
        <f>G59+G60</f>
        <v>39</v>
      </c>
      <c r="H57" s="55">
        <f t="shared" ref="H57:K57" si="15">H59+H60</f>
        <v>53</v>
      </c>
      <c r="I57" s="55">
        <f t="shared" si="15"/>
        <v>39</v>
      </c>
      <c r="J57" s="55">
        <f t="shared" si="15"/>
        <v>53</v>
      </c>
      <c r="K57" s="55">
        <f t="shared" si="15"/>
        <v>66</v>
      </c>
      <c r="L57" s="55">
        <f>SUM($G$57:$K$57)</f>
        <v>250</v>
      </c>
      <c r="M57" s="54">
        <f t="array" ref="M57">INDEX(Р[Цена за ед., руб],MATCH(1,IF(($B57=Р[Наименование])*($O57=Р[Примечание]),{1},($B57=Р[Наименование])*($O57=Р[Примечание])),0))</f>
        <v>0</v>
      </c>
      <c r="N57" s="54">
        <f>ROUND($L$57*$M$57,2)</f>
        <v>0</v>
      </c>
      <c r="O57" s="50"/>
      <c r="P57" s="50"/>
    </row>
    <row r="58" spans="1:16" outlineLevel="4" x14ac:dyDescent="0.25">
      <c r="A58" s="43"/>
      <c r="B58" s="36" t="s">
        <v>27</v>
      </c>
      <c r="C58" s="44"/>
      <c r="D58" s="44"/>
      <c r="E58" s="44"/>
      <c r="F58" s="44"/>
      <c r="G58" s="44"/>
      <c r="H58" s="44"/>
      <c r="I58" s="44"/>
      <c r="J58" s="44"/>
      <c r="K58" s="44"/>
      <c r="L58" s="44"/>
      <c r="M58" s="45"/>
      <c r="N58" s="46">
        <f>SUM($N$59:$N$60)</f>
        <v>0</v>
      </c>
      <c r="O58" s="40"/>
      <c r="P58" s="47"/>
    </row>
    <row r="59" spans="1:16" outlineLevel="4" x14ac:dyDescent="0.25">
      <c r="A59" s="48" t="s">
        <v>28</v>
      </c>
      <c r="B59" s="49" t="s">
        <v>29</v>
      </c>
      <c r="C59" s="50"/>
      <c r="D59" s="50" t="s">
        <v>32</v>
      </c>
      <c r="E59" s="51" t="s">
        <v>26</v>
      </c>
      <c r="F59" s="52"/>
      <c r="G59" s="55">
        <v>13</v>
      </c>
      <c r="H59" s="55">
        <v>18</v>
      </c>
      <c r="I59" s="55">
        <v>13</v>
      </c>
      <c r="J59" s="55">
        <v>18</v>
      </c>
      <c r="K59" s="55">
        <v>22</v>
      </c>
      <c r="L59" s="55">
        <f>SUM($G$59:$K$59)</f>
        <v>84</v>
      </c>
      <c r="M59" s="54">
        <f t="array" ref="M59">INDEX(М[Цена за ед., руб],MATCH(1,IF(($B59=М[Наим.])*($C59=М[Артикул,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  <c r="N59" s="54">
        <f>ROUND($L$59*$M$59,2)</f>
        <v>0</v>
      </c>
      <c r="O59" s="50"/>
      <c r="P59" s="50">
        <f t="array" ref="P59">INDEX(М[Форма закупа],MATCH(1,IF(($B59=М[Наим.])*($C59=М[Артикул, марка, произв.])*($D59=М[Хар-ка])*($O59=М[Прим.]),{1},($B59=М[Наим.])*($C59=М[Артикул, марка, произв.])*($D59=М[Хар-ка])*($O59=М[Прим.])),0))</f>
        <v>0</v>
      </c>
    </row>
    <row r="60" spans="1:16" outlineLevel="4" x14ac:dyDescent="0.25">
      <c r="A60" s="48" t="s">
        <v>33</v>
      </c>
      <c r="B60" s="49" t="s">
        <v>29</v>
      </c>
      <c r="C60" s="50"/>
      <c r="D60" s="50" t="s">
        <v>34</v>
      </c>
      <c r="E60" s="51" t="s">
        <v>26</v>
      </c>
      <c r="F60" s="52"/>
      <c r="G60" s="55">
        <v>26</v>
      </c>
      <c r="H60" s="55">
        <v>35</v>
      </c>
      <c r="I60" s="55">
        <v>26</v>
      </c>
      <c r="J60" s="55">
        <v>35</v>
      </c>
      <c r="K60" s="55">
        <v>44</v>
      </c>
      <c r="L60" s="55">
        <f>SUM($G$60:$K$60)</f>
        <v>166</v>
      </c>
      <c r="M60" s="54">
        <f t="array" ref="M60">INDEX(М[Цена за ед., руб],MATCH(1,IF(($B60=М[Наим.])*($C60=М[Артикул,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  <c r="N60" s="54">
        <f>ROUND($L$60*$M$60,2)</f>
        <v>0</v>
      </c>
      <c r="O60" s="50"/>
      <c r="P60" s="50">
        <f t="array" ref="P60">INDEX(М[Форма закупа],MATCH(1,IF(($B60=М[Наим.])*($C60=М[Артикул, марка, произв.])*($D60=М[Хар-ка])*($O60=М[Прим.]),{1},($B60=М[Наим.])*($C60=М[Артикул, марка, произв.])*($D60=М[Хар-ка])*($O60=М[Прим.])),0))</f>
        <v>0</v>
      </c>
    </row>
    <row r="61" spans="1:16" outlineLevel="2" x14ac:dyDescent="0.25">
      <c r="A61" s="35" t="s">
        <v>72</v>
      </c>
      <c r="B61" s="36" t="s">
        <v>73</v>
      </c>
      <c r="C61" s="37"/>
      <c r="D61" s="37"/>
      <c r="E61" s="38"/>
      <c r="F61" s="39"/>
      <c r="G61" s="40"/>
      <c r="H61" s="40"/>
      <c r="I61" s="40"/>
      <c r="J61" s="40"/>
      <c r="K61" s="40"/>
      <c r="L61" s="40"/>
      <c r="M61" s="41"/>
      <c r="N61" s="41">
        <f>SUM($N$62)</f>
        <v>0</v>
      </c>
      <c r="O61" s="42"/>
      <c r="P61" s="42"/>
    </row>
    <row r="62" spans="1:16" outlineLevel="3" x14ac:dyDescent="0.25">
      <c r="A62" s="35" t="s">
        <v>74</v>
      </c>
      <c r="B62" s="36" t="s">
        <v>73</v>
      </c>
      <c r="C62" s="37"/>
      <c r="D62" s="37"/>
      <c r="E62" s="38"/>
      <c r="F62" s="39"/>
      <c r="G62" s="40"/>
      <c r="H62" s="40"/>
      <c r="I62" s="40"/>
      <c r="J62" s="40"/>
      <c r="K62" s="40"/>
      <c r="L62" s="40"/>
      <c r="M62" s="41"/>
      <c r="N62" s="41">
        <f>SUM($N$63)</f>
        <v>0</v>
      </c>
      <c r="O62" s="42"/>
      <c r="P62" s="42"/>
    </row>
    <row r="63" spans="1:16" outlineLevel="4" x14ac:dyDescent="0.25">
      <c r="A63" s="43"/>
      <c r="B63" s="36" t="s">
        <v>24</v>
      </c>
      <c r="C63" s="44"/>
      <c r="D63" s="44"/>
      <c r="E63" s="44"/>
      <c r="F63" s="44"/>
      <c r="G63" s="44"/>
      <c r="H63" s="44"/>
      <c r="I63" s="44"/>
      <c r="J63" s="44"/>
      <c r="K63" s="44"/>
      <c r="L63" s="44"/>
      <c r="M63" s="45"/>
      <c r="N63" s="46">
        <f>SUM($N$64)</f>
        <v>0</v>
      </c>
      <c r="O63" s="40"/>
      <c r="P63" s="47"/>
    </row>
    <row r="64" spans="1:16" outlineLevel="4" x14ac:dyDescent="0.25">
      <c r="A64" s="48"/>
      <c r="B64" s="49" t="s">
        <v>75</v>
      </c>
      <c r="C64" s="50"/>
      <c r="D64" s="50"/>
      <c r="E64" s="51" t="s">
        <v>43</v>
      </c>
      <c r="F64" s="52"/>
      <c r="G64" s="55">
        <v>1</v>
      </c>
      <c r="H64" s="55">
        <v>1</v>
      </c>
      <c r="I64" s="55">
        <v>1</v>
      </c>
      <c r="J64" s="55">
        <v>1</v>
      </c>
      <c r="K64" s="55">
        <v>1</v>
      </c>
      <c r="L64" s="55">
        <f>SUM($G$64:$K$64)</f>
        <v>5</v>
      </c>
      <c r="M64" s="54">
        <f t="array" ref="M64">INDEX(Р[Цена за ед., руб],MATCH(1,IF(($B64=Р[Наименование])*($O64=Р[Примечание]),{1},($B64=Р[Наименование])*($O64=Р[Примечание])),0))</f>
        <v>0</v>
      </c>
      <c r="N64" s="54">
        <f>ROUND($L$64*$M$64,2)</f>
        <v>0</v>
      </c>
      <c r="O64" s="50"/>
      <c r="P64" s="50"/>
    </row>
    <row r="65" spans="1:18" x14ac:dyDescent="0.25">
      <c r="A65" s="56"/>
      <c r="B65" s="118" t="s">
        <v>76</v>
      </c>
      <c r="C65" s="119"/>
      <c r="D65" s="119"/>
      <c r="E65" s="119"/>
      <c r="F65" s="119"/>
      <c r="G65" s="119"/>
      <c r="H65" s="119"/>
      <c r="I65" s="119"/>
      <c r="J65" s="119"/>
      <c r="K65" s="119"/>
      <c r="L65" s="119"/>
      <c r="M65" s="120"/>
      <c r="N65" s="57">
        <f>$N$9</f>
        <v>0</v>
      </c>
      <c r="O65" s="58"/>
      <c r="P65" s="58"/>
    </row>
    <row r="66" spans="1:18" x14ac:dyDescent="0.25">
      <c r="A66" s="56"/>
      <c r="B66" s="115" t="s">
        <v>77</v>
      </c>
      <c r="C66" s="116"/>
      <c r="D66" s="116"/>
      <c r="E66" s="116"/>
      <c r="F66" s="116"/>
      <c r="G66" s="116"/>
      <c r="H66" s="116"/>
      <c r="I66" s="116"/>
      <c r="J66" s="116"/>
      <c r="K66" s="116"/>
      <c r="L66" s="116"/>
      <c r="M66" s="117"/>
      <c r="N66" s="57">
        <f>SUM($N$63,$N$56,$N$52,$N$37,$N$29,$N$21,$N$16,$N$12)</f>
        <v>0</v>
      </c>
      <c r="O66" s="58"/>
      <c r="P66" s="58"/>
    </row>
    <row r="67" spans="1:18" x14ac:dyDescent="0.25">
      <c r="A67" s="56"/>
      <c r="B67" s="115" t="s">
        <v>78</v>
      </c>
      <c r="C67" s="116"/>
      <c r="D67" s="116"/>
      <c r="E67" s="116"/>
      <c r="F67" s="116"/>
      <c r="G67" s="116"/>
      <c r="H67" s="116"/>
      <c r="I67" s="116"/>
      <c r="J67" s="116"/>
      <c r="K67" s="116"/>
      <c r="L67" s="116"/>
      <c r="M67" s="117"/>
      <c r="N67" s="57">
        <f>SUM($N$58,$N$54,$N$43,$N$33,$N$25,$N$23,$N$18,$N$14)</f>
        <v>0</v>
      </c>
      <c r="O67" s="58"/>
      <c r="P67" s="58"/>
    </row>
    <row r="68" spans="1:18" x14ac:dyDescent="0.25">
      <c r="A68" s="56"/>
      <c r="B68" s="112" t="s">
        <v>118</v>
      </c>
      <c r="C68" s="113"/>
      <c r="D68" s="113"/>
      <c r="E68" s="113"/>
      <c r="F68" s="113"/>
      <c r="G68" s="113"/>
      <c r="H68" s="113"/>
      <c r="I68" s="113"/>
      <c r="J68" s="113"/>
      <c r="K68" s="113"/>
      <c r="L68" s="113"/>
      <c r="M68" s="114"/>
      <c r="N68" s="60"/>
      <c r="O68" s="88" t="s">
        <v>119</v>
      </c>
      <c r="P68" s="58"/>
    </row>
    <row r="69" spans="1:18" x14ac:dyDescent="0.25">
      <c r="A69" s="59"/>
      <c r="B69" s="104" t="s">
        <v>79</v>
      </c>
      <c r="C69" s="104"/>
      <c r="D69" s="104"/>
      <c r="E69" s="104"/>
      <c r="F69" s="104"/>
      <c r="G69" s="104"/>
      <c r="H69" s="104"/>
      <c r="I69" s="104"/>
      <c r="J69" s="104"/>
      <c r="K69" s="104"/>
      <c r="L69" s="104"/>
      <c r="M69" s="105"/>
      <c r="N69" s="105"/>
      <c r="O69" s="104"/>
      <c r="P69" s="59"/>
    </row>
    <row r="70" spans="1:18" x14ac:dyDescent="0.25">
      <c r="B70" s="102"/>
      <c r="C70" s="102"/>
      <c r="D70" s="102"/>
      <c r="E70" s="102"/>
      <c r="F70" s="102"/>
      <c r="G70" s="102"/>
      <c r="H70" s="102"/>
      <c r="I70" s="102"/>
      <c r="J70" s="102"/>
      <c r="K70" s="102"/>
      <c r="L70" s="102"/>
      <c r="M70" s="103"/>
      <c r="N70" s="103"/>
      <c r="O70" s="102"/>
    </row>
    <row r="71" spans="1:18" x14ac:dyDescent="0.25">
      <c r="A71"/>
      <c r="B71" s="66" t="s">
        <v>112</v>
      </c>
      <c r="C71"/>
      <c r="D71" s="67"/>
      <c r="E71"/>
      <c r="F71"/>
      <c r="G71"/>
      <c r="H71"/>
      <c r="I71"/>
      <c r="J71"/>
      <c r="K71"/>
      <c r="L71"/>
      <c r="M71"/>
      <c r="N71" s="68"/>
      <c r="O71" s="68"/>
      <c r="P71" s="68"/>
      <c r="Q71" s="69"/>
      <c r="R71" s="68"/>
    </row>
    <row r="72" spans="1:18" ht="40.5" customHeight="1" x14ac:dyDescent="0.25">
      <c r="A72" s="70" t="s">
        <v>113</v>
      </c>
      <c r="B72" s="94" t="s">
        <v>114</v>
      </c>
      <c r="C72" s="94"/>
      <c r="D72" s="94"/>
      <c r="E72" s="94"/>
      <c r="F72" s="94"/>
      <c r="G72" s="94"/>
      <c r="H72" s="94"/>
      <c r="I72" s="94"/>
      <c r="J72" s="94"/>
      <c r="K72" s="94"/>
      <c r="L72" s="94"/>
      <c r="M72" s="94"/>
      <c r="N72" s="94"/>
      <c r="O72" s="94"/>
      <c r="P72" s="94"/>
      <c r="Q72" s="74"/>
      <c r="R72" s="74"/>
    </row>
    <row r="73" spans="1:18" ht="57" customHeight="1" x14ac:dyDescent="0.25">
      <c r="A73" s="71" t="s">
        <v>113</v>
      </c>
      <c r="B73" s="94" t="s">
        <v>115</v>
      </c>
      <c r="C73" s="94"/>
      <c r="D73" s="94"/>
      <c r="E73" s="94"/>
      <c r="F73" s="94"/>
      <c r="G73" s="94"/>
      <c r="H73" s="94"/>
      <c r="I73" s="94"/>
      <c r="J73" s="94"/>
      <c r="K73" s="94"/>
      <c r="L73" s="94"/>
      <c r="M73" s="94"/>
      <c r="N73" s="94"/>
      <c r="O73" s="94"/>
      <c r="P73" s="94"/>
      <c r="Q73" s="74"/>
      <c r="R73" s="74"/>
    </row>
    <row r="74" spans="1:18" ht="24.75" customHeight="1" x14ac:dyDescent="0.25">
      <c r="A74" s="70" t="s">
        <v>113</v>
      </c>
      <c r="B74" s="95" t="s">
        <v>116</v>
      </c>
      <c r="C74" s="95"/>
      <c r="D74" s="95"/>
      <c r="E74" s="95"/>
      <c r="F74" s="95"/>
      <c r="G74" s="95"/>
      <c r="H74" s="95"/>
      <c r="I74" s="95"/>
      <c r="J74" s="95"/>
      <c r="K74" s="95"/>
      <c r="L74" s="95"/>
      <c r="M74" s="95"/>
      <c r="N74" s="95"/>
      <c r="O74" s="95"/>
      <c r="P74" s="95"/>
      <c r="Q74" s="75"/>
      <c r="R74" s="75"/>
    </row>
    <row r="75" spans="1:18" s="68" customFormat="1" ht="15.75" customHeight="1" x14ac:dyDescent="0.25">
      <c r="A75" s="72" t="s">
        <v>113</v>
      </c>
      <c r="B75" s="93" t="s">
        <v>117</v>
      </c>
      <c r="C75" s="93"/>
      <c r="D75" s="93"/>
      <c r="E75" s="93"/>
      <c r="F75" s="93"/>
      <c r="G75" s="93"/>
      <c r="H75" s="93"/>
      <c r="I75" s="93"/>
      <c r="J75" s="93"/>
      <c r="K75" s="93"/>
      <c r="L75" s="93"/>
      <c r="M75" s="93"/>
      <c r="N75" s="93"/>
      <c r="O75" s="93"/>
      <c r="P75" s="93"/>
      <c r="Q75" s="73"/>
    </row>
  </sheetData>
  <autoFilter ref="A7:R7" xr:uid="{00000000-0001-0000-0000-000000000000}"/>
  <mergeCells count="29">
    <mergeCell ref="L6:L7"/>
    <mergeCell ref="M6:M7"/>
    <mergeCell ref="N6:N7"/>
    <mergeCell ref="O6:O7"/>
    <mergeCell ref="B68:M68"/>
    <mergeCell ref="B67:M67"/>
    <mergeCell ref="B66:M66"/>
    <mergeCell ref="B65:M65"/>
    <mergeCell ref="A6:A7"/>
    <mergeCell ref="B6:B7"/>
    <mergeCell ref="C6:C7"/>
    <mergeCell ref="D6:D7"/>
    <mergeCell ref="E6:E7"/>
    <mergeCell ref="B75:P75"/>
    <mergeCell ref="B72:P72"/>
    <mergeCell ref="B73:P73"/>
    <mergeCell ref="B74:P74"/>
    <mergeCell ref="B2:J2"/>
    <mergeCell ref="B4:J4"/>
    <mergeCell ref="F6:F7"/>
    <mergeCell ref="G6:G7"/>
    <mergeCell ref="H6:H7"/>
    <mergeCell ref="I6:I7"/>
    <mergeCell ref="J6:J7"/>
    <mergeCell ref="B3:J3"/>
    <mergeCell ref="B70:O70"/>
    <mergeCell ref="P6:P7"/>
    <mergeCell ref="B69:O69"/>
    <mergeCell ref="K6:K7"/>
  </mergeCells>
  <pageMargins left="0.39370078740157483" right="0.39370078740157483" top="0.39370078740157483" bottom="0.39370078740157483" header="0" footer="0"/>
  <pageSetup paperSize="9" pageOrder="overThenDown" orientation="portrait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outlinePr summaryBelow="0" summaryRight="0"/>
    <pageSetUpPr autoPageBreaks="0"/>
  </sheetPr>
  <dimension ref="A1:O24"/>
  <sheetViews>
    <sheetView workbookViewId="0">
      <pane ySplit="3" topLeftCell="A4" activePane="bottomLeft" state="frozen"/>
      <selection pane="bottomLeft" activeCell="C7" sqref="C7:C14"/>
    </sheetView>
  </sheetViews>
  <sheetFormatPr defaultColWidth="10.5" defaultRowHeight="11.45" customHeight="1" x14ac:dyDescent="0.2"/>
  <cols>
    <col min="1" max="1" width="57.33203125" style="1" customWidth="1"/>
    <col min="2" max="2" width="10.6640625" style="1" customWidth="1"/>
    <col min="3" max="3" width="14.6640625" style="1" customWidth="1"/>
    <col min="4" max="4" width="18.33203125" style="1" customWidth="1"/>
    <col min="5" max="5" width="17" style="1" customWidth="1"/>
    <col min="6" max="6" width="36.33203125" style="1" customWidth="1"/>
  </cols>
  <sheetData>
    <row r="1" spans="1:6" ht="11.1" customHeight="1" x14ac:dyDescent="0.2">
      <c r="A1" s="89" t="s">
        <v>80</v>
      </c>
      <c r="B1" s="89"/>
      <c r="C1" s="89"/>
      <c r="D1" s="89"/>
      <c r="E1" s="89"/>
      <c r="F1" s="89"/>
    </row>
    <row r="3" spans="1:6" ht="11.1" customHeight="1" x14ac:dyDescent="0.2">
      <c r="A3" s="9" t="s">
        <v>2</v>
      </c>
      <c r="B3" s="2" t="s">
        <v>5</v>
      </c>
      <c r="C3" s="2" t="s">
        <v>12</v>
      </c>
      <c r="D3" s="16" t="s">
        <v>13</v>
      </c>
      <c r="E3" s="16" t="s">
        <v>14</v>
      </c>
      <c r="F3" s="10" t="s">
        <v>15</v>
      </c>
    </row>
    <row r="4" spans="1:6" ht="11.1" customHeight="1" x14ac:dyDescent="0.2">
      <c r="A4" s="7" t="s">
        <v>25</v>
      </c>
      <c r="B4" s="3" t="s">
        <v>26</v>
      </c>
      <c r="C4" s="4">
        <v>31370</v>
      </c>
      <c r="D4" s="17"/>
      <c r="E4" s="17">
        <f>ROUND(Р[[#This Row],[Количество]]*Р[[#This Row],[Цена за ед., руб]],2)</f>
        <v>0</v>
      </c>
      <c r="F4" s="8"/>
    </row>
    <row r="5" spans="1:6" ht="11.1" customHeight="1" x14ac:dyDescent="0.2">
      <c r="A5" s="7" t="s">
        <v>31</v>
      </c>
      <c r="B5" s="3" t="s">
        <v>26</v>
      </c>
      <c r="C5" s="4">
        <v>2222</v>
      </c>
      <c r="D5" s="17"/>
      <c r="E5" s="17">
        <f>ROUND(Р[[#This Row],[Количество]]*Р[[#This Row],[Цена за ед., руб]],2)</f>
        <v>0</v>
      </c>
      <c r="F5" s="8"/>
    </row>
    <row r="6" spans="1:6" ht="11.1" customHeight="1" x14ac:dyDescent="0.2">
      <c r="A6" s="7" t="s">
        <v>35</v>
      </c>
      <c r="B6" s="3" t="s">
        <v>26</v>
      </c>
      <c r="C6" s="4">
        <v>1312</v>
      </c>
      <c r="D6" s="17"/>
      <c r="E6" s="17">
        <f>ROUND(Р[[#This Row],[Количество]]*Р[[#This Row],[Цена за ед., руб]],2)</f>
        <v>0</v>
      </c>
      <c r="F6" s="8"/>
    </row>
    <row r="7" spans="1:6" ht="11.1" customHeight="1" x14ac:dyDescent="0.2">
      <c r="A7" s="7" t="s">
        <v>101</v>
      </c>
      <c r="B7" s="3" t="s">
        <v>45</v>
      </c>
      <c r="C7" s="4">
        <v>55</v>
      </c>
      <c r="D7" s="17"/>
      <c r="E7" s="17">
        <f>ROUND(Р[[#This Row],[Количество]]*Р[[#This Row],[Цена за ед., руб]],2)</f>
        <v>0</v>
      </c>
      <c r="F7" s="8"/>
    </row>
    <row r="8" spans="1:6" ht="11.1" customHeight="1" x14ac:dyDescent="0.2">
      <c r="A8" s="7" t="s">
        <v>102</v>
      </c>
      <c r="B8" s="3" t="s">
        <v>45</v>
      </c>
      <c r="C8" s="4">
        <v>1005</v>
      </c>
      <c r="D8" s="17"/>
      <c r="E8" s="17">
        <f>ROUND(Р[[#This Row],[Количество]]*Р[[#This Row],[Цена за ед., руб]],2)</f>
        <v>0</v>
      </c>
      <c r="F8" s="8"/>
    </row>
    <row r="9" spans="1:6" ht="11.1" customHeight="1" x14ac:dyDescent="0.2">
      <c r="A9" s="7" t="s">
        <v>103</v>
      </c>
      <c r="B9" s="3" t="s">
        <v>45</v>
      </c>
      <c r="C9" s="4">
        <v>187</v>
      </c>
      <c r="D9" s="17"/>
      <c r="E9" s="17">
        <f>ROUND(Р[[#This Row],[Количество]]*Р[[#This Row],[Цена за ед., руб]],2)</f>
        <v>0</v>
      </c>
      <c r="F9" s="8"/>
    </row>
    <row r="10" spans="1:6" ht="11.1" customHeight="1" x14ac:dyDescent="0.2">
      <c r="A10" s="7" t="s">
        <v>105</v>
      </c>
      <c r="B10" s="3" t="s">
        <v>45</v>
      </c>
      <c r="C10" s="4">
        <v>9</v>
      </c>
      <c r="D10" s="17"/>
      <c r="E10" s="17">
        <f>ROUND(Р[[#This Row],[Количество]]*Р[[#This Row],[Цена за ед., руб]],2)</f>
        <v>0</v>
      </c>
      <c r="F10" s="8"/>
    </row>
    <row r="11" spans="1:6" ht="11.1" customHeight="1" x14ac:dyDescent="0.2">
      <c r="A11" s="7" t="s">
        <v>106</v>
      </c>
      <c r="B11" s="3" t="s">
        <v>45</v>
      </c>
      <c r="C11" s="4">
        <v>10</v>
      </c>
      <c r="D11" s="17"/>
      <c r="E11" s="17">
        <f>ROUND(Р[[#This Row],[Количество]]*Р[[#This Row],[Цена за ед., руб]],2)</f>
        <v>0</v>
      </c>
      <c r="F11" s="8"/>
    </row>
    <row r="12" spans="1:6" ht="11.1" customHeight="1" x14ac:dyDescent="0.2">
      <c r="A12" s="7" t="s">
        <v>107</v>
      </c>
      <c r="B12" s="3" t="s">
        <v>45</v>
      </c>
      <c r="C12" s="4">
        <v>19</v>
      </c>
      <c r="D12" s="17"/>
      <c r="E12" s="17">
        <f>ROUND(Р[[#This Row],[Количество]]*Р[[#This Row],[Цена за ед., руб]],2)</f>
        <v>0</v>
      </c>
      <c r="F12" s="8"/>
    </row>
    <row r="13" spans="1:6" ht="11.1" customHeight="1" x14ac:dyDescent="0.2">
      <c r="A13" s="7" t="s">
        <v>108</v>
      </c>
      <c r="B13" s="3" t="s">
        <v>45</v>
      </c>
      <c r="C13" s="4">
        <v>24</v>
      </c>
      <c r="D13" s="17"/>
      <c r="E13" s="17">
        <f>ROUND(Р[[#This Row],[Количество]]*Р[[#This Row],[Цена за ед., руб]],2)</f>
        <v>0</v>
      </c>
      <c r="F13" s="8"/>
    </row>
    <row r="14" spans="1:6" ht="11.1" customHeight="1" x14ac:dyDescent="0.2">
      <c r="A14" s="7" t="s">
        <v>109</v>
      </c>
      <c r="B14" s="3" t="s">
        <v>45</v>
      </c>
      <c r="C14" s="4">
        <v>19</v>
      </c>
      <c r="D14" s="17"/>
      <c r="E14" s="17">
        <f>ROUND(Р[[#This Row],[Количество]]*Р[[#This Row],[Цена за ед., руб]],2)</f>
        <v>0</v>
      </c>
      <c r="F14" s="8"/>
    </row>
    <row r="15" spans="1:6" ht="11.1" customHeight="1" x14ac:dyDescent="0.2">
      <c r="A15" s="11" t="s">
        <v>75</v>
      </c>
      <c r="B15" s="12" t="s">
        <v>43</v>
      </c>
      <c r="C15" s="13">
        <v>5</v>
      </c>
      <c r="D15" s="17"/>
      <c r="E15" s="18">
        <f>ROUND(Р[[#This Row],[Количество]]*Р[[#This Row],[Цена за ед., руб]],2)</f>
        <v>0</v>
      </c>
      <c r="F15" s="15"/>
    </row>
    <row r="16" spans="1:6" ht="11.45" customHeight="1" x14ac:dyDescent="0.2">
      <c r="A16" s="11" t="s">
        <v>99</v>
      </c>
      <c r="B16" s="12"/>
      <c r="C16" s="14"/>
      <c r="D16" s="18"/>
      <c r="E16" s="18">
        <f>SUBTOTAL(109,Р[Сумма, руб])</f>
        <v>0</v>
      </c>
      <c r="F16" s="15"/>
    </row>
    <row r="17" spans="1:15" ht="11.45" customHeight="1" x14ac:dyDescent="0.2">
      <c r="D17" s="64" t="s">
        <v>111</v>
      </c>
      <c r="E17" s="83">
        <f>ЛСР!N66-Р[[#Totals],[Сумма, руб]]</f>
        <v>0</v>
      </c>
    </row>
    <row r="19" spans="1:15" ht="11.45" customHeight="1" x14ac:dyDescent="0.2">
      <c r="A19" s="76" t="s">
        <v>112</v>
      </c>
      <c r="B19" s="77"/>
      <c r="C19" s="78"/>
      <c r="D19" s="77"/>
      <c r="E19" s="77"/>
      <c r="F19" s="77"/>
      <c r="G19" s="77"/>
      <c r="H19" s="77"/>
      <c r="I19" s="77"/>
      <c r="J19" s="77"/>
      <c r="K19" s="77"/>
      <c r="L19" s="77"/>
      <c r="M19" s="79"/>
      <c r="N19" s="79"/>
      <c r="O19" s="79"/>
    </row>
    <row r="20" spans="1:15" ht="27" customHeight="1" x14ac:dyDescent="0.2">
      <c r="A20" s="90" t="s">
        <v>114</v>
      </c>
      <c r="B20" s="90"/>
      <c r="C20" s="90"/>
      <c r="D20" s="90"/>
      <c r="E20" s="90"/>
      <c r="F20" s="90"/>
      <c r="G20" s="80"/>
      <c r="H20" s="80"/>
      <c r="I20" s="80"/>
      <c r="J20" s="80"/>
      <c r="K20" s="80"/>
      <c r="L20" s="80"/>
      <c r="M20" s="80"/>
      <c r="N20" s="80"/>
      <c r="O20" s="80"/>
    </row>
    <row r="21" spans="1:15" ht="49.5" customHeight="1" x14ac:dyDescent="0.2">
      <c r="A21" s="90" t="s">
        <v>115</v>
      </c>
      <c r="B21" s="90"/>
      <c r="C21" s="90"/>
      <c r="D21" s="90"/>
      <c r="E21" s="90"/>
      <c r="F21" s="90"/>
      <c r="G21" s="80"/>
      <c r="H21" s="80"/>
      <c r="I21" s="80"/>
      <c r="J21" s="80"/>
      <c r="K21" s="80"/>
      <c r="L21" s="80"/>
      <c r="M21" s="80"/>
      <c r="N21" s="80"/>
      <c r="O21" s="80"/>
    </row>
    <row r="22" spans="1:15" ht="19.5" customHeight="1" x14ac:dyDescent="0.2">
      <c r="A22" s="91" t="s">
        <v>116</v>
      </c>
      <c r="B22" s="91"/>
      <c r="C22" s="91"/>
      <c r="D22" s="91"/>
      <c r="E22" s="91"/>
      <c r="F22" s="91"/>
      <c r="G22" s="81"/>
      <c r="H22" s="81"/>
      <c r="I22" s="81"/>
      <c r="J22" s="81"/>
      <c r="K22" s="81"/>
      <c r="L22" s="81"/>
      <c r="M22" s="81"/>
      <c r="N22" s="81"/>
      <c r="O22" s="81"/>
    </row>
    <row r="23" spans="1:15" ht="19.5" customHeight="1" x14ac:dyDescent="0.2">
      <c r="A23" s="92" t="s">
        <v>117</v>
      </c>
      <c r="B23" s="92"/>
      <c r="C23" s="92"/>
      <c r="D23" s="92"/>
      <c r="E23" s="92"/>
      <c r="F23" s="92"/>
      <c r="G23" s="82"/>
      <c r="H23" s="82"/>
      <c r="I23" s="82"/>
      <c r="J23" s="82"/>
      <c r="K23" s="82"/>
      <c r="L23" s="82"/>
      <c r="M23" s="82"/>
      <c r="N23" s="82"/>
      <c r="O23" s="82"/>
    </row>
    <row r="24" spans="1:15" ht="19.5" customHeight="1" x14ac:dyDescent="0.2"/>
  </sheetData>
  <mergeCells count="5">
    <mergeCell ref="A1:F1"/>
    <mergeCell ref="A20:F20"/>
    <mergeCell ref="A21:F21"/>
    <mergeCell ref="A22:F22"/>
    <mergeCell ref="A23:F23"/>
  </mergeCell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outlinePr summaryBelow="0" summaryRight="0"/>
    <pageSetUpPr autoPageBreaks="0"/>
  </sheetPr>
  <dimension ref="A1:O25"/>
  <sheetViews>
    <sheetView zoomScale="85" zoomScaleNormal="85" workbookViewId="0">
      <pane ySplit="3" topLeftCell="A4" activePane="bottomLeft" state="frozen"/>
      <selection pane="bottomLeft" activeCell="I4" sqref="I4:I16"/>
    </sheetView>
  </sheetViews>
  <sheetFormatPr defaultColWidth="10.5" defaultRowHeight="11.45" customHeight="1" x14ac:dyDescent="0.2"/>
  <cols>
    <col min="1" max="1" width="51.6640625" style="1" customWidth="1"/>
    <col min="2" max="2" width="26" style="1" customWidth="1"/>
    <col min="3" max="3" width="28.5" style="1" customWidth="1"/>
    <col min="4" max="4" width="10.6640625" style="1" customWidth="1"/>
    <col min="5" max="5" width="14.6640625" style="1" customWidth="1"/>
    <col min="6" max="6" width="18.33203125" style="1" customWidth="1"/>
    <col min="7" max="7" width="17" style="1" customWidth="1"/>
    <col min="8" max="8" width="36.5" style="1" customWidth="1"/>
    <col min="9" max="9" width="23.33203125" style="1" customWidth="1"/>
  </cols>
  <sheetData>
    <row r="1" spans="1:9" ht="11.1" customHeight="1" x14ac:dyDescent="0.2">
      <c r="A1" s="89" t="s">
        <v>81</v>
      </c>
      <c r="B1" s="89"/>
      <c r="C1" s="89"/>
      <c r="D1" s="89"/>
      <c r="E1" s="89"/>
      <c r="F1" s="89"/>
      <c r="G1" s="89"/>
      <c r="H1" s="89"/>
    </row>
    <row r="2" spans="1:9" ht="11.1" customHeight="1" x14ac:dyDescent="0.2"/>
    <row r="3" spans="1:9" ht="23.1" customHeight="1" x14ac:dyDescent="0.2">
      <c r="A3" s="9" t="s">
        <v>82</v>
      </c>
      <c r="B3" s="19" t="s">
        <v>83</v>
      </c>
      <c r="C3" s="10" t="s">
        <v>84</v>
      </c>
      <c r="D3" s="2" t="s">
        <v>5</v>
      </c>
      <c r="E3" s="2" t="s">
        <v>12</v>
      </c>
      <c r="F3" s="16" t="s">
        <v>13</v>
      </c>
      <c r="G3" s="16" t="s">
        <v>14</v>
      </c>
      <c r="H3" s="2" t="s">
        <v>85</v>
      </c>
      <c r="I3" s="10" t="s">
        <v>86</v>
      </c>
    </row>
    <row r="4" spans="1:9" ht="23.1" customHeight="1" x14ac:dyDescent="0.2">
      <c r="A4" s="7" t="s">
        <v>44</v>
      </c>
      <c r="B4" s="5"/>
      <c r="C4" s="5"/>
      <c r="D4" s="3" t="s">
        <v>45</v>
      </c>
      <c r="E4" s="6">
        <v>55</v>
      </c>
      <c r="F4" s="17"/>
      <c r="G4" s="17">
        <f>ROUND(М[[#This Row],[Количество]]*М[[#This Row],[Цена за ед., руб]],2)</f>
        <v>0</v>
      </c>
      <c r="H4" s="5" t="s">
        <v>46</v>
      </c>
      <c r="I4" s="8"/>
    </row>
    <row r="5" spans="1:9" ht="11.1" customHeight="1" x14ac:dyDescent="0.2">
      <c r="A5" s="7" t="s">
        <v>29</v>
      </c>
      <c r="B5" s="5"/>
      <c r="C5" s="5" t="s">
        <v>32</v>
      </c>
      <c r="D5" s="3" t="s">
        <v>26</v>
      </c>
      <c r="E5" s="6">
        <v>744</v>
      </c>
      <c r="F5" s="17"/>
      <c r="G5" s="17">
        <f>ROUND(М[[#This Row],[Количество]]*М[[#This Row],[Цена за ед., руб]],2)</f>
        <v>0</v>
      </c>
      <c r="H5" s="5"/>
      <c r="I5" s="8"/>
    </row>
    <row r="6" spans="1:9" ht="11.1" customHeight="1" x14ac:dyDescent="0.2">
      <c r="A6" s="7" t="s">
        <v>29</v>
      </c>
      <c r="B6" s="5"/>
      <c r="C6" s="5" t="s">
        <v>34</v>
      </c>
      <c r="D6" s="3" t="s">
        <v>26</v>
      </c>
      <c r="E6" s="4">
        <v>1478</v>
      </c>
      <c r="F6" s="17"/>
      <c r="G6" s="17">
        <f>ROUND(М[[#This Row],[Количество]]*М[[#This Row],[Цена за ед., руб]],2)</f>
        <v>0</v>
      </c>
      <c r="H6" s="5"/>
      <c r="I6" s="8"/>
    </row>
    <row r="7" spans="1:9" ht="11.1" customHeight="1" x14ac:dyDescent="0.2">
      <c r="A7" s="7" t="s">
        <v>29</v>
      </c>
      <c r="B7" s="5"/>
      <c r="C7" s="5" t="s">
        <v>30</v>
      </c>
      <c r="D7" s="3" t="s">
        <v>26</v>
      </c>
      <c r="E7" s="4">
        <v>31370</v>
      </c>
      <c r="F7" s="17"/>
      <c r="G7" s="17">
        <f>ROUND(М[[#This Row],[Количество]]*М[[#This Row],[Цена за ед., руб]],2)</f>
        <v>0</v>
      </c>
      <c r="H7" s="5"/>
      <c r="I7" s="8"/>
    </row>
    <row r="8" spans="1:9" ht="23.1" customHeight="1" x14ac:dyDescent="0.2">
      <c r="A8" s="7" t="s">
        <v>36</v>
      </c>
      <c r="B8" s="5"/>
      <c r="C8" s="5" t="s">
        <v>37</v>
      </c>
      <c r="D8" s="3" t="s">
        <v>38</v>
      </c>
      <c r="E8" s="4">
        <v>1312</v>
      </c>
      <c r="F8" s="17"/>
      <c r="G8" s="17">
        <f>ROUND(М[[#This Row],[Количество]]*М[[#This Row],[Цена за ед., руб]],2)</f>
        <v>0</v>
      </c>
      <c r="H8" s="5"/>
      <c r="I8" s="8"/>
    </row>
    <row r="9" spans="1:9" ht="23.1" customHeight="1" x14ac:dyDescent="0.2">
      <c r="A9" s="7" t="s">
        <v>52</v>
      </c>
      <c r="B9" s="5"/>
      <c r="C9" s="5"/>
      <c r="D9" s="3" t="s">
        <v>45</v>
      </c>
      <c r="E9" s="6">
        <v>9</v>
      </c>
      <c r="F9" s="17"/>
      <c r="G9" s="17">
        <f>ROUND(М[[#This Row],[Количество]]*М[[#This Row],[Цена за ед., руб]],2)</f>
        <v>0</v>
      </c>
      <c r="H9" s="5" t="s">
        <v>53</v>
      </c>
      <c r="I9" s="8"/>
    </row>
    <row r="10" spans="1:9" ht="23.1" customHeight="1" x14ac:dyDescent="0.2">
      <c r="A10" s="7" t="s">
        <v>54</v>
      </c>
      <c r="B10" s="5"/>
      <c r="C10" s="5"/>
      <c r="D10" s="3" t="s">
        <v>45</v>
      </c>
      <c r="E10" s="6">
        <v>10</v>
      </c>
      <c r="F10" s="17"/>
      <c r="G10" s="17">
        <f>ROUND(М[[#This Row],[Количество]]*М[[#This Row],[Цена за ед., руб]],2)</f>
        <v>0</v>
      </c>
      <c r="H10" s="5" t="s">
        <v>55</v>
      </c>
      <c r="I10" s="8"/>
    </row>
    <row r="11" spans="1:9" ht="23.1" customHeight="1" x14ac:dyDescent="0.2">
      <c r="A11" s="7" t="s">
        <v>56</v>
      </c>
      <c r="B11" s="5"/>
      <c r="C11" s="5" t="s">
        <v>57</v>
      </c>
      <c r="D11" s="3" t="s">
        <v>45</v>
      </c>
      <c r="E11" s="6">
        <v>19</v>
      </c>
      <c r="F11" s="17"/>
      <c r="G11" s="17">
        <f>ROUND(М[[#This Row],[Количество]]*М[[#This Row],[Цена за ед., руб]],2)</f>
        <v>0</v>
      </c>
      <c r="H11" s="5" t="s">
        <v>58</v>
      </c>
      <c r="I11" s="8"/>
    </row>
    <row r="12" spans="1:9" ht="35.1" customHeight="1" x14ac:dyDescent="0.2">
      <c r="A12" s="7" t="s">
        <v>60</v>
      </c>
      <c r="B12" s="5"/>
      <c r="C12" s="5" t="s">
        <v>61</v>
      </c>
      <c r="D12" s="3" t="s">
        <v>45</v>
      </c>
      <c r="E12" s="6">
        <v>19</v>
      </c>
      <c r="F12" s="17"/>
      <c r="G12" s="17">
        <f>ROUND(М[[#This Row],[Количество]]*М[[#This Row],[Цена за ед., руб]],2)</f>
        <v>0</v>
      </c>
      <c r="H12" s="5" t="s">
        <v>62</v>
      </c>
      <c r="I12" s="8"/>
    </row>
    <row r="13" spans="1:9" ht="35.1" customHeight="1" x14ac:dyDescent="0.2">
      <c r="A13" s="7" t="s">
        <v>60</v>
      </c>
      <c r="B13" s="5"/>
      <c r="C13" s="5" t="s">
        <v>64</v>
      </c>
      <c r="D13" s="3" t="s">
        <v>45</v>
      </c>
      <c r="E13" s="6">
        <v>5</v>
      </c>
      <c r="F13" s="17"/>
      <c r="G13" s="17">
        <f>ROUND(М[[#This Row],[Количество]]*М[[#This Row],[Цена за ед., руб]],2)</f>
        <v>0</v>
      </c>
      <c r="H13" s="5" t="s">
        <v>65</v>
      </c>
      <c r="I13" s="8"/>
    </row>
    <row r="14" spans="1:9" ht="23.1" customHeight="1" x14ac:dyDescent="0.2">
      <c r="A14" s="7" t="s">
        <v>67</v>
      </c>
      <c r="B14" s="5"/>
      <c r="C14" s="5"/>
      <c r="D14" s="3" t="s">
        <v>45</v>
      </c>
      <c r="E14" s="6">
        <v>19</v>
      </c>
      <c r="F14" s="17"/>
      <c r="G14" s="17">
        <f>ROUND(М[[#This Row],[Количество]]*М[[#This Row],[Цена за ед., руб]],2)</f>
        <v>0</v>
      </c>
      <c r="H14" s="5" t="s">
        <v>68</v>
      </c>
      <c r="I14" s="8"/>
    </row>
    <row r="15" spans="1:9" ht="23.1" customHeight="1" x14ac:dyDescent="0.2">
      <c r="A15" s="7" t="s">
        <v>47</v>
      </c>
      <c r="B15" s="5"/>
      <c r="C15" s="5"/>
      <c r="D15" s="3" t="s">
        <v>45</v>
      </c>
      <c r="E15" s="4">
        <v>1005</v>
      </c>
      <c r="F15" s="17"/>
      <c r="G15" s="17">
        <f>ROUND(М[[#This Row],[Количество]]*М[[#This Row],[Цена за ед., руб]],2)</f>
        <v>0</v>
      </c>
      <c r="H15" s="5" t="s">
        <v>48</v>
      </c>
      <c r="I15" s="8"/>
    </row>
    <row r="16" spans="1:9" ht="23.1" customHeight="1" x14ac:dyDescent="0.2">
      <c r="A16" s="11" t="s">
        <v>50</v>
      </c>
      <c r="B16" s="20"/>
      <c r="C16" s="20"/>
      <c r="D16" s="12" t="s">
        <v>45</v>
      </c>
      <c r="E16" s="13">
        <v>187</v>
      </c>
      <c r="F16" s="17"/>
      <c r="G16" s="18">
        <f>ROUND(М[[#This Row],[Количество]]*М[[#This Row],[Цена за ед., руб]],2)</f>
        <v>0</v>
      </c>
      <c r="H16" s="20" t="s">
        <v>51</v>
      </c>
      <c r="I16" s="15"/>
    </row>
    <row r="17" spans="1:15" ht="23.1" customHeight="1" x14ac:dyDescent="0.2">
      <c r="A17" s="65" t="s">
        <v>110</v>
      </c>
      <c r="B17" s="20"/>
      <c r="C17" s="20"/>
      <c r="D17" s="84" t="s">
        <v>39</v>
      </c>
      <c r="E17" s="85"/>
      <c r="F17" s="18"/>
      <c r="G17" s="85">
        <f ca="1">SUMIF(ЛСР!$B$6:$N$64,М[[#This Row],[Наим.]],ЛСР!$N$6:$N$64)</f>
        <v>0</v>
      </c>
      <c r="H17" s="20"/>
      <c r="I17" s="15"/>
    </row>
    <row r="18" spans="1:15" ht="11.45" customHeight="1" x14ac:dyDescent="0.2">
      <c r="A18" s="11" t="s">
        <v>99</v>
      </c>
      <c r="B18" s="20"/>
      <c r="C18" s="20"/>
      <c r="D18" s="12"/>
      <c r="E18" s="14"/>
      <c r="F18" s="18"/>
      <c r="G18" s="18">
        <f ca="1">SUBTOTAL(109,М[Сумма, руб])</f>
        <v>0</v>
      </c>
      <c r="H18" s="20"/>
      <c r="I18" s="15"/>
    </row>
    <row r="19" spans="1:15" ht="11.45" customHeight="1" x14ac:dyDescent="0.2">
      <c r="F19" s="64" t="s">
        <v>111</v>
      </c>
      <c r="G19" s="83">
        <f ca="1">ЛСР!N67-М[[#Totals],[Сумма, руб]]</f>
        <v>0</v>
      </c>
    </row>
    <row r="21" spans="1:15" ht="11.45" customHeight="1" x14ac:dyDescent="0.2">
      <c r="A21" s="76" t="s">
        <v>112</v>
      </c>
      <c r="B21" s="77"/>
      <c r="C21" s="78"/>
      <c r="D21" s="77"/>
      <c r="E21" s="77"/>
      <c r="F21" s="77"/>
      <c r="G21" s="77"/>
      <c r="H21" s="77"/>
      <c r="I21" s="77"/>
      <c r="J21" s="77"/>
      <c r="K21" s="77"/>
      <c r="L21" s="77"/>
      <c r="M21" s="79"/>
      <c r="N21" s="79"/>
      <c r="O21" s="79"/>
    </row>
    <row r="22" spans="1:15" ht="27" customHeight="1" x14ac:dyDescent="0.2">
      <c r="A22" s="90" t="s">
        <v>114</v>
      </c>
      <c r="B22" s="90"/>
      <c r="C22" s="90"/>
      <c r="D22" s="90"/>
      <c r="E22" s="90"/>
      <c r="F22" s="90"/>
      <c r="G22" s="80"/>
      <c r="H22" s="80"/>
      <c r="I22" s="80"/>
      <c r="J22" s="80"/>
      <c r="K22" s="80"/>
      <c r="L22" s="80"/>
      <c r="M22" s="80"/>
      <c r="N22" s="80"/>
      <c r="O22" s="80"/>
    </row>
    <row r="23" spans="1:15" ht="49.5" customHeight="1" x14ac:dyDescent="0.2">
      <c r="A23" s="90" t="s">
        <v>115</v>
      </c>
      <c r="B23" s="90"/>
      <c r="C23" s="90"/>
      <c r="D23" s="90"/>
      <c r="E23" s="90"/>
      <c r="F23" s="90"/>
      <c r="G23" s="80"/>
      <c r="H23" s="80"/>
      <c r="I23" s="80"/>
      <c r="J23" s="80"/>
      <c r="K23" s="80"/>
      <c r="L23" s="80"/>
      <c r="M23" s="80"/>
      <c r="N23" s="80"/>
      <c r="O23" s="80"/>
    </row>
    <row r="24" spans="1:15" ht="19.5" customHeight="1" x14ac:dyDescent="0.2">
      <c r="A24" s="91" t="s">
        <v>116</v>
      </c>
      <c r="B24" s="91"/>
      <c r="C24" s="91"/>
      <c r="D24" s="91"/>
      <c r="E24" s="91"/>
      <c r="F24" s="91"/>
      <c r="G24" s="81"/>
      <c r="H24" s="81"/>
      <c r="I24" s="81"/>
      <c r="J24" s="81"/>
      <c r="K24" s="81"/>
      <c r="L24" s="81"/>
      <c r="M24" s="81"/>
      <c r="N24" s="81"/>
      <c r="O24" s="81"/>
    </row>
    <row r="25" spans="1:15" ht="19.5" customHeight="1" x14ac:dyDescent="0.2">
      <c r="A25" s="92" t="s">
        <v>117</v>
      </c>
      <c r="B25" s="92"/>
      <c r="C25" s="92"/>
      <c r="D25" s="92"/>
      <c r="E25" s="92"/>
      <c r="F25" s="92"/>
      <c r="G25" s="82"/>
      <c r="H25" s="82"/>
      <c r="I25" s="82"/>
      <c r="J25" s="82"/>
      <c r="K25" s="82"/>
      <c r="L25" s="82"/>
      <c r="M25" s="82"/>
      <c r="N25" s="82"/>
      <c r="O25" s="82"/>
    </row>
  </sheetData>
  <mergeCells count="5">
    <mergeCell ref="A1:H1"/>
    <mergeCell ref="A22:F22"/>
    <mergeCell ref="A23:F23"/>
    <mergeCell ref="A24:F24"/>
    <mergeCell ref="A25:F25"/>
  </mergeCells>
  <dataValidations count="1">
    <dataValidation type="list" errorStyle="information" allowBlank="1" showInputMessage="1" showErrorMessage="1" sqref="I3:I17" xr:uid="{3334D6FB-1985-4245-AAB6-9F1FFB84D84A}">
      <formula1>"Закупка подрядчик, Давальческая, Уступка"</formula1>
    </dataValidation>
  </dataValidations>
  <pageMargins left="0.39370078740157483" right="0.39370078740157483" top="0.39370078740157483" bottom="0.39370078740157483" header="0" footer="0"/>
  <pageSetup paperSize="9" pageOrder="overThenDown" orientation="portrait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outlinePr summaryBelow="0" summaryRight="0"/>
    <pageSetUpPr autoPageBreaks="0"/>
  </sheetPr>
  <dimension ref="A1:B6"/>
  <sheetViews>
    <sheetView workbookViewId="0"/>
  </sheetViews>
  <sheetFormatPr defaultColWidth="10.5" defaultRowHeight="11.45" customHeight="1" x14ac:dyDescent="0.2"/>
  <cols>
    <col min="1" max="2" width="10.5" style="1" customWidth="1"/>
  </cols>
  <sheetData>
    <row r="1" spans="1:2" ht="11.1" customHeight="1" x14ac:dyDescent="0.2">
      <c r="A1" s="1" t="s">
        <v>87</v>
      </c>
      <c r="B1" s="1" t="s">
        <v>88</v>
      </c>
    </row>
    <row r="2" spans="1:2" ht="11.1" customHeight="1" x14ac:dyDescent="0.2">
      <c r="A2" s="1" t="s">
        <v>89</v>
      </c>
      <c r="B2" s="1" t="s">
        <v>90</v>
      </c>
    </row>
    <row r="3" spans="1:2" ht="11.1" customHeight="1" x14ac:dyDescent="0.2">
      <c r="A3" s="1" t="s">
        <v>91</v>
      </c>
      <c r="B3" s="1" t="s">
        <v>92</v>
      </c>
    </row>
    <row r="4" spans="1:2" ht="11.1" customHeight="1" x14ac:dyDescent="0.2">
      <c r="A4" s="1" t="s">
        <v>93</v>
      </c>
      <c r="B4" s="1" t="s">
        <v>94</v>
      </c>
    </row>
    <row r="5" spans="1:2" ht="11.1" customHeight="1" x14ac:dyDescent="0.2">
      <c r="A5" s="1" t="s">
        <v>95</v>
      </c>
      <c r="B5" s="1" t="s">
        <v>96</v>
      </c>
    </row>
    <row r="6" spans="1:2" ht="11.1" customHeight="1" x14ac:dyDescent="0.2">
      <c r="A6" s="1" t="s">
        <v>97</v>
      </c>
      <c r="B6" s="1" t="s">
        <v>98</v>
      </c>
    </row>
  </sheetData>
  <pageMargins left="0.39370078740157483" right="0.39370078740157483" top="0.39370078740157483" bottom="0.39370078740157483" header="0" footer="0"/>
  <pageSetup paperSize="9" pageOrder="overThenDown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ЛСР</vt:lpstr>
      <vt:lpstr>Работы</vt:lpstr>
      <vt:lpstr>Материалы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Калимуллина Карина Павловна</cp:lastModifiedBy>
  <dcterms:modified xsi:type="dcterms:W3CDTF">2026-09-10T08:19:35Z</dcterms:modified>
</cp:coreProperties>
</file>