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5162F83F-3392-437C-8E68-2688CDE9B27D}" xr6:coauthVersionLast="47" xr6:coauthVersionMax="47" xr10:uidLastSave="{00000000-0000-0000-0000-000000000000}"/>
  <bookViews>
    <workbookView xWindow="2730" yWindow="2730" windowWidth="29130" windowHeight="1827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/>
</workbook>
</file>

<file path=xl/calcChain.xml><?xml version="1.0" encoding="utf-8"?>
<calcChain xmlns="http://schemas.openxmlformats.org/spreadsheetml/2006/main">
  <c r="P63" i="1" l="1" a="1"/>
  <c r="P63" i="1" s="1"/>
  <c r="P35" i="1" a="1"/>
  <c r="P35" i="1" s="1"/>
  <c r="L35" i="1"/>
  <c r="L63" i="1"/>
  <c r="H54" i="1"/>
  <c r="I54" i="1"/>
  <c r="J54" i="1"/>
  <c r="K54" i="1"/>
  <c r="G54" i="1"/>
  <c r="L54" i="1"/>
  <c r="H48" i="1"/>
  <c r="I48" i="1"/>
  <c r="J48" i="1"/>
  <c r="K48" i="1"/>
  <c r="G48" i="1"/>
  <c r="H44" i="1"/>
  <c r="I44" i="1"/>
  <c r="J44" i="1"/>
  <c r="K44" i="1"/>
  <c r="G44" i="1"/>
  <c r="H39" i="1"/>
  <c r="I39" i="1"/>
  <c r="J39" i="1"/>
  <c r="K39" i="1"/>
  <c r="G39" i="1"/>
  <c r="L39" i="1" s="1"/>
  <c r="H31" i="1"/>
  <c r="I31" i="1"/>
  <c r="J31" i="1"/>
  <c r="K31" i="1"/>
  <c r="G31" i="1"/>
  <c r="H26" i="1"/>
  <c r="I26" i="1"/>
  <c r="J26" i="1"/>
  <c r="K26" i="1"/>
  <c r="G26" i="1"/>
  <c r="L26" i="1" s="1"/>
  <c r="H22" i="1"/>
  <c r="I22" i="1"/>
  <c r="J22" i="1"/>
  <c r="K22" i="1"/>
  <c r="G22" i="1"/>
  <c r="H18" i="1"/>
  <c r="I18" i="1"/>
  <c r="J18" i="1"/>
  <c r="K18" i="1"/>
  <c r="G18" i="1"/>
  <c r="L18" i="1" s="1"/>
  <c r="H14" i="1"/>
  <c r="I14" i="1"/>
  <c r="J14" i="1"/>
  <c r="K14" i="1"/>
  <c r="G14" i="1"/>
  <c r="M14" i="1" a="1"/>
  <c r="M14" i="1" s="1"/>
  <c r="L16" i="1"/>
  <c r="P16" i="1" a="1"/>
  <c r="P16" i="1" s="1"/>
  <c r="M16" i="1" a="1"/>
  <c r="M16" i="1" s="1"/>
  <c r="M18" i="1" a="1"/>
  <c r="M18" i="1" s="1"/>
  <c r="L20" i="1"/>
  <c r="P20" i="1" a="1"/>
  <c r="P20" i="1" s="1"/>
  <c r="M20" i="1" a="1"/>
  <c r="M20" i="1" s="1"/>
  <c r="N20" i="1" s="1"/>
  <c r="N19" i="1" s="1"/>
  <c r="L22" i="1"/>
  <c r="M22" i="1" a="1"/>
  <c r="M22" i="1" s="1"/>
  <c r="L24" i="1"/>
  <c r="P24" i="1" a="1"/>
  <c r="P24" i="1" s="1"/>
  <c r="M24" i="1" a="1"/>
  <c r="M24" i="1" s="1"/>
  <c r="N24" i="1" s="1"/>
  <c r="N23" i="1" s="1"/>
  <c r="M26" i="1" a="1"/>
  <c r="M26" i="1" s="1"/>
  <c r="L28" i="1"/>
  <c r="P28" i="1" a="1"/>
  <c r="P28" i="1" s="1"/>
  <c r="M28" i="1" a="1"/>
  <c r="M28" i="1" s="1"/>
  <c r="L29" i="1"/>
  <c r="P29" i="1" a="1"/>
  <c r="P29" i="1" s="1"/>
  <c r="M29" i="1" a="1"/>
  <c r="M29" i="1" s="1"/>
  <c r="N29" i="1" s="1"/>
  <c r="L31" i="1"/>
  <c r="M31" i="1" a="1"/>
  <c r="M31" i="1" s="1"/>
  <c r="L33" i="1"/>
  <c r="P33" i="1" a="1"/>
  <c r="P33" i="1" s="1"/>
  <c r="M33" i="1" a="1"/>
  <c r="M33" i="1" s="1"/>
  <c r="M39" i="1" a="1"/>
  <c r="M39" i="1" s="1"/>
  <c r="L41" i="1"/>
  <c r="P41" i="1" a="1"/>
  <c r="P41" i="1" s="1"/>
  <c r="M41" i="1" a="1"/>
  <c r="M41" i="1" s="1"/>
  <c r="N41" i="1" s="1"/>
  <c r="L42" i="1"/>
  <c r="P42" i="1" a="1"/>
  <c r="P42" i="1" s="1"/>
  <c r="M42" i="1" a="1"/>
  <c r="M42" i="1" s="1"/>
  <c r="N42" i="1" s="1"/>
  <c r="L44" i="1"/>
  <c r="M44" i="1" a="1"/>
  <c r="M44" i="1" s="1"/>
  <c r="L46" i="1"/>
  <c r="P46" i="1" a="1"/>
  <c r="P46" i="1" s="1"/>
  <c r="M46" i="1" a="1"/>
  <c r="M46" i="1" s="1"/>
  <c r="M48" i="1" a="1"/>
  <c r="M48" i="1" s="1"/>
  <c r="L50" i="1"/>
  <c r="P50" i="1" a="1"/>
  <c r="P50" i="1" s="1"/>
  <c r="M50" i="1" a="1"/>
  <c r="M50" i="1" s="1"/>
  <c r="N50" i="1" s="1"/>
  <c r="L51" i="1"/>
  <c r="P51" i="1" a="1"/>
  <c r="P51" i="1" s="1"/>
  <c r="M51" i="1" a="1"/>
  <c r="M51" i="1" s="1"/>
  <c r="L52" i="1"/>
  <c r="P52" i="1" a="1"/>
  <c r="P52" i="1" s="1"/>
  <c r="M52" i="1" a="1"/>
  <c r="M52" i="1" s="1"/>
  <c r="M54" i="1" a="1"/>
  <c r="M54" i="1" s="1"/>
  <c r="L56" i="1"/>
  <c r="P56" i="1" a="1"/>
  <c r="P56" i="1" s="1"/>
  <c r="M56" i="1" a="1"/>
  <c r="M56" i="1" s="1"/>
  <c r="N56" i="1" s="1"/>
  <c r="L57" i="1"/>
  <c r="P57" i="1" a="1"/>
  <c r="P57" i="1" s="1"/>
  <c r="M57" i="1" a="1"/>
  <c r="M57" i="1" s="1"/>
  <c r="N57" i="1" s="1"/>
  <c r="L58" i="1"/>
  <c r="P58" i="1" a="1"/>
  <c r="P58" i="1" s="1"/>
  <c r="M58" i="1" a="1"/>
  <c r="M58" i="1" s="1"/>
  <c r="N58" i="1" s="1"/>
  <c r="L59" i="1"/>
  <c r="P59" i="1" a="1"/>
  <c r="P59" i="1" s="1"/>
  <c r="M59" i="1" a="1"/>
  <c r="M59" i="1" s="1"/>
  <c r="L60" i="1"/>
  <c r="P60" i="1" a="1"/>
  <c r="P60" i="1" s="1"/>
  <c r="M60" i="1" a="1"/>
  <c r="M60" i="1" s="1"/>
  <c r="N60" i="1" s="1"/>
  <c r="L61" i="1"/>
  <c r="P61" i="1" a="1"/>
  <c r="P61" i="1" s="1"/>
  <c r="M61" i="1" a="1"/>
  <c r="M61" i="1" s="1"/>
  <c r="N61" i="1" s="1"/>
  <c r="L67" i="1"/>
  <c r="M67" i="1" a="1"/>
  <c r="M67" i="1" s="1"/>
  <c r="N67" i="1" s="1"/>
  <c r="N66" i="1" s="1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3" i="2"/>
  <c r="E12" i="2"/>
  <c r="E11" i="2"/>
  <c r="E10" i="2"/>
  <c r="E9" i="2"/>
  <c r="E8" i="2"/>
  <c r="E7" i="2"/>
  <c r="E6" i="2"/>
  <c r="E5" i="2"/>
  <c r="E4" i="2"/>
  <c r="E14" i="2"/>
  <c r="N28" i="1" l="1"/>
  <c r="N27" i="1" s="1"/>
  <c r="N18" i="1"/>
  <c r="N17" i="1" s="1"/>
  <c r="N52" i="1"/>
  <c r="N59" i="1"/>
  <c r="N55" i="1" s="1"/>
  <c r="L14" i="1"/>
  <c r="N14" i="1" s="1"/>
  <c r="N13" i="1" s="1"/>
  <c r="N40" i="1"/>
  <c r="N51" i="1"/>
  <c r="L48" i="1"/>
  <c r="N48" i="1" s="1"/>
  <c r="N47" i="1" s="1"/>
  <c r="N54" i="1"/>
  <c r="N53" i="1" s="1"/>
  <c r="N39" i="1"/>
  <c r="N38" i="1" s="1"/>
  <c r="N44" i="1"/>
  <c r="N43" i="1" s="1"/>
  <c r="N31" i="1"/>
  <c r="N30" i="1" s="1"/>
  <c r="N26" i="1"/>
  <c r="N25" i="1" s="1"/>
  <c r="N65" i="1"/>
  <c r="N64" i="1" s="1"/>
  <c r="N33" i="1"/>
  <c r="N32" i="1" s="1"/>
  <c r="N46" i="1"/>
  <c r="N16" i="1"/>
  <c r="N22" i="1"/>
  <c r="N21" i="1" s="1"/>
  <c r="N45" i="1" l="1"/>
  <c r="N63" i="1"/>
  <c r="N15" i="1"/>
  <c r="N35" i="1"/>
  <c r="G22" i="3" s="1"/>
  <c r="N49" i="1"/>
  <c r="N69" i="1"/>
  <c r="E15" i="2" s="1"/>
  <c r="N62" i="1" l="1"/>
  <c r="G23" i="3"/>
  <c r="G24" i="3" s="1"/>
  <c r="N37" i="1"/>
  <c r="N36" i="1" s="1"/>
  <c r="N34" i="1" l="1"/>
  <c r="N12" i="1" l="1"/>
  <c r="N11" i="1" s="1"/>
  <c r="N10" i="1" s="1"/>
  <c r="N68" i="1" s="1"/>
  <c r="N70" i="1"/>
  <c r="G25" i="3" s="1"/>
</calcChain>
</file>

<file path=xl/sharedStrings.xml><?xml version="1.0" encoding="utf-8"?>
<sst xmlns="http://schemas.openxmlformats.org/spreadsheetml/2006/main" count="323" uniqueCount="130">
  <si>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</si>
  <si>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</si>
  <si>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</si>
  <si>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</si>
  <si>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</si>
  <si>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</si>
  <si>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</si>
  <si>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</si>
  <si>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</si>
  <si>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</si>
  <si>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</si>
  <si>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</si>
  <si>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</si>
  <si>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</si>
  <si>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</si>
  <si>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</si>
  <si>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11.16</t>
  </si>
  <si>
    <t>Устройство видеонаблюдения</t>
  </si>
  <si>
    <t>11.16.01</t>
  </si>
  <si>
    <t>Прокладка КПП и КНС</t>
  </si>
  <si>
    <t>11.16.01.00</t>
  </si>
  <si>
    <t>Работы:</t>
  </si>
  <si>
    <t>Прокладка кабеля «витая пара» (LAN)</t>
  </si>
  <si>
    <t>м</t>
  </si>
  <si>
    <t>Материалы:</t>
  </si>
  <si>
    <t>1</t>
  </si>
  <si>
    <t>Кабель</t>
  </si>
  <si>
    <t>U/UTP cat.5е ZH нг(А)-HF 4х2х0,52</t>
  </si>
  <si>
    <t>Прокладка кабеля волоконно-оптического</t>
  </si>
  <si>
    <t>Патч-корд</t>
  </si>
  <si>
    <t>SC/UPC-SC/UPC SM армированный LSZH 15м</t>
  </si>
  <si>
    <t>шт</t>
  </si>
  <si>
    <t>Патч-корд оптический армированный одномодовый, 15м (PC-ARM-3,0-SC/UPC-SC/UPC-SM-15м-LSZH) либо аналог</t>
  </si>
  <si>
    <t>Прокладка КПП многожильного до 4 кв.мм</t>
  </si>
  <si>
    <t>Провод</t>
  </si>
  <si>
    <t>ПуГПнг(А)-HF 1х4</t>
  </si>
  <si>
    <t>Прокладка трубы гофрированной до 32 мм</t>
  </si>
  <si>
    <t>Труба электромонтажная</t>
  </si>
  <si>
    <t>ПВХ гофр. легкая с протяжкой 20мм</t>
  </si>
  <si>
    <t>пог. м</t>
  </si>
  <si>
    <t>2</t>
  </si>
  <si>
    <t>ПНД гофр. легкая с протяжкой 20мм</t>
  </si>
  <si>
    <t>Стойкая к УФ, для прокладки по фасаду</t>
  </si>
  <si>
    <t>Прокладка трубы стальной до 40 мм</t>
  </si>
  <si>
    <t>Труба электросварная (пог.м.)</t>
  </si>
  <si>
    <t>стальная D-22х1,5</t>
  </si>
  <si>
    <t>%</t>
  </si>
  <si>
    <t>11.16.02</t>
  </si>
  <si>
    <t>Установка оборудования</t>
  </si>
  <si>
    <t>11.16.02.00</t>
  </si>
  <si>
    <t>Монтаж видеокамеры тип 1</t>
  </si>
  <si>
    <t>Видеокамера IP</t>
  </si>
  <si>
    <t>купольная 2Мп 2,8мм ИК-подсветка до 20 м</t>
  </si>
  <si>
    <t>Купольная камера (лифтовая) (TR-D4221WDIR2 v2 2.8) либо аналог</t>
  </si>
  <si>
    <t>купольная 2Мп 2,8мм ИК-подсветка до 30 м</t>
  </si>
  <si>
    <t>Купольная камера TR-D8221WDIR3 v2 2.8 (либо аналог)</t>
  </si>
  <si>
    <t>Монтаж видеокамеры тип 2</t>
  </si>
  <si>
    <t>цилиндрическая 5Мп 2,7-13,5мм</t>
  </si>
  <si>
    <t>Цилиндрическая камера TR-D2253WDIR7 v2 (D) 2.7-13.5 (либо аналог)</t>
  </si>
  <si>
    <t>Монтаж сетевого коммунатора</t>
  </si>
  <si>
    <t>РоЕ-оборудование</t>
  </si>
  <si>
    <t>инжектор 24В 1 порт</t>
  </si>
  <si>
    <t>Инжектор Passive PoE 24 В TL-POE2412G (либо аналог)</t>
  </si>
  <si>
    <t>удлинитель до 500м</t>
  </si>
  <si>
    <t>Повторитель линии E-PoE/1 (либо аналог)</t>
  </si>
  <si>
    <t>3</t>
  </si>
  <si>
    <t>Маршрутизатор</t>
  </si>
  <si>
    <t>Радиомаршрутизатор со встроенной антенной SXTSQ LITE5 (либо аналог)</t>
  </si>
  <si>
    <t>Монтаж ШМН</t>
  </si>
  <si>
    <t>Шкаф монтажный</t>
  </si>
  <si>
    <t>настенный 500х600х650 9U</t>
  </si>
  <si>
    <t>R5STI0965GS DKC 1шт. (либо аналог) в составе: Коммутатор L2 DS-3E2528P(B) Hikvision 1шт. (либо аналог); Коммутатор L2 DS-3E2510P(B) Hikvision 1шт. (либо аналог); ИБП SNR-UPS-LIRM-600 1SNR 1шт. (либо аналог); БРП R519SH6OPSHSP DKC 1шт. (либо аналог); Верт. профили R5VUG09L DKC 1компл. (2шт) (либо аналог); Потолочный вентилятор R5SCF700 DKC 1шт. (либо аналог); WDM SFP-трансивер DEM-330R/3KM/A1A D-Link 1шт. (либо аналог); Коммутационная панель SNR-UD-1U48-5E-H SNR 1шт. (либо аналог); Патч-корд RN5EUU4530BK DKC 23шт. (либо аналог);
R5STI0965GS DKC 1шт. (либо аналог) в составе: Коммутатор L2, DS-3E2528P(B) Hikvision 1шт. (либо аналог);ИБП SNR-UPS-LIRM-600 SNR 1шт. (либо аналог); БРП R519SH6OPSHSP DKC 1шт. (либо аналог); Верт. профили 9U, R5VUG09L DKC 1компл. (2 шт) (либо аналог); Потолочный вентилятор R5SCF700 DKC 1шт. (либо аналог); WDM SFP-трансивер, DEM-330R/3KM/A1A D-Link 1шт. (либо аналог); Коммутационная панель SNR-UD-1U48-5E-H SNR 1шт. (либо аналог); Патч-корд RN5EUU4530BK DKC 16шт. (либо аналог);</t>
  </si>
  <si>
    <t>R5STI0965GS DKC 1шт. (либо аналог)в составе: Коммутатор L2 DS-3E2528P(B) Hikvision 2шт;. (либо аналог); Коммутатор L2 DS-3E2510P(B) Hikvision 1шт.; (либо аналог); ИБП SNR-UPS-LIRM-1000    SNR 1шт.; (либо аналог); БРП R519SH6OPSHSP DKC 1шт.; (либо аналог); WDM SFP-трансивер DEM-330R/3KM/A1A D-Link 1шт.; (либо аналог); Верт. профили 9U R5VUG09L DKC 2компл.; (4шт) (либо аналог); Потолочный вентилятор R5SCF700 DKC 1шт.; (либо аналог); Коммутационная панель SNR-UD-1U48-5E-H SNR 1шт.; (либо аналог); Патч-корд RN5EUU4530BK DKC 46м.; (либо аналог);
R5STI0965GS DKC 1шт. (либо аналог)в составе: Коммутатор L2 DS-3E2528P(B) Hikvision 1шт. (либо аналог); Коммутатор L2 DS-3E2510P(B) Hikvision 1шт. (либо аналог); ИБП SNR-UPS-LIRM-600 SNR 1шт. (либо аналог); БРП R519SH6OPSHSP DKC 1шт. (либо аналог); Верт. профили 9U R5VUG09L DKC 1компл. (2шт) (либо аналог); Потолочный вентилятор R5SCF700 DKC 1шт. (либо аналог); WDM SFP-трансивер DEM-330R/3KM/A1A D-Link 1шт. (либо аналог); Коммутационная панель SNR-UD-1U48-5E-H SNR 1шт. (либо</t>
  </si>
  <si>
    <t>R5STI0965GS DKC 1шт. (либо аналог) в составе: Коммутатор L2 DS-3E2528P(B) Hikvision 2шт. (либо аналог); ИБП SNR-UPS-LIRM-1000 SNR 1шт. (либо аналог); БРП R519SH6OPSHSP DKC 1шт. (либо аналог);Верт. профили 9U R5VUG09L DKC 1компл. (2шт)(либо аналог); Потолочный вентилятор R5SCF700 DKC 1шт. (либо аналог); WDM SFP-трансивер DEM-330R/3KM/A1A D-Link 1шт. (либо аналог); Коммутационная панель SNR-UD-1U48-5E-H SNR 1шт. (либо аналог); Патч-корд RN5EUU4530BK DKC 33шт. (либо аналог);
R5STI0965GS DKC 1шт. (либо аналог) в составе: Коммутатор L2 DS-3E2528P(B) Hikvision 1шт. (либо аналог);ИБП SNR-UPS-LIRM-600 SNR 1шт. (либо аналог); БРП R519SH6OPSHSP DKC 1шт. (либо аналог); Верт. профили 9U R5VUG09L DKC 1компл. (2шт) (либо аналог); Потолочный вентилятор R5SCF700 DKC 1шт. (либо аналог); WDM SFP-трансивер DEM-330R/3KM/A1A D-Link 1шт. (либо аналог); Коммутационная панель SNR-UD-1U48-5E-H SNR 1шт. (либо аналог); Патч-корд RN5EUU4530BK DKC 18шт. (либо аналог);</t>
  </si>
  <si>
    <t>4</t>
  </si>
  <si>
    <t>R5STI0965GS DKC 1шт. (либо аналог) в составе: Коммутатор L2 DS-3E2528P(B) Hikvision 3шт. (либо аналог);ИБП SNR-UPS-LIRM-1000 SNR 1шт. (либо аналог); БРП R519SH6OPSHSP DKC 1шт. (либо аналог); Верт. профили 9U R5VUG09L DKC 1компл.(2шт) (либо аналог); Потолочный вентилятор R5SCF700 DKC 1шт. (либо аналог); WDM SFP-трансивер DEM-330R/3KM/A1A D-Link 1шт. (либо аналог); Коммутационная панель SNR-UD-1U48-5E-H SNR 1шт. (либо аналог); Патч-корд RN5EUU4530BK DKC 58шт. (либо аналог);
R5STI0965GS DKC 1шт. (либо аналог); в составе: Коммутатор L2 DS-3E2528P(B) Hikvision 3шт. (либо аналог);ИБП SNR-UPS-LIRM-1000 SNR 1шт. (либо аналог); БРП R519SH6OPSHSP DKC 1шт. (либо аналог); Верт. профили R5VUG09L DKC 1компл. (2шт) (либо аналог) Потолочный вентилятор R5SCF700 DKC 1шт. (либо аналог); WDM SFP-трансивер DEM-330R/3KM/A1A D-Link 1шт. (либо аналог); Коммутационная панел SNR-UD-1U48-5E-H SNR 1шт. (либо аналог); Патч-корд RN5EUU4530BK DKC 60шт. (либо аналог);</t>
  </si>
  <si>
    <t>5</t>
  </si>
  <si>
    <t>R5STI0965GS DKC 1шт. (либо аналог) в составе: Коммутатор L2 DS-3E2528P(B) Hikvision 2шт. (либо аналог); Коммутатор L2 DS-3E2510P(B) Hikvision 1шт. (либо аналог); ИБП SNR-UPS-LIRM-1000 SNR 1шт. (либо аналог); БРП R519SH6OPSHSP DKC 1шт. (либо аналог); Верт. профили 9U R5VUG09L DKC 1компл.(2шт) (либо аналог); Потолочный вентилятор R5SCF700 DKC 1шт. (либо аналог); WDM SFP-трансивер DEM-330R/3KM/A1A D-Link 1шт. (либо аналог); Коммутационная панель SNR-UD-1U48-5E-H SNR 1шт. (либо аналог); Патч-корд RN5EUU4530BK DKC 50шт. (либо аналог);
R5STI0965GS DKC 1шт. (либо аналог)в составе: Коммутатор L2 DS-3E2528P(B) Hikvision 2шт. (либо аналог); ИБП SNR-UPS-LIRM-1000 SNR 1шт. (либо аналог); БРП R519SH6OPSHSP DKC 1шт. (либо аналог); Верт. профили R5VUG09L DKC 1компл. (либо аналог); Потолочный вентилятор R5SCF700 DKC 1шт. (либо аналог); WDM SFP-трансивер DEM-330R/3KM/A1A D-Link 1шт. (либо аналог); Коммутационная панель SNR-UD-1U48-5E-H SNR 1шт. (либо аналог); Патч-корд RN5EUU4530BK DKC 32шт. (либо аналог);</t>
  </si>
  <si>
    <t>6</t>
  </si>
  <si>
    <t>напольный 600х1200х600 24U</t>
  </si>
  <si>
    <t>R5IT3866PFB DKC 1шт. (либо аналог) в составе: Коммутатор L2 DS-3E2528P(B) Hikvision1шт. (либо аналог); Сетевой видеорегистратор для IP-видеокамер под управлением TRASSIR OS (Linux) NeuroStation TRASSIR 3шт. (либо аналог); Видеорегистратор MiniNVR CT1 3216R AF TRASSIR 1шт. (либо аналог); Жесткий диск WD84PURZ Western Digital (WD) 26шт. (либо аналог); ИБП SNR-UPS-LIRM-3000-PS SNR 1шт. (либо аналог); БРП R519SH6OPSHSP DKC 1шт. (либо аналог); Верт. профили 38U R5VUG38L DKC 1компл.(2шт) (либо аналог); Потолочный вентилятор R5SCF700 DKC 1шт. (либо аналог); WDM SFP-трансивер DEM-330R/3KM/A1A D-Link 1шт. (либо аналог); Коммутационная панель SNR-UD-1U48-5E-H SNR 1шт. (либо аналог); Патч-корд RN5EUU4530BK DKC 6шт. (либо аналог);</t>
  </si>
  <si>
    <t>11.16.03</t>
  </si>
  <si>
    <t>ПНР</t>
  </si>
  <si>
    <t>11.16.03.00</t>
  </si>
  <si>
    <t>Пусконаладочные работы</t>
  </si>
  <si>
    <t>компл.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</si>
  <si>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</si>
  <si>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</si>
  <si>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</si>
  <si>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</si>
  <si>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</si>
  <si>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</si>
  <si>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</si>
  <si>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</si>
  <si>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</si>
  <si>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</si>
  <si>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</si>
  <si>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</si>
  <si>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</si>
  <si>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Екатеринбург.01.11.16 Секция 1.1_Устройство видеонаблюдения №1</t>
  </si>
  <si>
    <t>9869ae2b-a20b-11f1-9619-cc5d3c3b48f3</t>
  </si>
  <si>
    <t>ГП Амундсмена Екатеринбург.02.11.16 Секция 1.2_Устройство видеонаблюдения №1</t>
  </si>
  <si>
    <t>a57084b9-a20b-11f1-9619-cc5d3c3b48f3</t>
  </si>
  <si>
    <t>ГП Амундсмена Екатеринбург.03.11.16 Секция 1.3_Устройство видеонаблюдения №1</t>
  </si>
  <si>
    <t>ab8df712-a20b-11f1-9619-cc5d3c3b48f3</t>
  </si>
  <si>
    <t>ГП Амундсмена Екатеринбург.04.11.16 Секция 2_Устройство видеонаблюдения №1</t>
  </si>
  <si>
    <t>b92c56ce-a20b-11f1-9619-cc5d3c3b48f3</t>
  </si>
  <si>
    <t>ГП Амундсмена Екатеринбург.05.11.16 Секция 3_Устройство видеонаблюдения №1</t>
  </si>
  <si>
    <t>bf3a2766-a20b-11f1-9619-cc5d3c3b48f3</t>
  </si>
  <si>
    <t>Итог</t>
  </si>
  <si>
    <t>Прочие материалы (для раздела прокладка КПП и КНС)</t>
  </si>
  <si>
    <t>Прочие материалы для раздела (установка оборудования)</t>
  </si>
  <si>
    <t>Секция 1.1</t>
  </si>
  <si>
    <t>Секция 1.2</t>
  </si>
  <si>
    <t>Секция 1.3</t>
  </si>
  <si>
    <t>Устройство системы видеонаблюдения</t>
  </si>
  <si>
    <t>ПОДРЯДЧИК:</t>
  </si>
  <si>
    <t>ЗАКАЗЧИК:</t>
  </si>
  <si>
    <t>ТЕХНИЧЕСКИЙ ЗАКАЗЧИК:</t>
  </si>
  <si>
    <t>Примечание:</t>
  </si>
  <si>
    <t>-</t>
  </si>
  <si>
    <t>Настройка системы видеонаблюдения и подготовка исполнительной документации учтена в стоимости СМР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</si>
  <si>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</si>
  <si>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</si>
  <si>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</si>
  <si>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</si>
  <si>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 тч НДС ____%</t>
  </si>
  <si>
    <t>указать %</t>
  </si>
  <si>
    <t>Проверка:</t>
  </si>
  <si>
    <t>Локальный сметный расчет (ЛСР) №6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</si>
</sst>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u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i/>
      <u/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left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right" vertical="center"/>
    </xf>
    <xf numFmtId="4" fontId="5" fillId="2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right" vertical="center"/>
    </xf>
    <xf numFmtId="4" fontId="5" fillId="3" borderId="5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right" vertical="center"/>
    </xf>
    <xf numFmtId="4" fontId="5" fillId="4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Alignment="1">
      <alignment horizontal="right" vertical="center"/>
    </xf>
    <xf numFmtId="0" fontId="5" fillId="4" borderId="5" xfId="0" applyFont="1" applyFill="1" applyBorder="1" applyAlignment="1">
      <alignment horizontal="right"/>
    </xf>
    <xf numFmtId="0" fontId="5" fillId="5" borderId="5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right" vertical="center"/>
    </xf>
    <xf numFmtId="3" fontId="5" fillId="5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1" fontId="5" fillId="5" borderId="5" xfId="0" applyNumberFormat="1" applyFont="1" applyFill="1" applyBorder="1" applyAlignment="1">
      <alignment horizontal="right" vertical="center"/>
    </xf>
    <xf numFmtId="0" fontId="7" fillId="5" borderId="5" xfId="0" applyFont="1" applyFill="1" applyBorder="1" applyAlignment="1">
      <alignment horizontal="left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left"/>
    </xf>
    <xf numFmtId="4" fontId="6" fillId="6" borderId="5" xfId="0" applyNumberFormat="1" applyFont="1" applyFill="1" applyBorder="1" applyAlignment="1">
      <alignment horizontal="right" vertical="center"/>
    </xf>
    <xf numFmtId="0" fontId="5" fillId="6" borderId="5" xfId="0" applyFont="1" applyFill="1" applyBorder="1" applyAlignment="1">
      <alignment horizontal="right"/>
    </xf>
    <xf numFmtId="4" fontId="6" fillId="6" borderId="7" xfId="0" applyNumberFormat="1" applyFont="1" applyFill="1" applyBorder="1" applyAlignment="1">
      <alignment horizontal="right" vertical="center"/>
    </xf>
    <xf numFmtId="0" fontId="5" fillId="7" borderId="5" xfId="0" applyFont="1" applyFill="1" applyBorder="1" applyAlignment="1">
      <alignment horizontal="left"/>
    </xf>
    <xf numFmtId="49" fontId="5" fillId="0" borderId="0" xfId="0" applyNumberFormat="1" applyFont="1"/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49" fontId="5" fillId="8" borderId="0" xfId="0" applyNumberFormat="1" applyFont="1" applyFill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6" borderId="7" xfId="0" applyFont="1" applyFill="1" applyBorder="1" applyAlignment="1">
      <alignment horizontal="center"/>
    </xf>
    <xf numFmtId="1" fontId="7" fillId="9" borderId="5" xfId="0" applyNumberFormat="1" applyFont="1" applyFill="1" applyBorder="1" applyAlignment="1">
      <alignment horizontal="right" vertical="center"/>
    </xf>
    <xf numFmtId="4" fontId="7" fillId="5" borderId="5" xfId="0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1" fontId="0" fillId="9" borderId="5" xfId="0" applyNumberFormat="1" applyFill="1" applyBorder="1" applyAlignment="1">
      <alignment horizontal="right" vertical="center"/>
    </xf>
    <xf numFmtId="0" fontId="3" fillId="0" borderId="0" xfId="0" applyFont="1" applyAlignment="1">
      <alignment horizontal="right"/>
    </xf>
    <xf numFmtId="4" fontId="0" fillId="0" borderId="0" xfId="0" applyNumberFormat="1" applyAlignment="1">
      <alignment horizontal="left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13" fillId="0" borderId="0" xfId="1" applyFont="1" applyAlignment="1">
      <alignment vertical="center" wrapText="1"/>
    </xf>
    <xf numFmtId="4" fontId="13" fillId="0" borderId="0" xfId="0" applyNumberFormat="1" applyFont="1" applyAlignment="1">
      <alignment horizontal="center" vertical="center" wrapText="1"/>
    </xf>
    <xf numFmtId="0" fontId="13" fillId="0" borderId="0" xfId="1" applyFont="1" applyAlignment="1">
      <alignment vertical="top" wrapText="1"/>
    </xf>
    <xf numFmtId="0" fontId="13" fillId="0" borderId="0" xfId="0" applyFont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4" fontId="6" fillId="7" borderId="7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6" borderId="9" xfId="0" applyFont="1" applyFill="1" applyBorder="1" applyAlignment="1">
      <alignment horizontal="right"/>
    </xf>
    <xf numFmtId="0" fontId="6" fillId="6" borderId="6" xfId="0" applyFont="1" applyFill="1" applyBorder="1" applyAlignment="1">
      <alignment horizontal="right"/>
    </xf>
    <xf numFmtId="0" fontId="6" fillId="6" borderId="7" xfId="0" applyFont="1" applyFill="1" applyBorder="1" applyAlignment="1">
      <alignment horizontal="right"/>
    </xf>
    <xf numFmtId="0" fontId="8" fillId="6" borderId="9" xfId="0" applyFont="1" applyFill="1" applyBorder="1" applyAlignment="1">
      <alignment horizontal="right"/>
    </xf>
    <xf numFmtId="0" fontId="8" fillId="6" borderId="6" xfId="0" applyFont="1" applyFill="1" applyBorder="1" applyAlignment="1">
      <alignment horizontal="right"/>
    </xf>
    <xf numFmtId="0" fontId="8" fillId="6" borderId="7" xfId="0" applyFont="1" applyFill="1" applyBorder="1" applyAlignment="1">
      <alignment horizontal="right"/>
    </xf>
    <xf numFmtId="4" fontId="8" fillId="6" borderId="9" xfId="0" applyNumberFormat="1" applyFont="1" applyFill="1" applyBorder="1" applyAlignment="1">
      <alignment horizontal="right"/>
    </xf>
    <xf numFmtId="4" fontId="8" fillId="6" borderId="6" xfId="0" applyNumberFormat="1" applyFont="1" applyFill="1" applyBorder="1" applyAlignment="1">
      <alignment horizontal="right"/>
    </xf>
    <xf numFmtId="4" fontId="8" fillId="6" borderId="7" xfId="0" applyNumberFormat="1" applyFont="1" applyFill="1" applyBorder="1" applyAlignment="1">
      <alignment horizontal="right"/>
    </xf>
    <xf numFmtId="0" fontId="6" fillId="0" borderId="8" xfId="0" applyFont="1" applyBorder="1" applyAlignment="1">
      <alignment horizontal="left" vertical="top" wrapText="1"/>
    </xf>
    <xf numFmtId="4" fontId="6" fillId="0" borderId="8" xfId="0" applyNumberFormat="1" applyFont="1" applyBorder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3" fillId="0" borderId="0" xfId="1" applyFont="1" applyAlignment="1">
      <alignment horizontal="left" vertical="center" wrapText="1"/>
    </xf>
    <xf numFmtId="0" fontId="13" fillId="0" borderId="0" xfId="1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 2 2" xfId="1" xr:uid="{820E9B0E-6E3C-47D2-8E24-E53E7676B2C6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3CD50E-4286-40F0-B784-BA1CAFB4D901}" name="Р" displayName="Р" ref="A3:F14" totalsRowCount="1" headerRowDxfId="37" headerRowBorderDxfId="36" tableBorderDxfId="35" totalsRowBorderDxfId="34">
  <autoFilter ref="A3:F13" xr:uid="{693CD50E-4286-40F0-B784-BA1CAFB4D901}"/>
  <tableColumns count="6">
    <tableColumn id="1" xr3:uid="{7EB4D365-7CEE-4B9A-B5E5-A86D96DD9B68}" name="Наименование" totalsRowLabel="Итог" dataDxfId="33" totalsRowDxfId="32"/>
    <tableColumn id="2" xr3:uid="{B7926FF8-522B-4538-8649-69BE8455EBF8}" name="Ед. изм." dataDxfId="31" totalsRowDxfId="30"/>
    <tableColumn id="3" xr3:uid="{8BF099C2-7496-4ED5-88ED-DBEE2FF96E28}" name="Количество" dataDxfId="29" totalsRowDxfId="28"/>
    <tableColumn id="4" xr3:uid="{3F3D1089-E393-40F9-8C4C-C5EB458985D3}" name="Цена за ед., руб" dataDxfId="27" totalsRowDxfId="26"/>
    <tableColumn id="5" xr3:uid="{82F2582B-2E4E-4E12-93BC-9DD202A912FD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BB153F3C-B5C5-47E6-B1D3-73DA2D443382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C757CC-2F04-44CF-9411-105CA0378F66}" name="М" displayName="М" ref="A3:I24" totalsRowCount="1" headerRowDxfId="21" headerRowBorderDxfId="20" tableBorderDxfId="19" totalsRowBorderDxfId="18">
  <autoFilter ref="A3:I23" xr:uid="{8DC757CC-2F04-44CF-9411-105CA0378F66}"/>
  <tableColumns count="9">
    <tableColumn id="1" xr3:uid="{DB934BEC-4BDE-49AF-BAA1-9F13AA2B109A}" name="Наим." totalsRowLabel="Итог" dataDxfId="17" totalsRowDxfId="16"/>
    <tableColumn id="2" xr3:uid="{2CA2878B-0A51-4155-9D92-47EAA0E60969}" name="Артикул, марка, произв." dataDxfId="15" totalsRowDxfId="14"/>
    <tableColumn id="3" xr3:uid="{31863EFB-3ED0-43D1-9B7B-6DBFF693F2E9}" name="Хар-ка" dataDxfId="13" totalsRowDxfId="12"/>
    <tableColumn id="4" xr3:uid="{8FC82BAB-81FD-4F43-B736-0A821B0090EB}" name="Ед. изм." dataDxfId="11" totalsRowDxfId="10"/>
    <tableColumn id="5" xr3:uid="{A77C67FE-473B-43E6-A027-9A7532008823}" name="Количество" dataDxfId="9" totalsRowDxfId="8"/>
    <tableColumn id="6" xr3:uid="{D5ABFCE5-E5F0-4FDA-B994-487B30380844}" name="Цена за ед., руб" dataDxfId="7" totalsRowDxfId="6"/>
    <tableColumn id="7" xr3:uid="{F061E462-D9C2-4885-8841-9A467F4A0FB4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BFE2B80E-BFA3-4D59-B51F-08DA47C8939B}" name="Прим." dataDxfId="3" totalsRowDxfId="2"/>
    <tableColumn id="9" xr3:uid="{E917E991-C7AA-43A2-A964-02F54A2C1BC0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S80"/>
  <sheetViews>
    <sheetView tabSelected="1" zoomScale="70" zoomScaleNormal="70" workbookViewId="0">
      <pane ySplit="8" topLeftCell="A60" activePane="bottomLeft" state="frozen"/>
      <selection pane="bottomLeft" activeCell="B36" sqref="B36"/>
    </sheetView>
  </sheetViews>
  <sheetFormatPr defaultColWidth="10.5" defaultRowHeight="15.75" outlineLevelRow="4" x14ac:dyDescent="0.25"/>
  <cols>
    <col min="1" max="1" width="14" style="22" bestFit="1" customWidth="1"/>
    <col min="2" max="2" width="36" style="22" customWidth="1"/>
    <col min="3" max="3" width="40.5" style="22" bestFit="1" customWidth="1"/>
    <col min="4" max="4" width="21.1640625" style="22" bestFit="1" customWidth="1"/>
    <col min="5" max="5" width="10.5" style="22" bestFit="1" customWidth="1"/>
    <col min="6" max="6" width="19.1640625" style="22" bestFit="1" customWidth="1"/>
    <col min="7" max="9" width="14.1640625" style="22" bestFit="1" customWidth="1"/>
    <col min="10" max="11" width="11.5" style="22" bestFit="1" customWidth="1"/>
    <col min="12" max="12" width="15.83203125" style="22" bestFit="1" customWidth="1"/>
    <col min="13" max="13" width="20" style="22" bestFit="1" customWidth="1"/>
    <col min="14" max="14" width="14.83203125" style="22" bestFit="1" customWidth="1"/>
    <col min="15" max="15" width="71.6640625" style="22" customWidth="1"/>
    <col min="16" max="16" width="32.33203125" style="22" bestFit="1" customWidth="1"/>
    <col min="17" max="16384" width="10.5" style="23"/>
  </cols>
  <sheetData>
    <row r="2" spans="1:19" x14ac:dyDescent="0.25">
      <c r="A2" s="68"/>
      <c r="B2" s="69" t="s">
        <v>116</v>
      </c>
      <c r="C2" s="26"/>
      <c r="D2" s="70" t="s">
        <v>117</v>
      </c>
      <c r="E2" s="23"/>
      <c r="F2" s="23"/>
      <c r="G2" s="23"/>
      <c r="H2" s="23"/>
      <c r="I2" s="23"/>
      <c r="J2" s="23"/>
      <c r="K2" s="23"/>
      <c r="L2" s="23"/>
      <c r="M2" s="23"/>
      <c r="N2" s="71" t="s">
        <v>118</v>
      </c>
      <c r="O2" s="23"/>
      <c r="Q2" s="25"/>
      <c r="S2" s="71"/>
    </row>
    <row r="3" spans="1:19" x14ac:dyDescent="0.25">
      <c r="B3" s="107" t="s">
        <v>129</v>
      </c>
      <c r="C3" s="107"/>
      <c r="D3" s="107"/>
      <c r="E3" s="107"/>
      <c r="F3" s="107"/>
      <c r="G3" s="107"/>
      <c r="H3" s="107"/>
      <c r="I3" s="107"/>
      <c r="J3" s="107"/>
    </row>
    <row r="4" spans="1:19" x14ac:dyDescent="0.25">
      <c r="B4" s="107" t="s">
        <v>115</v>
      </c>
      <c r="C4" s="107"/>
      <c r="D4" s="107"/>
      <c r="E4" s="107"/>
      <c r="F4" s="107"/>
      <c r="G4" s="107"/>
      <c r="H4" s="107"/>
      <c r="I4" s="107"/>
      <c r="J4" s="107"/>
    </row>
    <row r="5" spans="1:19" s="26" customFormat="1" ht="39" customHeight="1" x14ac:dyDescent="0.2">
      <c r="A5" s="24"/>
      <c r="B5" s="108" t="s">
        <v>0</v>
      </c>
      <c r="C5" s="108"/>
      <c r="D5" s="108"/>
      <c r="E5" s="108"/>
      <c r="F5" s="108"/>
      <c r="G5" s="108"/>
      <c r="H5" s="108"/>
      <c r="I5" s="108"/>
      <c r="J5" s="108"/>
      <c r="K5" s="24"/>
      <c r="L5" s="24"/>
      <c r="M5" s="24"/>
      <c r="N5" s="24"/>
      <c r="O5" s="24"/>
      <c r="P5" s="24"/>
    </row>
    <row r="7" spans="1:19" x14ac:dyDescent="0.25">
      <c r="A7" s="105" t="s">
        <v>1</v>
      </c>
      <c r="B7" s="105" t="s">
        <v>2</v>
      </c>
      <c r="C7" s="109" t="s">
        <v>3</v>
      </c>
      <c r="D7" s="111" t="s">
        <v>4</v>
      </c>
      <c r="E7" s="105" t="s">
        <v>5</v>
      </c>
      <c r="F7" s="99" t="s">
        <v>6</v>
      </c>
      <c r="G7" s="103" t="s">
        <v>112</v>
      </c>
      <c r="H7" s="103" t="s">
        <v>113</v>
      </c>
      <c r="I7" s="103" t="s">
        <v>114</v>
      </c>
      <c r="J7" s="103" t="s">
        <v>7</v>
      </c>
      <c r="K7" s="103" t="s">
        <v>8</v>
      </c>
      <c r="L7" s="105" t="s">
        <v>9</v>
      </c>
      <c r="M7" s="99" t="s">
        <v>10</v>
      </c>
      <c r="N7" s="99" t="s">
        <v>11</v>
      </c>
      <c r="O7" s="105" t="s">
        <v>12</v>
      </c>
      <c r="P7" s="99" t="s">
        <v>13</v>
      </c>
    </row>
    <row r="8" spans="1:19" x14ac:dyDescent="0.25">
      <c r="A8" s="106"/>
      <c r="B8" s="106"/>
      <c r="C8" s="110"/>
      <c r="D8" s="112"/>
      <c r="E8" s="106"/>
      <c r="F8" s="100"/>
      <c r="G8" s="104"/>
      <c r="H8" s="104"/>
      <c r="I8" s="104"/>
      <c r="J8" s="104"/>
      <c r="K8" s="104"/>
      <c r="L8" s="106"/>
      <c r="M8" s="100"/>
      <c r="N8" s="100"/>
      <c r="O8" s="106"/>
      <c r="P8" s="100"/>
    </row>
    <row r="9" spans="1:19" ht="31.5" x14ac:dyDescent="0.25">
      <c r="A9" s="27" t="s">
        <v>14</v>
      </c>
      <c r="B9" s="28" t="s">
        <v>15</v>
      </c>
      <c r="C9" s="29"/>
      <c r="D9" s="29"/>
      <c r="E9" s="30"/>
      <c r="F9" s="31"/>
      <c r="G9" s="31"/>
      <c r="H9" s="31"/>
      <c r="I9" s="31"/>
      <c r="J9" s="31"/>
      <c r="K9" s="31"/>
      <c r="L9" s="31"/>
      <c r="M9" s="32"/>
      <c r="N9" s="32"/>
      <c r="O9" s="29"/>
      <c r="P9" s="29"/>
    </row>
    <row r="10" spans="1:19" ht="31.5" outlineLevel="1" x14ac:dyDescent="0.25">
      <c r="A10" s="33" t="s">
        <v>16</v>
      </c>
      <c r="B10" s="34" t="s">
        <v>17</v>
      </c>
      <c r="C10" s="35"/>
      <c r="D10" s="35"/>
      <c r="E10" s="36"/>
      <c r="F10" s="37"/>
      <c r="G10" s="37"/>
      <c r="H10" s="37"/>
      <c r="I10" s="37"/>
      <c r="J10" s="37"/>
      <c r="K10" s="37"/>
      <c r="L10" s="37"/>
      <c r="M10" s="38"/>
      <c r="N10" s="38">
        <f>SUM($N$64,$N$36,$N$11)</f>
        <v>0</v>
      </c>
      <c r="O10" s="35"/>
      <c r="P10" s="35"/>
    </row>
    <row r="11" spans="1:19" outlineLevel="2" x14ac:dyDescent="0.25">
      <c r="A11" s="39" t="s">
        <v>18</v>
      </c>
      <c r="B11" s="40" t="s">
        <v>19</v>
      </c>
      <c r="C11" s="41"/>
      <c r="D11" s="41"/>
      <c r="E11" s="42"/>
      <c r="F11" s="43"/>
      <c r="G11" s="44"/>
      <c r="H11" s="44"/>
      <c r="I11" s="44"/>
      <c r="J11" s="44"/>
      <c r="K11" s="44"/>
      <c r="L11" s="44"/>
      <c r="M11" s="45"/>
      <c r="N11" s="45">
        <f>SUM($N$12)</f>
        <v>0</v>
      </c>
      <c r="O11" s="46"/>
      <c r="P11" s="46"/>
    </row>
    <row r="12" spans="1:19" outlineLevel="3" x14ac:dyDescent="0.25">
      <c r="A12" s="39" t="s">
        <v>20</v>
      </c>
      <c r="B12" s="40" t="s">
        <v>19</v>
      </c>
      <c r="C12" s="41"/>
      <c r="D12" s="41"/>
      <c r="E12" s="42"/>
      <c r="F12" s="43"/>
      <c r="G12" s="44"/>
      <c r="H12" s="44"/>
      <c r="I12" s="44"/>
      <c r="J12" s="44"/>
      <c r="K12" s="44"/>
      <c r="L12" s="44"/>
      <c r="M12" s="45"/>
      <c r="N12" s="45">
        <f>SUM($N$34,$N$32,$N$30,$N$27,$N$25,$N$23,$N$21,$N$19,$N$17,$N$15,$N$13)</f>
        <v>0</v>
      </c>
      <c r="O12" s="46"/>
      <c r="P12" s="46"/>
    </row>
    <row r="13" spans="1:19" outlineLevel="4" x14ac:dyDescent="0.25">
      <c r="A13" s="47"/>
      <c r="B13" s="40" t="s">
        <v>21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9"/>
      <c r="N13" s="50">
        <f>SUM($N$14)</f>
        <v>0</v>
      </c>
      <c r="O13" s="44"/>
      <c r="P13" s="51"/>
    </row>
    <row r="14" spans="1:19" ht="31.5" outlineLevel="4" x14ac:dyDescent="0.25">
      <c r="A14" s="52"/>
      <c r="B14" s="53" t="s">
        <v>22</v>
      </c>
      <c r="C14" s="54"/>
      <c r="D14" s="54"/>
      <c r="E14" s="55" t="s">
        <v>23</v>
      </c>
      <c r="F14" s="56"/>
      <c r="G14" s="57">
        <f>G16</f>
        <v>1341</v>
      </c>
      <c r="H14" s="57">
        <f t="shared" ref="H14:K14" si="0">H16</f>
        <v>3399</v>
      </c>
      <c r="I14" s="57">
        <f t="shared" si="0"/>
        <v>2160</v>
      </c>
      <c r="J14" s="57">
        <f t="shared" si="0"/>
        <v>6656</v>
      </c>
      <c r="K14" s="57">
        <f t="shared" si="0"/>
        <v>2934</v>
      </c>
      <c r="L14" s="57">
        <f>SUM($G$14:$K$14)</f>
        <v>16490</v>
      </c>
      <c r="M14" s="58">
        <f t="array" ref="M14">INDEX(Р[Цена за ед., руб],MATCH(1,IF(($B14=Р[Наименование])*($O14=Р[Примечание]),{1},($B14=Р[Наименование])*($O14=Р[Примечание])),0))</f>
        <v>0</v>
      </c>
      <c r="N14" s="58">
        <f>ROUND($L$14*$M$14,2)</f>
        <v>0</v>
      </c>
      <c r="O14" s="54"/>
      <c r="P14" s="54"/>
    </row>
    <row r="15" spans="1:19" outlineLevel="4" x14ac:dyDescent="0.25">
      <c r="A15" s="47"/>
      <c r="B15" s="40" t="s">
        <v>24</v>
      </c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9"/>
      <c r="N15" s="50">
        <f>SUM($N$16)</f>
        <v>0</v>
      </c>
      <c r="O15" s="44"/>
      <c r="P15" s="51"/>
    </row>
    <row r="16" spans="1:19" ht="47.25" outlineLevel="4" x14ac:dyDescent="0.25">
      <c r="A16" s="52" t="s">
        <v>25</v>
      </c>
      <c r="B16" s="53" t="s">
        <v>26</v>
      </c>
      <c r="C16" s="54"/>
      <c r="D16" s="54" t="s">
        <v>27</v>
      </c>
      <c r="E16" s="55" t="s">
        <v>23</v>
      </c>
      <c r="F16" s="56"/>
      <c r="G16" s="57">
        <v>1341</v>
      </c>
      <c r="H16" s="57">
        <v>3399</v>
      </c>
      <c r="I16" s="57">
        <v>2160</v>
      </c>
      <c r="J16" s="57">
        <v>6656</v>
      </c>
      <c r="K16" s="57">
        <v>2934</v>
      </c>
      <c r="L16" s="57">
        <f>SUM($G$16:$K$16)</f>
        <v>16490</v>
      </c>
      <c r="M16" s="58">
        <f t="array" ref="M16">INDEX(М[Цена за ед., руб],MATCH(1,IF(($B16=М[Наим.])*($C16=М[Артикул,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  <c r="N16" s="58">
        <f>ROUND($L$16*$M$16,2)</f>
        <v>0</v>
      </c>
      <c r="O16" s="54"/>
      <c r="P16" s="54">
        <f t="array" ref="P16">INDEX(М[Форма закупа],MATCH(1,IF(($B16=М[Наим.])*($C16=М[Артикул,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</row>
    <row r="17" spans="1:16" outlineLevel="4" x14ac:dyDescent="0.25">
      <c r="A17" s="47"/>
      <c r="B17" s="40" t="s">
        <v>21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9"/>
      <c r="N17" s="50">
        <f>SUM($N$18)</f>
        <v>0</v>
      </c>
      <c r="O17" s="44"/>
      <c r="P17" s="51"/>
    </row>
    <row r="18" spans="1:16" ht="31.5" outlineLevel="4" x14ac:dyDescent="0.25">
      <c r="A18" s="52"/>
      <c r="B18" s="53" t="s">
        <v>28</v>
      </c>
      <c r="C18" s="54"/>
      <c r="D18" s="54"/>
      <c r="E18" s="55" t="s">
        <v>23</v>
      </c>
      <c r="F18" s="56"/>
      <c r="G18" s="59">
        <f>G20*15</f>
        <v>30</v>
      </c>
      <c r="H18" s="59">
        <f t="shared" ref="H18:K18" si="1">H20*15</f>
        <v>45</v>
      </c>
      <c r="I18" s="59">
        <f t="shared" si="1"/>
        <v>30</v>
      </c>
      <c r="J18" s="59">
        <f t="shared" si="1"/>
        <v>45</v>
      </c>
      <c r="K18" s="59">
        <f t="shared" si="1"/>
        <v>30</v>
      </c>
      <c r="L18" s="59">
        <f>SUM($G$18:$K$18)</f>
        <v>180</v>
      </c>
      <c r="M18" s="58">
        <f t="array" ref="M18">INDEX(Р[Цена за ед., руб],MATCH(1,IF(($B18=Р[Наименование])*($O18=Р[Примечание]),{1},($B18=Р[Наименование])*($O18=Р[Примечание])),0))</f>
        <v>0</v>
      </c>
      <c r="N18" s="58">
        <f>ROUND($L$18*$M$18,2)</f>
        <v>0</v>
      </c>
      <c r="O18" s="54"/>
      <c r="P18" s="54"/>
    </row>
    <row r="19" spans="1:16" outlineLevel="4" x14ac:dyDescent="0.25">
      <c r="A19" s="47"/>
      <c r="B19" s="40" t="s">
        <v>24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9"/>
      <c r="N19" s="50">
        <f>SUM($N$20)</f>
        <v>0</v>
      </c>
      <c r="O19" s="44"/>
      <c r="P19" s="51"/>
    </row>
    <row r="20" spans="1:16" ht="63" outlineLevel="4" x14ac:dyDescent="0.25">
      <c r="A20" s="52" t="s">
        <v>25</v>
      </c>
      <c r="B20" s="53" t="s">
        <v>29</v>
      </c>
      <c r="C20" s="54"/>
      <c r="D20" s="54" t="s">
        <v>30</v>
      </c>
      <c r="E20" s="55" t="s">
        <v>31</v>
      </c>
      <c r="F20" s="56"/>
      <c r="G20" s="59">
        <v>2</v>
      </c>
      <c r="H20" s="59">
        <v>3</v>
      </c>
      <c r="I20" s="59">
        <v>2</v>
      </c>
      <c r="J20" s="59">
        <v>3</v>
      </c>
      <c r="K20" s="59">
        <v>2</v>
      </c>
      <c r="L20" s="59">
        <f>SUM($G$20:$K$20)</f>
        <v>12</v>
      </c>
      <c r="M20" s="58">
        <f t="array" ref="M20">INDEX(М[Цена за ед., руб],MATCH(1,IF(($B20=М[Наим.])*($C20=М[Артикул,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  <c r="N20" s="58">
        <f>ROUND($L$20*$M$20,2)</f>
        <v>0</v>
      </c>
      <c r="O20" s="54" t="s">
        <v>32</v>
      </c>
      <c r="P20" s="54">
        <f t="array" ref="P20">INDEX(М[Форма закупа],MATCH(1,IF(($B20=М[Наим.])*($C20=М[Артикул,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</row>
    <row r="21" spans="1:16" outlineLevel="4" x14ac:dyDescent="0.25">
      <c r="A21" s="47"/>
      <c r="B21" s="40" t="s">
        <v>21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9"/>
      <c r="N21" s="50">
        <f>SUM($N$22)</f>
        <v>0</v>
      </c>
      <c r="O21" s="44"/>
      <c r="P21" s="51"/>
    </row>
    <row r="22" spans="1:16" ht="31.5" outlineLevel="4" x14ac:dyDescent="0.25">
      <c r="A22" s="52"/>
      <c r="B22" s="53" t="s">
        <v>33</v>
      </c>
      <c r="C22" s="54"/>
      <c r="D22" s="54"/>
      <c r="E22" s="55" t="s">
        <v>23</v>
      </c>
      <c r="F22" s="56"/>
      <c r="G22" s="59">
        <f>G24</f>
        <v>55</v>
      </c>
      <c r="H22" s="59">
        <f t="shared" ref="H22:K22" si="2">H24</f>
        <v>77</v>
      </c>
      <c r="I22" s="59">
        <f t="shared" si="2"/>
        <v>99</v>
      </c>
      <c r="J22" s="59">
        <f t="shared" si="2"/>
        <v>99</v>
      </c>
      <c r="K22" s="59">
        <f t="shared" si="2"/>
        <v>66</v>
      </c>
      <c r="L22" s="59">
        <f>SUM($G$22:$K$22)</f>
        <v>396</v>
      </c>
      <c r="M22" s="58">
        <f t="array" ref="M22">INDEX(Р[Цена за ед., руб],MATCH(1,IF(($B22=Р[Наименование])*($O22=Р[Примечание]),{1},($B22=Р[Наименование])*($O22=Р[Примечание])),0))</f>
        <v>0</v>
      </c>
      <c r="N22" s="58">
        <f>ROUND($L$22*$M$22,2)</f>
        <v>0</v>
      </c>
      <c r="O22" s="54"/>
      <c r="P22" s="54"/>
    </row>
    <row r="23" spans="1:16" outlineLevel="4" x14ac:dyDescent="0.25">
      <c r="A23" s="47"/>
      <c r="B23" s="40" t="s">
        <v>24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>
        <f>SUM($N$24)</f>
        <v>0</v>
      </c>
      <c r="O23" s="44"/>
      <c r="P23" s="51"/>
    </row>
    <row r="24" spans="1:16" ht="31.5" outlineLevel="4" x14ac:dyDescent="0.25">
      <c r="A24" s="52" t="s">
        <v>25</v>
      </c>
      <c r="B24" s="53" t="s">
        <v>34</v>
      </c>
      <c r="C24" s="54"/>
      <c r="D24" s="54" t="s">
        <v>35</v>
      </c>
      <c r="E24" s="55" t="s">
        <v>23</v>
      </c>
      <c r="F24" s="56"/>
      <c r="G24" s="59">
        <v>55</v>
      </c>
      <c r="H24" s="59">
        <v>77</v>
      </c>
      <c r="I24" s="59">
        <v>99</v>
      </c>
      <c r="J24" s="59">
        <v>99</v>
      </c>
      <c r="K24" s="59">
        <v>66</v>
      </c>
      <c r="L24" s="59">
        <f>SUM($G$24:$K$24)</f>
        <v>396</v>
      </c>
      <c r="M24" s="58">
        <f t="array" ref="M24">INDEX(М[Цена за ед., руб],MATCH(1,IF(($B24=М[Наим.])*($C24=М[Артикул,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  <c r="N24" s="58">
        <f>ROUND($L$24*$M$24,2)</f>
        <v>0</v>
      </c>
      <c r="O24" s="54"/>
      <c r="P24" s="54">
        <f t="array" ref="P24">INDEX(М[Форма закупа],MATCH(1,IF(($B24=М[Наим.])*($C24=М[Артикул,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</row>
    <row r="25" spans="1:16" outlineLevel="4" x14ac:dyDescent="0.25">
      <c r="A25" s="47"/>
      <c r="B25" s="40" t="s">
        <v>21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9"/>
      <c r="N25" s="50">
        <f>SUM($N$26)</f>
        <v>0</v>
      </c>
      <c r="O25" s="44"/>
      <c r="P25" s="51"/>
    </row>
    <row r="26" spans="1:16" ht="31.5" outlineLevel="4" x14ac:dyDescent="0.25">
      <c r="A26" s="52"/>
      <c r="B26" s="53" t="s">
        <v>36</v>
      </c>
      <c r="C26" s="54"/>
      <c r="D26" s="54"/>
      <c r="E26" s="55" t="s">
        <v>23</v>
      </c>
      <c r="F26" s="56"/>
      <c r="G26" s="57">
        <f>G28+G29</f>
        <v>1341</v>
      </c>
      <c r="H26" s="57">
        <f t="shared" ref="H26:K26" si="3">H28+H29</f>
        <v>3370</v>
      </c>
      <c r="I26" s="57">
        <f t="shared" si="3"/>
        <v>2160</v>
      </c>
      <c r="J26" s="57">
        <f t="shared" si="3"/>
        <v>3301</v>
      </c>
      <c r="K26" s="57">
        <f t="shared" si="3"/>
        <v>1508</v>
      </c>
      <c r="L26" s="57">
        <f>SUM($G$26:$K$26)</f>
        <v>11680</v>
      </c>
      <c r="M26" s="58">
        <f t="array" ref="M26">INDEX(Р[Цена за ед., руб],MATCH(1,IF(($B26=Р[Наименование])*($O26=Р[Примечание]),{1},($B26=Р[Наименование])*($O26=Р[Примечание])),0))</f>
        <v>0</v>
      </c>
      <c r="N26" s="58">
        <f>ROUND($L$26*$M$26,2)</f>
        <v>0</v>
      </c>
      <c r="O26" s="54"/>
      <c r="P26" s="54"/>
    </row>
    <row r="27" spans="1:16" outlineLevel="4" x14ac:dyDescent="0.25">
      <c r="A27" s="47"/>
      <c r="B27" s="40" t="s">
        <v>24</v>
      </c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9"/>
      <c r="N27" s="50">
        <f>SUM($N$28:$N$29)</f>
        <v>0</v>
      </c>
      <c r="O27" s="44"/>
      <c r="P27" s="51"/>
    </row>
    <row r="28" spans="1:16" ht="47.25" outlineLevel="4" x14ac:dyDescent="0.25">
      <c r="A28" s="52" t="s">
        <v>25</v>
      </c>
      <c r="B28" s="53" t="s">
        <v>37</v>
      </c>
      <c r="C28" s="54"/>
      <c r="D28" s="54" t="s">
        <v>38</v>
      </c>
      <c r="E28" s="55" t="s">
        <v>39</v>
      </c>
      <c r="F28" s="56"/>
      <c r="G28" s="57">
        <v>1261</v>
      </c>
      <c r="H28" s="57">
        <v>3170</v>
      </c>
      <c r="I28" s="57">
        <v>1960</v>
      </c>
      <c r="J28" s="57">
        <v>2951</v>
      </c>
      <c r="K28" s="57">
        <v>1278</v>
      </c>
      <c r="L28" s="57">
        <f>SUM($G$28:$K$28)</f>
        <v>10620</v>
      </c>
      <c r="M28" s="58">
        <f t="array" ref="M28">INDEX(М[Цена за ед., руб],MATCH(1,IF(($B28=М[Наим.])*($C28=М[Артикул,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  <c r="N28" s="58">
        <f>ROUND($L$28*$M$28,2)</f>
        <v>0</v>
      </c>
      <c r="O28" s="54"/>
      <c r="P28" s="54">
        <f t="array" ref="P28">INDEX(М[Форма закупа],MATCH(1,IF(($B28=М[Наим.])*($C28=М[Артикул,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</row>
    <row r="29" spans="1:16" ht="47.25" outlineLevel="4" x14ac:dyDescent="0.25">
      <c r="A29" s="52" t="s">
        <v>40</v>
      </c>
      <c r="B29" s="53" t="s">
        <v>37</v>
      </c>
      <c r="C29" s="54"/>
      <c r="D29" s="54" t="s">
        <v>41</v>
      </c>
      <c r="E29" s="55" t="s">
        <v>39</v>
      </c>
      <c r="F29" s="56"/>
      <c r="G29" s="59">
        <v>80</v>
      </c>
      <c r="H29" s="59">
        <v>200</v>
      </c>
      <c r="I29" s="59">
        <v>200</v>
      </c>
      <c r="J29" s="59">
        <v>350</v>
      </c>
      <c r="K29" s="59">
        <v>230</v>
      </c>
      <c r="L29" s="57">
        <f>SUM($G$29:$K$29)</f>
        <v>1060</v>
      </c>
      <c r="M29" s="58">
        <f t="array" ref="M29">INDEX(М[Цена за ед., руб],MATCH(1,IF(($B29=М[Наим.])*($C29=М[Артикул,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  <c r="N29" s="58">
        <f>ROUND($L$29*$M$29,2)</f>
        <v>0</v>
      </c>
      <c r="O29" s="54" t="s">
        <v>42</v>
      </c>
      <c r="P29" s="54">
        <f t="array" ref="P29">INDEX(М[Форма закупа],MATCH(1,IF(($B29=М[Наим.])*($C29=М[Артикул,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</row>
    <row r="30" spans="1:16" outlineLevel="4" x14ac:dyDescent="0.25">
      <c r="A30" s="47"/>
      <c r="B30" s="40" t="s">
        <v>21</v>
      </c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9"/>
      <c r="N30" s="50">
        <f>SUM($N$31)</f>
        <v>0</v>
      </c>
      <c r="O30" s="44"/>
      <c r="P30" s="51"/>
    </row>
    <row r="31" spans="1:16" ht="31.5" outlineLevel="4" x14ac:dyDescent="0.25">
      <c r="A31" s="52"/>
      <c r="B31" s="53" t="s">
        <v>43</v>
      </c>
      <c r="C31" s="54"/>
      <c r="D31" s="54"/>
      <c r="E31" s="55" t="s">
        <v>23</v>
      </c>
      <c r="F31" s="56"/>
      <c r="G31" s="59">
        <f>G33</f>
        <v>3</v>
      </c>
      <c r="H31" s="59">
        <f t="shared" ref="H31:K31" si="4">H33</f>
        <v>3</v>
      </c>
      <c r="I31" s="59">
        <f t="shared" si="4"/>
        <v>3</v>
      </c>
      <c r="J31" s="59">
        <f t="shared" si="4"/>
        <v>3</v>
      </c>
      <c r="K31" s="59">
        <f t="shared" si="4"/>
        <v>2</v>
      </c>
      <c r="L31" s="59">
        <f>SUM($G$31:$K$31)</f>
        <v>14</v>
      </c>
      <c r="M31" s="58">
        <f t="array" ref="M31">INDEX(Р[Цена за ед., руб],MATCH(1,IF(($B31=Р[Наименование])*($O31=Р[Примечание]),{1},($B31=Р[Наименование])*($O31=Р[Примечание])),0))</f>
        <v>0</v>
      </c>
      <c r="N31" s="58">
        <f>ROUND($L$31*$M$31,2)</f>
        <v>0</v>
      </c>
      <c r="O31" s="54"/>
      <c r="P31" s="54"/>
    </row>
    <row r="32" spans="1:16" outlineLevel="4" x14ac:dyDescent="0.25">
      <c r="A32" s="47"/>
      <c r="B32" s="40" t="s">
        <v>24</v>
      </c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9"/>
      <c r="N32" s="50">
        <f>SUM($N$33)</f>
        <v>0</v>
      </c>
      <c r="O32" s="44"/>
      <c r="P32" s="51"/>
    </row>
    <row r="33" spans="1:16" ht="31.5" outlineLevel="4" x14ac:dyDescent="0.25">
      <c r="A33" s="52" t="s">
        <v>25</v>
      </c>
      <c r="B33" s="53" t="s">
        <v>44</v>
      </c>
      <c r="C33" s="54"/>
      <c r="D33" s="54" t="s">
        <v>45</v>
      </c>
      <c r="E33" s="55" t="s">
        <v>39</v>
      </c>
      <c r="F33" s="56"/>
      <c r="G33" s="59">
        <v>3</v>
      </c>
      <c r="H33" s="59">
        <v>3</v>
      </c>
      <c r="I33" s="59">
        <v>3</v>
      </c>
      <c r="J33" s="59">
        <v>3</v>
      </c>
      <c r="K33" s="59">
        <v>2</v>
      </c>
      <c r="L33" s="59">
        <f>SUM($G$33:$K$33)</f>
        <v>14</v>
      </c>
      <c r="M33" s="58">
        <f t="array" ref="M33">INDEX(М[Цена за ед., руб],MATCH(1,IF(($B33=М[Наим.])*($C33=М[Артикул,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  <c r="N33" s="58">
        <f>ROUND($L$33*$M$33,2)</f>
        <v>0</v>
      </c>
      <c r="O33" s="54"/>
      <c r="P33" s="54">
        <f t="array" ref="P33">INDEX(М[Форма закупа],MATCH(1,IF(($B33=М[Наим.])*($C33=М[Артикул,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</row>
    <row r="34" spans="1:16" outlineLevel="4" x14ac:dyDescent="0.25">
      <c r="A34" s="47"/>
      <c r="B34" s="40" t="s">
        <v>24</v>
      </c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9"/>
      <c r="N34" s="50">
        <f>SUM($N$35)</f>
        <v>0</v>
      </c>
      <c r="O34" s="44"/>
      <c r="P34" s="51"/>
    </row>
    <row r="35" spans="1:16" ht="47.25" outlineLevel="4" x14ac:dyDescent="0.25">
      <c r="A35" s="52" t="s">
        <v>25</v>
      </c>
      <c r="B35" s="60" t="s">
        <v>110</v>
      </c>
      <c r="C35" s="61"/>
      <c r="D35" s="61"/>
      <c r="E35" s="62" t="s">
        <v>46</v>
      </c>
      <c r="F35" s="56"/>
      <c r="G35" s="56"/>
      <c r="H35" s="56"/>
      <c r="I35" s="56"/>
      <c r="J35" s="56"/>
      <c r="K35" s="56"/>
      <c r="L35" s="83">
        <f>Материалы!E22</f>
        <v>0</v>
      </c>
      <c r="M35" s="84"/>
      <c r="N35" s="84">
        <f>ROUND(SUM(N16,N20,N24,N28:N29,N33)*L35%,3)</f>
        <v>0</v>
      </c>
      <c r="O35" s="54"/>
      <c r="P35" s="54">
        <f t="array" ref="P35">INDEX(М[Форма закупа],MATCH(1,IF(($B35=М[Наим.])*($C35=М[Артикул,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</row>
    <row r="36" spans="1:16" outlineLevel="2" x14ac:dyDescent="0.25">
      <c r="A36" s="39" t="s">
        <v>47</v>
      </c>
      <c r="B36" s="40" t="s">
        <v>48</v>
      </c>
      <c r="C36" s="41"/>
      <c r="D36" s="41"/>
      <c r="E36" s="42"/>
      <c r="F36" s="43"/>
      <c r="G36" s="44"/>
      <c r="H36" s="44"/>
      <c r="I36" s="44"/>
      <c r="J36" s="44"/>
      <c r="K36" s="44"/>
      <c r="L36" s="44"/>
      <c r="M36" s="45"/>
      <c r="N36" s="45">
        <f>SUM($N$37)</f>
        <v>0</v>
      </c>
      <c r="O36" s="46"/>
      <c r="P36" s="46"/>
    </row>
    <row r="37" spans="1:16" outlineLevel="3" x14ac:dyDescent="0.25">
      <c r="A37" s="39" t="s">
        <v>49</v>
      </c>
      <c r="B37" s="40" t="s">
        <v>48</v>
      </c>
      <c r="C37" s="41"/>
      <c r="D37" s="41"/>
      <c r="E37" s="42"/>
      <c r="F37" s="43"/>
      <c r="G37" s="44"/>
      <c r="H37" s="44"/>
      <c r="I37" s="44"/>
      <c r="J37" s="44"/>
      <c r="K37" s="44"/>
      <c r="L37" s="44"/>
      <c r="M37" s="45"/>
      <c r="N37" s="45">
        <f>SUM($N$62,,$N$55,$N$53,$N$49,$N$47,$N$45,$N$43,$N$40,$N$38)</f>
        <v>0</v>
      </c>
      <c r="O37" s="46"/>
      <c r="P37" s="46"/>
    </row>
    <row r="38" spans="1:16" outlineLevel="4" x14ac:dyDescent="0.25">
      <c r="A38" s="47"/>
      <c r="B38" s="40" t="s">
        <v>21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9"/>
      <c r="N38" s="50">
        <f>SUM($N$39)</f>
        <v>0</v>
      </c>
      <c r="O38" s="44"/>
      <c r="P38" s="51"/>
    </row>
    <row r="39" spans="1:16" outlineLevel="4" x14ac:dyDescent="0.25">
      <c r="A39" s="52"/>
      <c r="B39" s="53" t="s">
        <v>50</v>
      </c>
      <c r="C39" s="54"/>
      <c r="D39" s="54"/>
      <c r="E39" s="55" t="s">
        <v>31</v>
      </c>
      <c r="F39" s="56"/>
      <c r="G39" s="59">
        <f>G41+G42</f>
        <v>36</v>
      </c>
      <c r="H39" s="59">
        <f t="shared" ref="H39:K39" si="5">H41+H42</f>
        <v>68</v>
      </c>
      <c r="I39" s="59">
        <f t="shared" si="5"/>
        <v>45</v>
      </c>
      <c r="J39" s="59">
        <f t="shared" si="5"/>
        <v>108</v>
      </c>
      <c r="K39" s="59">
        <f t="shared" si="5"/>
        <v>72</v>
      </c>
      <c r="L39" s="59">
        <f>SUM($G$39:$K$39)</f>
        <v>329</v>
      </c>
      <c r="M39" s="58">
        <f t="array" ref="M39">INDEX(Р[Цена за ед., руб],MATCH(1,IF(($B39=Р[Наименование])*($O39=Р[Примечание]),{1},($B39=Р[Наименование])*($O39=Р[Примечание])),0))</f>
        <v>0</v>
      </c>
      <c r="N39" s="58">
        <f>ROUND($L$39*$M$39,2)</f>
        <v>0</v>
      </c>
      <c r="O39" s="54"/>
      <c r="P39" s="54"/>
    </row>
    <row r="40" spans="1:16" outlineLevel="4" x14ac:dyDescent="0.25">
      <c r="A40" s="47"/>
      <c r="B40" s="40" t="s">
        <v>24</v>
      </c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9"/>
      <c r="N40" s="50">
        <f>SUM($N$41:$N$42)</f>
        <v>0</v>
      </c>
      <c r="O40" s="44"/>
      <c r="P40" s="51"/>
    </row>
    <row r="41" spans="1:16" ht="63" outlineLevel="4" x14ac:dyDescent="0.25">
      <c r="A41" s="52" t="s">
        <v>25</v>
      </c>
      <c r="B41" s="53" t="s">
        <v>51</v>
      </c>
      <c r="C41" s="54"/>
      <c r="D41" s="54" t="s">
        <v>52</v>
      </c>
      <c r="E41" s="55" t="s">
        <v>31</v>
      </c>
      <c r="F41" s="56"/>
      <c r="G41" s="59">
        <v>2</v>
      </c>
      <c r="H41" s="59">
        <v>3</v>
      </c>
      <c r="I41" s="59">
        <v>2</v>
      </c>
      <c r="J41" s="59">
        <v>4</v>
      </c>
      <c r="K41" s="59">
        <v>3</v>
      </c>
      <c r="L41" s="59">
        <f>SUM($G$41:$K$41)</f>
        <v>14</v>
      </c>
      <c r="M41" s="58">
        <f t="array" ref="M41">INDEX(М[Цена за ед., руб],MATCH(1,IF(($B41=М[Наим.])*($C41=М[Артикул,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  <c r="N41" s="58">
        <f>ROUND($L$41*$M$41,2)</f>
        <v>0</v>
      </c>
      <c r="O41" s="54" t="s">
        <v>53</v>
      </c>
      <c r="P41" s="54">
        <f t="array" ref="P41">INDEX(М[Форма закупа],MATCH(1,IF(($B41=М[Наим.])*($C41=М[Артикул,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</row>
    <row r="42" spans="1:16" ht="63" outlineLevel="4" x14ac:dyDescent="0.25">
      <c r="A42" s="52" t="s">
        <v>40</v>
      </c>
      <c r="B42" s="53" t="s">
        <v>51</v>
      </c>
      <c r="C42" s="54"/>
      <c r="D42" s="54" t="s">
        <v>54</v>
      </c>
      <c r="E42" s="55" t="s">
        <v>31</v>
      </c>
      <c r="F42" s="56"/>
      <c r="G42" s="59">
        <v>34</v>
      </c>
      <c r="H42" s="59">
        <v>65</v>
      </c>
      <c r="I42" s="59">
        <v>43</v>
      </c>
      <c r="J42" s="59">
        <v>104</v>
      </c>
      <c r="K42" s="59">
        <v>69</v>
      </c>
      <c r="L42" s="59">
        <f>SUM($G$42:$K$42)</f>
        <v>315</v>
      </c>
      <c r="M42" s="58">
        <f t="array" ref="M42">INDEX(М[Цена за ед., руб],MATCH(1,IF(($B42=М[Наим.])*($C42=М[Артикул,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  <c r="N42" s="58">
        <f>ROUND($L$42*$M$42,2)</f>
        <v>0</v>
      </c>
      <c r="O42" s="54" t="s">
        <v>55</v>
      </c>
      <c r="P42" s="54">
        <f t="array" ref="P42">INDEX(М[Форма закупа],MATCH(1,IF(($B42=М[Наим.])*($C42=М[Артикул,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</row>
    <row r="43" spans="1:16" outlineLevel="4" x14ac:dyDescent="0.25">
      <c r="A43" s="47"/>
      <c r="B43" s="40" t="s">
        <v>21</v>
      </c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9"/>
      <c r="N43" s="50">
        <f>SUM($N$44)</f>
        <v>0</v>
      </c>
      <c r="O43" s="44"/>
      <c r="P43" s="51"/>
    </row>
    <row r="44" spans="1:16" outlineLevel="4" x14ac:dyDescent="0.25">
      <c r="A44" s="52"/>
      <c r="B44" s="53" t="s">
        <v>56</v>
      </c>
      <c r="C44" s="54"/>
      <c r="D44" s="54"/>
      <c r="E44" s="55" t="s">
        <v>31</v>
      </c>
      <c r="F44" s="56"/>
      <c r="G44" s="59">
        <f>G46</f>
        <v>3</v>
      </c>
      <c r="H44" s="59">
        <f t="shared" ref="H44:K44" si="6">H46</f>
        <v>5</v>
      </c>
      <c r="I44" s="59">
        <f t="shared" si="6"/>
        <v>6</v>
      </c>
      <c r="J44" s="59">
        <f t="shared" si="6"/>
        <v>9</v>
      </c>
      <c r="K44" s="59">
        <f t="shared" si="6"/>
        <v>6</v>
      </c>
      <c r="L44" s="59">
        <f>SUM($G$44:$K$44)</f>
        <v>29</v>
      </c>
      <c r="M44" s="58">
        <f t="array" ref="M44">INDEX(Р[Цена за ед., руб],MATCH(1,IF(($B44=Р[Наименование])*($O44=Р[Примечание]),{1},($B44=Р[Наименование])*($O44=Р[Примечание])),0))</f>
        <v>0</v>
      </c>
      <c r="N44" s="58">
        <f>ROUND($L$44*$M$44,2)</f>
        <v>0</v>
      </c>
      <c r="O44" s="54"/>
      <c r="P44" s="54"/>
    </row>
    <row r="45" spans="1:16" outlineLevel="4" x14ac:dyDescent="0.25">
      <c r="A45" s="47"/>
      <c r="B45" s="40" t="s">
        <v>24</v>
      </c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9"/>
      <c r="N45" s="50">
        <f>SUM($N$46)</f>
        <v>0</v>
      </c>
      <c r="O45" s="44"/>
      <c r="P45" s="51"/>
    </row>
    <row r="46" spans="1:16" ht="31.5" outlineLevel="4" x14ac:dyDescent="0.25">
      <c r="A46" s="52" t="s">
        <v>25</v>
      </c>
      <c r="B46" s="53" t="s">
        <v>51</v>
      </c>
      <c r="C46" s="54"/>
      <c r="D46" s="54" t="s">
        <v>57</v>
      </c>
      <c r="E46" s="55" t="s">
        <v>31</v>
      </c>
      <c r="F46" s="56"/>
      <c r="G46" s="59">
        <v>3</v>
      </c>
      <c r="H46" s="59">
        <v>5</v>
      </c>
      <c r="I46" s="59">
        <v>6</v>
      </c>
      <c r="J46" s="59">
        <v>9</v>
      </c>
      <c r="K46" s="59">
        <v>6</v>
      </c>
      <c r="L46" s="59">
        <f>SUM($G$46:$K$46)</f>
        <v>29</v>
      </c>
      <c r="M46" s="58">
        <f t="array" ref="M46">INDEX(М[Цена за ед., руб],MATCH(1,IF(($B46=М[Наим.])*($C46=М[Артикул,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  <c r="N46" s="58">
        <f>ROUND($L$46*$M$46,2)</f>
        <v>0</v>
      </c>
      <c r="O46" s="54" t="s">
        <v>58</v>
      </c>
      <c r="P46" s="54">
        <f t="array" ref="P46">INDEX(М[Форма закупа],MATCH(1,IF(($B46=М[Наим.])*($C46=М[Артикул,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</row>
    <row r="47" spans="1:16" outlineLevel="4" x14ac:dyDescent="0.25">
      <c r="A47" s="47"/>
      <c r="B47" s="40" t="s">
        <v>21</v>
      </c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9"/>
      <c r="N47" s="50">
        <f>SUM($N$48)</f>
        <v>0</v>
      </c>
      <c r="O47" s="44"/>
      <c r="P47" s="51"/>
    </row>
    <row r="48" spans="1:16" ht="31.5" outlineLevel="4" x14ac:dyDescent="0.25">
      <c r="A48" s="52"/>
      <c r="B48" s="53" t="s">
        <v>59</v>
      </c>
      <c r="C48" s="54"/>
      <c r="D48" s="54"/>
      <c r="E48" s="55" t="s">
        <v>31</v>
      </c>
      <c r="F48" s="56"/>
      <c r="G48" s="59">
        <f>G50+G51+G52</f>
        <v>6</v>
      </c>
      <c r="H48" s="59">
        <f t="shared" ref="H48:K48" si="7">H50+H51+H52</f>
        <v>6</v>
      </c>
      <c r="I48" s="59">
        <f t="shared" si="7"/>
        <v>4</v>
      </c>
      <c r="J48" s="59">
        <f t="shared" si="7"/>
        <v>21</v>
      </c>
      <c r="K48" s="59">
        <f t="shared" si="7"/>
        <v>9</v>
      </c>
      <c r="L48" s="59">
        <f>SUM($G$48:$K$48)</f>
        <v>46</v>
      </c>
      <c r="M48" s="58">
        <f t="array" ref="M48">INDEX(Р[Цена за ед., руб],MATCH(1,IF(($B48=Р[Наименование])*($O48=Р[Примечание]),{1},($B48=Р[Наименование])*($O48=Р[Примечание])),0))</f>
        <v>0</v>
      </c>
      <c r="N48" s="58">
        <f>ROUND($L$48*$M$48,2)</f>
        <v>0</v>
      </c>
      <c r="O48" s="54"/>
      <c r="P48" s="54"/>
    </row>
    <row r="49" spans="1:16" outlineLevel="4" x14ac:dyDescent="0.25">
      <c r="A49" s="47"/>
      <c r="B49" s="40" t="s">
        <v>24</v>
      </c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9"/>
      <c r="N49" s="50">
        <f>SUM($N$50:$N$52)</f>
        <v>0</v>
      </c>
      <c r="O49" s="44"/>
      <c r="P49" s="51"/>
    </row>
    <row r="50" spans="1:16" ht="31.5" outlineLevel="4" x14ac:dyDescent="0.25">
      <c r="A50" s="52" t="s">
        <v>25</v>
      </c>
      <c r="B50" s="53" t="s">
        <v>60</v>
      </c>
      <c r="C50" s="54"/>
      <c r="D50" s="54" t="s">
        <v>61</v>
      </c>
      <c r="E50" s="55" t="s">
        <v>31</v>
      </c>
      <c r="F50" s="56"/>
      <c r="G50" s="59">
        <v>2</v>
      </c>
      <c r="H50" s="56"/>
      <c r="I50" s="56"/>
      <c r="J50" s="59">
        <v>4</v>
      </c>
      <c r="K50" s="59">
        <v>3</v>
      </c>
      <c r="L50" s="59">
        <f>SUM($G$50:$K$50)</f>
        <v>9</v>
      </c>
      <c r="M50" s="58">
        <f t="array" ref="M50">INDEX(М[Цена за ед., руб],MATCH(1,IF(($B50=М[Наим.])*($C50=М[Артикул,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  <c r="N50" s="58">
        <f>ROUND($L$50*$M$50,2)</f>
        <v>0</v>
      </c>
      <c r="O50" s="54" t="s">
        <v>62</v>
      </c>
      <c r="P50" s="54">
        <f t="array" ref="P50">INDEX(М[Форма закупа],MATCH(1,IF(($B50=М[Наим.])*($C50=М[Артикул,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</row>
    <row r="51" spans="1:16" ht="31.5" outlineLevel="4" x14ac:dyDescent="0.25">
      <c r="A51" s="52" t="s">
        <v>40</v>
      </c>
      <c r="B51" s="53" t="s">
        <v>60</v>
      </c>
      <c r="C51" s="54"/>
      <c r="D51" s="54" t="s">
        <v>63</v>
      </c>
      <c r="E51" s="55" t="s">
        <v>31</v>
      </c>
      <c r="F51" s="56"/>
      <c r="G51" s="56"/>
      <c r="H51" s="56"/>
      <c r="I51" s="56"/>
      <c r="J51" s="59">
        <v>9</v>
      </c>
      <c r="K51" s="56"/>
      <c r="L51" s="59">
        <f>SUM($G$51:$K$51)</f>
        <v>9</v>
      </c>
      <c r="M51" s="58">
        <f t="array" ref="M51">INDEX(М[Цена за ед., руб],MATCH(1,IF(($B51=М[Наим.])*($C51=М[Артикул,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  <c r="N51" s="58">
        <f>ROUND($L$51*$M$51,2)</f>
        <v>0</v>
      </c>
      <c r="O51" s="54" t="s">
        <v>64</v>
      </c>
      <c r="P51" s="54">
        <f t="array" ref="P51">INDEX(М[Форма закупа],MATCH(1,IF(($B51=М[Наим.])*($C51=М[Артикул,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</row>
    <row r="52" spans="1:16" ht="31.5" outlineLevel="4" x14ac:dyDescent="0.25">
      <c r="A52" s="52" t="s">
        <v>65</v>
      </c>
      <c r="B52" s="53" t="s">
        <v>66</v>
      </c>
      <c r="C52" s="54"/>
      <c r="D52" s="54"/>
      <c r="E52" s="55" t="s">
        <v>31</v>
      </c>
      <c r="F52" s="56"/>
      <c r="G52" s="59">
        <v>4</v>
      </c>
      <c r="H52" s="59">
        <v>6</v>
      </c>
      <c r="I52" s="59">
        <v>4</v>
      </c>
      <c r="J52" s="59">
        <v>8</v>
      </c>
      <c r="K52" s="59">
        <v>6</v>
      </c>
      <c r="L52" s="59">
        <f>SUM($G$52:$K$52)</f>
        <v>28</v>
      </c>
      <c r="M52" s="58">
        <f t="array" ref="M52">INDEX(М[Цена за ед., руб],MATCH(1,IF(($B52=М[Наим.])*($C52=М[Артикул,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  <c r="N52" s="58">
        <f>ROUND($L$52*$M$52,2)</f>
        <v>0</v>
      </c>
      <c r="O52" s="54" t="s">
        <v>67</v>
      </c>
      <c r="P52" s="54">
        <f t="array" ref="P52">INDEX(М[Форма закупа],MATCH(1,IF(($B52=М[Наим.])*($C52=М[Артикул,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</row>
    <row r="53" spans="1:16" outlineLevel="4" x14ac:dyDescent="0.25">
      <c r="A53" s="47"/>
      <c r="B53" s="40" t="s">
        <v>21</v>
      </c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9"/>
      <c r="N53" s="50">
        <f>SUM($N$54)</f>
        <v>0</v>
      </c>
      <c r="O53" s="44"/>
      <c r="P53" s="51"/>
    </row>
    <row r="54" spans="1:16" outlineLevel="4" x14ac:dyDescent="0.25">
      <c r="A54" s="52"/>
      <c r="B54" s="53" t="s">
        <v>68</v>
      </c>
      <c r="C54" s="54"/>
      <c r="D54" s="54"/>
      <c r="E54" s="55" t="s">
        <v>31</v>
      </c>
      <c r="F54" s="56"/>
      <c r="G54" s="59">
        <f>G56+G57+G58+G60+G61+G59</f>
        <v>2</v>
      </c>
      <c r="H54" s="59">
        <f t="shared" ref="H54:K54" si="8">H56+H57+H58+H60+H61+H59</f>
        <v>2</v>
      </c>
      <c r="I54" s="59">
        <f t="shared" si="8"/>
        <v>2</v>
      </c>
      <c r="J54" s="59">
        <f t="shared" si="8"/>
        <v>3</v>
      </c>
      <c r="K54" s="59">
        <f t="shared" si="8"/>
        <v>2</v>
      </c>
      <c r="L54" s="59">
        <f>SUM($G$54:$K$54)</f>
        <v>11</v>
      </c>
      <c r="M54" s="58">
        <f t="array" ref="M54">INDEX(Р[Цена за ед., руб],MATCH(1,IF(($B54=Р[Наименование])*($O54=Р[Примечание]),{1},($B54=Р[Наименование])*($O54=Р[Примечание])),0))</f>
        <v>0</v>
      </c>
      <c r="N54" s="58">
        <f>ROUND($L$54*$M$54,2)</f>
        <v>0</v>
      </c>
      <c r="O54" s="54"/>
      <c r="P54" s="54"/>
    </row>
    <row r="55" spans="1:16" outlineLevel="4" x14ac:dyDescent="0.25">
      <c r="A55" s="47"/>
      <c r="B55" s="40" t="s">
        <v>24</v>
      </c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9"/>
      <c r="N55" s="50">
        <f>SUM($N$56:$N$61)</f>
        <v>0</v>
      </c>
      <c r="O55" s="44"/>
      <c r="P55" s="51"/>
    </row>
    <row r="56" spans="1:16" ht="346.5" outlineLevel="4" x14ac:dyDescent="0.25">
      <c r="A56" s="52" t="s">
        <v>25</v>
      </c>
      <c r="B56" s="53" t="s">
        <v>69</v>
      </c>
      <c r="C56" s="54"/>
      <c r="D56" s="54" t="s">
        <v>70</v>
      </c>
      <c r="E56" s="55" t="s">
        <v>31</v>
      </c>
      <c r="F56" s="56"/>
      <c r="G56" s="59">
        <v>2</v>
      </c>
      <c r="H56" s="56"/>
      <c r="I56" s="56"/>
      <c r="J56" s="56"/>
      <c r="K56" s="56"/>
      <c r="L56" s="59">
        <f>SUM($G$56:$K$56)</f>
        <v>2</v>
      </c>
      <c r="M56" s="58">
        <f t="array" ref="M56">INDEX(М[Цена за ед., руб],MATCH(1,IF(($B56=М[Наим.])*($C56=М[Артикул, марка, произв.])*($D56=М[Хар-ка])*($O56=М[Прим.]),{1},($B56=М[Наим.])*($C56=М[Артикул, марка, произв.])*($D56=М[Хар-ка])*($O56=М[Прим.])),0))</f>
        <v>0</v>
      </c>
      <c r="N56" s="58">
        <f>ROUND($L$56*$M$56,2)</f>
        <v>0</v>
      </c>
      <c r="O56" s="54" t="s">
        <v>71</v>
      </c>
      <c r="P56" s="54">
        <f t="array" ref="P56">INDEX(М[Форма закупа],MATCH(1,IF(($B56=М[Наим.])*($C56=М[Артикул, марка, произв.])*($D56=М[Хар-ка])*($O56=М[Прим.]),{1},($B56=М[Наим.])*($C56=М[Артикул, марка, произв.])*($D56=М[Хар-ка])*($O56=М[Прим.])),0))</f>
        <v>0</v>
      </c>
    </row>
    <row r="57" spans="1:16" ht="346.5" outlineLevel="4" x14ac:dyDescent="0.25">
      <c r="A57" s="52" t="s">
        <v>40</v>
      </c>
      <c r="B57" s="53" t="s">
        <v>69</v>
      </c>
      <c r="C57" s="54"/>
      <c r="D57" s="54" t="s">
        <v>70</v>
      </c>
      <c r="E57" s="55" t="s">
        <v>31</v>
      </c>
      <c r="F57" s="56"/>
      <c r="G57" s="56"/>
      <c r="H57" s="59">
        <v>2</v>
      </c>
      <c r="I57" s="56"/>
      <c r="J57" s="56"/>
      <c r="K57" s="56"/>
      <c r="L57" s="59">
        <f>SUM($G$57:$K$57)</f>
        <v>2</v>
      </c>
      <c r="M57" s="58">
        <f t="array" ref="M57">INDEX(М[Цена за ед., руб],MATCH(1,IF(($B57=М[Наим.])*($C57=М[Артикул, марка, произв.])*($D57=М[Хар-ка])*($O57=М[Прим.]),{1},($B57=М[Наим.])*($C57=М[Артикул, марка, произв.])*($D57=М[Хар-ка])*($O57=М[Прим.])),0))</f>
        <v>0</v>
      </c>
      <c r="N57" s="58">
        <f>ROUND($L$57*$M$57,2)</f>
        <v>0</v>
      </c>
      <c r="O57" s="54" t="s">
        <v>72</v>
      </c>
      <c r="P57" s="54">
        <f t="array" ref="P57">INDEX(М[Форма закупа],MATCH(1,IF(($B57=М[Наим.])*($C57=М[Артикул, марка, произв.])*($D57=М[Хар-ка])*($O57=М[Прим.]),{1},($B57=М[Наим.])*($C57=М[Артикул, марка, произв.])*($D57=М[Хар-ка])*($O57=М[Прим.])),0))</f>
        <v>0</v>
      </c>
    </row>
    <row r="58" spans="1:16" ht="330.75" outlineLevel="4" x14ac:dyDescent="0.25">
      <c r="A58" s="52" t="s">
        <v>65</v>
      </c>
      <c r="B58" s="53" t="s">
        <v>69</v>
      </c>
      <c r="C58" s="54"/>
      <c r="D58" s="54" t="s">
        <v>70</v>
      </c>
      <c r="E58" s="55" t="s">
        <v>31</v>
      </c>
      <c r="F58" s="56"/>
      <c r="G58" s="56"/>
      <c r="H58" s="56"/>
      <c r="I58" s="59">
        <v>2</v>
      </c>
      <c r="J58" s="56"/>
      <c r="K58" s="56"/>
      <c r="L58" s="59">
        <f>SUM($G$58:$K$58)</f>
        <v>2</v>
      </c>
      <c r="M58" s="58">
        <f t="array" ref="M58">INDEX(М[Цена за ед., руб],MATCH(1,IF(($B58=М[Наим.])*($C58=М[Артикул,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  <c r="N58" s="58">
        <f>ROUND($L$58*$M$58,2)</f>
        <v>0</v>
      </c>
      <c r="O58" s="54" t="s">
        <v>73</v>
      </c>
      <c r="P58" s="54">
        <f t="array" ref="P58">INDEX(М[Форма закупа],MATCH(1,IF(($B58=М[Наим.])*($C58=М[Артикул,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</row>
    <row r="59" spans="1:16" ht="315" outlineLevel="4" x14ac:dyDescent="0.25">
      <c r="A59" s="52" t="s">
        <v>74</v>
      </c>
      <c r="B59" s="53" t="s">
        <v>69</v>
      </c>
      <c r="C59" s="54"/>
      <c r="D59" s="54" t="s">
        <v>70</v>
      </c>
      <c r="E59" s="55" t="s">
        <v>31</v>
      </c>
      <c r="F59" s="56"/>
      <c r="G59" s="56"/>
      <c r="H59" s="56"/>
      <c r="I59" s="56"/>
      <c r="J59" s="59">
        <v>2</v>
      </c>
      <c r="K59" s="56"/>
      <c r="L59" s="59">
        <f>SUM($G$59:$K$59)</f>
        <v>2</v>
      </c>
      <c r="M59" s="58">
        <f t="array" ref="M59">INDEX(М[Цена за ед., руб],MATCH(1,IF(($B59=М[Наим.])*($C59=М[Артикул,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  <c r="N59" s="58">
        <f>ROUND($L$59*$M$59,2)</f>
        <v>0</v>
      </c>
      <c r="O59" s="54" t="s">
        <v>75</v>
      </c>
      <c r="P59" s="54">
        <f t="array" ref="P59">INDEX(М[Форма закупа],MATCH(1,IF(($B59=М[Наим.])*($C59=М[Артикул,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</row>
    <row r="60" spans="1:16" ht="330.75" outlineLevel="4" x14ac:dyDescent="0.25">
      <c r="A60" s="52" t="s">
        <v>76</v>
      </c>
      <c r="B60" s="53" t="s">
        <v>69</v>
      </c>
      <c r="C60" s="54"/>
      <c r="D60" s="54" t="s">
        <v>70</v>
      </c>
      <c r="E60" s="55" t="s">
        <v>31</v>
      </c>
      <c r="F60" s="56"/>
      <c r="G60" s="56"/>
      <c r="H60" s="56"/>
      <c r="I60" s="56"/>
      <c r="J60" s="56"/>
      <c r="K60" s="59">
        <v>2</v>
      </c>
      <c r="L60" s="59">
        <f>SUM($G$60:$K$60)</f>
        <v>2</v>
      </c>
      <c r="M60" s="58">
        <f t="array" ref="M60">INDEX(М[Цена за ед., руб],MATCH(1,IF(($B60=М[Наим.])*($C60=М[Артикул,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  <c r="N60" s="58">
        <f>ROUND($L$60*$M$60,2)</f>
        <v>0</v>
      </c>
      <c r="O60" s="54" t="s">
        <v>77</v>
      </c>
      <c r="P60" s="54">
        <f t="array" ref="P60">INDEX(М[Форма закупа],MATCH(1,IF(($B60=М[Наим.])*($C60=М[Артикул,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</row>
    <row r="61" spans="1:16" ht="236.25" outlineLevel="4" x14ac:dyDescent="0.25">
      <c r="A61" s="52" t="s">
        <v>78</v>
      </c>
      <c r="B61" s="53" t="s">
        <v>69</v>
      </c>
      <c r="C61" s="54"/>
      <c r="D61" s="54" t="s">
        <v>79</v>
      </c>
      <c r="E61" s="55" t="s">
        <v>31</v>
      </c>
      <c r="F61" s="56"/>
      <c r="G61" s="56"/>
      <c r="H61" s="56"/>
      <c r="I61" s="56"/>
      <c r="J61" s="59">
        <v>1</v>
      </c>
      <c r="K61" s="56"/>
      <c r="L61" s="59">
        <f>SUM($G$61:$K$61)</f>
        <v>1</v>
      </c>
      <c r="M61" s="58">
        <f t="array" ref="M61">INDEX(М[Цена за ед., руб],MATCH(1,IF(($B61=М[Наим.])*($C61=М[Артикул,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  <c r="N61" s="58">
        <f>ROUND($L$61*$M$61,2)</f>
        <v>0</v>
      </c>
      <c r="O61" s="54" t="s">
        <v>80</v>
      </c>
      <c r="P61" s="54">
        <f t="array" ref="P61">INDEX(М[Форма закупа],MATCH(1,IF(($B61=М[Наим.])*($C61=М[Артикул,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</row>
    <row r="62" spans="1:16" outlineLevel="4" x14ac:dyDescent="0.25">
      <c r="A62" s="47"/>
      <c r="B62" s="40" t="s">
        <v>24</v>
      </c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9"/>
      <c r="N62" s="50">
        <f>SUM($N$63)</f>
        <v>0</v>
      </c>
      <c r="O62" s="44"/>
      <c r="P62" s="51"/>
    </row>
    <row r="63" spans="1:16" ht="47.25" outlineLevel="4" x14ac:dyDescent="0.25">
      <c r="A63" s="52" t="s">
        <v>25</v>
      </c>
      <c r="B63" s="60" t="s">
        <v>111</v>
      </c>
      <c r="C63" s="61"/>
      <c r="D63" s="61"/>
      <c r="E63" s="62" t="s">
        <v>46</v>
      </c>
      <c r="F63" s="56"/>
      <c r="G63" s="56"/>
      <c r="H63" s="56"/>
      <c r="I63" s="56"/>
      <c r="J63" s="56"/>
      <c r="K63" s="56"/>
      <c r="L63" s="83">
        <f>Материалы!E23</f>
        <v>0</v>
      </c>
      <c r="M63" s="84"/>
      <c r="N63" s="84">
        <f>ROUND(SUM(N41:N42,N46,N50:N52,N56:N61)*L63%,3)</f>
        <v>0</v>
      </c>
      <c r="O63" s="54"/>
      <c r="P63" s="54">
        <f t="array" ref="P63">INDEX(М[Форма закупа],MATCH(1,IF(($B63=М[Наим.])*($C63=М[Артикул, марка, произв.])*($D63=М[Хар-ка])*($O63=М[Прим.]),{1},($B63=М[Наим.])*($C63=М[Артикул, марка, произв.])*($D63=М[Хар-ка])*($O63=М[Прим.])),0))</f>
        <v>0</v>
      </c>
    </row>
    <row r="64" spans="1:16" outlineLevel="2" x14ac:dyDescent="0.25">
      <c r="A64" s="39" t="s">
        <v>81</v>
      </c>
      <c r="B64" s="40" t="s">
        <v>82</v>
      </c>
      <c r="C64" s="41"/>
      <c r="D64" s="41"/>
      <c r="E64" s="42"/>
      <c r="F64" s="43"/>
      <c r="G64" s="44"/>
      <c r="H64" s="44"/>
      <c r="I64" s="44"/>
      <c r="J64" s="44"/>
      <c r="K64" s="44"/>
      <c r="L64" s="44"/>
      <c r="M64" s="45"/>
      <c r="N64" s="45">
        <f>SUM($N$65)</f>
        <v>0</v>
      </c>
      <c r="O64" s="46"/>
      <c r="P64" s="46"/>
    </row>
    <row r="65" spans="1:18" outlineLevel="3" x14ac:dyDescent="0.25">
      <c r="A65" s="39" t="s">
        <v>83</v>
      </c>
      <c r="B65" s="40" t="s">
        <v>82</v>
      </c>
      <c r="C65" s="41"/>
      <c r="D65" s="41"/>
      <c r="E65" s="42"/>
      <c r="F65" s="43"/>
      <c r="G65" s="44"/>
      <c r="H65" s="44"/>
      <c r="I65" s="44"/>
      <c r="J65" s="44"/>
      <c r="K65" s="44"/>
      <c r="L65" s="44"/>
      <c r="M65" s="45"/>
      <c r="N65" s="45">
        <f>SUM($N$66)</f>
        <v>0</v>
      </c>
      <c r="O65" s="46"/>
      <c r="P65" s="46"/>
    </row>
    <row r="66" spans="1:18" outlineLevel="4" x14ac:dyDescent="0.25">
      <c r="A66" s="47"/>
      <c r="B66" s="40" t="s">
        <v>21</v>
      </c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9"/>
      <c r="N66" s="50">
        <f>SUM($N$67)</f>
        <v>0</v>
      </c>
      <c r="O66" s="44"/>
      <c r="P66" s="51"/>
    </row>
    <row r="67" spans="1:18" outlineLevel="4" x14ac:dyDescent="0.25">
      <c r="A67" s="52"/>
      <c r="B67" s="53" t="s">
        <v>84</v>
      </c>
      <c r="C67" s="54"/>
      <c r="D67" s="54"/>
      <c r="E67" s="55" t="s">
        <v>85</v>
      </c>
      <c r="F67" s="56"/>
      <c r="G67" s="59">
        <v>1</v>
      </c>
      <c r="H67" s="59">
        <v>1</v>
      </c>
      <c r="I67" s="59">
        <v>1</v>
      </c>
      <c r="J67" s="59">
        <v>1</v>
      </c>
      <c r="K67" s="59">
        <v>1</v>
      </c>
      <c r="L67" s="59">
        <f>SUM($G$67:$K$67)</f>
        <v>5</v>
      </c>
      <c r="M67" s="58">
        <f t="array" ref="M67">INDEX(Р[Цена за ед., руб],MATCH(1,IF(($B67=Р[Наименование])*($O67=Р[Примечание]),{1},($B67=Р[Наименование])*($O67=Р[Примечание])),0))</f>
        <v>0</v>
      </c>
      <c r="N67" s="58">
        <f>ROUND($L$67*$M$67,2)</f>
        <v>0</v>
      </c>
      <c r="O67" s="54"/>
      <c r="P67" s="54"/>
    </row>
    <row r="68" spans="1:18" x14ac:dyDescent="0.25">
      <c r="A68" s="63"/>
      <c r="B68" s="116" t="s">
        <v>86</v>
      </c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8"/>
      <c r="N68" s="64">
        <f>$N$10</f>
        <v>0</v>
      </c>
      <c r="O68" s="65"/>
      <c r="P68" s="65"/>
    </row>
    <row r="69" spans="1:18" x14ac:dyDescent="0.25">
      <c r="A69" s="63"/>
      <c r="B69" s="119" t="s">
        <v>87</v>
      </c>
      <c r="C69" s="120"/>
      <c r="D69" s="120"/>
      <c r="E69" s="120"/>
      <c r="F69" s="120"/>
      <c r="G69" s="120"/>
      <c r="H69" s="120"/>
      <c r="I69" s="120"/>
      <c r="J69" s="120"/>
      <c r="K69" s="120"/>
      <c r="L69" s="120"/>
      <c r="M69" s="121"/>
      <c r="N69" s="64">
        <f>SUM($N$66,$N$53,$N$47,$N$43,$N$38,$N$30,$N$25,$N$21,$N$17,$N$13)</f>
        <v>0</v>
      </c>
      <c r="O69" s="65"/>
      <c r="P69" s="65"/>
    </row>
    <row r="70" spans="1:18" x14ac:dyDescent="0.25">
      <c r="A70" s="63"/>
      <c r="B70" s="119" t="s">
        <v>88</v>
      </c>
      <c r="C70" s="120"/>
      <c r="D70" s="120"/>
      <c r="E70" s="120"/>
      <c r="F70" s="120"/>
      <c r="G70" s="120"/>
      <c r="H70" s="120"/>
      <c r="I70" s="120"/>
      <c r="J70" s="120"/>
      <c r="K70" s="120"/>
      <c r="L70" s="120"/>
      <c r="M70" s="121"/>
      <c r="N70" s="64">
        <f>SUM($N$62,$N$55,$N$49,$N$45,$N$40,$N$34,$N$32,$N$27,$N$23,$N$19,$N$15)</f>
        <v>0</v>
      </c>
      <c r="O70" s="65"/>
      <c r="P70" s="65"/>
    </row>
    <row r="71" spans="1:18" x14ac:dyDescent="0.25">
      <c r="A71" s="63"/>
      <c r="B71" s="122" t="s">
        <v>126</v>
      </c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4"/>
      <c r="N71" s="66"/>
      <c r="O71" s="82" t="s">
        <v>127</v>
      </c>
      <c r="P71" s="65"/>
    </row>
    <row r="72" spans="1:18" x14ac:dyDescent="0.25">
      <c r="A72" s="67"/>
      <c r="B72" s="101" t="s">
        <v>89</v>
      </c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2"/>
      <c r="N72" s="102"/>
      <c r="O72" s="101"/>
      <c r="P72" s="67"/>
    </row>
    <row r="73" spans="1:18" x14ac:dyDescent="0.25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6"/>
      <c r="N73" s="126"/>
      <c r="O73" s="125"/>
    </row>
    <row r="75" spans="1:18" customFormat="1" ht="15" x14ac:dyDescent="0.2">
      <c r="B75" s="72" t="s">
        <v>119</v>
      </c>
      <c r="C75" s="72"/>
      <c r="D75" s="73"/>
      <c r="E75" s="21"/>
      <c r="F75" s="21"/>
      <c r="G75" s="21"/>
      <c r="H75" s="21"/>
      <c r="I75" s="21"/>
      <c r="J75" s="21"/>
      <c r="K75" s="21"/>
      <c r="L75" s="21"/>
      <c r="M75" s="21"/>
      <c r="N75" s="74"/>
      <c r="O75" s="21"/>
      <c r="Q75" s="75"/>
    </row>
    <row r="76" spans="1:18" customFormat="1" ht="25.5" customHeight="1" x14ac:dyDescent="0.2">
      <c r="A76" s="76" t="s">
        <v>120</v>
      </c>
      <c r="B76" s="113" t="s">
        <v>121</v>
      </c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</row>
    <row r="77" spans="1:18" customFormat="1" ht="25.5" customHeight="1" x14ac:dyDescent="0.2">
      <c r="A77" s="76" t="s">
        <v>120</v>
      </c>
      <c r="B77" s="113" t="s">
        <v>122</v>
      </c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77"/>
    </row>
    <row r="78" spans="1:18" customFormat="1" ht="51.75" customHeight="1" x14ac:dyDescent="0.2">
      <c r="A78" s="78" t="s">
        <v>120</v>
      </c>
      <c r="B78" s="114" t="s">
        <v>123</v>
      </c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79"/>
    </row>
    <row r="79" spans="1:18" customFormat="1" ht="18" customHeight="1" x14ac:dyDescent="0.2">
      <c r="A79" s="76" t="s">
        <v>120</v>
      </c>
      <c r="B79" s="115" t="s">
        <v>124</v>
      </c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</row>
    <row r="80" spans="1:18" customFormat="1" ht="23.25" customHeight="1" x14ac:dyDescent="0.2">
      <c r="A80" s="80" t="s">
        <v>120</v>
      </c>
      <c r="B80" s="81" t="s">
        <v>125</v>
      </c>
      <c r="C80" s="21"/>
      <c r="D80" s="75"/>
      <c r="E80" s="21"/>
      <c r="F80" s="21"/>
      <c r="G80" s="21"/>
      <c r="H80" s="21"/>
      <c r="I80" s="21"/>
      <c r="J80" s="21"/>
      <c r="K80" s="21"/>
      <c r="L80" s="21"/>
      <c r="M80" s="21"/>
      <c r="N80" s="74"/>
      <c r="O80" s="21"/>
      <c r="Q80" s="75"/>
    </row>
  </sheetData>
  <mergeCells count="29">
    <mergeCell ref="B76:Q76"/>
    <mergeCell ref="B77:Q77"/>
    <mergeCell ref="B78:Q78"/>
    <mergeCell ref="B79:R79"/>
    <mergeCell ref="B68:M68"/>
    <mergeCell ref="B69:M69"/>
    <mergeCell ref="B70:M70"/>
    <mergeCell ref="B71:M71"/>
    <mergeCell ref="B73:O73"/>
    <mergeCell ref="B3:J3"/>
    <mergeCell ref="B5:J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B4:J4"/>
    <mergeCell ref="P7:P8"/>
    <mergeCell ref="B72:O72"/>
    <mergeCell ref="K7:K8"/>
    <mergeCell ref="L7:L8"/>
    <mergeCell ref="M7:M8"/>
    <mergeCell ref="N7:N8"/>
    <mergeCell ref="O7:O8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Q22"/>
  <sheetViews>
    <sheetView workbookViewId="0">
      <pane ySplit="3" topLeftCell="A4" activePane="bottomLeft" state="frozen"/>
      <selection pane="bottomLeft" activeCell="A17" sqref="A17:XFD22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8" t="s">
        <v>90</v>
      </c>
      <c r="B1" s="128"/>
      <c r="C1" s="128"/>
      <c r="D1" s="128"/>
      <c r="E1" s="128"/>
      <c r="F1" s="128"/>
    </row>
    <row r="3" spans="1:6" ht="11.1" customHeight="1" x14ac:dyDescent="0.2">
      <c r="A3" s="9" t="s">
        <v>2</v>
      </c>
      <c r="B3" s="2" t="s">
        <v>5</v>
      </c>
      <c r="C3" s="2" t="s">
        <v>9</v>
      </c>
      <c r="D3" s="16" t="s">
        <v>10</v>
      </c>
      <c r="E3" s="16" t="s">
        <v>11</v>
      </c>
      <c r="F3" s="10" t="s">
        <v>12</v>
      </c>
    </row>
    <row r="4" spans="1:6" ht="11.1" customHeight="1" x14ac:dyDescent="0.2">
      <c r="A4" s="7" t="s">
        <v>22</v>
      </c>
      <c r="B4" s="3" t="s">
        <v>23</v>
      </c>
      <c r="C4" s="4">
        <v>16490</v>
      </c>
      <c r="D4" s="17"/>
      <c r="E4" s="17">
        <f>ROUND(Р[[#This Row],[Количество]]*Р[[#This Row],[Цена за ед., руб]],2)</f>
        <v>0</v>
      </c>
      <c r="F4" s="8"/>
    </row>
    <row r="5" spans="1:6" ht="11.1" customHeight="1" x14ac:dyDescent="0.2">
      <c r="A5" s="7" t="s">
        <v>28</v>
      </c>
      <c r="B5" s="3" t="s">
        <v>23</v>
      </c>
      <c r="C5" s="6">
        <v>180</v>
      </c>
      <c r="D5" s="17"/>
      <c r="E5" s="17">
        <f>ROUND(Р[[#This Row],[Количество]]*Р[[#This Row],[Цена за ед., руб]],2)</f>
        <v>0</v>
      </c>
      <c r="F5" s="8"/>
    </row>
    <row r="6" spans="1:6" ht="11.1" customHeight="1" x14ac:dyDescent="0.2">
      <c r="A6" s="7" t="s">
        <v>33</v>
      </c>
      <c r="B6" s="3" t="s">
        <v>23</v>
      </c>
      <c r="C6" s="6">
        <v>396</v>
      </c>
      <c r="D6" s="17"/>
      <c r="E6" s="17">
        <f>ROUND(Р[[#This Row],[Количество]]*Р[[#This Row],[Цена за ед., руб]],2)</f>
        <v>0</v>
      </c>
      <c r="F6" s="8"/>
    </row>
    <row r="7" spans="1:6" ht="11.1" customHeight="1" x14ac:dyDescent="0.2">
      <c r="A7" s="7" t="s">
        <v>36</v>
      </c>
      <c r="B7" s="3" t="s">
        <v>23</v>
      </c>
      <c r="C7" s="4">
        <v>11680</v>
      </c>
      <c r="D7" s="17"/>
      <c r="E7" s="17">
        <f>ROUND(Р[[#This Row],[Количество]]*Р[[#This Row],[Цена за ед., руб]],2)</f>
        <v>0</v>
      </c>
      <c r="F7" s="8"/>
    </row>
    <row r="8" spans="1:6" ht="11.1" customHeight="1" x14ac:dyDescent="0.2">
      <c r="A8" s="7" t="s">
        <v>43</v>
      </c>
      <c r="B8" s="3" t="s">
        <v>23</v>
      </c>
      <c r="C8" s="6">
        <v>14</v>
      </c>
      <c r="D8" s="17"/>
      <c r="E8" s="17">
        <f>ROUND(Р[[#This Row],[Количество]]*Р[[#This Row],[Цена за ед., руб]],2)</f>
        <v>0</v>
      </c>
      <c r="F8" s="8"/>
    </row>
    <row r="9" spans="1:6" ht="11.1" customHeight="1" x14ac:dyDescent="0.2">
      <c r="A9" s="7" t="s">
        <v>50</v>
      </c>
      <c r="B9" s="3" t="s">
        <v>31</v>
      </c>
      <c r="C9" s="6">
        <v>329</v>
      </c>
      <c r="D9" s="17"/>
      <c r="E9" s="17">
        <f>ROUND(Р[[#This Row],[Количество]]*Р[[#This Row],[Цена за ед., руб]],2)</f>
        <v>0</v>
      </c>
      <c r="F9" s="8"/>
    </row>
    <row r="10" spans="1:6" ht="11.1" customHeight="1" x14ac:dyDescent="0.2">
      <c r="A10" s="7" t="s">
        <v>56</v>
      </c>
      <c r="B10" s="3" t="s">
        <v>31</v>
      </c>
      <c r="C10" s="6">
        <v>29</v>
      </c>
      <c r="D10" s="17"/>
      <c r="E10" s="17">
        <f>ROUND(Р[[#This Row],[Количество]]*Р[[#This Row],[Цена за ед., руб]],2)</f>
        <v>0</v>
      </c>
      <c r="F10" s="8"/>
    </row>
    <row r="11" spans="1:6" ht="11.1" customHeight="1" x14ac:dyDescent="0.2">
      <c r="A11" s="7" t="s">
        <v>59</v>
      </c>
      <c r="B11" s="3" t="s">
        <v>31</v>
      </c>
      <c r="C11" s="6">
        <v>46</v>
      </c>
      <c r="D11" s="17"/>
      <c r="E11" s="17">
        <f>ROUND(Р[[#This Row],[Количество]]*Р[[#This Row],[Цена за ед., руб]],2)</f>
        <v>0</v>
      </c>
      <c r="F11" s="8"/>
    </row>
    <row r="12" spans="1:6" ht="11.1" customHeight="1" x14ac:dyDescent="0.2">
      <c r="A12" s="7" t="s">
        <v>68</v>
      </c>
      <c r="B12" s="3" t="s">
        <v>31</v>
      </c>
      <c r="C12" s="6">
        <v>11</v>
      </c>
      <c r="D12" s="17"/>
      <c r="E12" s="17">
        <f>ROUND(Р[[#This Row],[Количество]]*Р[[#This Row],[Цена за ед., руб]],2)</f>
        <v>0</v>
      </c>
      <c r="F12" s="8"/>
    </row>
    <row r="13" spans="1:6" ht="11.1" customHeight="1" x14ac:dyDescent="0.2">
      <c r="A13" s="11" t="s">
        <v>84</v>
      </c>
      <c r="B13" s="12" t="s">
        <v>85</v>
      </c>
      <c r="C13" s="13">
        <v>5</v>
      </c>
      <c r="D13" s="17"/>
      <c r="E13" s="18">
        <f>ROUND(Р[[#This Row],[Количество]]*Р[[#This Row],[Цена за ед., руб]],2)</f>
        <v>0</v>
      </c>
      <c r="F13" s="15"/>
    </row>
    <row r="14" spans="1:6" ht="11.45" customHeight="1" x14ac:dyDescent="0.2">
      <c r="A14" s="11" t="s">
        <v>109</v>
      </c>
      <c r="B14" s="12"/>
      <c r="C14" s="14"/>
      <c r="D14" s="18"/>
      <c r="E14" s="18">
        <f>SUBTOTAL(109,Р[Сумма, руб])</f>
        <v>0</v>
      </c>
      <c r="F14" s="15"/>
    </row>
    <row r="15" spans="1:6" ht="11.45" customHeight="1" x14ac:dyDescent="0.2">
      <c r="D15" s="87" t="s">
        <v>128</v>
      </c>
      <c r="E15" s="88">
        <f>ЛСР!N69-Р[[#Totals],[Сумма, руб]]</f>
        <v>0</v>
      </c>
    </row>
    <row r="17" spans="1:17" ht="11.45" customHeight="1" x14ac:dyDescent="0.2">
      <c r="A17" s="89" t="s">
        <v>119</v>
      </c>
      <c r="B17" s="89"/>
      <c r="C17" s="90"/>
      <c r="D17" s="91"/>
      <c r="E17" s="91"/>
      <c r="F17" s="91"/>
      <c r="G17" s="91"/>
      <c r="H17" s="91"/>
      <c r="I17" s="91"/>
      <c r="J17" s="91"/>
      <c r="K17" s="91"/>
      <c r="L17" s="91"/>
      <c r="M17" s="92"/>
      <c r="N17" s="91"/>
      <c r="O17" s="93"/>
      <c r="P17" s="94"/>
      <c r="Q17" s="93"/>
    </row>
    <row r="18" spans="1:17" ht="23.25" customHeight="1" x14ac:dyDescent="0.2">
      <c r="A18" s="129" t="s">
        <v>121</v>
      </c>
      <c r="B18" s="129"/>
      <c r="C18" s="129"/>
      <c r="D18" s="129"/>
      <c r="E18" s="129"/>
      <c r="F18" s="129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3"/>
    </row>
    <row r="19" spans="1:17" ht="27" customHeight="1" x14ac:dyDescent="0.2">
      <c r="A19" s="129" t="s">
        <v>122</v>
      </c>
      <c r="B19" s="129"/>
      <c r="C19" s="129"/>
      <c r="D19" s="129"/>
      <c r="E19" s="129"/>
      <c r="F19" s="129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</row>
    <row r="20" spans="1:17" ht="50.25" customHeight="1" x14ac:dyDescent="0.2">
      <c r="A20" s="130" t="s">
        <v>123</v>
      </c>
      <c r="B20" s="130"/>
      <c r="C20" s="130"/>
      <c r="D20" s="130"/>
      <c r="E20" s="130"/>
      <c r="F20" s="130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6"/>
    </row>
    <row r="21" spans="1:17" ht="16.5" customHeight="1" x14ac:dyDescent="0.2">
      <c r="A21" s="131" t="s">
        <v>124</v>
      </c>
      <c r="B21" s="131"/>
      <c r="C21" s="131"/>
      <c r="D21" s="131"/>
      <c r="E21" s="131"/>
      <c r="F21" s="131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</row>
    <row r="22" spans="1:17" ht="23.25" customHeight="1" x14ac:dyDescent="0.2">
      <c r="A22" s="127" t="s">
        <v>125</v>
      </c>
      <c r="B22" s="127"/>
      <c r="C22" s="127"/>
      <c r="D22" s="127"/>
      <c r="E22" s="127"/>
      <c r="F22" s="127"/>
      <c r="G22" s="91"/>
      <c r="H22" s="91"/>
      <c r="I22" s="91"/>
      <c r="J22" s="91"/>
      <c r="K22" s="91"/>
      <c r="L22" s="91"/>
      <c r="M22" s="92"/>
      <c r="N22" s="91"/>
      <c r="O22" s="93"/>
      <c r="P22" s="94"/>
      <c r="Q22" s="93"/>
    </row>
  </sheetData>
  <mergeCells count="6">
    <mergeCell ref="A22:F22"/>
    <mergeCell ref="A1:F1"/>
    <mergeCell ref="A18:F18"/>
    <mergeCell ref="A19:F19"/>
    <mergeCell ref="A20:F20"/>
    <mergeCell ref="A21:F2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Q32"/>
  <sheetViews>
    <sheetView workbookViewId="0">
      <pane ySplit="3" topLeftCell="A4" activePane="bottomLeft" state="frozen"/>
      <selection pane="bottomLeft" activeCell="A28" sqref="A28:F28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8" t="s">
        <v>91</v>
      </c>
      <c r="B1" s="128"/>
      <c r="C1" s="128"/>
      <c r="D1" s="128"/>
      <c r="E1" s="128"/>
      <c r="F1" s="128"/>
      <c r="G1" s="128"/>
      <c r="H1" s="128"/>
    </row>
    <row r="2" spans="1:9" ht="11.1" customHeight="1" x14ac:dyDescent="0.2"/>
    <row r="3" spans="1:9" ht="23.1" customHeight="1" x14ac:dyDescent="0.2">
      <c r="A3" s="9" t="s">
        <v>92</v>
      </c>
      <c r="B3" s="19" t="s">
        <v>93</v>
      </c>
      <c r="C3" s="10" t="s">
        <v>94</v>
      </c>
      <c r="D3" s="2" t="s">
        <v>5</v>
      </c>
      <c r="E3" s="2" t="s">
        <v>9</v>
      </c>
      <c r="F3" s="16" t="s">
        <v>10</v>
      </c>
      <c r="G3" s="16" t="s">
        <v>11</v>
      </c>
      <c r="H3" s="2" t="s">
        <v>95</v>
      </c>
      <c r="I3" s="10" t="s">
        <v>96</v>
      </c>
    </row>
    <row r="4" spans="1:9" ht="23.1" customHeight="1" x14ac:dyDescent="0.2">
      <c r="A4" s="7" t="s">
        <v>60</v>
      </c>
      <c r="B4" s="5"/>
      <c r="C4" s="5" t="s">
        <v>61</v>
      </c>
      <c r="D4" s="3" t="s">
        <v>31</v>
      </c>
      <c r="E4" s="6">
        <v>9</v>
      </c>
      <c r="F4" s="17"/>
      <c r="G4" s="17">
        <f>ROUND(М[[#This Row],[Количество]]*М[[#This Row],[Цена за ед., руб]],2)</f>
        <v>0</v>
      </c>
      <c r="H4" s="5" t="s">
        <v>62</v>
      </c>
      <c r="I4" s="8"/>
    </row>
    <row r="5" spans="1:9" ht="11.1" customHeight="1" x14ac:dyDescent="0.2">
      <c r="A5" s="7" t="s">
        <v>60</v>
      </c>
      <c r="B5" s="5"/>
      <c r="C5" s="5" t="s">
        <v>63</v>
      </c>
      <c r="D5" s="3" t="s">
        <v>31</v>
      </c>
      <c r="E5" s="6">
        <v>9</v>
      </c>
      <c r="F5" s="17"/>
      <c r="G5" s="17">
        <f>ROUND(М[[#This Row],[Количество]]*М[[#This Row],[Цена за ед., руб]],2)</f>
        <v>0</v>
      </c>
      <c r="H5" s="5" t="s">
        <v>64</v>
      </c>
      <c r="I5" s="8"/>
    </row>
    <row r="6" spans="1:9" ht="11.1" customHeight="1" x14ac:dyDescent="0.2">
      <c r="A6" s="7" t="s">
        <v>34</v>
      </c>
      <c r="B6" s="5"/>
      <c r="C6" s="5" t="s">
        <v>35</v>
      </c>
      <c r="D6" s="3" t="s">
        <v>23</v>
      </c>
      <c r="E6" s="6">
        <v>396</v>
      </c>
      <c r="F6" s="17"/>
      <c r="G6" s="17">
        <f>ROUND(М[[#This Row],[Количество]]*М[[#This Row],[Цена за ед., руб]],2)</f>
        <v>0</v>
      </c>
      <c r="H6" s="5"/>
      <c r="I6" s="8"/>
    </row>
    <row r="7" spans="1:9" ht="23.1" customHeight="1" x14ac:dyDescent="0.2">
      <c r="A7" s="7" t="s">
        <v>26</v>
      </c>
      <c r="B7" s="5"/>
      <c r="C7" s="5" t="s">
        <v>27</v>
      </c>
      <c r="D7" s="3" t="s">
        <v>23</v>
      </c>
      <c r="E7" s="4">
        <v>16490</v>
      </c>
      <c r="F7" s="17"/>
      <c r="G7" s="17">
        <f>ROUND(М[[#This Row],[Количество]]*М[[#This Row],[Цена за ед., руб]],2)</f>
        <v>0</v>
      </c>
      <c r="H7" s="5"/>
      <c r="I7" s="8"/>
    </row>
    <row r="8" spans="1:9" ht="23.1" customHeight="1" x14ac:dyDescent="0.2">
      <c r="A8" s="7" t="s">
        <v>37</v>
      </c>
      <c r="B8" s="5"/>
      <c r="C8" s="5" t="s">
        <v>38</v>
      </c>
      <c r="D8" s="3" t="s">
        <v>39</v>
      </c>
      <c r="E8" s="4">
        <v>10620</v>
      </c>
      <c r="F8" s="17"/>
      <c r="G8" s="17">
        <f>ROUND(М[[#This Row],[Количество]]*М[[#This Row],[Цена за ед., руб]],2)</f>
        <v>0</v>
      </c>
      <c r="H8" s="5"/>
      <c r="I8" s="8"/>
    </row>
    <row r="9" spans="1:9" ht="23.1" customHeight="1" x14ac:dyDescent="0.2">
      <c r="A9" s="7" t="s">
        <v>37</v>
      </c>
      <c r="B9" s="5"/>
      <c r="C9" s="5" t="s">
        <v>41</v>
      </c>
      <c r="D9" s="3" t="s">
        <v>39</v>
      </c>
      <c r="E9" s="4">
        <v>1060</v>
      </c>
      <c r="F9" s="17"/>
      <c r="G9" s="17">
        <f>ROUND(М[[#This Row],[Количество]]*М[[#This Row],[Цена за ед., руб]],2)</f>
        <v>0</v>
      </c>
      <c r="H9" s="5" t="s">
        <v>42</v>
      </c>
      <c r="I9" s="8"/>
    </row>
    <row r="10" spans="1:9" ht="23.1" customHeight="1" x14ac:dyDescent="0.2">
      <c r="A10" s="7" t="s">
        <v>51</v>
      </c>
      <c r="B10" s="5"/>
      <c r="C10" s="5" t="s">
        <v>57</v>
      </c>
      <c r="D10" s="3" t="s">
        <v>31</v>
      </c>
      <c r="E10" s="6">
        <v>29</v>
      </c>
      <c r="F10" s="17"/>
      <c r="G10" s="17">
        <f>ROUND(М[[#This Row],[Количество]]*М[[#This Row],[Цена за ед., руб]],2)</f>
        <v>0</v>
      </c>
      <c r="H10" s="5" t="s">
        <v>58</v>
      </c>
      <c r="I10" s="8"/>
    </row>
    <row r="11" spans="1:9" ht="23.1" customHeight="1" x14ac:dyDescent="0.2">
      <c r="A11" s="7" t="s">
        <v>51</v>
      </c>
      <c r="B11" s="5"/>
      <c r="C11" s="5" t="s">
        <v>52</v>
      </c>
      <c r="D11" s="3" t="s">
        <v>31</v>
      </c>
      <c r="E11" s="6">
        <v>14</v>
      </c>
      <c r="F11" s="17"/>
      <c r="G11" s="17">
        <f>ROUND(М[[#This Row],[Количество]]*М[[#This Row],[Цена за ед., руб]],2)</f>
        <v>0</v>
      </c>
      <c r="H11" s="5" t="s">
        <v>53</v>
      </c>
      <c r="I11" s="8"/>
    </row>
    <row r="12" spans="1:9" ht="23.1" customHeight="1" x14ac:dyDescent="0.2">
      <c r="A12" s="7" t="s">
        <v>51</v>
      </c>
      <c r="B12" s="5"/>
      <c r="C12" s="5" t="s">
        <v>54</v>
      </c>
      <c r="D12" s="3" t="s">
        <v>31</v>
      </c>
      <c r="E12" s="6">
        <v>315</v>
      </c>
      <c r="F12" s="17"/>
      <c r="G12" s="17">
        <f>ROUND(М[[#This Row],[Количество]]*М[[#This Row],[Цена за ед., руб]],2)</f>
        <v>0</v>
      </c>
      <c r="H12" s="5" t="s">
        <v>55</v>
      </c>
      <c r="I12" s="8"/>
    </row>
    <row r="13" spans="1:9" ht="11.1" customHeight="1" x14ac:dyDescent="0.2">
      <c r="A13" s="7" t="s">
        <v>44</v>
      </c>
      <c r="B13" s="5"/>
      <c r="C13" s="5" t="s">
        <v>45</v>
      </c>
      <c r="D13" s="3" t="s">
        <v>39</v>
      </c>
      <c r="E13" s="6">
        <v>14</v>
      </c>
      <c r="F13" s="17"/>
      <c r="G13" s="17">
        <f>ROUND(М[[#This Row],[Количество]]*М[[#This Row],[Цена за ед., руб]],2)</f>
        <v>0</v>
      </c>
      <c r="H13" s="5"/>
      <c r="I13" s="8"/>
    </row>
    <row r="14" spans="1:9" ht="47.1" customHeight="1" x14ac:dyDescent="0.2">
      <c r="A14" s="7" t="s">
        <v>29</v>
      </c>
      <c r="B14" s="5"/>
      <c r="C14" s="5" t="s">
        <v>30</v>
      </c>
      <c r="D14" s="3" t="s">
        <v>31</v>
      </c>
      <c r="E14" s="6">
        <v>12</v>
      </c>
      <c r="F14" s="17"/>
      <c r="G14" s="17">
        <f>ROUND(М[[#This Row],[Количество]]*М[[#This Row],[Цена за ед., руб]],2)</f>
        <v>0</v>
      </c>
      <c r="H14" s="5" t="s">
        <v>32</v>
      </c>
      <c r="I14" s="8"/>
    </row>
    <row r="15" spans="1:9" ht="354.95" customHeight="1" x14ac:dyDescent="0.2">
      <c r="A15" s="7" t="s">
        <v>69</v>
      </c>
      <c r="B15" s="5"/>
      <c r="C15" s="5" t="s">
        <v>70</v>
      </c>
      <c r="D15" s="3" t="s">
        <v>31</v>
      </c>
      <c r="E15" s="6">
        <v>2</v>
      </c>
      <c r="F15" s="17"/>
      <c r="G15" s="17">
        <f>ROUND(М[[#This Row],[Количество]]*М[[#This Row],[Цена за ед., руб]],2)</f>
        <v>0</v>
      </c>
      <c r="H15" s="5" t="s">
        <v>71</v>
      </c>
      <c r="I15" s="8"/>
    </row>
    <row r="16" spans="1:9" ht="354.95" customHeight="1" x14ac:dyDescent="0.2">
      <c r="A16" s="7" t="s">
        <v>69</v>
      </c>
      <c r="B16" s="5"/>
      <c r="C16" s="5" t="s">
        <v>70</v>
      </c>
      <c r="D16" s="3" t="s">
        <v>31</v>
      </c>
      <c r="E16" s="6">
        <v>2</v>
      </c>
      <c r="F16" s="17"/>
      <c r="G16" s="17">
        <f>ROUND(М[[#This Row],[Количество]]*М[[#This Row],[Цена за ед., руб]],2)</f>
        <v>0</v>
      </c>
      <c r="H16" s="5" t="s">
        <v>72</v>
      </c>
      <c r="I16" s="8"/>
    </row>
    <row r="17" spans="1:17" ht="330.95" customHeight="1" x14ac:dyDescent="0.2">
      <c r="A17" s="7" t="s">
        <v>69</v>
      </c>
      <c r="B17" s="5"/>
      <c r="C17" s="5" t="s">
        <v>70</v>
      </c>
      <c r="D17" s="3" t="s">
        <v>31</v>
      </c>
      <c r="E17" s="6">
        <v>2</v>
      </c>
      <c r="F17" s="17"/>
      <c r="G17" s="17">
        <f>ROUND(М[[#This Row],[Количество]]*М[[#This Row],[Цена за ед., руб]],2)</f>
        <v>0</v>
      </c>
      <c r="H17" s="5" t="s">
        <v>73</v>
      </c>
      <c r="I17" s="8"/>
    </row>
    <row r="18" spans="1:17" ht="330.95" customHeight="1" x14ac:dyDescent="0.2">
      <c r="A18" s="7" t="s">
        <v>69</v>
      </c>
      <c r="B18" s="5"/>
      <c r="C18" s="5" t="s">
        <v>70</v>
      </c>
      <c r="D18" s="3" t="s">
        <v>31</v>
      </c>
      <c r="E18" s="6">
        <v>2</v>
      </c>
      <c r="F18" s="17"/>
      <c r="G18" s="17">
        <f>ROUND(М[[#This Row],[Количество]]*М[[#This Row],[Цена за ед., руб]],2)</f>
        <v>0</v>
      </c>
      <c r="H18" s="5" t="s">
        <v>75</v>
      </c>
      <c r="I18" s="8"/>
    </row>
    <row r="19" spans="1:17" ht="342.95" customHeight="1" x14ac:dyDescent="0.2">
      <c r="A19" s="7" t="s">
        <v>69</v>
      </c>
      <c r="B19" s="5"/>
      <c r="C19" s="5" t="s">
        <v>70</v>
      </c>
      <c r="D19" s="3" t="s">
        <v>31</v>
      </c>
      <c r="E19" s="6">
        <v>2</v>
      </c>
      <c r="F19" s="17"/>
      <c r="G19" s="17">
        <f>ROUND(М[[#This Row],[Количество]]*М[[#This Row],[Цена за ед., руб]],2)</f>
        <v>0</v>
      </c>
      <c r="H19" s="5" t="s">
        <v>77</v>
      </c>
      <c r="I19" s="8"/>
    </row>
    <row r="20" spans="1:17" ht="248.1" customHeight="1" x14ac:dyDescent="0.2">
      <c r="A20" s="7" t="s">
        <v>69</v>
      </c>
      <c r="B20" s="5"/>
      <c r="C20" s="5" t="s">
        <v>79</v>
      </c>
      <c r="D20" s="3" t="s">
        <v>31</v>
      </c>
      <c r="E20" s="6">
        <v>1</v>
      </c>
      <c r="F20" s="17"/>
      <c r="G20" s="17">
        <f>ROUND(М[[#This Row],[Количество]]*М[[#This Row],[Цена за ед., руб]],2)</f>
        <v>0</v>
      </c>
      <c r="H20" s="5" t="s">
        <v>80</v>
      </c>
      <c r="I20" s="8"/>
    </row>
    <row r="21" spans="1:17" ht="23.1" customHeight="1" x14ac:dyDescent="0.2">
      <c r="A21" s="11" t="s">
        <v>66</v>
      </c>
      <c r="B21" s="20"/>
      <c r="C21" s="20"/>
      <c r="D21" s="12" t="s">
        <v>31</v>
      </c>
      <c r="E21" s="13">
        <v>28</v>
      </c>
      <c r="F21" s="18"/>
      <c r="G21" s="18">
        <f>ROUND(М[[#This Row],[Количество]]*М[[#This Row],[Цена за ед., руб]],2)</f>
        <v>0</v>
      </c>
      <c r="H21" s="20" t="s">
        <v>67</v>
      </c>
      <c r="I21" s="15"/>
    </row>
    <row r="22" spans="1:17" ht="23.1" customHeight="1" x14ac:dyDescent="0.2">
      <c r="A22" s="11" t="s">
        <v>110</v>
      </c>
      <c r="B22" s="20"/>
      <c r="C22" s="20"/>
      <c r="D22" s="85" t="s">
        <v>46</v>
      </c>
      <c r="E22" s="86"/>
      <c r="F22" s="18"/>
      <c r="G22" s="18">
        <f ca="1">SUMIF(ЛСР!$B$7:$N$67,М[[#This Row],[Наим.]],ЛСР!$N$7:$N$67)</f>
        <v>0</v>
      </c>
      <c r="H22" s="20"/>
      <c r="I22" s="15"/>
    </row>
    <row r="23" spans="1:17" ht="23.1" customHeight="1" x14ac:dyDescent="0.2">
      <c r="A23" s="11" t="s">
        <v>111</v>
      </c>
      <c r="B23" s="20"/>
      <c r="C23" s="20"/>
      <c r="D23" s="85" t="s">
        <v>46</v>
      </c>
      <c r="E23" s="86"/>
      <c r="F23" s="18"/>
      <c r="G23" s="18">
        <f ca="1">SUMIF(ЛСР!$B$7:$N$67,М[[#This Row],[Наим.]],ЛСР!$N$7:$N$67)</f>
        <v>0</v>
      </c>
      <c r="H23" s="20"/>
      <c r="I23" s="15"/>
    </row>
    <row r="24" spans="1:17" ht="11.45" customHeight="1" x14ac:dyDescent="0.2">
      <c r="A24" s="11" t="s">
        <v>109</v>
      </c>
      <c r="B24" s="20"/>
      <c r="C24" s="20"/>
      <c r="D24" s="12"/>
      <c r="E24" s="14"/>
      <c r="F24" s="18"/>
      <c r="G24" s="18">
        <f ca="1">SUBTOTAL(109,М[Сумма, руб])</f>
        <v>0</v>
      </c>
      <c r="H24" s="20"/>
      <c r="I24" s="15"/>
    </row>
    <row r="25" spans="1:17" ht="11.45" customHeight="1" x14ac:dyDescent="0.2">
      <c r="F25" s="87" t="s">
        <v>128</v>
      </c>
      <c r="G25" s="88">
        <f ca="1">ЛСР!N70-М[[#Totals],[Сумма, руб]]</f>
        <v>0</v>
      </c>
    </row>
    <row r="27" spans="1:17" ht="11.45" customHeight="1" x14ac:dyDescent="0.2">
      <c r="A27" s="89" t="s">
        <v>119</v>
      </c>
      <c r="B27" s="89"/>
      <c r="C27" s="90"/>
      <c r="D27" s="91"/>
      <c r="E27" s="91"/>
      <c r="F27" s="91"/>
      <c r="G27" s="91"/>
      <c r="H27" s="91"/>
      <c r="I27" s="91"/>
      <c r="J27" s="91"/>
      <c r="K27" s="91"/>
      <c r="L27" s="91"/>
      <c r="M27" s="92"/>
      <c r="N27" s="91"/>
      <c r="O27" s="93"/>
      <c r="P27" s="94"/>
      <c r="Q27" s="93"/>
    </row>
    <row r="28" spans="1:17" ht="23.25" customHeight="1" x14ac:dyDescent="0.2">
      <c r="A28" s="129" t="s">
        <v>121</v>
      </c>
      <c r="B28" s="129"/>
      <c r="C28" s="129"/>
      <c r="D28" s="129"/>
      <c r="E28" s="129"/>
      <c r="F28" s="129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3"/>
    </row>
    <row r="29" spans="1:17" ht="27" customHeight="1" x14ac:dyDescent="0.2">
      <c r="A29" s="129" t="s">
        <v>122</v>
      </c>
      <c r="B29" s="129"/>
      <c r="C29" s="129"/>
      <c r="D29" s="129"/>
      <c r="E29" s="129"/>
      <c r="F29" s="129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</row>
    <row r="30" spans="1:17" ht="50.25" customHeight="1" x14ac:dyDescent="0.2">
      <c r="A30" s="130" t="s">
        <v>123</v>
      </c>
      <c r="B30" s="130"/>
      <c r="C30" s="130"/>
      <c r="D30" s="130"/>
      <c r="E30" s="130"/>
      <c r="F30" s="130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6"/>
    </row>
    <row r="31" spans="1:17" ht="16.5" customHeight="1" x14ac:dyDescent="0.2">
      <c r="A31" s="131" t="s">
        <v>124</v>
      </c>
      <c r="B31" s="131"/>
      <c r="C31" s="131"/>
      <c r="D31" s="131"/>
      <c r="E31" s="131"/>
      <c r="F31" s="131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</row>
    <row r="32" spans="1:17" ht="23.25" customHeight="1" x14ac:dyDescent="0.2">
      <c r="A32" s="127" t="s">
        <v>125</v>
      </c>
      <c r="B32" s="127"/>
      <c r="C32" s="127"/>
      <c r="D32" s="127"/>
      <c r="E32" s="127"/>
      <c r="F32" s="127"/>
      <c r="G32" s="91"/>
      <c r="H32" s="91"/>
      <c r="I32" s="91"/>
      <c r="J32" s="91"/>
      <c r="K32" s="91"/>
      <c r="L32" s="91"/>
      <c r="M32" s="92"/>
      <c r="N32" s="91"/>
      <c r="O32" s="93"/>
      <c r="P32" s="94"/>
      <c r="Q32" s="93"/>
    </row>
  </sheetData>
  <mergeCells count="6">
    <mergeCell ref="A32:F32"/>
    <mergeCell ref="A1:H1"/>
    <mergeCell ref="A28:F28"/>
    <mergeCell ref="A29:F29"/>
    <mergeCell ref="A30:F30"/>
    <mergeCell ref="A31:F31"/>
  </mergeCells>
  <dataValidations count="1">
    <dataValidation type="list" errorStyle="information" allowBlank="1" showInputMessage="1" showErrorMessage="1" sqref="I3:I23" xr:uid="{8E1D3517-37B7-45E8-A7EE-95AE32EBF95F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97</v>
      </c>
      <c r="B1" s="1" t="s">
        <v>98</v>
      </c>
    </row>
    <row r="2" spans="1:2" ht="11.1" customHeight="1" x14ac:dyDescent="0.2">
      <c r="A2" s="1" t="s">
        <v>99</v>
      </c>
      <c r="B2" s="1" t="s">
        <v>100</v>
      </c>
    </row>
    <row r="3" spans="1:2" ht="11.1" customHeight="1" x14ac:dyDescent="0.2">
      <c r="A3" s="1" t="s">
        <v>101</v>
      </c>
      <c r="B3" s="1" t="s">
        <v>102</v>
      </c>
    </row>
    <row r="4" spans="1:2" ht="11.1" customHeight="1" x14ac:dyDescent="0.2">
      <c r="A4" s="1" t="s">
        <v>103</v>
      </c>
      <c r="B4" s="1" t="s">
        <v>104</v>
      </c>
    </row>
    <row r="5" spans="1:2" ht="11.1" customHeight="1" x14ac:dyDescent="0.2">
      <c r="A5" s="1" t="s">
        <v>105</v>
      </c>
      <c r="B5" s="1" t="s">
        <v>106</v>
      </c>
    </row>
    <row r="6" spans="1:2" ht="11.1" customHeight="1" x14ac:dyDescent="0.2">
      <c r="A6" s="1" t="s">
        <v>107</v>
      </c>
      <c r="B6" s="1" t="s">
        <v>108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2026-09-10T08:28:53Z</dcterms:modified>
</cp:coreProperties>
</file>