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326"/>
  <workbookPr defaultThemeVersion="124226"/>
  <mc:AlternateContent xmlns:mc="http://schemas.openxmlformats.org/markup-compatibility/2006">
    <mc:Choice Requires="x15">
      <x15ac:absPath xmlns:x15ac="http://schemas.microsoft.com/office/spreadsheetml/2010/11/ac" url="I:\_Сметный отдел\2. ТЕНДЕРЫ\ЕКБ\Амундсена\11 Внутренние инженерные сети\11.10-11.14,11.16,11.17,11.20,11.21 Слаботочные сети\На отправку в тендер\"/>
    </mc:Choice>
  </mc:AlternateContent>
  <xr:revisionPtr revIDLastSave="0" documentId="13_ncr:1_{B7DFB0A5-03ED-4DA0-AAC4-52B7C857E70A}" xr6:coauthVersionLast="47" xr6:coauthVersionMax="47" xr10:uidLastSave="{00000000-0000-0000-0000-000000000000}"/>
  <bookViews>
    <workbookView xWindow="390" yWindow="390" windowWidth="29130" windowHeight="18270" xr2:uid="{00000000-000D-0000-FFFF-FFFF00000000}"/>
  </bookViews>
  <sheets>
    <sheet name="ЛСР" sheetId="1" r:id="rId1"/>
    <sheet name="Работы" sheetId="2" r:id="rId2"/>
    <sheet name="Материалы" sheetId="3" r:id="rId3"/>
    <sheet name="ПараметрыЗагрузки" sheetId="4" state="veryHidden" r:id="rId4"/>
  </sheets>
  <calcPr calcId="191029"/>
</workbook>
</file>

<file path=xl/calcChain.xml><?xml version="1.0" encoding="utf-8"?>
<calcChain xmlns="http://schemas.openxmlformats.org/spreadsheetml/2006/main">
  <c r="L30" i="1" l="1" a="1"/>
  <c r="L30" i="1" s="1"/>
  <c r="H46" i="1"/>
  <c r="H30" i="1"/>
  <c r="H14" i="1"/>
  <c r="I14" i="1" a="1"/>
  <c r="I14" i="1" s="1"/>
  <c r="H16" i="1"/>
  <c r="L16" i="1" a="1"/>
  <c r="L16" i="1" s="1"/>
  <c r="I16" i="1" a="1"/>
  <c r="I16" i="1" s="1"/>
  <c r="J16" i="1" s="1"/>
  <c r="H18" i="1"/>
  <c r="I18" i="1" a="1"/>
  <c r="I18" i="1" s="1"/>
  <c r="J18" i="1" s="1"/>
  <c r="J17" i="1" s="1"/>
  <c r="H20" i="1"/>
  <c r="L20" i="1" a="1"/>
  <c r="L20" i="1" s="1"/>
  <c r="I20" i="1" a="1"/>
  <c r="I20" i="1" s="1"/>
  <c r="H22" i="1"/>
  <c r="I22" i="1" a="1"/>
  <c r="I22" i="1" s="1"/>
  <c r="H24" i="1"/>
  <c r="L24" i="1" a="1"/>
  <c r="L24" i="1" s="1"/>
  <c r="I24" i="1" a="1"/>
  <c r="I24" i="1" s="1"/>
  <c r="H26" i="1"/>
  <c r="I26" i="1" a="1"/>
  <c r="I26" i="1" s="1"/>
  <c r="H28" i="1"/>
  <c r="L28" i="1" a="1"/>
  <c r="L28" i="1" s="1"/>
  <c r="I28" i="1" a="1"/>
  <c r="I28" i="1" s="1"/>
  <c r="H34" i="1"/>
  <c r="I34" i="1" a="1"/>
  <c r="I34" i="1" s="1"/>
  <c r="J34" i="1" s="1"/>
  <c r="J33" i="1" s="1"/>
  <c r="H36" i="1"/>
  <c r="L36" i="1" a="1"/>
  <c r="L36" i="1" s="1"/>
  <c r="I36" i="1" a="1"/>
  <c r="I36" i="1" s="1"/>
  <c r="H38" i="1"/>
  <c r="I38" i="1" a="1"/>
  <c r="I38" i="1" s="1"/>
  <c r="J38" i="1" s="1"/>
  <c r="J37" i="1" s="1"/>
  <c r="H40" i="1"/>
  <c r="L40" i="1" a="1"/>
  <c r="L40" i="1" s="1"/>
  <c r="I40" i="1" a="1"/>
  <c r="I40" i="1" s="1"/>
  <c r="H42" i="1"/>
  <c r="I42" i="1" a="1"/>
  <c r="I42" i="1" s="1"/>
  <c r="H44" i="1"/>
  <c r="L44" i="1" a="1"/>
  <c r="L44" i="1" s="1"/>
  <c r="I44" i="1" a="1"/>
  <c r="I44" i="1" s="1"/>
  <c r="H50" i="1"/>
  <c r="I50" i="1" a="1"/>
  <c r="I50" i="1" s="1"/>
  <c r="G10" i="3"/>
  <c r="G9" i="3"/>
  <c r="G8" i="3"/>
  <c r="G7" i="3"/>
  <c r="G6" i="3"/>
  <c r="G5" i="3"/>
  <c r="G4" i="3"/>
  <c r="E11" i="2"/>
  <c r="E10" i="2"/>
  <c r="E9" i="2"/>
  <c r="E8" i="2"/>
  <c r="E7" i="2"/>
  <c r="E6" i="2"/>
  <c r="E5" i="2"/>
  <c r="E4" i="2"/>
  <c r="E12" i="2"/>
  <c r="J15" i="1" l="1"/>
  <c r="J26" i="1"/>
  <c r="J25" i="1" s="1"/>
  <c r="J42" i="1"/>
  <c r="J41" i="1" s="1"/>
  <c r="J28" i="1"/>
  <c r="J27" i="1" s="1"/>
  <c r="J40" i="1"/>
  <c r="J39" i="1" s="1"/>
  <c r="J44" i="1"/>
  <c r="J43" i="1" s="1"/>
  <c r="J22" i="1"/>
  <c r="J21" i="1" s="1"/>
  <c r="J20" i="1"/>
  <c r="J19" i="1" s="1"/>
  <c r="J24" i="1"/>
  <c r="J36" i="1"/>
  <c r="J14" i="1"/>
  <c r="J13" i="1" s="1"/>
  <c r="J50" i="1"/>
  <c r="J49" i="1" s="1"/>
  <c r="J23" i="1" l="1"/>
  <c r="J30" i="1"/>
  <c r="J35" i="1"/>
  <c r="J46" i="1"/>
  <c r="G12" i="3" s="1"/>
  <c r="J52" i="1"/>
  <c r="E13" i="2" s="1"/>
  <c r="J48" i="1"/>
  <c r="J47" i="1" s="1"/>
  <c r="J29" i="1" l="1"/>
  <c r="J12" i="1" s="1"/>
  <c r="J11" i="1" s="1"/>
  <c r="G11" i="3"/>
  <c r="G13" i="3" s="1"/>
  <c r="J45" i="1" l="1"/>
  <c r="J32" i="1" l="1"/>
  <c r="J31" i="1" s="1"/>
  <c r="J10" i="1" s="1"/>
  <c r="J51" i="1" s="1"/>
  <c r="J53" i="1"/>
  <c r="G14" i="3" s="1"/>
</calcChain>
</file>

<file path=xl/sharedStrings.xml><?xml version="1.0" encoding="utf-8"?>
<sst xmlns="http://schemas.openxmlformats.org/spreadsheetml/2006/main" count="205" uniqueCount="93">
  <si>
    <t>Объект: «Пятисекционный многоквартирный жилой дом со встроенно-пристроенными нежилыми помещениями общественного назначения (№ 1.1, 1.2, 1.3, 2, 3 по ПЗУ) и встроенно-пристроенной подземной автостоянкой» Секция 6</t>
  </si>
  <si>
    <t>№</t>
  </si>
  <si>
    <t>Наименование</t>
  </si>
  <si>
    <t>Артикул, марка, производитель</t>
  </si>
  <si>
    <t>Характеристика</t>
  </si>
  <si>
    <t>Ед. изм.</t>
  </si>
  <si>
    <t>Норма расхода</t>
  </si>
  <si>
    <t>Количество</t>
  </si>
  <si>
    <t>Цена за ед., руб</t>
  </si>
  <si>
    <t>Сумма, руб</t>
  </si>
  <si>
    <t>Примечание</t>
  </si>
  <si>
    <t>Форма закупа материала</t>
  </si>
  <si>
    <t>11</t>
  </si>
  <si>
    <t>Внутренние инженерные сети</t>
  </si>
  <si>
    <t>11.16</t>
  </si>
  <si>
    <t>Устройство видеонаблюдения</t>
  </si>
  <si>
    <t>11.16.01</t>
  </si>
  <si>
    <t>Прокладка КПП и КНС</t>
  </si>
  <si>
    <t>11.16.01.00</t>
  </si>
  <si>
    <t>Работы:</t>
  </si>
  <si>
    <t>Прокладка кабеля «витая пара» (LAN)</t>
  </si>
  <si>
    <t>м</t>
  </si>
  <si>
    <t>Материалы:</t>
  </si>
  <si>
    <t>1</t>
  </si>
  <si>
    <t>Кабель</t>
  </si>
  <si>
    <t>U/UTP cat.5е ZH нг(А)-HF 4х2х0,52</t>
  </si>
  <si>
    <t>Прокладка кабеля волоконно-оптического</t>
  </si>
  <si>
    <t>Патч-корд</t>
  </si>
  <si>
    <t>SC/UPC-SC/UPC SM армированный LSZH 15м</t>
  </si>
  <si>
    <t>шт</t>
  </si>
  <si>
    <t>Патч-корд оптический армированный одномодовый, 15м (PC-ARM-3,0-SC/UPC-SC/UPC-SM-15м-LSZH) либо аналог</t>
  </si>
  <si>
    <t>Прокладка трубы гофрированной до 32 мм</t>
  </si>
  <si>
    <t>Труба электромонтажная</t>
  </si>
  <si>
    <t>ПВХ гофр. легкая с протяжкой 20мм</t>
  </si>
  <si>
    <t>пог. м</t>
  </si>
  <si>
    <t>Прокладка трубы стальной до 40 мм</t>
  </si>
  <si>
    <t>Труба электросварная (пог.м.)</t>
  </si>
  <si>
    <t>стальная D-22х1,5</t>
  </si>
  <si>
    <t>%</t>
  </si>
  <si>
    <t>Закупка подрядчик</t>
  </si>
  <si>
    <t>11.16.02</t>
  </si>
  <si>
    <t>Установка оборудования</t>
  </si>
  <si>
    <t>11.16.02.00</t>
  </si>
  <si>
    <t>Монтаж видеокамеры тип 2</t>
  </si>
  <si>
    <t>Видеокамера IP</t>
  </si>
  <si>
    <t>цилиндрическая 5Мп 2,7-13,5мм</t>
  </si>
  <si>
    <t>Цилиндрическая камера TR-D2253WDIR7 v2 (D) 2.7-13.5 (либо аналог)</t>
  </si>
  <si>
    <t>Монтаж сетевого коммунатора</t>
  </si>
  <si>
    <t>РоЕ-оборудование</t>
  </si>
  <si>
    <t>удлинитель до 500м</t>
  </si>
  <si>
    <t>Повторитель линии E-PoE/1 (либо аналог)</t>
  </si>
  <si>
    <t>Монтаж ШМН</t>
  </si>
  <si>
    <t>Шкаф монтажный</t>
  </si>
  <si>
    <t>настенный 500х600х650 9U</t>
  </si>
  <si>
    <t>R5STI0965GS DKC 1шт. (либо аналог) в составе: Коммутатор L2 DS-3E2528P(B) Hikvision 1шт. (либо аналог); Коммутатор L2 DS-3E2510P(B) Hikvision 1шт. (либо аналог); ИБП SNR-UPS-LIRM-1000 SNR 1шт. (либо аналог); БРП R519SH6OPSHSP DKC 1шт. (либо аналог); Верт. профили 9U R5VUG09L DKC 1компл. (либо аналог); Потолочный вентилятор R5SCF700 DKC 1шт. (либо аналог); WDM SFP-трансивер DEM-330R/3KM/A1A D-Link 1шт. (либо аналог); Коммутационная панель SNR-UD-1U48-5E-H SNR 1шт. (либо аналог); Патч-корд RN5EUU4530BK DKC 22шт. (либо аналог);
R5STI0965GS DKC 1шт. (либо аналог) в составе: Коммутатор L2 DS-3E2528P(B) Hikvision 1шт. (либо аналог); ИБП SNR-UPS-LIRM-1000 SNR 1шт. (либо аналог); БРП R519SH6OPSHSP DKC 1шт. (либо аналог); Верт. профили R5VUG09L DKC 1компл. (либо аналог); Потолочный вентилятор R5SCF700 DKC 1шт. (либо аналог); WDM SFP-трансивер DEM-330R/3KM/A1A D-Link 1шт. (либо аналог); Коммутационная панель SNR-UD-1U48-5E-H SNR 1шт. (либо аналог); Патч-корд RN5EUU4530BK DKC 17шт. (либо аналог);</t>
  </si>
  <si>
    <t>11.16.03</t>
  </si>
  <si>
    <t>ПНР</t>
  </si>
  <si>
    <t>11.16.03.00</t>
  </si>
  <si>
    <t>Пусконаладочные работы</t>
  </si>
  <si>
    <t>компл.</t>
  </si>
  <si>
    <t>ИТОГО по сметному расчету:</t>
  </si>
  <si>
    <t>Всего стоимость работ</t>
  </si>
  <si>
    <t>Всего стоимость материалов</t>
  </si>
  <si>
    <t>Расценки на работы включают:</t>
  </si>
  <si>
    <t>Сводная ведомость объемов работ</t>
  </si>
  <si>
    <t>Сводная ведомость объемов материала</t>
  </si>
  <si>
    <t>Наим.</t>
  </si>
  <si>
    <t>Артикул, марка, произв.</t>
  </si>
  <si>
    <t>Хар-ка</t>
  </si>
  <si>
    <t>Прим.</t>
  </si>
  <si>
    <t>Форма закупа</t>
  </si>
  <si>
    <t>ЛСР</t>
  </si>
  <si>
    <t>ЛСРГуид</t>
  </si>
  <si>
    <t>ГП Амундсмена Екатеринбург.06.11.16 Секция 4(паркинг)_Устройство видеонаблюдения №1</t>
  </si>
  <si>
    <t>ce480456-a20b-11f1-9619-cc5d3c3b48f3</t>
  </si>
  <si>
    <t>Итог</t>
  </si>
  <si>
    <t>Паркинг</t>
  </si>
  <si>
    <t>Примечание:</t>
  </si>
  <si>
    <t>-</t>
  </si>
  <si>
    <t>Настройка системы видеонаблюдения и подготовка исполнительной документации учтена в стоимости СМР</t>
  </si>
  <si>
    <t>В случае, если один из перечисленных прочих материалов не был использован по факту при производстве работ, заказчик вправе откорректировать процент расходных материалов в актах выполненных работ (формы КС-2, КС-3), уменьшив на сумму исключенного материала.</t>
  </si>
  <si>
    <t>Стоимость СМР учитывает - затраты на все второстепенные материалы и работы необходимые для осуществления полного комплекса работ, включая затраты: обеспечение технической водой для производства работ и бытовых целей; на мобилизацию, аренду и эксплуатацию всех необходимых механизмов, оборудования и инструментов, бытовых помещений и биотуалетов; на подъем материалов и разноску по этажам к местам производства работ; выполнение сопутствующих работ;  вывоз мусора; накладные расходы, прибыль организации, налоги и иные издержки Подрядчика. Обеспечение безопасного производства работ на участке.</t>
  </si>
  <si>
    <t>Стоимость материалов учитывает стоимость доставки.</t>
  </si>
  <si>
    <t>В случае изменения системы налогообложения, риски увеличения стоимости договора относятся на сторону, чья система налогообложения изменяется.</t>
  </si>
  <si>
    <t>Прочие материалы для раздела (установка оборудования)</t>
  </si>
  <si>
    <t>Прочие материалы (для раздела прокладка КПП и КНС)</t>
  </si>
  <si>
    <t>в тч НДС ____%</t>
  </si>
  <si>
    <t>указать %</t>
  </si>
  <si>
    <t>Проверка:</t>
  </si>
  <si>
    <t>ПОДРЯДЧИК:</t>
  </si>
  <si>
    <t>ЗАКАЗЧИК:</t>
  </si>
  <si>
    <t>ТЕХНИЧЕСКИЙ ЗАКАЗЧИК:</t>
  </si>
  <si>
    <t>Локальный сметный расчет (ЛСР) №9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</si>
</sst>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8"/>
      <name val="Arial"/>
    </font>
    <font>
      <sz val="11"/>
      <color theme="1"/>
      <name val="Calibri"/>
      <family val="2"/>
      <charset val="204"/>
      <scheme val="minor"/>
    </font>
    <font>
      <b/>
      <sz val="8"/>
      <name val="Arial"/>
      <family val="2"/>
    </font>
    <font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2"/>
      <name val="Times New Roman"/>
      <family val="1"/>
      <charset val="204"/>
    </font>
    <font>
      <b/>
      <i/>
      <sz val="12"/>
      <name val="Times New Roman"/>
      <family val="1"/>
      <charset val="204"/>
    </font>
    <font>
      <b/>
      <i/>
      <u/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rgb="FFFF0000"/>
      <name val="Times New Roman"/>
      <family val="1"/>
      <charset val="204"/>
    </font>
    <font>
      <sz val="8"/>
      <name val="Arial"/>
      <family val="2"/>
      <charset val="204"/>
    </font>
    <font>
      <b/>
      <i/>
      <u/>
      <sz val="8"/>
      <color theme="1"/>
      <name val="Times New Roman"/>
      <family val="1"/>
      <charset val="204"/>
    </font>
    <font>
      <sz val="8"/>
      <name val="Times New Roman"/>
      <family val="1"/>
      <charset val="204"/>
    </font>
    <font>
      <b/>
      <sz val="8"/>
      <color theme="1"/>
      <name val="Times New Roman"/>
      <family val="1"/>
      <charset val="204"/>
    </font>
    <font>
      <sz val="8"/>
      <color theme="1"/>
      <name val="Times New Roman"/>
      <family val="1"/>
      <charset val="204"/>
    </font>
    <font>
      <b/>
      <sz val="8"/>
      <name val="Times New Roman"/>
      <family val="1"/>
      <charset val="204"/>
    </font>
  </fonts>
  <fills count="10">
    <fill>
      <patternFill patternType="none"/>
    </fill>
    <fill>
      <patternFill patternType="gray125"/>
    </fill>
    <fill>
      <patternFill patternType="solid">
        <fgColor rgb="FFE5B8B7"/>
        <bgColor auto="1"/>
      </patternFill>
    </fill>
    <fill>
      <patternFill patternType="solid">
        <fgColor rgb="FFFFFF00"/>
        <bgColor auto="1"/>
      </patternFill>
    </fill>
    <fill>
      <patternFill patternType="solid">
        <fgColor rgb="FFB4C6E7"/>
        <bgColor auto="1"/>
      </patternFill>
    </fill>
    <fill>
      <patternFill patternType="solid">
        <fgColor rgb="FFFFFFFF"/>
        <bgColor auto="1"/>
      </patternFill>
    </fill>
    <fill>
      <patternFill patternType="solid">
        <fgColor rgb="FF8EAADB"/>
        <bgColor auto="1"/>
      </patternFill>
    </fill>
    <fill>
      <patternFill patternType="solid">
        <fgColor rgb="FFFF0000"/>
        <bgColor auto="1"/>
      </patternFill>
    </fill>
    <fill>
      <patternFill patternType="solid">
        <fgColor theme="0"/>
        <bgColor indexed="64"/>
      </patternFill>
    </fill>
    <fill>
      <patternFill patternType="solid">
        <fgColor theme="6" tint="0.59999389629810485"/>
        <bgColor indexed="64"/>
      </patternFill>
    </fill>
  </fills>
  <borders count="13">
    <border>
      <left/>
      <right/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</borders>
  <cellStyleXfs count="2">
    <xf numFmtId="0" fontId="0" fillId="0" borderId="0"/>
    <xf numFmtId="0" fontId="1" fillId="0" borderId="0"/>
  </cellStyleXfs>
  <cellXfs count="147">
    <xf numFmtId="0" fontId="0" fillId="0" borderId="0" xfId="0"/>
    <xf numFmtId="0" fontId="0" fillId="0" borderId="0" xfId="0" applyAlignment="1">
      <alignment horizontal="left"/>
    </xf>
    <xf numFmtId="0" fontId="2" fillId="0" borderId="1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3" fontId="0" fillId="0" borderId="5" xfId="0" applyNumberFormat="1" applyBorder="1" applyAlignment="1">
      <alignment horizontal="right" vertical="center"/>
    </xf>
    <xf numFmtId="0" fontId="0" fillId="0" borderId="5" xfId="0" applyBorder="1" applyAlignment="1">
      <alignment horizontal="center" vertical="center" wrapText="1"/>
    </xf>
    <xf numFmtId="1" fontId="0" fillId="0" borderId="5" xfId="0" applyNumberFormat="1" applyBorder="1" applyAlignment="1">
      <alignment horizontal="right" vertical="center"/>
    </xf>
    <xf numFmtId="0" fontId="0" fillId="0" borderId="7" xfId="0" applyBorder="1" applyAlignment="1">
      <alignment horizontal="left" wrapText="1"/>
    </xf>
    <xf numFmtId="0" fontId="0" fillId="0" borderId="9" xfId="0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0" fillId="0" borderId="12" xfId="0" applyBorder="1" applyAlignment="1">
      <alignment horizontal="left" wrapText="1"/>
    </xf>
    <xf numFmtId="0" fontId="0" fillId="0" borderId="2" xfId="0" applyBorder="1" applyAlignment="1">
      <alignment horizontal="center" vertical="center"/>
    </xf>
    <xf numFmtId="1" fontId="0" fillId="0" borderId="2" xfId="0" applyNumberFormat="1" applyBorder="1" applyAlignment="1">
      <alignment horizontal="right" vertical="center"/>
    </xf>
    <xf numFmtId="0" fontId="0" fillId="0" borderId="2" xfId="0" applyBorder="1" applyAlignment="1">
      <alignment horizontal="right" vertical="center"/>
    </xf>
    <xf numFmtId="0" fontId="0" fillId="0" borderId="4" xfId="0" applyBorder="1" applyAlignment="1">
      <alignment horizontal="center" vertical="center" wrapText="1"/>
    </xf>
    <xf numFmtId="4" fontId="2" fillId="0" borderId="1" xfId="0" applyNumberFormat="1" applyFont="1" applyBorder="1" applyAlignment="1">
      <alignment horizontal="center" vertical="center" wrapText="1"/>
    </xf>
    <xf numFmtId="4" fontId="0" fillId="0" borderId="5" xfId="0" applyNumberFormat="1" applyBorder="1" applyAlignment="1">
      <alignment horizontal="right" vertical="center"/>
    </xf>
    <xf numFmtId="4" fontId="0" fillId="0" borderId="2" xfId="0" applyNumberFormat="1" applyBorder="1" applyAlignment="1">
      <alignment horizontal="right" vertical="center"/>
    </xf>
    <xf numFmtId="0" fontId="2" fillId="0" borderId="11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49" fontId="3" fillId="8" borderId="0" xfId="0" applyNumberFormat="1" applyFont="1" applyFill="1" applyAlignment="1">
      <alignment horizontal="center" vertical="center"/>
    </xf>
    <xf numFmtId="0" fontId="3" fillId="0" borderId="0" xfId="1" applyFont="1" applyAlignment="1">
      <alignment vertical="center" wrapText="1"/>
    </xf>
    <xf numFmtId="0" fontId="3" fillId="0" borderId="0" xfId="0" applyFont="1" applyAlignment="1">
      <alignment horizontal="center" vertical="center"/>
    </xf>
    <xf numFmtId="4" fontId="3" fillId="0" borderId="0" xfId="0" applyNumberFormat="1" applyFont="1" applyAlignment="1">
      <alignment horizontal="center" vertical="center" wrapText="1"/>
    </xf>
    <xf numFmtId="49" fontId="3" fillId="0" borderId="0" xfId="0" applyNumberFormat="1" applyFont="1" applyAlignment="1">
      <alignment horizontal="center" vertical="center"/>
    </xf>
    <xf numFmtId="0" fontId="4" fillId="0" borderId="0" xfId="0" applyFont="1" applyAlignment="1">
      <alignment vertical="center"/>
    </xf>
    <xf numFmtId="0" fontId="3" fillId="0" borderId="0" xfId="0" applyFont="1" applyAlignment="1">
      <alignment horizontal="left"/>
    </xf>
    <xf numFmtId="0" fontId="3" fillId="0" borderId="0" xfId="0" applyFont="1"/>
    <xf numFmtId="0" fontId="3" fillId="2" borderId="5" xfId="0" applyFont="1" applyFill="1" applyBorder="1" applyAlignment="1">
      <alignment horizontal="center"/>
    </xf>
    <xf numFmtId="0" fontId="3" fillId="2" borderId="5" xfId="0" applyFont="1" applyFill="1" applyBorder="1" applyAlignment="1">
      <alignment horizontal="left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right" vertical="center"/>
    </xf>
    <xf numFmtId="4" fontId="3" fillId="2" borderId="5" xfId="0" applyNumberFormat="1" applyFont="1" applyFill="1" applyBorder="1" applyAlignment="1">
      <alignment horizontal="right" vertical="center"/>
    </xf>
    <xf numFmtId="0" fontId="3" fillId="3" borderId="5" xfId="0" applyFont="1" applyFill="1" applyBorder="1" applyAlignment="1">
      <alignment horizontal="center"/>
    </xf>
    <xf numFmtId="0" fontId="3" fillId="3" borderId="5" xfId="0" applyFont="1" applyFill="1" applyBorder="1" applyAlignment="1">
      <alignment horizontal="left" wrapText="1"/>
    </xf>
    <xf numFmtId="0" fontId="3" fillId="3" borderId="5" xfId="0" applyFont="1" applyFill="1" applyBorder="1" applyAlignment="1">
      <alignment horizontal="center" vertical="center" wrapText="1"/>
    </xf>
    <xf numFmtId="0" fontId="3" fillId="3" borderId="5" xfId="0" applyFont="1" applyFill="1" applyBorder="1" applyAlignment="1">
      <alignment horizontal="center" vertical="center"/>
    </xf>
    <xf numFmtId="0" fontId="3" fillId="3" borderId="5" xfId="0" applyFont="1" applyFill="1" applyBorder="1" applyAlignment="1">
      <alignment horizontal="right" vertical="center"/>
    </xf>
    <xf numFmtId="4" fontId="3" fillId="3" borderId="5" xfId="0" applyNumberFormat="1" applyFont="1" applyFill="1" applyBorder="1" applyAlignment="1">
      <alignment horizontal="right" vertical="center"/>
    </xf>
    <xf numFmtId="0" fontId="5" fillId="4" borderId="5" xfId="0" applyFont="1" applyFill="1" applyBorder="1" applyAlignment="1">
      <alignment horizontal="center"/>
    </xf>
    <xf numFmtId="0" fontId="5" fillId="4" borderId="5" xfId="0" applyFont="1" applyFill="1" applyBorder="1" applyAlignment="1">
      <alignment horizontal="left" wrapText="1"/>
    </xf>
    <xf numFmtId="0" fontId="5" fillId="4" borderId="5" xfId="0" applyFont="1" applyFill="1" applyBorder="1" applyAlignment="1">
      <alignment horizontal="center" vertical="center" wrapText="1"/>
    </xf>
    <xf numFmtId="0" fontId="5" fillId="4" borderId="5" xfId="0" applyFont="1" applyFill="1" applyBorder="1" applyAlignment="1">
      <alignment horizontal="center" vertical="center"/>
    </xf>
    <xf numFmtId="0" fontId="5" fillId="4" borderId="5" xfId="0" applyFont="1" applyFill="1" applyBorder="1" applyAlignment="1">
      <alignment horizontal="right" vertical="center"/>
    </xf>
    <xf numFmtId="0" fontId="3" fillId="4" borderId="5" xfId="0" applyFont="1" applyFill="1" applyBorder="1" applyAlignment="1">
      <alignment horizontal="right" vertical="center"/>
    </xf>
    <xf numFmtId="4" fontId="3" fillId="4" borderId="5" xfId="0" applyNumberFormat="1" applyFont="1" applyFill="1" applyBorder="1" applyAlignment="1">
      <alignment horizontal="right" vertical="center"/>
    </xf>
    <xf numFmtId="0" fontId="3" fillId="4" borderId="5" xfId="0" applyFont="1" applyFill="1" applyBorder="1" applyAlignment="1">
      <alignment horizontal="center" vertical="center" wrapText="1"/>
    </xf>
    <xf numFmtId="0" fontId="3" fillId="4" borderId="5" xfId="0" applyFont="1" applyFill="1" applyBorder="1" applyAlignment="1">
      <alignment horizontal="left"/>
    </xf>
    <xf numFmtId="0" fontId="3" fillId="4" borderId="5" xfId="0" applyFont="1" applyFill="1" applyBorder="1" applyAlignment="1">
      <alignment horizontal="center" vertical="center"/>
    </xf>
    <xf numFmtId="4" fontId="3" fillId="4" borderId="5" xfId="0" applyNumberFormat="1" applyFont="1" applyFill="1" applyBorder="1" applyAlignment="1">
      <alignment horizontal="center" vertical="center"/>
    </xf>
    <xf numFmtId="4" fontId="5" fillId="4" borderId="0" xfId="0" applyNumberFormat="1" applyFont="1" applyFill="1" applyAlignment="1">
      <alignment horizontal="right" vertical="center"/>
    </xf>
    <xf numFmtId="0" fontId="3" fillId="4" borderId="5" xfId="0" applyFont="1" applyFill="1" applyBorder="1" applyAlignment="1">
      <alignment horizontal="right"/>
    </xf>
    <xf numFmtId="0" fontId="3" fillId="5" borderId="5" xfId="0" applyFont="1" applyFill="1" applyBorder="1" applyAlignment="1">
      <alignment horizontal="center"/>
    </xf>
    <xf numFmtId="0" fontId="3" fillId="5" borderId="5" xfId="0" applyFont="1" applyFill="1" applyBorder="1" applyAlignment="1">
      <alignment horizontal="left" wrapText="1"/>
    </xf>
    <xf numFmtId="0" fontId="3" fillId="5" borderId="5" xfId="0" applyFont="1" applyFill="1" applyBorder="1" applyAlignment="1">
      <alignment horizontal="center" vertical="center" wrapText="1"/>
    </xf>
    <xf numFmtId="0" fontId="3" fillId="5" borderId="5" xfId="0" applyFont="1" applyFill="1" applyBorder="1" applyAlignment="1">
      <alignment horizontal="center" vertical="center"/>
    </xf>
    <xf numFmtId="0" fontId="3" fillId="5" borderId="5" xfId="0" applyFont="1" applyFill="1" applyBorder="1" applyAlignment="1">
      <alignment horizontal="right" vertical="center"/>
    </xf>
    <xf numFmtId="3" fontId="3" fillId="5" borderId="5" xfId="0" applyNumberFormat="1" applyFont="1" applyFill="1" applyBorder="1" applyAlignment="1">
      <alignment horizontal="right" vertical="center"/>
    </xf>
    <xf numFmtId="4" fontId="3" fillId="5" borderId="5" xfId="0" applyNumberFormat="1" applyFont="1" applyFill="1" applyBorder="1" applyAlignment="1">
      <alignment horizontal="right" vertical="center"/>
    </xf>
    <xf numFmtId="1" fontId="3" fillId="5" borderId="5" xfId="0" applyNumberFormat="1" applyFont="1" applyFill="1" applyBorder="1" applyAlignment="1">
      <alignment horizontal="right" vertical="center"/>
    </xf>
    <xf numFmtId="0" fontId="3" fillId="6" borderId="5" xfId="0" applyFont="1" applyFill="1" applyBorder="1" applyAlignment="1">
      <alignment horizontal="left"/>
    </xf>
    <xf numFmtId="4" fontId="5" fillId="6" borderId="5" xfId="0" applyNumberFormat="1" applyFont="1" applyFill="1" applyBorder="1" applyAlignment="1">
      <alignment horizontal="right" vertical="center"/>
    </xf>
    <xf numFmtId="0" fontId="3" fillId="6" borderId="5" xfId="0" applyFont="1" applyFill="1" applyBorder="1" applyAlignment="1">
      <alignment horizontal="right"/>
    </xf>
    <xf numFmtId="0" fontId="3" fillId="7" borderId="5" xfId="0" applyFont="1" applyFill="1" applyBorder="1" applyAlignment="1">
      <alignment horizontal="left"/>
    </xf>
    <xf numFmtId="0" fontId="7" fillId="0" borderId="0" xfId="0" applyFont="1" applyAlignment="1">
      <alignment vertical="center"/>
    </xf>
    <xf numFmtId="0" fontId="7" fillId="0" borderId="0" xfId="0" applyFont="1" applyAlignment="1">
      <alignment horizontal="center" vertical="center" wrapText="1"/>
    </xf>
    <xf numFmtId="0" fontId="3" fillId="0" borderId="0" xfId="0" applyFont="1" applyAlignment="1">
      <alignment vertical="center"/>
    </xf>
    <xf numFmtId="0" fontId="8" fillId="0" borderId="0" xfId="0" applyFont="1" applyAlignment="1">
      <alignment vertical="center"/>
    </xf>
    <xf numFmtId="0" fontId="3" fillId="0" borderId="0" xfId="0" applyFont="1" applyAlignment="1">
      <alignment horizontal="center" vertical="center" wrapText="1"/>
    </xf>
    <xf numFmtId="0" fontId="9" fillId="5" borderId="5" xfId="0" applyFont="1" applyFill="1" applyBorder="1" applyAlignment="1">
      <alignment horizontal="left" wrapText="1"/>
    </xf>
    <xf numFmtId="0" fontId="9" fillId="5" borderId="5" xfId="0" applyFont="1" applyFill="1" applyBorder="1" applyAlignment="1">
      <alignment horizontal="center" vertical="center"/>
    </xf>
    <xf numFmtId="1" fontId="9" fillId="9" borderId="5" xfId="0" applyNumberFormat="1" applyFont="1" applyFill="1" applyBorder="1" applyAlignment="1">
      <alignment horizontal="right" vertical="center"/>
    </xf>
    <xf numFmtId="4" fontId="9" fillId="5" borderId="5" xfId="0" applyNumberFormat="1" applyFont="1" applyFill="1" applyBorder="1" applyAlignment="1">
      <alignment horizontal="right" vertical="center"/>
    </xf>
    <xf numFmtId="0" fontId="10" fillId="0" borderId="2" xfId="0" applyFont="1" applyBorder="1" applyAlignment="1">
      <alignment horizontal="center" vertical="center"/>
    </xf>
    <xf numFmtId="1" fontId="0" fillId="9" borderId="5" xfId="0" applyNumberFormat="1" applyFill="1" applyBorder="1" applyAlignment="1">
      <alignment horizontal="right" vertical="center"/>
    </xf>
    <xf numFmtId="4" fontId="5" fillId="6" borderId="7" xfId="0" applyNumberFormat="1" applyFont="1" applyFill="1" applyBorder="1" applyAlignment="1">
      <alignment horizontal="right" vertical="center"/>
    </xf>
    <xf numFmtId="0" fontId="9" fillId="6" borderId="7" xfId="0" applyFont="1" applyFill="1" applyBorder="1" applyAlignment="1">
      <alignment horizontal="center"/>
    </xf>
    <xf numFmtId="0" fontId="11" fillId="0" borderId="0" xfId="0" applyFont="1" applyAlignment="1">
      <alignment vertical="center"/>
    </xf>
    <xf numFmtId="0" fontId="11" fillId="0" borderId="0" xfId="0" applyFont="1" applyAlignment="1">
      <alignment horizontal="center" vertical="center" wrapText="1"/>
    </xf>
    <xf numFmtId="0" fontId="12" fillId="0" borderId="0" xfId="0" applyFont="1" applyAlignment="1">
      <alignment vertical="center"/>
    </xf>
    <xf numFmtId="0" fontId="13" fillId="0" borderId="0" xfId="0" applyFont="1" applyAlignment="1">
      <alignment vertical="center"/>
    </xf>
    <xf numFmtId="0" fontId="12" fillId="0" borderId="0" xfId="0" applyFont="1"/>
    <xf numFmtId="0" fontId="12" fillId="0" borderId="0" xfId="0" applyFont="1" applyAlignment="1">
      <alignment horizontal="center" vertical="center" wrapText="1"/>
    </xf>
    <xf numFmtId="0" fontId="12" fillId="0" borderId="0" xfId="1" applyFont="1" applyAlignment="1">
      <alignment vertical="center" wrapText="1"/>
    </xf>
    <xf numFmtId="4" fontId="12" fillId="0" borderId="0" xfId="0" applyNumberFormat="1" applyFont="1" applyAlignment="1">
      <alignment horizontal="center" vertical="center" wrapText="1"/>
    </xf>
    <xf numFmtId="0" fontId="12" fillId="0" borderId="0" xfId="0" applyFont="1" applyAlignment="1">
      <alignment horizontal="left"/>
    </xf>
    <xf numFmtId="0" fontId="15" fillId="0" borderId="10" xfId="0" applyFont="1" applyBorder="1" applyAlignment="1">
      <alignment horizontal="center" vertical="center"/>
    </xf>
    <xf numFmtId="0" fontId="15" fillId="0" borderId="1" xfId="0" applyFont="1" applyBorder="1" applyAlignment="1">
      <alignment horizontal="center" vertical="center"/>
    </xf>
    <xf numFmtId="4" fontId="15" fillId="0" borderId="1" xfId="0" applyNumberFormat="1" applyFont="1" applyBorder="1" applyAlignment="1">
      <alignment horizontal="center" vertical="center" wrapText="1"/>
    </xf>
    <xf numFmtId="0" fontId="15" fillId="0" borderId="11" xfId="0" applyFont="1" applyBorder="1" applyAlignment="1">
      <alignment horizontal="center" vertical="center"/>
    </xf>
    <xf numFmtId="0" fontId="12" fillId="0" borderId="7" xfId="0" applyFont="1" applyBorder="1" applyAlignment="1">
      <alignment horizontal="left" wrapText="1"/>
    </xf>
    <xf numFmtId="0" fontId="12" fillId="0" borderId="5" xfId="0" applyFont="1" applyBorder="1" applyAlignment="1">
      <alignment horizontal="center" vertical="center"/>
    </xf>
    <xf numFmtId="3" fontId="12" fillId="0" borderId="5" xfId="0" applyNumberFormat="1" applyFont="1" applyBorder="1" applyAlignment="1">
      <alignment horizontal="right" vertical="center"/>
    </xf>
    <xf numFmtId="4" fontId="12" fillId="0" borderId="5" xfId="0" applyNumberFormat="1" applyFont="1" applyBorder="1" applyAlignment="1">
      <alignment horizontal="right" vertical="center"/>
    </xf>
    <xf numFmtId="0" fontId="12" fillId="0" borderId="9" xfId="0" applyFont="1" applyBorder="1" applyAlignment="1">
      <alignment horizontal="center" vertical="center" wrapText="1"/>
    </xf>
    <xf numFmtId="1" fontId="12" fillId="0" borderId="5" xfId="0" applyNumberFormat="1" applyFont="1" applyBorder="1" applyAlignment="1">
      <alignment horizontal="right" vertical="center"/>
    </xf>
    <xf numFmtId="0" fontId="12" fillId="0" borderId="12" xfId="0" applyFont="1" applyBorder="1" applyAlignment="1">
      <alignment horizontal="left" wrapText="1"/>
    </xf>
    <xf numFmtId="0" fontId="12" fillId="0" borderId="2" xfId="0" applyFont="1" applyBorder="1" applyAlignment="1">
      <alignment horizontal="center" vertical="center"/>
    </xf>
    <xf numFmtId="1" fontId="12" fillId="0" borderId="2" xfId="0" applyNumberFormat="1" applyFont="1" applyBorder="1" applyAlignment="1">
      <alignment horizontal="right" vertical="center"/>
    </xf>
    <xf numFmtId="4" fontId="12" fillId="0" borderId="2" xfId="0" applyNumberFormat="1" applyFont="1" applyBorder="1" applyAlignment="1">
      <alignment horizontal="right" vertical="center"/>
    </xf>
    <xf numFmtId="0" fontId="12" fillId="0" borderId="4" xfId="0" applyFont="1" applyBorder="1" applyAlignment="1">
      <alignment horizontal="center" vertical="center" wrapText="1"/>
    </xf>
    <xf numFmtId="0" fontId="12" fillId="0" borderId="2" xfId="0" applyFont="1" applyBorder="1" applyAlignment="1">
      <alignment horizontal="right" vertical="center"/>
    </xf>
    <xf numFmtId="0" fontId="12" fillId="0" borderId="0" xfId="0" applyFont="1" applyAlignment="1">
      <alignment horizontal="right"/>
    </xf>
    <xf numFmtId="4" fontId="0" fillId="0" borderId="0" xfId="0" applyNumberFormat="1" applyAlignment="1">
      <alignment horizontal="left"/>
    </xf>
    <xf numFmtId="4" fontId="12" fillId="0" borderId="0" xfId="0" applyNumberFormat="1" applyFont="1" applyAlignment="1">
      <alignment horizontal="left"/>
    </xf>
    <xf numFmtId="49" fontId="3" fillId="0" borderId="0" xfId="0" applyNumberFormat="1" applyFont="1"/>
    <xf numFmtId="0" fontId="5" fillId="0" borderId="0" xfId="0" applyFont="1" applyAlignment="1">
      <alignment wrapText="1"/>
    </xf>
    <xf numFmtId="0" fontId="5" fillId="0" borderId="0" xfId="0" applyFont="1" applyAlignment="1">
      <alignment horizontal="center" vertical="center" wrapText="1"/>
    </xf>
    <xf numFmtId="0" fontId="5" fillId="0" borderId="0" xfId="0" applyFont="1"/>
    <xf numFmtId="0" fontId="12" fillId="0" borderId="0" xfId="1" applyFont="1" applyAlignment="1">
      <alignment vertical="top" wrapText="1"/>
    </xf>
    <xf numFmtId="0" fontId="12" fillId="0" borderId="0" xfId="0" applyFont="1" applyAlignment="1">
      <alignment vertical="top" wrapText="1"/>
    </xf>
    <xf numFmtId="0" fontId="5" fillId="0" borderId="2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0" xfId="0" applyFont="1" applyAlignment="1">
      <alignment horizontal="center" wrapText="1"/>
    </xf>
    <xf numFmtId="0" fontId="3" fillId="0" borderId="0" xfId="0" applyFont="1" applyAlignment="1">
      <alignment horizontal="center" vertical="top" wrapText="1"/>
    </xf>
    <xf numFmtId="0" fontId="5" fillId="0" borderId="2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0" xfId="1" applyFont="1" applyAlignment="1">
      <alignment horizontal="left" vertical="center" wrapText="1"/>
    </xf>
    <xf numFmtId="0" fontId="3" fillId="0" borderId="0" xfId="1" applyFont="1" applyAlignment="1">
      <alignment horizontal="left" vertical="top" wrapText="1"/>
    </xf>
    <xf numFmtId="0" fontId="3" fillId="0" borderId="0" xfId="0" applyFont="1" applyAlignment="1">
      <alignment horizontal="left" vertical="top" wrapText="1"/>
    </xf>
    <xf numFmtId="4" fontId="6" fillId="6" borderId="9" xfId="0" applyNumberFormat="1" applyFont="1" applyFill="1" applyBorder="1" applyAlignment="1">
      <alignment horizontal="right"/>
    </xf>
    <xf numFmtId="4" fontId="6" fillId="6" borderId="6" xfId="0" applyNumberFormat="1" applyFont="1" applyFill="1" applyBorder="1" applyAlignment="1">
      <alignment horizontal="right"/>
    </xf>
    <xf numFmtId="4" fontId="6" fillId="6" borderId="7" xfId="0" applyNumberFormat="1" applyFont="1" applyFill="1" applyBorder="1" applyAlignment="1">
      <alignment horizontal="right"/>
    </xf>
    <xf numFmtId="0" fontId="6" fillId="6" borderId="9" xfId="0" applyFont="1" applyFill="1" applyBorder="1" applyAlignment="1">
      <alignment horizontal="right"/>
    </xf>
    <xf numFmtId="0" fontId="6" fillId="6" borderId="6" xfId="0" applyFont="1" applyFill="1" applyBorder="1" applyAlignment="1">
      <alignment horizontal="right"/>
    </xf>
    <xf numFmtId="0" fontId="6" fillId="6" borderId="7" xfId="0" applyFont="1" applyFill="1" applyBorder="1" applyAlignment="1">
      <alignment horizontal="right"/>
    </xf>
    <xf numFmtId="0" fontId="5" fillId="6" borderId="9" xfId="0" applyFont="1" applyFill="1" applyBorder="1" applyAlignment="1">
      <alignment horizontal="right"/>
    </xf>
    <xf numFmtId="0" fontId="5" fillId="6" borderId="6" xfId="0" applyFont="1" applyFill="1" applyBorder="1" applyAlignment="1">
      <alignment horizontal="right"/>
    </xf>
    <xf numFmtId="0" fontId="5" fillId="6" borderId="7" xfId="0" applyFont="1" applyFill="1" applyBorder="1" applyAlignment="1">
      <alignment horizontal="right"/>
    </xf>
    <xf numFmtId="0" fontId="5" fillId="7" borderId="7" xfId="0" applyFont="1" applyFill="1" applyBorder="1" applyAlignment="1">
      <alignment horizontal="center" vertical="center" wrapText="1"/>
    </xf>
    <xf numFmtId="4" fontId="5" fillId="7" borderId="7" xfId="0" applyNumberFormat="1" applyFont="1" applyFill="1" applyBorder="1" applyAlignment="1">
      <alignment horizontal="center" vertical="center" wrapText="1"/>
    </xf>
    <xf numFmtId="0" fontId="5" fillId="0" borderId="8" xfId="0" applyFont="1" applyBorder="1" applyAlignment="1">
      <alignment horizontal="left" vertical="top" wrapText="1"/>
    </xf>
    <xf numFmtId="4" fontId="5" fillId="0" borderId="8" xfId="0" applyNumberFormat="1" applyFont="1" applyBorder="1" applyAlignment="1">
      <alignment horizontal="left" vertical="top" wrapText="1"/>
    </xf>
    <xf numFmtId="0" fontId="14" fillId="0" borderId="0" xfId="0" applyFont="1" applyAlignment="1">
      <alignment horizontal="left" vertical="center"/>
    </xf>
    <xf numFmtId="0" fontId="15" fillId="0" borderId="0" xfId="0" applyFont="1" applyAlignment="1">
      <alignment horizontal="center"/>
    </xf>
    <xf numFmtId="0" fontId="12" fillId="0" borderId="0" xfId="1" applyFont="1" applyAlignment="1">
      <alignment horizontal="left" vertical="center" wrapText="1"/>
    </xf>
    <xf numFmtId="0" fontId="12" fillId="0" borderId="0" xfId="1" applyFont="1" applyAlignment="1">
      <alignment horizontal="left" vertical="top" wrapText="1"/>
    </xf>
    <xf numFmtId="0" fontId="12" fillId="0" borderId="0" xfId="0" applyFont="1" applyAlignment="1">
      <alignment horizontal="left" vertical="top" wrapText="1"/>
    </xf>
    <xf numFmtId="0" fontId="2" fillId="0" borderId="0" xfId="0" applyFont="1" applyAlignment="1">
      <alignment horizontal="center"/>
    </xf>
  </cellXfs>
  <cellStyles count="2">
    <cellStyle name="Обычный" xfId="0" builtinId="0"/>
    <cellStyle name="Обычный 3 2 2" xfId="1" xr:uid="{AFB14B2B-0318-4A5A-8285-C43461D29E5D}"/>
  </cellStyles>
  <dxfs count="40">
    <dxf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/>
        <top style="thin">
          <color rgb="FF000000"/>
        </top>
        <bottom/>
      </border>
    </dxf>
    <dxf>
      <alignment horizontal="center" vertical="center" textRotation="0" wrapText="1" indent="0" justifyLastLine="0" shrinkToFit="0" readingOrder="0"/>
      <border diagonalUp="0" diagonalDown="0">
        <left style="thin">
          <color rgb="FF000000"/>
        </left>
        <right/>
        <top style="thin">
          <color rgb="FF000000"/>
        </top>
        <bottom style="thin">
          <color rgb="FF000000"/>
        </bottom>
        <vertical/>
        <horizontal/>
      </border>
    </dxf>
    <dxf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numFmt numFmtId="4" formatCode="#,##0.00"/>
      <alignment horizontal="righ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numFmt numFmtId="4" formatCode="#,##0.00"/>
      <alignment horizontal="right" vertical="center" textRotation="0" wrapText="0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numFmt numFmtId="4" formatCode="#,##0.00"/>
      <alignment horizontal="righ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numFmt numFmtId="4" formatCode="#,##0.00"/>
      <alignment horizontal="righ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alignment horizontal="righ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numFmt numFmtId="1" formatCode="0"/>
      <alignment horizontal="righ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alignment horizontal="center" vertical="center" textRotation="0" wrapText="1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alignment horizontal="center" vertical="center" textRotation="0" wrapText="1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alignment horizontal="left" vertical="bottom" textRotation="0" wrapText="1" indent="0" justifyLastLine="0" shrinkToFit="0" readingOrder="0"/>
      <border diagonalUp="0" diagonalDown="0" outline="0">
        <left/>
        <right style="thin">
          <color rgb="FF000000"/>
        </right>
        <top style="thin">
          <color rgb="FF000000"/>
        </top>
        <bottom/>
      </border>
    </dxf>
    <dxf>
      <alignment horizontal="left" vertical="bottom" textRotation="0" wrapText="1" indent="0" justifyLastLine="0" shrinkToFit="0" readingOrder="0"/>
      <border diagonalUp="0" diagonalDown="0">
        <left/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border outline="0">
        <top style="thin">
          <color rgb="FF000000"/>
        </top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border outline="0">
        <bottom style="thin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Times New Roman"/>
        <family val="1"/>
        <charset val="204"/>
        <scheme val="none"/>
      </font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/>
        <top style="thin">
          <color rgb="FF000000"/>
        </top>
        <bottom/>
      </border>
    </dxf>
    <dxf>
      <font>
        <strike val="0"/>
        <outline val="0"/>
        <shadow val="0"/>
        <vertAlign val="baseline"/>
        <sz val="8"/>
        <name val="Times New Roman"/>
        <family val="1"/>
        <charset val="204"/>
        <scheme val="none"/>
      </font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/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Times New Roman"/>
        <family val="1"/>
        <charset val="204"/>
        <scheme val="none"/>
      </font>
      <numFmt numFmtId="4" formatCode="#,##0.00"/>
      <alignment horizontal="righ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font>
        <strike val="0"/>
        <outline val="0"/>
        <shadow val="0"/>
        <vertAlign val="baseline"/>
        <sz val="8"/>
        <name val="Times New Roman"/>
        <family val="1"/>
        <charset val="204"/>
        <scheme val="none"/>
      </font>
      <numFmt numFmtId="4" formatCode="#,##0.00"/>
      <alignment horizontal="righ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Times New Roman"/>
        <family val="1"/>
        <charset val="204"/>
        <scheme val="none"/>
      </font>
      <numFmt numFmtId="4" formatCode="#,##0.00"/>
      <alignment horizontal="righ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font>
        <strike val="0"/>
        <outline val="0"/>
        <shadow val="0"/>
        <vertAlign val="baseline"/>
        <sz val="8"/>
        <name val="Times New Roman"/>
        <family val="1"/>
        <charset val="204"/>
        <scheme val="none"/>
      </font>
      <numFmt numFmtId="4" formatCode="#,##0.00"/>
      <alignment horizontal="righ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Times New Roman"/>
        <family val="1"/>
        <charset val="204"/>
        <scheme val="none"/>
      </font>
      <alignment horizontal="righ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font>
        <strike val="0"/>
        <outline val="0"/>
        <shadow val="0"/>
        <vertAlign val="baseline"/>
        <sz val="8"/>
        <name val="Times New Roman"/>
        <family val="1"/>
        <charset val="204"/>
        <scheme val="none"/>
      </font>
      <numFmt numFmtId="1" formatCode="0"/>
      <alignment horizontal="righ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Times New Roman"/>
        <family val="1"/>
        <charset val="204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font>
        <strike val="0"/>
        <outline val="0"/>
        <shadow val="0"/>
        <vertAlign val="baseline"/>
        <sz val="8"/>
        <name val="Times New Roman"/>
        <family val="1"/>
        <charset val="204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Times New Roman"/>
        <family val="1"/>
        <charset val="204"/>
        <scheme val="none"/>
      </font>
      <alignment horizontal="left" vertical="bottom" textRotation="0" wrapText="1" indent="0" justifyLastLine="0" shrinkToFit="0" readingOrder="0"/>
      <border diagonalUp="0" diagonalDown="0" outline="0">
        <left/>
        <right style="thin">
          <color rgb="FF000000"/>
        </right>
        <top style="thin">
          <color rgb="FF000000"/>
        </top>
        <bottom/>
      </border>
    </dxf>
    <dxf>
      <font>
        <strike val="0"/>
        <outline val="0"/>
        <shadow val="0"/>
        <vertAlign val="baseline"/>
        <sz val="8"/>
        <name val="Times New Roman"/>
        <family val="1"/>
        <charset val="204"/>
        <scheme val="none"/>
      </font>
      <alignment horizontal="left" vertical="bottom" textRotation="0" wrapText="1" indent="0" justifyLastLine="0" shrinkToFit="0" readingOrder="0"/>
      <border diagonalUp="0" diagonalDown="0" outline="0">
        <left/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border outline="0">
        <top style="thin">
          <color rgb="FF000000"/>
        </top>
      </border>
    </dxf>
    <dxf>
      <font>
        <strike val="0"/>
        <outline val="0"/>
        <shadow val="0"/>
        <vertAlign val="baseline"/>
        <sz val="8"/>
        <name val="Times New Roman"/>
        <family val="1"/>
        <charset val="204"/>
        <scheme val="none"/>
      </font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strike val="0"/>
        <outline val="0"/>
        <shadow val="0"/>
        <vertAlign val="baseline"/>
        <sz val="8"/>
        <name val="Times New Roman"/>
        <family val="1"/>
        <charset val="204"/>
        <scheme val="none"/>
      </font>
    </dxf>
    <dxf>
      <border outline="0">
        <bottom style="thin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Times New Roman"/>
        <family val="1"/>
        <charset val="204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/>
        <bottom/>
      </border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D016CFE1-9D91-42B6-8066-01CA76CCBABC}" name="Р" displayName="Р" ref="A3:F12" totalsRowCount="1" headerRowDxfId="39" dataDxfId="37" totalsRowDxfId="35" headerRowBorderDxfId="38" tableBorderDxfId="36" totalsRowBorderDxfId="34">
  <autoFilter ref="A3:F11" xr:uid="{D016CFE1-9D91-42B6-8066-01CA76CCBABC}"/>
  <tableColumns count="6">
    <tableColumn id="1" xr3:uid="{87D314DE-035C-481C-9246-23F36E9B52C7}" name="Наименование" totalsRowLabel="Итог" dataDxfId="33" totalsRowDxfId="32"/>
    <tableColumn id="2" xr3:uid="{0A4C71BD-6D7E-4776-A876-6AAAA2DEF133}" name="Ед. изм." dataDxfId="31" totalsRowDxfId="30"/>
    <tableColumn id="3" xr3:uid="{A1854639-B2D6-4DDD-89EC-85C5DD1C7F7E}" name="Количество" dataDxfId="29" totalsRowDxfId="28"/>
    <tableColumn id="4" xr3:uid="{83FA541B-D7FF-4BED-B86E-5D70095C0905}" name="Цена за ед., руб" dataDxfId="27" totalsRowDxfId="26"/>
    <tableColumn id="5" xr3:uid="{301FBB0D-9633-4ED5-BC4F-AFEA59CB0955}" name="Сумма, руб" totalsRowFunction="sum" dataDxfId="25" totalsRowDxfId="24">
      <calculatedColumnFormula>ROUND(Р[[#This Row],[Количество]]*Р[[#This Row],[Цена за ед., руб]],2)</calculatedColumnFormula>
    </tableColumn>
    <tableColumn id="6" xr3:uid="{8741BA29-1FCF-4EB8-825A-4308E2A921E1}" name="Примечание" dataDxfId="23" totalsRowDxfId="22"/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EDDBAA0E-A632-404B-81C8-8DA3859882FA}" name="М" displayName="М" ref="A3:I13" totalsRowCount="1" headerRowDxfId="21" headerRowBorderDxfId="20" tableBorderDxfId="19" totalsRowBorderDxfId="18">
  <autoFilter ref="A3:I12" xr:uid="{EDDBAA0E-A632-404B-81C8-8DA3859882FA}"/>
  <tableColumns count="9">
    <tableColumn id="1" xr3:uid="{B7CB59F3-2F38-47B4-9B81-8566AF78E271}" name="Наим." totalsRowLabel="Итог" dataDxfId="17" totalsRowDxfId="16"/>
    <tableColumn id="2" xr3:uid="{8903E2CA-1B04-48FB-A725-F74D427A020D}" name="Артикул, марка, произв." dataDxfId="15" totalsRowDxfId="14"/>
    <tableColumn id="3" xr3:uid="{633D3E6F-7F51-4C68-8D72-2BD9AE6B4EF6}" name="Хар-ка" dataDxfId="13" totalsRowDxfId="12"/>
    <tableColumn id="4" xr3:uid="{9A0D8CAA-A51C-4B20-9C34-B1EC8099761B}" name="Ед. изм." dataDxfId="11" totalsRowDxfId="10"/>
    <tableColumn id="5" xr3:uid="{81AFE0A3-28DA-428E-B5EE-771274F9C5ED}" name="Количество" dataDxfId="9" totalsRowDxfId="8"/>
    <tableColumn id="6" xr3:uid="{01C710A2-A8B8-4767-AFA5-85FB15F45461}" name="Цена за ед., руб" dataDxfId="7" totalsRowDxfId="6"/>
    <tableColumn id="7" xr3:uid="{0B440019-81F4-478F-8B23-58D4BBADDE76}" name="Сумма, руб" totalsRowFunction="sum" dataDxfId="5" totalsRowDxfId="4">
      <calculatedColumnFormula>ROUND(М[[#This Row],[Количество]]*М[[#This Row],[Цена за ед., руб]],2)</calculatedColumnFormula>
    </tableColumn>
    <tableColumn id="8" xr3:uid="{F867D995-78C5-4941-87E1-5DD70EC60B0A}" name="Прим." dataDxfId="3" totalsRowDxfId="2"/>
    <tableColumn id="9" xr3:uid="{399BB341-FF3D-4309-9876-85465F35F3E4}" name="Форма закупа" dataDxfId="1" totalsRowDxfId="0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  <pageSetUpPr autoPageBreaks="0"/>
  </sheetPr>
  <dimension ref="A2:S63"/>
  <sheetViews>
    <sheetView tabSelected="1" zoomScale="70" zoomScaleNormal="70" workbookViewId="0">
      <pane ySplit="8" topLeftCell="A9" activePane="bottomLeft" state="frozen"/>
      <selection pane="bottomLeft" activeCell="B4" sqref="B4:J4"/>
    </sheetView>
  </sheetViews>
  <sheetFormatPr defaultColWidth="10.5" defaultRowHeight="15.75" outlineLevelRow="4" x14ac:dyDescent="0.25"/>
  <cols>
    <col min="1" max="1" width="14" style="27" bestFit="1" customWidth="1"/>
    <col min="2" max="2" width="59.5" style="27" customWidth="1"/>
    <col min="3" max="3" width="15" style="27" bestFit="1" customWidth="1"/>
    <col min="4" max="4" width="43.5" style="27" bestFit="1" customWidth="1"/>
    <col min="5" max="5" width="10.5" style="27" bestFit="1" customWidth="1"/>
    <col min="6" max="6" width="9" style="27" bestFit="1" customWidth="1"/>
    <col min="7" max="7" width="10.6640625" style="27" bestFit="1" customWidth="1"/>
    <col min="8" max="8" width="15.83203125" style="27" bestFit="1" customWidth="1"/>
    <col min="9" max="9" width="15.1640625" style="27" bestFit="1" customWidth="1"/>
    <col min="10" max="10" width="14.83203125" style="27" bestFit="1" customWidth="1"/>
    <col min="11" max="11" width="72" style="27" bestFit="1" customWidth="1"/>
    <col min="12" max="12" width="23" style="27" bestFit="1" customWidth="1"/>
    <col min="13" max="16384" width="10.5" style="28"/>
  </cols>
  <sheetData>
    <row r="2" spans="1:19" x14ac:dyDescent="0.25">
      <c r="A2" s="107"/>
      <c r="B2" s="108" t="s">
        <v>89</v>
      </c>
      <c r="C2" s="68"/>
      <c r="D2" s="109" t="s">
        <v>90</v>
      </c>
      <c r="E2" s="28"/>
      <c r="F2" s="28"/>
      <c r="G2" s="28"/>
      <c r="H2" s="28"/>
      <c r="I2" s="28"/>
      <c r="J2" s="28"/>
      <c r="K2" s="110" t="s">
        <v>91</v>
      </c>
      <c r="L2" s="28"/>
      <c r="P2" s="27"/>
      <c r="Q2" s="70"/>
      <c r="S2" s="110"/>
    </row>
    <row r="3" spans="1:19" x14ac:dyDescent="0.25">
      <c r="B3" s="115" t="s">
        <v>92</v>
      </c>
      <c r="C3" s="115"/>
      <c r="D3" s="115"/>
      <c r="E3" s="115"/>
      <c r="F3" s="115"/>
      <c r="G3" s="115"/>
      <c r="H3" s="115"/>
      <c r="I3" s="115"/>
      <c r="J3" s="115"/>
    </row>
    <row r="4" spans="1:19" x14ac:dyDescent="0.25">
      <c r="B4" s="115" t="s">
        <v>15</v>
      </c>
      <c r="C4" s="115"/>
      <c r="D4" s="115"/>
      <c r="E4" s="115"/>
      <c r="F4" s="115"/>
      <c r="G4" s="115"/>
      <c r="H4" s="115"/>
      <c r="I4" s="115"/>
      <c r="J4" s="115"/>
    </row>
    <row r="5" spans="1:19" x14ac:dyDescent="0.25">
      <c r="B5" s="116" t="s">
        <v>0</v>
      </c>
      <c r="C5" s="116"/>
      <c r="D5" s="116"/>
      <c r="E5" s="116"/>
      <c r="F5" s="116"/>
      <c r="G5" s="116"/>
      <c r="H5" s="116"/>
      <c r="I5" s="116"/>
      <c r="J5" s="116"/>
    </row>
    <row r="7" spans="1:19" x14ac:dyDescent="0.25">
      <c r="A7" s="117" t="s">
        <v>1</v>
      </c>
      <c r="B7" s="117" t="s">
        <v>2</v>
      </c>
      <c r="C7" s="119" t="s">
        <v>3</v>
      </c>
      <c r="D7" s="121" t="s">
        <v>4</v>
      </c>
      <c r="E7" s="117" t="s">
        <v>5</v>
      </c>
      <c r="F7" s="113" t="s">
        <v>6</v>
      </c>
      <c r="G7" s="123" t="s">
        <v>76</v>
      </c>
      <c r="H7" s="117" t="s">
        <v>7</v>
      </c>
      <c r="I7" s="113" t="s">
        <v>8</v>
      </c>
      <c r="J7" s="113" t="s">
        <v>9</v>
      </c>
      <c r="K7" s="117" t="s">
        <v>10</v>
      </c>
      <c r="L7" s="113" t="s">
        <v>11</v>
      </c>
    </row>
    <row r="8" spans="1:19" x14ac:dyDescent="0.25">
      <c r="A8" s="118"/>
      <c r="B8" s="118"/>
      <c r="C8" s="120"/>
      <c r="D8" s="122"/>
      <c r="E8" s="118"/>
      <c r="F8" s="114"/>
      <c r="G8" s="124"/>
      <c r="H8" s="118"/>
      <c r="I8" s="114"/>
      <c r="J8" s="114"/>
      <c r="K8" s="118"/>
      <c r="L8" s="114"/>
    </row>
    <row r="9" spans="1:19" x14ac:dyDescent="0.25">
      <c r="A9" s="29" t="s">
        <v>12</v>
      </c>
      <c r="B9" s="30" t="s">
        <v>13</v>
      </c>
      <c r="C9" s="31"/>
      <c r="D9" s="31"/>
      <c r="E9" s="32"/>
      <c r="F9" s="33"/>
      <c r="G9" s="33"/>
      <c r="H9" s="33"/>
      <c r="I9" s="34"/>
      <c r="J9" s="34"/>
      <c r="K9" s="31"/>
      <c r="L9" s="31"/>
    </row>
    <row r="10" spans="1:19" outlineLevel="1" x14ac:dyDescent="0.25">
      <c r="A10" s="35" t="s">
        <v>14</v>
      </c>
      <c r="B10" s="36" t="s">
        <v>15</v>
      </c>
      <c r="C10" s="37"/>
      <c r="D10" s="37"/>
      <c r="E10" s="38"/>
      <c r="F10" s="39"/>
      <c r="G10" s="39"/>
      <c r="H10" s="39"/>
      <c r="I10" s="40"/>
      <c r="J10" s="40">
        <f>SUM($J$47,$J$31,$J$11)</f>
        <v>0</v>
      </c>
      <c r="K10" s="37"/>
      <c r="L10" s="37"/>
    </row>
    <row r="11" spans="1:19" outlineLevel="2" x14ac:dyDescent="0.25">
      <c r="A11" s="41" t="s">
        <v>16</v>
      </c>
      <c r="B11" s="42" t="s">
        <v>17</v>
      </c>
      <c r="C11" s="43"/>
      <c r="D11" s="43"/>
      <c r="E11" s="44"/>
      <c r="F11" s="45"/>
      <c r="G11" s="46"/>
      <c r="H11" s="46"/>
      <c r="I11" s="47"/>
      <c r="J11" s="47">
        <f>SUM($J$12)</f>
        <v>0</v>
      </c>
      <c r="K11" s="48"/>
      <c r="L11" s="48"/>
    </row>
    <row r="12" spans="1:19" outlineLevel="3" x14ac:dyDescent="0.25">
      <c r="A12" s="41" t="s">
        <v>18</v>
      </c>
      <c r="B12" s="42" t="s">
        <v>17</v>
      </c>
      <c r="C12" s="43"/>
      <c r="D12" s="43"/>
      <c r="E12" s="44"/>
      <c r="F12" s="45"/>
      <c r="G12" s="46"/>
      <c r="H12" s="46"/>
      <c r="I12" s="47"/>
      <c r="J12" s="47">
        <f>SUM($J$29,$J$27,$J$25,$J$23,$J$21,$J$19,$J$17,$J$15,$J$13)</f>
        <v>0</v>
      </c>
      <c r="K12" s="48"/>
      <c r="L12" s="48"/>
    </row>
    <row r="13" spans="1:19" outlineLevel="4" x14ac:dyDescent="0.25">
      <c r="A13" s="49"/>
      <c r="B13" s="42" t="s">
        <v>19</v>
      </c>
      <c r="C13" s="50"/>
      <c r="D13" s="50"/>
      <c r="E13" s="50"/>
      <c r="F13" s="50"/>
      <c r="G13" s="50"/>
      <c r="H13" s="50"/>
      <c r="I13" s="51"/>
      <c r="J13" s="52">
        <f>SUM($J$14)</f>
        <v>0</v>
      </c>
      <c r="K13" s="46"/>
      <c r="L13" s="53"/>
    </row>
    <row r="14" spans="1:19" outlineLevel="4" x14ac:dyDescent="0.25">
      <c r="A14" s="54"/>
      <c r="B14" s="55" t="s">
        <v>20</v>
      </c>
      <c r="C14" s="56"/>
      <c r="D14" s="56"/>
      <c r="E14" s="57" t="s">
        <v>21</v>
      </c>
      <c r="F14" s="58"/>
      <c r="G14" s="59">
        <v>3901</v>
      </c>
      <c r="H14" s="59">
        <f>SUM($G$14:$G$14)</f>
        <v>3901</v>
      </c>
      <c r="I14" s="60">
        <f t="array" ref="I14">INDEX(Р[Цена за ед., руб],MATCH(1,IF(($B14=Р[Наименование])*($K14=Р[Примечание]),{1},($B14=Р[Наименование])*($K14=Р[Примечание])),0))</f>
        <v>0</v>
      </c>
      <c r="J14" s="60">
        <f>ROUND($H$14*$I$14,2)</f>
        <v>0</v>
      </c>
      <c r="K14" s="56"/>
      <c r="L14" s="56"/>
    </row>
    <row r="15" spans="1:19" outlineLevel="4" x14ac:dyDescent="0.25">
      <c r="A15" s="49"/>
      <c r="B15" s="42" t="s">
        <v>22</v>
      </c>
      <c r="C15" s="50"/>
      <c r="D15" s="50"/>
      <c r="E15" s="50"/>
      <c r="F15" s="50"/>
      <c r="G15" s="50"/>
      <c r="H15" s="50"/>
      <c r="I15" s="51"/>
      <c r="J15" s="52">
        <f>SUM($J$16)</f>
        <v>0</v>
      </c>
      <c r="K15" s="46"/>
      <c r="L15" s="53"/>
    </row>
    <row r="16" spans="1:19" outlineLevel="4" x14ac:dyDescent="0.25">
      <c r="A16" s="54" t="s">
        <v>23</v>
      </c>
      <c r="B16" s="55" t="s">
        <v>24</v>
      </c>
      <c r="C16" s="56"/>
      <c r="D16" s="56" t="s">
        <v>25</v>
      </c>
      <c r="E16" s="57" t="s">
        <v>21</v>
      </c>
      <c r="F16" s="58"/>
      <c r="G16" s="59">
        <v>3901</v>
      </c>
      <c r="H16" s="59">
        <f>SUM($G$16:$G$16)</f>
        <v>3901</v>
      </c>
      <c r="I16" s="60">
        <f t="array" ref="I16">INDEX(М[Цена за ед., руб],MATCH(1,IF(($B16=М[Наим.])*($C16=М[Артикул, марка, произв.])*($D16=М[Хар-ка])*($K16=М[Прим.]),{1},($B16=М[Наим.])*($C16=М[Артикул, марка, произв.])*($D16=М[Хар-ка])*($K16=М[Прим.])),0))</f>
        <v>0</v>
      </c>
      <c r="J16" s="60">
        <f>ROUND($H$16*$I$16,2)</f>
        <v>0</v>
      </c>
      <c r="K16" s="56"/>
      <c r="L16" s="56">
        <f t="array" ref="L16">INDEX(М[Форма закупа],MATCH(1,IF(($B16=М[Наим.])*($C16=М[Артикул, марка, произв.])*($D16=М[Хар-ка])*($K16=М[Прим.]),{1},($B16=М[Наим.])*($C16=М[Артикул, марка, произв.])*($D16=М[Хар-ка])*($K16=М[Прим.])),0))</f>
        <v>0</v>
      </c>
    </row>
    <row r="17" spans="1:12" outlineLevel="4" x14ac:dyDescent="0.25">
      <c r="A17" s="49"/>
      <c r="B17" s="42" t="s">
        <v>19</v>
      </c>
      <c r="C17" s="50"/>
      <c r="D17" s="50"/>
      <c r="E17" s="50"/>
      <c r="F17" s="50"/>
      <c r="G17" s="50"/>
      <c r="H17" s="50"/>
      <c r="I17" s="51"/>
      <c r="J17" s="52">
        <f>SUM($J$18)</f>
        <v>0</v>
      </c>
      <c r="K17" s="46"/>
      <c r="L17" s="53"/>
    </row>
    <row r="18" spans="1:12" outlineLevel="4" x14ac:dyDescent="0.25">
      <c r="A18" s="54"/>
      <c r="B18" s="55" t="s">
        <v>26</v>
      </c>
      <c r="C18" s="56"/>
      <c r="D18" s="56"/>
      <c r="E18" s="57" t="s">
        <v>21</v>
      </c>
      <c r="F18" s="58"/>
      <c r="G18" s="61">
        <v>30</v>
      </c>
      <c r="H18" s="61">
        <f>SUM($G$18:$G$18)</f>
        <v>30</v>
      </c>
      <c r="I18" s="60">
        <f t="array" ref="I18">INDEX(Р[Цена за ед., руб],MATCH(1,IF(($B18=Р[Наименование])*($K18=Р[Примечание]),{1},($B18=Р[Наименование])*($K18=Р[Примечание])),0))</f>
        <v>0</v>
      </c>
      <c r="J18" s="60">
        <f>ROUND($H$18*$I$18,2)</f>
        <v>0</v>
      </c>
      <c r="K18" s="56"/>
      <c r="L18" s="56"/>
    </row>
    <row r="19" spans="1:12" outlineLevel="4" x14ac:dyDescent="0.25">
      <c r="A19" s="49"/>
      <c r="B19" s="42" t="s">
        <v>22</v>
      </c>
      <c r="C19" s="50"/>
      <c r="D19" s="50"/>
      <c r="E19" s="50"/>
      <c r="F19" s="50"/>
      <c r="G19" s="50"/>
      <c r="H19" s="50"/>
      <c r="I19" s="51"/>
      <c r="J19" s="52">
        <f>SUM($J$20)</f>
        <v>0</v>
      </c>
      <c r="K19" s="46"/>
      <c r="L19" s="53"/>
    </row>
    <row r="20" spans="1:12" ht="47.25" outlineLevel="4" x14ac:dyDescent="0.25">
      <c r="A20" s="54" t="s">
        <v>23</v>
      </c>
      <c r="B20" s="55" t="s">
        <v>27</v>
      </c>
      <c r="C20" s="56"/>
      <c r="D20" s="56" t="s">
        <v>28</v>
      </c>
      <c r="E20" s="57" t="s">
        <v>29</v>
      </c>
      <c r="F20" s="58"/>
      <c r="G20" s="61">
        <v>2</v>
      </c>
      <c r="H20" s="61">
        <f>SUM($G$20:$G$20)</f>
        <v>2</v>
      </c>
      <c r="I20" s="60">
        <f t="array" ref="I20">INDEX(М[Цена за ед., руб],MATCH(1,IF(($B20=М[Наим.])*($C20=М[Артикул, марка, произв.])*($D20=М[Хар-ка])*($K20=М[Прим.]),{1},($B20=М[Наим.])*($C20=М[Артикул, марка, произв.])*($D20=М[Хар-ка])*($K20=М[Прим.])),0))</f>
        <v>0</v>
      </c>
      <c r="J20" s="60">
        <f>ROUND($H$20*$I$20,2)</f>
        <v>0</v>
      </c>
      <c r="K20" s="56" t="s">
        <v>30</v>
      </c>
      <c r="L20" s="56">
        <f t="array" ref="L20">INDEX(М[Форма закупа],MATCH(1,IF(($B20=М[Наим.])*($C20=М[Артикул, марка, произв.])*($D20=М[Хар-ка])*($K20=М[Прим.]),{1},($B20=М[Наим.])*($C20=М[Артикул, марка, произв.])*($D20=М[Хар-ка])*($K20=М[Прим.])),0))</f>
        <v>0</v>
      </c>
    </row>
    <row r="21" spans="1:12" outlineLevel="4" x14ac:dyDescent="0.25">
      <c r="A21" s="49"/>
      <c r="B21" s="42" t="s">
        <v>19</v>
      </c>
      <c r="C21" s="50"/>
      <c r="D21" s="50"/>
      <c r="E21" s="50"/>
      <c r="F21" s="50"/>
      <c r="G21" s="50"/>
      <c r="H21" s="50"/>
      <c r="I21" s="51"/>
      <c r="J21" s="52">
        <f>SUM($J$22)</f>
        <v>0</v>
      </c>
      <c r="K21" s="46"/>
      <c r="L21" s="53"/>
    </row>
    <row r="22" spans="1:12" outlineLevel="4" x14ac:dyDescent="0.25">
      <c r="A22" s="54"/>
      <c r="B22" s="55" t="s">
        <v>31</v>
      </c>
      <c r="C22" s="56"/>
      <c r="D22" s="56"/>
      <c r="E22" s="57" t="s">
        <v>21</v>
      </c>
      <c r="F22" s="58"/>
      <c r="G22" s="59">
        <v>3901</v>
      </c>
      <c r="H22" s="59">
        <f>SUM($G$22:$G$22)</f>
        <v>3901</v>
      </c>
      <c r="I22" s="60">
        <f t="array" ref="I22">INDEX(Р[Цена за ед., руб],MATCH(1,IF(($B22=Р[Наименование])*($K22=Р[Примечание]),{1},($B22=Р[Наименование])*($K22=Р[Примечание])),0))</f>
        <v>0</v>
      </c>
      <c r="J22" s="60">
        <f>ROUND($H$22*$I$22,2)</f>
        <v>0</v>
      </c>
      <c r="K22" s="56"/>
      <c r="L22" s="56"/>
    </row>
    <row r="23" spans="1:12" outlineLevel="4" x14ac:dyDescent="0.25">
      <c r="A23" s="49"/>
      <c r="B23" s="42" t="s">
        <v>22</v>
      </c>
      <c r="C23" s="50"/>
      <c r="D23" s="50"/>
      <c r="E23" s="50"/>
      <c r="F23" s="50"/>
      <c r="G23" s="50"/>
      <c r="H23" s="50"/>
      <c r="I23" s="51"/>
      <c r="J23" s="52">
        <f>SUM($J$24)</f>
        <v>0</v>
      </c>
      <c r="K23" s="46"/>
      <c r="L23" s="53"/>
    </row>
    <row r="24" spans="1:12" ht="31.5" outlineLevel="4" x14ac:dyDescent="0.25">
      <c r="A24" s="54" t="s">
        <v>23</v>
      </c>
      <c r="B24" s="55" t="s">
        <v>32</v>
      </c>
      <c r="C24" s="56"/>
      <c r="D24" s="56" t="s">
        <v>33</v>
      </c>
      <c r="E24" s="57" t="s">
        <v>34</v>
      </c>
      <c r="F24" s="58"/>
      <c r="G24" s="59">
        <v>3901</v>
      </c>
      <c r="H24" s="59">
        <f>SUM($G$24:$G$24)</f>
        <v>3901</v>
      </c>
      <c r="I24" s="60">
        <f t="array" ref="I24">INDEX(М[Цена за ед., руб],MATCH(1,IF(($B24=М[Наим.])*($C24=М[Артикул, марка, произв.])*($D24=М[Хар-ка])*($K24=М[Прим.]),{1},($B24=М[Наим.])*($C24=М[Артикул, марка, произв.])*($D24=М[Хар-ка])*($K24=М[Прим.])),0))</f>
        <v>0</v>
      </c>
      <c r="J24" s="60">
        <f>ROUND($H$24*$I$24,2)</f>
        <v>0</v>
      </c>
      <c r="K24" s="56"/>
      <c r="L24" s="56">
        <f t="array" ref="L24">INDEX(М[Форма закупа],MATCH(1,IF(($B24=М[Наим.])*($C24=М[Артикул, марка, произв.])*($D24=М[Хар-ка])*($K24=М[Прим.]),{1},($B24=М[Наим.])*($C24=М[Артикул, марка, произв.])*($D24=М[Хар-ка])*($K24=М[Прим.])),0))</f>
        <v>0</v>
      </c>
    </row>
    <row r="25" spans="1:12" outlineLevel="4" x14ac:dyDescent="0.25">
      <c r="A25" s="49"/>
      <c r="B25" s="42" t="s">
        <v>19</v>
      </c>
      <c r="C25" s="50"/>
      <c r="D25" s="50"/>
      <c r="E25" s="50"/>
      <c r="F25" s="50"/>
      <c r="G25" s="50"/>
      <c r="H25" s="50"/>
      <c r="I25" s="51"/>
      <c r="J25" s="52">
        <f>SUM($J$26)</f>
        <v>0</v>
      </c>
      <c r="K25" s="46"/>
      <c r="L25" s="53"/>
    </row>
    <row r="26" spans="1:12" outlineLevel="4" x14ac:dyDescent="0.25">
      <c r="A26" s="54"/>
      <c r="B26" s="55" t="s">
        <v>35</v>
      </c>
      <c r="C26" s="56"/>
      <c r="D26" s="56"/>
      <c r="E26" s="57" t="s">
        <v>21</v>
      </c>
      <c r="F26" s="58"/>
      <c r="G26" s="61">
        <v>2</v>
      </c>
      <c r="H26" s="61">
        <f>SUM($G$26:$G$26)</f>
        <v>2</v>
      </c>
      <c r="I26" s="60">
        <f t="array" ref="I26">INDEX(Р[Цена за ед., руб],MATCH(1,IF(($B26=Р[Наименование])*($K26=Р[Примечание]),{1},($B26=Р[Наименование])*($K26=Р[Примечание])),0))</f>
        <v>0</v>
      </c>
      <c r="J26" s="60">
        <f>ROUND($H$26*$I$26,2)</f>
        <v>0</v>
      </c>
      <c r="K26" s="56"/>
      <c r="L26" s="56"/>
    </row>
    <row r="27" spans="1:12" outlineLevel="4" x14ac:dyDescent="0.25">
      <c r="A27" s="49"/>
      <c r="B27" s="42" t="s">
        <v>22</v>
      </c>
      <c r="C27" s="50"/>
      <c r="D27" s="50"/>
      <c r="E27" s="50"/>
      <c r="F27" s="50"/>
      <c r="G27" s="50"/>
      <c r="H27" s="50"/>
      <c r="I27" s="51"/>
      <c r="J27" s="52">
        <f>SUM($J$28)</f>
        <v>0</v>
      </c>
      <c r="K27" s="46"/>
      <c r="L27" s="53"/>
    </row>
    <row r="28" spans="1:12" outlineLevel="4" x14ac:dyDescent="0.25">
      <c r="A28" s="54" t="s">
        <v>23</v>
      </c>
      <c r="B28" s="55" t="s">
        <v>36</v>
      </c>
      <c r="C28" s="56"/>
      <c r="D28" s="56" t="s">
        <v>37</v>
      </c>
      <c r="E28" s="57" t="s">
        <v>34</v>
      </c>
      <c r="F28" s="58"/>
      <c r="G28" s="61">
        <v>2</v>
      </c>
      <c r="H28" s="61">
        <f>SUM($G$28:$G$28)</f>
        <v>2</v>
      </c>
      <c r="I28" s="60">
        <f t="array" ref="I28">INDEX(М[Цена за ед., руб],MATCH(1,IF(($B28=М[Наим.])*($C28=М[Артикул, марка, произв.])*($D28=М[Хар-ка])*($K28=М[Прим.]),{1},($B28=М[Наим.])*($C28=М[Артикул, марка, произв.])*($D28=М[Хар-ка])*($K28=М[Прим.])),0))</f>
        <v>0</v>
      </c>
      <c r="J28" s="60">
        <f>ROUND($H$28*$I$28,2)</f>
        <v>0</v>
      </c>
      <c r="K28" s="56"/>
      <c r="L28" s="56">
        <f t="array" ref="L28">INDEX(М[Форма закупа],MATCH(1,IF(($B28=М[Наим.])*($C28=М[Артикул, марка, произв.])*($D28=М[Хар-ка])*($K28=М[Прим.]),{1},($B28=М[Наим.])*($C28=М[Артикул, марка, произв.])*($D28=М[Хар-ка])*($K28=М[Прим.])),0))</f>
        <v>0</v>
      </c>
    </row>
    <row r="29" spans="1:12" outlineLevel="4" x14ac:dyDescent="0.25">
      <c r="A29" s="49"/>
      <c r="B29" s="42" t="s">
        <v>22</v>
      </c>
      <c r="C29" s="50"/>
      <c r="D29" s="50"/>
      <c r="E29" s="50"/>
      <c r="F29" s="50"/>
      <c r="G29" s="50"/>
      <c r="H29" s="50"/>
      <c r="I29" s="51"/>
      <c r="J29" s="52">
        <f>SUM($J$30)</f>
        <v>0</v>
      </c>
      <c r="K29" s="46"/>
      <c r="L29" s="53"/>
    </row>
    <row r="30" spans="1:12" ht="31.5" outlineLevel="4" x14ac:dyDescent="0.25">
      <c r="A30" s="54" t="s">
        <v>23</v>
      </c>
      <c r="B30" s="71" t="s">
        <v>85</v>
      </c>
      <c r="C30" s="56"/>
      <c r="D30" s="56"/>
      <c r="E30" s="72" t="s">
        <v>38</v>
      </c>
      <c r="F30" s="58"/>
      <c r="G30" s="58"/>
      <c r="H30" s="73">
        <f>Материалы!E11</f>
        <v>0</v>
      </c>
      <c r="I30" s="74"/>
      <c r="J30" s="74">
        <f>ROUND(SUM(J16,J20,J24,J28)*H30%,3)</f>
        <v>0</v>
      </c>
      <c r="K30" s="56"/>
      <c r="L30" s="56">
        <f t="array" ref="L30">INDEX(М[Форма закупа],MATCH(1,IF(($B30=М[Наим.])*($C30=М[Артикул, марка, произв.])*($D30=М[Хар-ка])*($K30=М[Прим.]),{1},($B30=М[Наим.])*($C30=М[Артикул, марка, произв.])*($D30=М[Хар-ка])*($K30=М[Прим.])),0))</f>
        <v>0</v>
      </c>
    </row>
    <row r="31" spans="1:12" outlineLevel="2" x14ac:dyDescent="0.25">
      <c r="A31" s="41" t="s">
        <v>40</v>
      </c>
      <c r="B31" s="42" t="s">
        <v>41</v>
      </c>
      <c r="C31" s="43"/>
      <c r="D31" s="43"/>
      <c r="E31" s="44"/>
      <c r="F31" s="45"/>
      <c r="G31" s="46"/>
      <c r="H31" s="46"/>
      <c r="I31" s="47"/>
      <c r="J31" s="47">
        <f>SUM($J$32)</f>
        <v>0</v>
      </c>
      <c r="K31" s="48"/>
      <c r="L31" s="48"/>
    </row>
    <row r="32" spans="1:12" outlineLevel="3" x14ac:dyDescent="0.25">
      <c r="A32" s="41" t="s">
        <v>42</v>
      </c>
      <c r="B32" s="42" t="s">
        <v>41</v>
      </c>
      <c r="C32" s="43"/>
      <c r="D32" s="43"/>
      <c r="E32" s="44"/>
      <c r="F32" s="45"/>
      <c r="G32" s="46"/>
      <c r="H32" s="46"/>
      <c r="I32" s="47"/>
      <c r="J32" s="47">
        <f>SUM($J$45,$J$43,$J$41,$J$39,$J$37,$J$35,$J$33)</f>
        <v>0</v>
      </c>
      <c r="K32" s="48"/>
      <c r="L32" s="48"/>
    </row>
    <row r="33" spans="1:12" outlineLevel="4" x14ac:dyDescent="0.25">
      <c r="A33" s="49"/>
      <c r="B33" s="42" t="s">
        <v>19</v>
      </c>
      <c r="C33" s="50"/>
      <c r="D33" s="50"/>
      <c r="E33" s="50"/>
      <c r="F33" s="50"/>
      <c r="G33" s="50"/>
      <c r="H33" s="50"/>
      <c r="I33" s="51"/>
      <c r="J33" s="52">
        <f>SUM($J$34)</f>
        <v>0</v>
      </c>
      <c r="K33" s="46"/>
      <c r="L33" s="53"/>
    </row>
    <row r="34" spans="1:12" outlineLevel="4" x14ac:dyDescent="0.25">
      <c r="A34" s="54"/>
      <c r="B34" s="55" t="s">
        <v>43</v>
      </c>
      <c r="C34" s="56"/>
      <c r="D34" s="56"/>
      <c r="E34" s="57" t="s">
        <v>29</v>
      </c>
      <c r="F34" s="58"/>
      <c r="G34" s="61">
        <v>39</v>
      </c>
      <c r="H34" s="61">
        <f>SUM($G$34:$G$34)</f>
        <v>39</v>
      </c>
      <c r="I34" s="60">
        <f t="array" ref="I34">INDEX(Р[Цена за ед., руб],MATCH(1,IF(($B34=Р[Наименование])*($K34=Р[Примечание]),{1},($B34=Р[Наименование])*($K34=Р[Примечание])),0))</f>
        <v>0</v>
      </c>
      <c r="J34" s="60">
        <f>ROUND($H$34*$I$34,2)</f>
        <v>0</v>
      </c>
      <c r="K34" s="56"/>
      <c r="L34" s="56"/>
    </row>
    <row r="35" spans="1:12" outlineLevel="4" x14ac:dyDescent="0.25">
      <c r="A35" s="49"/>
      <c r="B35" s="42" t="s">
        <v>22</v>
      </c>
      <c r="C35" s="50"/>
      <c r="D35" s="50"/>
      <c r="E35" s="50"/>
      <c r="F35" s="50"/>
      <c r="G35" s="50"/>
      <c r="H35" s="50"/>
      <c r="I35" s="51"/>
      <c r="J35" s="52">
        <f>SUM($J$36)</f>
        <v>0</v>
      </c>
      <c r="K35" s="46"/>
      <c r="L35" s="53"/>
    </row>
    <row r="36" spans="1:12" ht="31.5" outlineLevel="4" x14ac:dyDescent="0.25">
      <c r="A36" s="54" t="s">
        <v>23</v>
      </c>
      <c r="B36" s="55" t="s">
        <v>44</v>
      </c>
      <c r="C36" s="56"/>
      <c r="D36" s="56" t="s">
        <v>45</v>
      </c>
      <c r="E36" s="57" t="s">
        <v>29</v>
      </c>
      <c r="F36" s="58"/>
      <c r="G36" s="61">
        <v>39</v>
      </c>
      <c r="H36" s="61">
        <f>SUM($G$36:$G$36)</f>
        <v>39</v>
      </c>
      <c r="I36" s="60">
        <f t="array" ref="I36">INDEX(М[Цена за ед., руб],MATCH(1,IF(($B36=М[Наим.])*($C36=М[Артикул, марка, произв.])*($D36=М[Хар-ка])*($K36=М[Прим.]),{1},($B36=М[Наим.])*($C36=М[Артикул, марка, произв.])*($D36=М[Хар-ка])*($K36=М[Прим.])),0))</f>
        <v>0</v>
      </c>
      <c r="J36" s="60">
        <f>ROUND($H$36*$I$36,2)</f>
        <v>0</v>
      </c>
      <c r="K36" s="56" t="s">
        <v>46</v>
      </c>
      <c r="L36" s="56">
        <f t="array" ref="L36">INDEX(М[Форма закупа],MATCH(1,IF(($B36=М[Наим.])*($C36=М[Артикул, марка, произв.])*($D36=М[Хар-ка])*($K36=М[Прим.]),{1},($B36=М[Наим.])*($C36=М[Артикул, марка, произв.])*($D36=М[Хар-ка])*($K36=М[Прим.])),0))</f>
        <v>0</v>
      </c>
    </row>
    <row r="37" spans="1:12" outlineLevel="4" x14ac:dyDescent="0.25">
      <c r="A37" s="49"/>
      <c r="B37" s="42" t="s">
        <v>19</v>
      </c>
      <c r="C37" s="50"/>
      <c r="D37" s="50"/>
      <c r="E37" s="50"/>
      <c r="F37" s="50"/>
      <c r="G37" s="50"/>
      <c r="H37" s="50"/>
      <c r="I37" s="51"/>
      <c r="J37" s="52">
        <f>SUM($J$38)</f>
        <v>0</v>
      </c>
      <c r="K37" s="46"/>
      <c r="L37" s="53"/>
    </row>
    <row r="38" spans="1:12" outlineLevel="4" x14ac:dyDescent="0.25">
      <c r="A38" s="54"/>
      <c r="B38" s="55" t="s">
        <v>47</v>
      </c>
      <c r="C38" s="56"/>
      <c r="D38" s="56"/>
      <c r="E38" s="57" t="s">
        <v>29</v>
      </c>
      <c r="F38" s="58"/>
      <c r="G38" s="61">
        <v>17</v>
      </c>
      <c r="H38" s="61">
        <f>SUM($G$38:$G$38)</f>
        <v>17</v>
      </c>
      <c r="I38" s="60">
        <f t="array" ref="I38">INDEX(Р[Цена за ед., руб],MATCH(1,IF(($B38=Р[Наименование])*($K38=Р[Примечание]),{1},($B38=Р[Наименование])*($K38=Р[Примечание])),0))</f>
        <v>0</v>
      </c>
      <c r="J38" s="60">
        <f>ROUND($H$38*$I$38,2)</f>
        <v>0</v>
      </c>
      <c r="K38" s="56"/>
      <c r="L38" s="56"/>
    </row>
    <row r="39" spans="1:12" outlineLevel="4" x14ac:dyDescent="0.25">
      <c r="A39" s="49"/>
      <c r="B39" s="42" t="s">
        <v>22</v>
      </c>
      <c r="C39" s="50"/>
      <c r="D39" s="50"/>
      <c r="E39" s="50"/>
      <c r="F39" s="50"/>
      <c r="G39" s="50"/>
      <c r="H39" s="50"/>
      <c r="I39" s="51"/>
      <c r="J39" s="52">
        <f>SUM($J$40)</f>
        <v>0</v>
      </c>
      <c r="K39" s="46"/>
      <c r="L39" s="53"/>
    </row>
    <row r="40" spans="1:12" outlineLevel="4" x14ac:dyDescent="0.25">
      <c r="A40" s="54" t="s">
        <v>23</v>
      </c>
      <c r="B40" s="55" t="s">
        <v>48</v>
      </c>
      <c r="C40" s="56"/>
      <c r="D40" s="56" t="s">
        <v>49</v>
      </c>
      <c r="E40" s="57" t="s">
        <v>29</v>
      </c>
      <c r="F40" s="58"/>
      <c r="G40" s="61">
        <v>17</v>
      </c>
      <c r="H40" s="61">
        <f>SUM($G$40:$G$40)</f>
        <v>17</v>
      </c>
      <c r="I40" s="60">
        <f t="array" ref="I40">INDEX(М[Цена за ед., руб],MATCH(1,IF(($B40=М[Наим.])*($C40=М[Артикул, марка, произв.])*($D40=М[Хар-ка])*($K40=М[Прим.]),{1},($B40=М[Наим.])*($C40=М[Артикул, марка, произв.])*($D40=М[Хар-ка])*($K40=М[Прим.])),0))</f>
        <v>0</v>
      </c>
      <c r="J40" s="60">
        <f>ROUND($H$40*$I$40,2)</f>
        <v>0</v>
      </c>
      <c r="K40" s="56" t="s">
        <v>50</v>
      </c>
      <c r="L40" s="56">
        <f t="array" ref="L40">INDEX(М[Форма закупа],MATCH(1,IF(($B40=М[Наим.])*($C40=М[Артикул, марка, произв.])*($D40=М[Хар-ка])*($K40=М[Прим.]),{1},($B40=М[Наим.])*($C40=М[Артикул, марка, произв.])*($D40=М[Хар-ка])*($K40=М[Прим.])),0))</f>
        <v>0</v>
      </c>
    </row>
    <row r="41" spans="1:12" outlineLevel="4" x14ac:dyDescent="0.25">
      <c r="A41" s="49"/>
      <c r="B41" s="42" t="s">
        <v>19</v>
      </c>
      <c r="C41" s="50"/>
      <c r="D41" s="50"/>
      <c r="E41" s="50"/>
      <c r="F41" s="50"/>
      <c r="G41" s="50"/>
      <c r="H41" s="50"/>
      <c r="I41" s="51"/>
      <c r="J41" s="52">
        <f>SUM($J$42)</f>
        <v>0</v>
      </c>
      <c r="K41" s="46"/>
      <c r="L41" s="53"/>
    </row>
    <row r="42" spans="1:12" outlineLevel="4" x14ac:dyDescent="0.25">
      <c r="A42" s="54"/>
      <c r="B42" s="55" t="s">
        <v>51</v>
      </c>
      <c r="C42" s="56"/>
      <c r="D42" s="56"/>
      <c r="E42" s="57" t="s">
        <v>29</v>
      </c>
      <c r="F42" s="58"/>
      <c r="G42" s="61">
        <v>2</v>
      </c>
      <c r="H42" s="61">
        <f>SUM($G$42:$G$42)</f>
        <v>2</v>
      </c>
      <c r="I42" s="60">
        <f t="array" ref="I42">INDEX(Р[Цена за ед., руб],MATCH(1,IF(($B42=Р[Наименование])*($K42=Р[Примечание]),{1},($B42=Р[Наименование])*($K42=Р[Примечание])),0))</f>
        <v>0</v>
      </c>
      <c r="J42" s="60">
        <f>ROUND($H$42*$I$42,2)</f>
        <v>0</v>
      </c>
      <c r="K42" s="56"/>
      <c r="L42" s="56"/>
    </row>
    <row r="43" spans="1:12" outlineLevel="4" x14ac:dyDescent="0.25">
      <c r="A43" s="49"/>
      <c r="B43" s="42" t="s">
        <v>22</v>
      </c>
      <c r="C43" s="50"/>
      <c r="D43" s="50"/>
      <c r="E43" s="50"/>
      <c r="F43" s="50"/>
      <c r="G43" s="50"/>
      <c r="H43" s="50"/>
      <c r="I43" s="51"/>
      <c r="J43" s="52">
        <f>SUM($J$44)</f>
        <v>0</v>
      </c>
      <c r="K43" s="46"/>
      <c r="L43" s="53"/>
    </row>
    <row r="44" spans="1:12" ht="330.75" outlineLevel="4" x14ac:dyDescent="0.25">
      <c r="A44" s="54" t="s">
        <v>23</v>
      </c>
      <c r="B44" s="55" t="s">
        <v>52</v>
      </c>
      <c r="C44" s="56"/>
      <c r="D44" s="56" t="s">
        <v>53</v>
      </c>
      <c r="E44" s="57" t="s">
        <v>29</v>
      </c>
      <c r="F44" s="58"/>
      <c r="G44" s="61">
        <v>2</v>
      </c>
      <c r="H44" s="61">
        <f>SUM($G$44:$G$44)</f>
        <v>2</v>
      </c>
      <c r="I44" s="60">
        <f t="array" ref="I44">INDEX(М[Цена за ед., руб],MATCH(1,IF(($B44=М[Наим.])*($C44=М[Артикул, марка, произв.])*($D44=М[Хар-ка])*($K44=М[Прим.]),{1},($B44=М[Наим.])*($C44=М[Артикул, марка, произв.])*($D44=М[Хар-ка])*($K44=М[Прим.])),0))</f>
        <v>0</v>
      </c>
      <c r="J44" s="60">
        <f>ROUND($H$44*$I$44,2)</f>
        <v>0</v>
      </c>
      <c r="K44" s="56" t="s">
        <v>54</v>
      </c>
      <c r="L44" s="56">
        <f t="array" ref="L44">INDEX(М[Форма закупа],MATCH(1,IF(($B44=М[Наим.])*($C44=М[Артикул, марка, произв.])*($D44=М[Хар-ка])*($K44=М[Прим.]),{1},($B44=М[Наим.])*($C44=М[Артикул, марка, произв.])*($D44=М[Хар-ка])*($K44=М[Прим.])),0))</f>
        <v>0</v>
      </c>
    </row>
    <row r="45" spans="1:12" outlineLevel="4" x14ac:dyDescent="0.25">
      <c r="A45" s="49"/>
      <c r="B45" s="42" t="s">
        <v>22</v>
      </c>
      <c r="C45" s="50"/>
      <c r="D45" s="50"/>
      <c r="E45" s="50"/>
      <c r="F45" s="50"/>
      <c r="G45" s="50"/>
      <c r="H45" s="50"/>
      <c r="I45" s="51"/>
      <c r="J45" s="52">
        <f>SUM($J$46)</f>
        <v>0</v>
      </c>
      <c r="K45" s="46"/>
      <c r="L45" s="53"/>
    </row>
    <row r="46" spans="1:12" ht="31.5" outlineLevel="4" x14ac:dyDescent="0.25">
      <c r="A46" s="54" t="s">
        <v>23</v>
      </c>
      <c r="B46" s="71" t="s">
        <v>84</v>
      </c>
      <c r="C46" s="56"/>
      <c r="D46" s="56"/>
      <c r="E46" s="72" t="s">
        <v>38</v>
      </c>
      <c r="F46" s="58"/>
      <c r="G46" s="58"/>
      <c r="H46" s="73">
        <f>Материалы!E12</f>
        <v>0</v>
      </c>
      <c r="I46" s="74"/>
      <c r="J46" s="74">
        <f>ROUND(SUM(J36,J40,J44)*H46%,3)</f>
        <v>0</v>
      </c>
      <c r="K46" s="56"/>
      <c r="L46" s="56" t="s">
        <v>39</v>
      </c>
    </row>
    <row r="47" spans="1:12" outlineLevel="2" x14ac:dyDescent="0.25">
      <c r="A47" s="41" t="s">
        <v>55</v>
      </c>
      <c r="B47" s="42" t="s">
        <v>56</v>
      </c>
      <c r="C47" s="43"/>
      <c r="D47" s="43"/>
      <c r="E47" s="44"/>
      <c r="F47" s="45"/>
      <c r="G47" s="46"/>
      <c r="H47" s="46"/>
      <c r="I47" s="47"/>
      <c r="J47" s="47">
        <f>SUM($J$48)</f>
        <v>0</v>
      </c>
      <c r="K47" s="48"/>
      <c r="L47" s="48"/>
    </row>
    <row r="48" spans="1:12" outlineLevel="3" x14ac:dyDescent="0.25">
      <c r="A48" s="41" t="s">
        <v>57</v>
      </c>
      <c r="B48" s="42" t="s">
        <v>56</v>
      </c>
      <c r="C48" s="43"/>
      <c r="D48" s="43"/>
      <c r="E48" s="44"/>
      <c r="F48" s="45"/>
      <c r="G48" s="46"/>
      <c r="H48" s="46"/>
      <c r="I48" s="47"/>
      <c r="J48" s="47">
        <f>SUM($J$49)</f>
        <v>0</v>
      </c>
      <c r="K48" s="48"/>
      <c r="L48" s="48"/>
    </row>
    <row r="49" spans="1:12" outlineLevel="4" x14ac:dyDescent="0.25">
      <c r="A49" s="49"/>
      <c r="B49" s="42" t="s">
        <v>19</v>
      </c>
      <c r="C49" s="50"/>
      <c r="D49" s="50"/>
      <c r="E49" s="50"/>
      <c r="F49" s="50"/>
      <c r="G49" s="50"/>
      <c r="H49" s="50"/>
      <c r="I49" s="51"/>
      <c r="J49" s="52">
        <f>SUM($J$50)</f>
        <v>0</v>
      </c>
      <c r="K49" s="46"/>
      <c r="L49" s="53"/>
    </row>
    <row r="50" spans="1:12" outlineLevel="4" x14ac:dyDescent="0.25">
      <c r="A50" s="54"/>
      <c r="B50" s="55" t="s">
        <v>58</v>
      </c>
      <c r="C50" s="56"/>
      <c r="D50" s="56"/>
      <c r="E50" s="57" t="s">
        <v>59</v>
      </c>
      <c r="F50" s="58"/>
      <c r="G50" s="61">
        <v>1</v>
      </c>
      <c r="H50" s="61">
        <f>SUM($G$50:$G$50)</f>
        <v>1</v>
      </c>
      <c r="I50" s="60">
        <f t="array" ref="I50">INDEX(Р[Цена за ед., руб],MATCH(1,IF(($B50=Р[Наименование])*($K50=Р[Примечание]),{1},($B50=Р[Наименование])*($K50=Р[Примечание])),0))</f>
        <v>0</v>
      </c>
      <c r="J50" s="60">
        <f>ROUND($H$50*$I$50,2)</f>
        <v>0</v>
      </c>
      <c r="K50" s="56"/>
      <c r="L50" s="56"/>
    </row>
    <row r="51" spans="1:12" x14ac:dyDescent="0.25">
      <c r="A51" s="62"/>
      <c r="B51" s="134" t="s">
        <v>60</v>
      </c>
      <c r="C51" s="135"/>
      <c r="D51" s="135"/>
      <c r="E51" s="135"/>
      <c r="F51" s="135"/>
      <c r="G51" s="135"/>
      <c r="H51" s="135"/>
      <c r="I51" s="136"/>
      <c r="J51" s="63">
        <f>$J$10</f>
        <v>0</v>
      </c>
      <c r="K51" s="64"/>
      <c r="L51" s="64"/>
    </row>
    <row r="52" spans="1:12" x14ac:dyDescent="0.25">
      <c r="A52" s="62"/>
      <c r="B52" s="131" t="s">
        <v>61</v>
      </c>
      <c r="C52" s="132"/>
      <c r="D52" s="132"/>
      <c r="E52" s="132"/>
      <c r="F52" s="132"/>
      <c r="G52" s="132"/>
      <c r="H52" s="132"/>
      <c r="I52" s="133"/>
      <c r="J52" s="63">
        <f>SUM($J$49,$J$41,$J$37,$J$33,$J$25,$J$21,$J$17,$J$13)</f>
        <v>0</v>
      </c>
      <c r="K52" s="64"/>
      <c r="L52" s="64"/>
    </row>
    <row r="53" spans="1:12" x14ac:dyDescent="0.25">
      <c r="A53" s="62"/>
      <c r="B53" s="131" t="s">
        <v>62</v>
      </c>
      <c r="C53" s="132"/>
      <c r="D53" s="132"/>
      <c r="E53" s="132"/>
      <c r="F53" s="132"/>
      <c r="G53" s="132"/>
      <c r="H53" s="132"/>
      <c r="I53" s="133"/>
      <c r="J53" s="63">
        <f>SUM($J$45,$J$43,$J$39,$J$35,$J$29,$J$27,$J$23,$J$19,$J$15)</f>
        <v>0</v>
      </c>
      <c r="K53" s="64"/>
      <c r="L53" s="64"/>
    </row>
    <row r="54" spans="1:12" x14ac:dyDescent="0.25">
      <c r="A54" s="62"/>
      <c r="B54" s="128" t="s">
        <v>86</v>
      </c>
      <c r="C54" s="129"/>
      <c r="D54" s="129"/>
      <c r="E54" s="129"/>
      <c r="F54" s="129"/>
      <c r="G54" s="129"/>
      <c r="H54" s="129"/>
      <c r="I54" s="130"/>
      <c r="J54" s="77"/>
      <c r="K54" s="78" t="s">
        <v>87</v>
      </c>
      <c r="L54" s="64"/>
    </row>
    <row r="55" spans="1:12" x14ac:dyDescent="0.25">
      <c r="A55" s="65"/>
      <c r="B55" s="137" t="s">
        <v>63</v>
      </c>
      <c r="C55" s="137"/>
      <c r="D55" s="137"/>
      <c r="E55" s="137"/>
      <c r="F55" s="137"/>
      <c r="G55" s="137"/>
      <c r="H55" s="137"/>
      <c r="I55" s="138"/>
      <c r="J55" s="138"/>
      <c r="K55" s="137"/>
      <c r="L55" s="65"/>
    </row>
    <row r="56" spans="1:12" x14ac:dyDescent="0.25">
      <c r="B56" s="139"/>
      <c r="C56" s="139"/>
      <c r="D56" s="139"/>
      <c r="E56" s="139"/>
      <c r="F56" s="139"/>
      <c r="G56" s="139"/>
      <c r="H56" s="139"/>
      <c r="I56" s="140"/>
      <c r="J56" s="140"/>
      <c r="K56" s="139"/>
    </row>
    <row r="57" spans="1:12" x14ac:dyDescent="0.25">
      <c r="A57" s="28"/>
      <c r="B57" s="66" t="s">
        <v>77</v>
      </c>
      <c r="C57" s="66"/>
      <c r="D57" s="67"/>
      <c r="E57" s="68"/>
      <c r="F57" s="68"/>
      <c r="G57" s="69"/>
      <c r="H57" s="68"/>
      <c r="I57" s="28"/>
      <c r="J57" s="70"/>
      <c r="K57" s="28"/>
      <c r="L57" s="28"/>
    </row>
    <row r="58" spans="1:12" ht="23.25" customHeight="1" x14ac:dyDescent="0.25">
      <c r="A58" s="21" t="s">
        <v>78</v>
      </c>
      <c r="B58" s="125" t="s">
        <v>79</v>
      </c>
      <c r="C58" s="125"/>
      <c r="D58" s="125"/>
      <c r="E58" s="125"/>
      <c r="F58" s="125"/>
      <c r="G58" s="125"/>
      <c r="H58" s="125"/>
      <c r="I58" s="125"/>
      <c r="J58" s="125"/>
      <c r="K58" s="28"/>
      <c r="L58" s="28"/>
    </row>
    <row r="59" spans="1:12" ht="40.5" customHeight="1" x14ac:dyDescent="0.25">
      <c r="A59" s="21" t="s">
        <v>78</v>
      </c>
      <c r="B59" s="125" t="s">
        <v>80</v>
      </c>
      <c r="C59" s="125"/>
      <c r="D59" s="125"/>
      <c r="E59" s="125"/>
      <c r="F59" s="125"/>
      <c r="G59" s="125"/>
      <c r="H59" s="125"/>
      <c r="I59" s="125"/>
      <c r="J59" s="125"/>
      <c r="K59" s="22"/>
      <c r="L59" s="28"/>
    </row>
    <row r="60" spans="1:12" ht="66" customHeight="1" x14ac:dyDescent="0.25">
      <c r="A60" s="23" t="s">
        <v>78</v>
      </c>
      <c r="B60" s="126" t="s">
        <v>81</v>
      </c>
      <c r="C60" s="126"/>
      <c r="D60" s="126"/>
      <c r="E60" s="126"/>
      <c r="F60" s="126"/>
      <c r="G60" s="126"/>
      <c r="H60" s="126"/>
      <c r="I60" s="126"/>
      <c r="J60" s="126"/>
      <c r="K60" s="24"/>
      <c r="L60" s="28"/>
    </row>
    <row r="61" spans="1:12" x14ac:dyDescent="0.25">
      <c r="A61" s="21" t="s">
        <v>78</v>
      </c>
      <c r="B61" s="127" t="s">
        <v>82</v>
      </c>
      <c r="C61" s="127"/>
      <c r="D61" s="127"/>
      <c r="E61" s="127"/>
      <c r="F61" s="127"/>
      <c r="G61" s="127"/>
      <c r="H61" s="127"/>
      <c r="I61" s="127"/>
      <c r="J61" s="127"/>
      <c r="K61" s="127"/>
      <c r="L61" s="28"/>
    </row>
    <row r="62" spans="1:12" ht="27.75" customHeight="1" x14ac:dyDescent="0.25">
      <c r="A62" s="25" t="s">
        <v>78</v>
      </c>
      <c r="B62" s="26" t="s">
        <v>83</v>
      </c>
      <c r="C62" s="68"/>
      <c r="D62" s="70"/>
      <c r="E62" s="68"/>
      <c r="F62" s="68"/>
      <c r="G62" s="69"/>
      <c r="H62" s="68"/>
      <c r="I62" s="28"/>
      <c r="J62" s="70"/>
      <c r="K62" s="28"/>
      <c r="L62" s="28"/>
    </row>
    <row r="63" spans="1:12" x14ac:dyDescent="0.25">
      <c r="A63" s="28"/>
      <c r="B63" s="68"/>
      <c r="C63" s="68"/>
      <c r="D63" s="70"/>
      <c r="E63" s="68"/>
      <c r="F63" s="68"/>
      <c r="G63" s="69"/>
      <c r="H63" s="68"/>
      <c r="I63" s="28"/>
      <c r="J63" s="70"/>
      <c r="K63" s="28"/>
      <c r="L63" s="28"/>
    </row>
  </sheetData>
  <mergeCells count="25">
    <mergeCell ref="B58:J58"/>
    <mergeCell ref="B59:J59"/>
    <mergeCell ref="B60:J60"/>
    <mergeCell ref="B61:K61"/>
    <mergeCell ref="B4:J4"/>
    <mergeCell ref="B54:I54"/>
    <mergeCell ref="B53:I53"/>
    <mergeCell ref="B52:I52"/>
    <mergeCell ref="B51:I51"/>
    <mergeCell ref="B55:K55"/>
    <mergeCell ref="B56:K56"/>
    <mergeCell ref="K7:K8"/>
    <mergeCell ref="L7:L8"/>
    <mergeCell ref="B3:J3"/>
    <mergeCell ref="B5:J5"/>
    <mergeCell ref="A7:A8"/>
    <mergeCell ref="B7:B8"/>
    <mergeCell ref="C7:C8"/>
    <mergeCell ref="D7:D8"/>
    <mergeCell ref="E7:E8"/>
    <mergeCell ref="F7:F8"/>
    <mergeCell ref="G7:G8"/>
    <mergeCell ref="H7:H8"/>
    <mergeCell ref="I7:I8"/>
    <mergeCell ref="J7:J8"/>
  </mergeCells>
  <pageMargins left="0.39370078740157483" right="0.39370078740157483" top="0.39370078740157483" bottom="0.39370078740157483" header="0" footer="0"/>
  <pageSetup paperSize="9" pageOrder="overThenDown"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outlinePr summaryBelow="0" summaryRight="0"/>
    <pageSetUpPr autoPageBreaks="0"/>
  </sheetPr>
  <dimension ref="A1:J20"/>
  <sheetViews>
    <sheetView workbookViewId="0">
      <pane ySplit="3" topLeftCell="A4" activePane="bottomLeft" state="frozen"/>
      <selection pane="bottomLeft" activeCell="A15" sqref="A15:XFD20"/>
    </sheetView>
  </sheetViews>
  <sheetFormatPr defaultColWidth="10.5" defaultRowHeight="11.25" x14ac:dyDescent="0.2"/>
  <cols>
    <col min="1" max="1" width="57.33203125" style="87" customWidth="1"/>
    <col min="2" max="2" width="10.6640625" style="87" customWidth="1"/>
    <col min="3" max="3" width="14.6640625" style="87" customWidth="1"/>
    <col min="4" max="4" width="18.33203125" style="87" customWidth="1"/>
    <col min="5" max="5" width="17" style="87" customWidth="1"/>
    <col min="6" max="6" width="36.33203125" style="87" customWidth="1"/>
    <col min="7" max="16384" width="10.5" style="83"/>
  </cols>
  <sheetData>
    <row r="1" spans="1:9" x14ac:dyDescent="0.2">
      <c r="A1" s="142" t="s">
        <v>64</v>
      </c>
      <c r="B1" s="142"/>
      <c r="C1" s="142"/>
      <c r="D1" s="142"/>
      <c r="E1" s="142"/>
      <c r="F1" s="142"/>
    </row>
    <row r="3" spans="1:9" x14ac:dyDescent="0.2">
      <c r="A3" s="88" t="s">
        <v>2</v>
      </c>
      <c r="B3" s="89" t="s">
        <v>5</v>
      </c>
      <c r="C3" s="89" t="s">
        <v>7</v>
      </c>
      <c r="D3" s="90" t="s">
        <v>8</v>
      </c>
      <c r="E3" s="90" t="s">
        <v>9</v>
      </c>
      <c r="F3" s="91" t="s">
        <v>10</v>
      </c>
    </row>
    <row r="4" spans="1:9" x14ac:dyDescent="0.2">
      <c r="A4" s="92" t="s">
        <v>20</v>
      </c>
      <c r="B4" s="93" t="s">
        <v>21</v>
      </c>
      <c r="C4" s="94">
        <v>3901</v>
      </c>
      <c r="D4" s="95"/>
      <c r="E4" s="95">
        <f>ROUND(Р[[#This Row],[Количество]]*Р[[#This Row],[Цена за ед., руб]],2)</f>
        <v>0</v>
      </c>
      <c r="F4" s="96"/>
    </row>
    <row r="5" spans="1:9" x14ac:dyDescent="0.2">
      <c r="A5" s="92" t="s">
        <v>26</v>
      </c>
      <c r="B5" s="93" t="s">
        <v>21</v>
      </c>
      <c r="C5" s="97">
        <v>30</v>
      </c>
      <c r="D5" s="95"/>
      <c r="E5" s="95">
        <f>ROUND(Р[[#This Row],[Количество]]*Р[[#This Row],[Цена за ед., руб]],2)</f>
        <v>0</v>
      </c>
      <c r="F5" s="96"/>
    </row>
    <row r="6" spans="1:9" x14ac:dyDescent="0.2">
      <c r="A6" s="92" t="s">
        <v>31</v>
      </c>
      <c r="B6" s="93" t="s">
        <v>21</v>
      </c>
      <c r="C6" s="94">
        <v>3901</v>
      </c>
      <c r="D6" s="95"/>
      <c r="E6" s="95">
        <f>ROUND(Р[[#This Row],[Количество]]*Р[[#This Row],[Цена за ед., руб]],2)</f>
        <v>0</v>
      </c>
      <c r="F6" s="96"/>
    </row>
    <row r="7" spans="1:9" x14ac:dyDescent="0.2">
      <c r="A7" s="92" t="s">
        <v>35</v>
      </c>
      <c r="B7" s="93" t="s">
        <v>21</v>
      </c>
      <c r="C7" s="97">
        <v>2</v>
      </c>
      <c r="D7" s="95"/>
      <c r="E7" s="95">
        <f>ROUND(Р[[#This Row],[Количество]]*Р[[#This Row],[Цена за ед., руб]],2)</f>
        <v>0</v>
      </c>
      <c r="F7" s="96"/>
    </row>
    <row r="8" spans="1:9" x14ac:dyDescent="0.2">
      <c r="A8" s="92" t="s">
        <v>43</v>
      </c>
      <c r="B8" s="93" t="s">
        <v>29</v>
      </c>
      <c r="C8" s="97">
        <v>39</v>
      </c>
      <c r="D8" s="95"/>
      <c r="E8" s="95">
        <f>ROUND(Р[[#This Row],[Количество]]*Р[[#This Row],[Цена за ед., руб]],2)</f>
        <v>0</v>
      </c>
      <c r="F8" s="96"/>
    </row>
    <row r="9" spans="1:9" x14ac:dyDescent="0.2">
      <c r="A9" s="92" t="s">
        <v>47</v>
      </c>
      <c r="B9" s="93" t="s">
        <v>29</v>
      </c>
      <c r="C9" s="97">
        <v>17</v>
      </c>
      <c r="D9" s="95"/>
      <c r="E9" s="95">
        <f>ROUND(Р[[#This Row],[Количество]]*Р[[#This Row],[Цена за ед., руб]],2)</f>
        <v>0</v>
      </c>
      <c r="F9" s="96"/>
    </row>
    <row r="10" spans="1:9" x14ac:dyDescent="0.2">
      <c r="A10" s="92" t="s">
        <v>51</v>
      </c>
      <c r="B10" s="93" t="s">
        <v>29</v>
      </c>
      <c r="C10" s="97">
        <v>2</v>
      </c>
      <c r="D10" s="95"/>
      <c r="E10" s="95">
        <f>ROUND(Р[[#This Row],[Количество]]*Р[[#This Row],[Цена за ед., руб]],2)</f>
        <v>0</v>
      </c>
      <c r="F10" s="96"/>
    </row>
    <row r="11" spans="1:9" x14ac:dyDescent="0.2">
      <c r="A11" s="98" t="s">
        <v>58</v>
      </c>
      <c r="B11" s="99" t="s">
        <v>59</v>
      </c>
      <c r="C11" s="100">
        <v>1</v>
      </c>
      <c r="D11" s="95"/>
      <c r="E11" s="101">
        <f>ROUND(Р[[#This Row],[Количество]]*Р[[#This Row],[Цена за ед., руб]],2)</f>
        <v>0</v>
      </c>
      <c r="F11" s="102"/>
    </row>
    <row r="12" spans="1:9" x14ac:dyDescent="0.2">
      <c r="A12" s="98" t="s">
        <v>75</v>
      </c>
      <c r="B12" s="99"/>
      <c r="C12" s="103"/>
      <c r="D12" s="101"/>
      <c r="E12" s="101">
        <f>SUBTOTAL(109,Р[Сумма, руб])</f>
        <v>0</v>
      </c>
      <c r="F12" s="102"/>
    </row>
    <row r="13" spans="1:9" x14ac:dyDescent="0.2">
      <c r="D13" s="104" t="s">
        <v>88</v>
      </c>
      <c r="E13" s="106">
        <f>ЛСР!J52-Р[[#Totals],[Сумма, руб]]</f>
        <v>0</v>
      </c>
    </row>
    <row r="15" spans="1:9" x14ac:dyDescent="0.2">
      <c r="A15" s="79" t="s">
        <v>77</v>
      </c>
      <c r="B15" s="79"/>
      <c r="C15" s="80"/>
      <c r="D15" s="81"/>
      <c r="E15" s="81"/>
      <c r="F15" s="82"/>
      <c r="G15" s="81"/>
      <c r="I15" s="84"/>
    </row>
    <row r="16" spans="1:9" ht="11.25" customHeight="1" x14ac:dyDescent="0.2">
      <c r="A16" s="143" t="s">
        <v>79</v>
      </c>
      <c r="B16" s="143"/>
      <c r="C16" s="143"/>
      <c r="D16" s="143"/>
      <c r="E16" s="143"/>
      <c r="F16" s="143"/>
      <c r="G16" s="85"/>
      <c r="H16" s="85"/>
      <c r="I16" s="85"/>
    </row>
    <row r="17" spans="1:10" ht="23.25" customHeight="1" x14ac:dyDescent="0.2">
      <c r="A17" s="143" t="s">
        <v>80</v>
      </c>
      <c r="B17" s="143"/>
      <c r="C17" s="143"/>
      <c r="D17" s="143"/>
      <c r="E17" s="143"/>
      <c r="F17" s="143"/>
      <c r="G17" s="85"/>
      <c r="H17" s="85"/>
      <c r="I17" s="85"/>
      <c r="J17" s="85"/>
    </row>
    <row r="18" spans="1:10" ht="36" customHeight="1" x14ac:dyDescent="0.2">
      <c r="A18" s="144" t="s">
        <v>81</v>
      </c>
      <c r="B18" s="144"/>
      <c r="C18" s="144"/>
      <c r="D18" s="144"/>
      <c r="E18" s="144"/>
      <c r="F18" s="144"/>
      <c r="G18" s="111"/>
      <c r="H18" s="111"/>
      <c r="I18" s="111"/>
      <c r="J18" s="86"/>
    </row>
    <row r="19" spans="1:10" x14ac:dyDescent="0.2">
      <c r="A19" s="145" t="s">
        <v>82</v>
      </c>
      <c r="B19" s="145"/>
      <c r="C19" s="145"/>
      <c r="D19" s="145"/>
      <c r="E19" s="145"/>
      <c r="F19" s="145"/>
      <c r="G19" s="112"/>
      <c r="H19" s="112"/>
      <c r="I19" s="112"/>
      <c r="J19" s="112"/>
    </row>
    <row r="20" spans="1:10" x14ac:dyDescent="0.2">
      <c r="A20" s="141" t="s">
        <v>83</v>
      </c>
      <c r="B20" s="141"/>
      <c r="C20" s="141"/>
      <c r="D20" s="141"/>
      <c r="E20" s="141"/>
      <c r="F20" s="141"/>
      <c r="G20" s="81"/>
      <c r="I20" s="84"/>
    </row>
  </sheetData>
  <mergeCells count="6">
    <mergeCell ref="A20:F20"/>
    <mergeCell ref="A1:F1"/>
    <mergeCell ref="A16:F16"/>
    <mergeCell ref="A17:F17"/>
    <mergeCell ref="A18:F18"/>
    <mergeCell ref="A19:F19"/>
  </mergeCells>
  <pageMargins left="0.39370078740157483" right="0.39370078740157483" top="0.39370078740157483" bottom="0.39370078740157483" header="0" footer="0"/>
  <pageSetup paperSize="9" pageOrder="overThenDown" orientation="portrait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outlinePr summaryBelow="0" summaryRight="0"/>
    <pageSetUpPr autoPageBreaks="0"/>
  </sheetPr>
  <dimension ref="A1:J21"/>
  <sheetViews>
    <sheetView zoomScaleNormal="100" workbookViewId="0">
      <pane ySplit="3" topLeftCell="A4" activePane="bottomLeft" state="frozen"/>
      <selection pane="bottomLeft" activeCell="I4" sqref="I4:I10"/>
    </sheetView>
  </sheetViews>
  <sheetFormatPr defaultColWidth="10.5" defaultRowHeight="11.45" customHeight="1" x14ac:dyDescent="0.2"/>
  <cols>
    <col min="1" max="1" width="51.6640625" style="1" customWidth="1"/>
    <col min="2" max="2" width="26" style="1" customWidth="1"/>
    <col min="3" max="3" width="28.5" style="1" customWidth="1"/>
    <col min="4" max="4" width="10.6640625" style="1" customWidth="1"/>
    <col min="5" max="5" width="14.6640625" style="1" customWidth="1"/>
    <col min="6" max="6" width="18.33203125" style="1" customWidth="1"/>
    <col min="7" max="7" width="17" style="1" customWidth="1"/>
    <col min="8" max="8" width="36.5" style="1" customWidth="1"/>
    <col min="9" max="9" width="23.33203125" style="1" customWidth="1"/>
  </cols>
  <sheetData>
    <row r="1" spans="1:9" ht="11.1" customHeight="1" x14ac:dyDescent="0.2">
      <c r="A1" s="146" t="s">
        <v>65</v>
      </c>
      <c r="B1" s="146"/>
      <c r="C1" s="146"/>
      <c r="D1" s="146"/>
      <c r="E1" s="146"/>
      <c r="F1" s="146"/>
      <c r="G1" s="146"/>
      <c r="H1" s="146"/>
    </row>
    <row r="2" spans="1:9" ht="11.1" customHeight="1" x14ac:dyDescent="0.2"/>
    <row r="3" spans="1:9" ht="23.1" customHeight="1" x14ac:dyDescent="0.2">
      <c r="A3" s="9" t="s">
        <v>66</v>
      </c>
      <c r="B3" s="19" t="s">
        <v>67</v>
      </c>
      <c r="C3" s="10" t="s">
        <v>68</v>
      </c>
      <c r="D3" s="2" t="s">
        <v>5</v>
      </c>
      <c r="E3" s="2" t="s">
        <v>7</v>
      </c>
      <c r="F3" s="16" t="s">
        <v>8</v>
      </c>
      <c r="G3" s="16" t="s">
        <v>9</v>
      </c>
      <c r="H3" s="2" t="s">
        <v>69</v>
      </c>
      <c r="I3" s="10" t="s">
        <v>70</v>
      </c>
    </row>
    <row r="4" spans="1:9" ht="11.1" customHeight="1" x14ac:dyDescent="0.2">
      <c r="A4" s="7" t="s">
        <v>48</v>
      </c>
      <c r="B4" s="5"/>
      <c r="C4" s="5" t="s">
        <v>49</v>
      </c>
      <c r="D4" s="3" t="s">
        <v>29</v>
      </c>
      <c r="E4" s="6">
        <v>17</v>
      </c>
      <c r="F4" s="17"/>
      <c r="G4" s="17">
        <f>ROUND(М[[#This Row],[Количество]]*М[[#This Row],[Цена за ед., руб]],2)</f>
        <v>0</v>
      </c>
      <c r="H4" s="5" t="s">
        <v>50</v>
      </c>
      <c r="I4" s="8"/>
    </row>
    <row r="5" spans="1:9" ht="23.1" customHeight="1" x14ac:dyDescent="0.2">
      <c r="A5" s="7" t="s">
        <v>24</v>
      </c>
      <c r="B5" s="5"/>
      <c r="C5" s="5" t="s">
        <v>25</v>
      </c>
      <c r="D5" s="3" t="s">
        <v>21</v>
      </c>
      <c r="E5" s="4">
        <v>3901</v>
      </c>
      <c r="F5" s="17"/>
      <c r="G5" s="17">
        <f>ROUND(М[[#This Row],[Количество]]*М[[#This Row],[Цена за ед., руб]],2)</f>
        <v>0</v>
      </c>
      <c r="H5" s="5"/>
      <c r="I5" s="8"/>
    </row>
    <row r="6" spans="1:9" ht="23.1" customHeight="1" x14ac:dyDescent="0.2">
      <c r="A6" s="7" t="s">
        <v>32</v>
      </c>
      <c r="B6" s="5"/>
      <c r="C6" s="5" t="s">
        <v>33</v>
      </c>
      <c r="D6" s="3" t="s">
        <v>34</v>
      </c>
      <c r="E6" s="4">
        <v>3901</v>
      </c>
      <c r="F6" s="17"/>
      <c r="G6" s="17">
        <f>ROUND(М[[#This Row],[Количество]]*М[[#This Row],[Цена за ед., руб]],2)</f>
        <v>0</v>
      </c>
      <c r="H6" s="5"/>
      <c r="I6" s="8"/>
    </row>
    <row r="7" spans="1:9" ht="23.1" customHeight="1" x14ac:dyDescent="0.2">
      <c r="A7" s="7" t="s">
        <v>44</v>
      </c>
      <c r="B7" s="5"/>
      <c r="C7" s="5" t="s">
        <v>45</v>
      </c>
      <c r="D7" s="3" t="s">
        <v>29</v>
      </c>
      <c r="E7" s="6">
        <v>39</v>
      </c>
      <c r="F7" s="17"/>
      <c r="G7" s="17">
        <f>ROUND(М[[#This Row],[Количество]]*М[[#This Row],[Цена за ед., руб]],2)</f>
        <v>0</v>
      </c>
      <c r="H7" s="5" t="s">
        <v>46</v>
      </c>
      <c r="I7" s="8"/>
    </row>
    <row r="8" spans="1:9" ht="11.1" customHeight="1" x14ac:dyDescent="0.2">
      <c r="A8" s="7" t="s">
        <v>36</v>
      </c>
      <c r="B8" s="5"/>
      <c r="C8" s="5" t="s">
        <v>37</v>
      </c>
      <c r="D8" s="3" t="s">
        <v>34</v>
      </c>
      <c r="E8" s="6">
        <v>2</v>
      </c>
      <c r="F8" s="17"/>
      <c r="G8" s="17">
        <f>ROUND(М[[#This Row],[Количество]]*М[[#This Row],[Цена за ед., руб]],2)</f>
        <v>0</v>
      </c>
      <c r="H8" s="5"/>
      <c r="I8" s="8"/>
    </row>
    <row r="9" spans="1:9" ht="47.1" customHeight="1" x14ac:dyDescent="0.2">
      <c r="A9" s="7" t="s">
        <v>27</v>
      </c>
      <c r="B9" s="5"/>
      <c r="C9" s="5" t="s">
        <v>28</v>
      </c>
      <c r="D9" s="3" t="s">
        <v>29</v>
      </c>
      <c r="E9" s="6">
        <v>2</v>
      </c>
      <c r="F9" s="17"/>
      <c r="G9" s="17">
        <f>ROUND(М[[#This Row],[Количество]]*М[[#This Row],[Цена за ед., руб]],2)</f>
        <v>0</v>
      </c>
      <c r="H9" s="5" t="s">
        <v>30</v>
      </c>
      <c r="I9" s="8"/>
    </row>
    <row r="10" spans="1:9" ht="342.95" customHeight="1" x14ac:dyDescent="0.2">
      <c r="A10" s="11" t="s">
        <v>52</v>
      </c>
      <c r="B10" s="20"/>
      <c r="C10" s="20" t="s">
        <v>53</v>
      </c>
      <c r="D10" s="12" t="s">
        <v>29</v>
      </c>
      <c r="E10" s="13">
        <v>2</v>
      </c>
      <c r="F10" s="17"/>
      <c r="G10" s="18">
        <f>ROUND(М[[#This Row],[Количество]]*М[[#This Row],[Цена за ед., руб]],2)</f>
        <v>0</v>
      </c>
      <c r="H10" s="20" t="s">
        <v>54</v>
      </c>
      <c r="I10" s="15"/>
    </row>
    <row r="11" spans="1:9" ht="11.25" x14ac:dyDescent="0.2">
      <c r="A11" s="11" t="s">
        <v>85</v>
      </c>
      <c r="B11" s="20"/>
      <c r="C11" s="20"/>
      <c r="D11" s="75" t="s">
        <v>38</v>
      </c>
      <c r="E11" s="76"/>
      <c r="F11" s="18"/>
      <c r="G11" s="18">
        <f ca="1">SUMIF(ЛСР!$B$7:$J$50,М[[#This Row],[Наим.]],ЛСР!$J$7:$J$50)</f>
        <v>0</v>
      </c>
      <c r="H11" s="20"/>
      <c r="I11" s="15"/>
    </row>
    <row r="12" spans="1:9" ht="22.5" x14ac:dyDescent="0.2">
      <c r="A12" s="11" t="s">
        <v>84</v>
      </c>
      <c r="B12" s="20"/>
      <c r="C12" s="20"/>
      <c r="D12" s="75" t="s">
        <v>38</v>
      </c>
      <c r="E12" s="76"/>
      <c r="F12" s="18"/>
      <c r="G12" s="18">
        <f ca="1">SUMIF(ЛСР!$B$7:$J$50,М[[#This Row],[Наим.]],ЛСР!$J$7:$J$50)</f>
        <v>0</v>
      </c>
      <c r="H12" s="20"/>
      <c r="I12" s="15"/>
    </row>
    <row r="13" spans="1:9" ht="11.45" customHeight="1" x14ac:dyDescent="0.2">
      <c r="A13" s="11" t="s">
        <v>75</v>
      </c>
      <c r="B13" s="20"/>
      <c r="C13" s="20"/>
      <c r="D13" s="12"/>
      <c r="E13" s="14"/>
      <c r="F13" s="18"/>
      <c r="G13" s="18">
        <f ca="1">SUBTOTAL(109,М[Сумма, руб])</f>
        <v>0</v>
      </c>
      <c r="H13" s="20"/>
      <c r="I13" s="15"/>
    </row>
    <row r="14" spans="1:9" ht="11.45" customHeight="1" x14ac:dyDescent="0.2">
      <c r="F14" s="104" t="s">
        <v>88</v>
      </c>
      <c r="G14" s="105">
        <f ca="1">ЛСР!J53-М[[#Totals],[Сумма, руб]]</f>
        <v>0</v>
      </c>
    </row>
    <row r="16" spans="1:9" s="83" customFormat="1" ht="11.25" x14ac:dyDescent="0.2">
      <c r="A16" s="79" t="s">
        <v>77</v>
      </c>
      <c r="B16" s="79"/>
      <c r="C16" s="80"/>
      <c r="D16" s="81"/>
      <c r="E16" s="81"/>
      <c r="F16" s="82"/>
      <c r="G16" s="81"/>
      <c r="I16" s="84"/>
    </row>
    <row r="17" spans="1:10" s="83" customFormat="1" ht="11.25" customHeight="1" x14ac:dyDescent="0.2">
      <c r="A17" s="143" t="s">
        <v>79</v>
      </c>
      <c r="B17" s="143"/>
      <c r="C17" s="143"/>
      <c r="D17" s="143"/>
      <c r="E17" s="143"/>
      <c r="F17" s="143"/>
      <c r="G17" s="85"/>
      <c r="H17" s="85"/>
      <c r="I17" s="85"/>
    </row>
    <row r="18" spans="1:10" s="83" customFormat="1" ht="23.25" customHeight="1" x14ac:dyDescent="0.2">
      <c r="A18" s="143" t="s">
        <v>80</v>
      </c>
      <c r="B18" s="143"/>
      <c r="C18" s="143"/>
      <c r="D18" s="143"/>
      <c r="E18" s="143"/>
      <c r="F18" s="143"/>
      <c r="G18" s="85"/>
      <c r="H18" s="85"/>
      <c r="I18" s="85"/>
      <c r="J18" s="85"/>
    </row>
    <row r="19" spans="1:10" s="83" customFormat="1" ht="36" customHeight="1" x14ac:dyDescent="0.2">
      <c r="A19" s="144" t="s">
        <v>81</v>
      </c>
      <c r="B19" s="144"/>
      <c r="C19" s="144"/>
      <c r="D19" s="144"/>
      <c r="E19" s="144"/>
      <c r="F19" s="144"/>
      <c r="G19" s="111"/>
      <c r="H19" s="111"/>
      <c r="I19" s="111"/>
      <c r="J19" s="86"/>
    </row>
    <row r="20" spans="1:10" s="83" customFormat="1" ht="11.25" x14ac:dyDescent="0.2">
      <c r="A20" s="145" t="s">
        <v>82</v>
      </c>
      <c r="B20" s="145"/>
      <c r="C20" s="145"/>
      <c r="D20" s="145"/>
      <c r="E20" s="145"/>
      <c r="F20" s="145"/>
      <c r="G20" s="112"/>
      <c r="H20" s="112"/>
      <c r="I20" s="112"/>
      <c r="J20" s="112"/>
    </row>
    <row r="21" spans="1:10" s="83" customFormat="1" ht="11.25" x14ac:dyDescent="0.2">
      <c r="A21" s="141" t="s">
        <v>83</v>
      </c>
      <c r="B21" s="141"/>
      <c r="C21" s="141"/>
      <c r="D21" s="141"/>
      <c r="E21" s="141"/>
      <c r="F21" s="141"/>
      <c r="G21" s="81"/>
      <c r="I21" s="84"/>
    </row>
  </sheetData>
  <mergeCells count="6">
    <mergeCell ref="A21:F21"/>
    <mergeCell ref="A1:H1"/>
    <mergeCell ref="A17:F17"/>
    <mergeCell ref="A18:F18"/>
    <mergeCell ref="A19:F19"/>
    <mergeCell ref="A20:F20"/>
  </mergeCells>
  <dataValidations count="1">
    <dataValidation type="list" errorStyle="information" allowBlank="1" showInputMessage="1" showErrorMessage="1" sqref="I3:I12" xr:uid="{3C97F201-3C36-41FC-8B3B-5A98FE78A8C6}">
      <formula1>"Закупка подрядчик, Давальческая, Уступка"</formula1>
    </dataValidation>
  </dataValidations>
  <pageMargins left="0.39370078740157483" right="0.39370078740157483" top="0.39370078740157483" bottom="0.39370078740157483" header="0" footer="0"/>
  <pageSetup paperSize="9" pageOrder="overThenDown" orientation="portrait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outlinePr summaryBelow="0" summaryRight="0"/>
    <pageSetUpPr autoPageBreaks="0"/>
  </sheetPr>
  <dimension ref="A1:B2"/>
  <sheetViews>
    <sheetView workbookViewId="0"/>
  </sheetViews>
  <sheetFormatPr defaultColWidth="10.5" defaultRowHeight="11.45" customHeight="1" x14ac:dyDescent="0.2"/>
  <cols>
    <col min="1" max="2" width="10.5" style="1" customWidth="1"/>
  </cols>
  <sheetData>
    <row r="1" spans="1:2" ht="11.1" customHeight="1" x14ac:dyDescent="0.2">
      <c r="A1" s="1" t="s">
        <v>71</v>
      </c>
      <c r="B1" s="1" t="s">
        <v>72</v>
      </c>
    </row>
    <row r="2" spans="1:2" ht="11.1" customHeight="1" x14ac:dyDescent="0.2">
      <c r="A2" s="1" t="s">
        <v>73</v>
      </c>
      <c r="B2" s="1" t="s">
        <v>74</v>
      </c>
    </row>
  </sheetData>
  <pageMargins left="0.39370078740157483" right="0.39370078740157483" top="0.39370078740157483" bottom="0.39370078740157483" header="0" footer="0"/>
  <pageSetup paperSize="9" pageOrder="overThenDown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ЛСР</vt:lpstr>
      <vt:lpstr>Работы</vt:lpstr>
      <vt:lpstr>Материалы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Калимуллина Карина Павловна</cp:lastModifiedBy>
  <dcterms:modified xsi:type="dcterms:W3CDTF">2026-09-10T10:01:12Z</dcterms:modified>
</cp:coreProperties>
</file>