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1 Внутренние инженерные сети\11.10-11.14,11.16,11.17,11.20,11.21 Слаботочные сети\На отправку в тендер\"/>
    </mc:Choice>
  </mc:AlternateContent>
  <xr:revisionPtr revIDLastSave="0" documentId="13_ncr:1_{EF82AA54-EA08-4BE1-B60F-66FF34EF37A4}" xr6:coauthVersionLast="47" xr6:coauthVersionMax="47" xr10:uidLastSave="{00000000-0000-0000-0000-000000000000}"/>
  <bookViews>
    <workbookView xWindow="3120" yWindow="3120" windowWidth="29130" windowHeight="1827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ЛСР!$A$8:$R$87</definedName>
  </definedNames>
  <calcPr calcId="191029"/>
</workbook>
</file>

<file path=xl/calcChain.xml><?xml version="1.0" encoding="utf-8"?>
<calcChain xmlns="http://schemas.openxmlformats.org/spreadsheetml/2006/main">
  <c r="P28" i="1" l="1" a="1"/>
  <c r="P28" i="1" s="1"/>
  <c r="L28" i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E7" i="2"/>
  <c r="E8" i="2"/>
  <c r="E9" i="2"/>
  <c r="E10" i="2"/>
  <c r="E11" i="2"/>
  <c r="E12" i="2"/>
  <c r="E13" i="2"/>
  <c r="H23" i="1"/>
  <c r="I23" i="1"/>
  <c r="J23" i="1"/>
  <c r="K23" i="1"/>
  <c r="G23" i="1"/>
  <c r="L23" i="1" s="1"/>
  <c r="K19" i="1"/>
  <c r="J19" i="1"/>
  <c r="H14" i="1"/>
  <c r="I14" i="1"/>
  <c r="J14" i="1"/>
  <c r="K14" i="1"/>
  <c r="G14" i="1"/>
  <c r="L14" i="1" s="1"/>
  <c r="J76" i="1"/>
  <c r="K76" i="1"/>
  <c r="L76" i="1"/>
  <c r="H72" i="1"/>
  <c r="I72" i="1"/>
  <c r="G72" i="1"/>
  <c r="L72" i="1" s="1"/>
  <c r="H51" i="1"/>
  <c r="I51" i="1"/>
  <c r="J51" i="1"/>
  <c r="K51" i="1"/>
  <c r="G51" i="1"/>
  <c r="L51" i="1" s="1"/>
  <c r="M51" i="1" a="1"/>
  <c r="M51" i="1" s="1"/>
  <c r="M52" i="1" a="1"/>
  <c r="M52" i="1" s="1"/>
  <c r="M57" i="1" a="1"/>
  <c r="M57" i="1" s="1"/>
  <c r="M56" i="1" a="1"/>
  <c r="M56" i="1" s="1"/>
  <c r="M55" i="1" a="1"/>
  <c r="M55" i="1" s="1"/>
  <c r="M54" i="1" a="1"/>
  <c r="M54" i="1" s="1"/>
  <c r="M53" i="1" a="1"/>
  <c r="M53" i="1" s="1"/>
  <c r="M44" i="1" a="1"/>
  <c r="M44" i="1" s="1"/>
  <c r="M43" i="1" a="1"/>
  <c r="M43" i="1" s="1"/>
  <c r="M42" i="1" a="1"/>
  <c r="M42" i="1" s="1"/>
  <c r="M41" i="1" a="1"/>
  <c r="M41" i="1" s="1"/>
  <c r="M34" i="1" a="1"/>
  <c r="M34" i="1" s="1"/>
  <c r="M33" i="1" a="1"/>
  <c r="M33" i="1" s="1"/>
  <c r="H52" i="1"/>
  <c r="I52" i="1"/>
  <c r="J52" i="1"/>
  <c r="K52" i="1"/>
  <c r="H53" i="1"/>
  <c r="I53" i="1"/>
  <c r="J53" i="1"/>
  <c r="K53" i="1"/>
  <c r="H54" i="1"/>
  <c r="I54" i="1"/>
  <c r="J54" i="1"/>
  <c r="K54" i="1"/>
  <c r="H55" i="1"/>
  <c r="I55" i="1"/>
  <c r="J55" i="1"/>
  <c r="K55" i="1"/>
  <c r="H56" i="1"/>
  <c r="I56" i="1"/>
  <c r="J56" i="1"/>
  <c r="K56" i="1"/>
  <c r="H57" i="1"/>
  <c r="I57" i="1"/>
  <c r="J57" i="1"/>
  <c r="K57" i="1"/>
  <c r="G57" i="1"/>
  <c r="L57" i="1" s="1"/>
  <c r="N57" i="1" s="1"/>
  <c r="G56" i="1"/>
  <c r="L56" i="1" s="1"/>
  <c r="G55" i="1"/>
  <c r="L55" i="1" s="1"/>
  <c r="G54" i="1"/>
  <c r="L54" i="1" s="1"/>
  <c r="G53" i="1"/>
  <c r="L53" i="1" s="1"/>
  <c r="G52" i="1"/>
  <c r="L52" i="1" s="1"/>
  <c r="H41" i="1"/>
  <c r="I41" i="1"/>
  <c r="J41" i="1"/>
  <c r="K41" i="1"/>
  <c r="H42" i="1"/>
  <c r="I42" i="1"/>
  <c r="J42" i="1"/>
  <c r="K42" i="1"/>
  <c r="H43" i="1"/>
  <c r="I43" i="1"/>
  <c r="J43" i="1"/>
  <c r="K43" i="1"/>
  <c r="H44" i="1"/>
  <c r="I44" i="1"/>
  <c r="J44" i="1"/>
  <c r="K44" i="1"/>
  <c r="G44" i="1"/>
  <c r="L44" i="1" s="1"/>
  <c r="G43" i="1"/>
  <c r="L43" i="1" s="1"/>
  <c r="G42" i="1"/>
  <c r="L42" i="1" s="1"/>
  <c r="G41" i="1"/>
  <c r="L41" i="1" s="1"/>
  <c r="M32" i="1" a="1"/>
  <c r="M32" i="1" s="1"/>
  <c r="H32" i="1"/>
  <c r="I32" i="1"/>
  <c r="J32" i="1"/>
  <c r="K32" i="1"/>
  <c r="H33" i="1"/>
  <c r="I33" i="1"/>
  <c r="J33" i="1"/>
  <c r="K33" i="1"/>
  <c r="H34" i="1"/>
  <c r="I34" i="1"/>
  <c r="J34" i="1"/>
  <c r="K34" i="1"/>
  <c r="G34" i="1"/>
  <c r="L34" i="1" s="1"/>
  <c r="G33" i="1"/>
  <c r="L33" i="1" s="1"/>
  <c r="G32" i="1"/>
  <c r="M14" i="1" a="1"/>
  <c r="M14" i="1" s="1"/>
  <c r="L16" i="1"/>
  <c r="P16" i="1" a="1"/>
  <c r="P16" i="1" s="1"/>
  <c r="M16" i="1" a="1"/>
  <c r="M16" i="1" s="1"/>
  <c r="N16" i="1" s="1"/>
  <c r="L17" i="1"/>
  <c r="P17" i="1" a="1"/>
  <c r="P17" i="1" s="1"/>
  <c r="M17" i="1" a="1"/>
  <c r="M17" i="1" s="1"/>
  <c r="N17" i="1" s="1"/>
  <c r="M19" i="1" a="1"/>
  <c r="M19" i="1" s="1"/>
  <c r="L21" i="1"/>
  <c r="P21" i="1" a="1"/>
  <c r="P21" i="1" s="1"/>
  <c r="M21" i="1" a="1"/>
  <c r="M21" i="1" s="1"/>
  <c r="N21" i="1" s="1"/>
  <c r="N20" i="1" s="1"/>
  <c r="M23" i="1" a="1"/>
  <c r="M23" i="1" s="1"/>
  <c r="L25" i="1"/>
  <c r="P25" i="1" a="1"/>
  <c r="P25" i="1" s="1"/>
  <c r="M25" i="1" a="1"/>
  <c r="M25" i="1" s="1"/>
  <c r="N25" i="1" s="1"/>
  <c r="L26" i="1"/>
  <c r="P26" i="1" a="1"/>
  <c r="P26" i="1" s="1"/>
  <c r="M26" i="1" a="1"/>
  <c r="M26" i="1" s="1"/>
  <c r="N26" i="1" s="1"/>
  <c r="L36" i="1"/>
  <c r="P36" i="1" a="1"/>
  <c r="P36" i="1" s="1"/>
  <c r="M36" i="1" a="1"/>
  <c r="M36" i="1" s="1"/>
  <c r="N36" i="1" s="1"/>
  <c r="L37" i="1"/>
  <c r="P37" i="1" a="1"/>
  <c r="P37" i="1" s="1"/>
  <c r="M37" i="1" a="1"/>
  <c r="M37" i="1" s="1"/>
  <c r="L38" i="1"/>
  <c r="P38" i="1" a="1"/>
  <c r="P38" i="1" s="1"/>
  <c r="M38" i="1" a="1"/>
  <c r="M38" i="1" s="1"/>
  <c r="L39" i="1"/>
  <c r="P39" i="1" a="1"/>
  <c r="P39" i="1" s="1"/>
  <c r="M39" i="1" a="1"/>
  <c r="M39" i="1" s="1"/>
  <c r="L46" i="1"/>
  <c r="P46" i="1" a="1"/>
  <c r="P46" i="1" s="1"/>
  <c r="M46" i="1" a="1"/>
  <c r="M46" i="1" s="1"/>
  <c r="L47" i="1"/>
  <c r="P47" i="1" a="1"/>
  <c r="P47" i="1" s="1"/>
  <c r="M47" i="1" a="1"/>
  <c r="M47" i="1" s="1"/>
  <c r="N47" i="1" s="1"/>
  <c r="L48" i="1"/>
  <c r="P48" i="1" a="1"/>
  <c r="P48" i="1" s="1"/>
  <c r="M48" i="1" a="1"/>
  <c r="M48" i="1" s="1"/>
  <c r="N48" i="1" s="1"/>
  <c r="L49" i="1"/>
  <c r="P49" i="1" a="1"/>
  <c r="P49" i="1" s="1"/>
  <c r="M49" i="1" a="1"/>
  <c r="M49" i="1" s="1"/>
  <c r="N49" i="1" s="1"/>
  <c r="L59" i="1"/>
  <c r="P59" i="1" a="1"/>
  <c r="P59" i="1" s="1"/>
  <c r="M59" i="1" a="1"/>
  <c r="M59" i="1" s="1"/>
  <c r="L60" i="1"/>
  <c r="P60" i="1" a="1"/>
  <c r="P60" i="1" s="1"/>
  <c r="M60" i="1" a="1"/>
  <c r="M60" i="1" s="1"/>
  <c r="N60" i="1" s="1"/>
  <c r="L61" i="1"/>
  <c r="P61" i="1" a="1"/>
  <c r="P61" i="1" s="1"/>
  <c r="M61" i="1" a="1"/>
  <c r="M61" i="1" s="1"/>
  <c r="N61" i="1" s="1"/>
  <c r="L62" i="1"/>
  <c r="P62" i="1" a="1"/>
  <c r="P62" i="1" s="1"/>
  <c r="M62" i="1" a="1"/>
  <c r="M62" i="1" s="1"/>
  <c r="L63" i="1"/>
  <c r="P63" i="1" a="1"/>
  <c r="P63" i="1" s="1"/>
  <c r="M63" i="1" a="1"/>
  <c r="M63" i="1" s="1"/>
  <c r="L64" i="1"/>
  <c r="P64" i="1" a="1"/>
  <c r="P64" i="1" s="1"/>
  <c r="M64" i="1" a="1"/>
  <c r="M64" i="1" s="1"/>
  <c r="L65" i="1"/>
  <c r="P65" i="1" a="1"/>
  <c r="P65" i="1" s="1"/>
  <c r="M65" i="1" a="1"/>
  <c r="M65" i="1" s="1"/>
  <c r="N65" i="1" s="1"/>
  <c r="L66" i="1"/>
  <c r="P66" i="1" a="1"/>
  <c r="P66" i="1" s="1"/>
  <c r="M66" i="1" a="1"/>
  <c r="M66" i="1" s="1"/>
  <c r="L67" i="1"/>
  <c r="P67" i="1" a="1"/>
  <c r="P67" i="1" s="1"/>
  <c r="M67" i="1" a="1"/>
  <c r="M67" i="1" s="1"/>
  <c r="N67" i="1" s="1"/>
  <c r="L68" i="1"/>
  <c r="P68" i="1" a="1"/>
  <c r="P68" i="1" s="1"/>
  <c r="M68" i="1" a="1"/>
  <c r="M68" i="1" s="1"/>
  <c r="M72" i="1" a="1"/>
  <c r="M72" i="1" s="1"/>
  <c r="L74" i="1"/>
  <c r="P74" i="1" a="1"/>
  <c r="P74" i="1" s="1"/>
  <c r="M74" i="1" a="1"/>
  <c r="M74" i="1" s="1"/>
  <c r="N74" i="1" s="1"/>
  <c r="N73" i="1" s="1"/>
  <c r="M76" i="1" a="1"/>
  <c r="M76" i="1" s="1"/>
  <c r="L78" i="1"/>
  <c r="P78" i="1" a="1"/>
  <c r="P78" i="1" s="1"/>
  <c r="M78" i="1" a="1"/>
  <c r="M78" i="1" s="1"/>
  <c r="N78" i="1" s="1"/>
  <c r="N77" i="1" s="1"/>
  <c r="L82" i="1"/>
  <c r="M82" i="1" a="1"/>
  <c r="M82" i="1" s="1"/>
  <c r="N82" i="1" s="1"/>
  <c r="N81" i="1" s="1"/>
  <c r="E14" i="2"/>
  <c r="E6" i="2"/>
  <c r="E5" i="2"/>
  <c r="E4" i="2"/>
  <c r="E15" i="2"/>
  <c r="N52" i="1" l="1"/>
  <c r="N28" i="1"/>
  <c r="L19" i="1"/>
  <c r="L32" i="1"/>
  <c r="N32" i="1"/>
  <c r="N55" i="1"/>
  <c r="N53" i="1"/>
  <c r="N42" i="1"/>
  <c r="N43" i="1"/>
  <c r="N54" i="1"/>
  <c r="N14" i="1"/>
  <c r="N13" i="1" s="1"/>
  <c r="N34" i="1"/>
  <c r="N33" i="1"/>
  <c r="N44" i="1"/>
  <c r="N56" i="1"/>
  <c r="N19" i="1"/>
  <c r="N18" i="1" s="1"/>
  <c r="N51" i="1"/>
  <c r="N37" i="1"/>
  <c r="N41" i="1"/>
  <c r="N72" i="1"/>
  <c r="N71" i="1" s="1"/>
  <c r="N38" i="1"/>
  <c r="N39" i="1"/>
  <c r="N59" i="1"/>
  <c r="N24" i="1"/>
  <c r="N66" i="1"/>
  <c r="N46" i="1"/>
  <c r="N45" i="1" s="1"/>
  <c r="N64" i="1"/>
  <c r="N76" i="1"/>
  <c r="N75" i="1" s="1"/>
  <c r="N63" i="1"/>
  <c r="N62" i="1"/>
  <c r="N80" i="1"/>
  <c r="N79" i="1" s="1"/>
  <c r="N23" i="1"/>
  <c r="N22" i="1" s="1"/>
  <c r="N15" i="1"/>
  <c r="N68" i="1"/>
  <c r="N40" i="1" l="1"/>
  <c r="N27" i="1"/>
  <c r="N12" i="1" s="1"/>
  <c r="N11" i="1" s="1"/>
  <c r="G21" i="3"/>
  <c r="G22" i="3" s="1"/>
  <c r="N50" i="1"/>
  <c r="N70" i="1"/>
  <c r="N69" i="1" s="1"/>
  <c r="N31" i="1"/>
  <c r="N35" i="1"/>
  <c r="N58" i="1"/>
  <c r="N84" i="1" l="1"/>
  <c r="E16" i="2" s="1"/>
  <c r="N85" i="1"/>
  <c r="G23" i="3" s="1"/>
  <c r="N30" i="1"/>
  <c r="N29" i="1" s="1"/>
  <c r="N10" i="1" s="1"/>
  <c r="N83" i="1" s="1"/>
</calcChain>
</file>

<file path=xl/sharedStrings.xml><?xml version="1.0" encoding="utf-8"?>
<sst xmlns="http://schemas.openxmlformats.org/spreadsheetml/2006/main" count="377" uniqueCount="143">
  <si>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1, 2, 3, 4, 5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</si>
  <si>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</si>
  <si>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</si>
  <si>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</si>
  <si>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</si>
  <si>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</si>
  <si>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</si>
  <si>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2</t>
  </si>
  <si>
    <t>Секция 3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</si>
  <si>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</si>
  <si>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</si>
  <si>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</si>
  <si>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</si>
  <si>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</si>
  <si>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</si>
  <si>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</si>
  <si>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11.20</t>
  </si>
  <si>
    <t>Устройство системы обратной связи зоны размещения маломобильных групп населения</t>
  </si>
  <si>
    <t>11.20.01</t>
  </si>
  <si>
    <t>Прокладка КПП и КНС (горизонтальные КЛ)</t>
  </si>
  <si>
    <t>11.20.01.00</t>
  </si>
  <si>
    <t>Работы:</t>
  </si>
  <si>
    <t>Прокладка кабеля «витая пара» (LAN)</t>
  </si>
  <si>
    <t>м</t>
  </si>
  <si>
    <t>Материалы:</t>
  </si>
  <si>
    <t>1</t>
  </si>
  <si>
    <t>Кабель</t>
  </si>
  <si>
    <t>FTR-5нг(D)-FRLS 2х2х0,52</t>
  </si>
  <si>
    <t>2</t>
  </si>
  <si>
    <t>FTR-5нг(D)-FRLS 4х2х0,52</t>
  </si>
  <si>
    <t>Прокладка КПП многожильного до 4 кв.мм</t>
  </si>
  <si>
    <t>КПСЭнг(А)-FRLS 1х2х1,0</t>
  </si>
  <si>
    <t>Прокладка трубы гофрированной до 32 мм</t>
  </si>
  <si>
    <t>Труба электромонтажная</t>
  </si>
  <si>
    <t>ПВХ гофр. легкая с протяжкой 25мм</t>
  </si>
  <si>
    <t>пог. м</t>
  </si>
  <si>
    <t>ПВХ гофр. легкая с протяжкой 20мм</t>
  </si>
  <si>
    <t>%</t>
  </si>
  <si>
    <t>11.20.02</t>
  </si>
  <si>
    <t>Установка оборудования</t>
  </si>
  <si>
    <t>11.20.02.00</t>
  </si>
  <si>
    <t>компл.</t>
  </si>
  <si>
    <t>Устройство абонентское</t>
  </si>
  <si>
    <t>META 7558 B/B1</t>
  </si>
  <si>
    <t>шт</t>
  </si>
  <si>
    <t>Абонентское устройство МЕТА 7558 В/В1 (либо аналог)</t>
  </si>
  <si>
    <t>META 18556 исп. B</t>
  </si>
  <si>
    <t>Абонентское устройство врезного монтажа МЕТА 18556 исп. В (либо аналог)</t>
  </si>
  <si>
    <t>3</t>
  </si>
  <si>
    <t>Адаптер</t>
  </si>
  <si>
    <t>звуковой/световой АЛИ-ЗП</t>
  </si>
  <si>
    <t>Адаптер лампы индикаторной АЛИ-3П (либо аналог)</t>
  </si>
  <si>
    <t>4</t>
  </si>
  <si>
    <t>Табло светозвуковое</t>
  </si>
  <si>
    <t>META 7523</t>
  </si>
  <si>
    <t>Светозвуковое табло МЕТА 7523 (либо аналог)</t>
  </si>
  <si>
    <t>META 18556 исп. H</t>
  </si>
  <si>
    <t>Абонентское устройство накладного монтажа МЕТА 18556 исп. Н (либо аналог)</t>
  </si>
  <si>
    <t>Блок связи</t>
  </si>
  <si>
    <t>META 17555</t>
  </si>
  <si>
    <t>Блок связи двухсторонней полудуплексной связи МЕТА 17555 (либо аналог)</t>
  </si>
  <si>
    <t>Аккумулятор</t>
  </si>
  <si>
    <t>12В 18Ач</t>
  </si>
  <si>
    <t>Источник бесперебойного электропитания</t>
  </si>
  <si>
    <t>ИВЭПР 24/2,5 RS-R3 2х17 БР</t>
  </si>
  <si>
    <t>META 17560</t>
  </si>
  <si>
    <t>Блок связи МЕТА 17560 (либо аналог)</t>
  </si>
  <si>
    <t>5</t>
  </si>
  <si>
    <t>Блок расширения</t>
  </si>
  <si>
    <t>META 17556</t>
  </si>
  <si>
    <t>Блок расширения двухсторонней полудуплексной связи МЕТА 17556 (либо аналог)</t>
  </si>
  <si>
    <t>6</t>
  </si>
  <si>
    <t>7</t>
  </si>
  <si>
    <t>12В 26Ач</t>
  </si>
  <si>
    <t>8</t>
  </si>
  <si>
    <t>9</t>
  </si>
  <si>
    <t>10</t>
  </si>
  <si>
    <t>СОЛОВЕЙ2-ИБП</t>
  </si>
  <si>
    <t>СОЛОВЕЙ2 – ИБП (либо аналог)</t>
  </si>
  <si>
    <t>11.20.03</t>
  </si>
  <si>
    <t>Прокладка КПП и КНС (вертикальные КЛ)</t>
  </si>
  <si>
    <t>11.20.03.00</t>
  </si>
  <si>
    <t>11.20.04</t>
  </si>
  <si>
    <t>ПНР</t>
  </si>
  <si>
    <t>11.20.04.00</t>
  </si>
  <si>
    <t>Пусконаладочные работы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</si>
  <si>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</si>
  <si>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</si>
  <si>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</si>
  <si>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</si>
  <si>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</si>
  <si>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</si>
  <si>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</si>
  <si>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</si>
  <si>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</si>
  <si>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</si>
  <si>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</si>
  <si>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</si>
  <si>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</si>
  <si>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Екатеринбург.01.11.20 Секция 1.1_Устройство системы обратной связи зоны размещения маломобильных групп населения №1</t>
  </si>
  <si>
    <t>e90c2020-a1cb-11f1-9619-cc5d3c3b48f3</t>
  </si>
  <si>
    <t>ГП Амундсмена Екатеринбург.02.11.20 Секция 1.2_Устройство системы обратной связи зоны размещения маломобильных групп населения №1</t>
  </si>
  <si>
    <t>ef0682ce-a1cb-11f1-9619-cc5d3c3b48f3</t>
  </si>
  <si>
    <t>ГП Амундсмена Екатеринбург.03.11.20 Секция 1.3_Устройство системы обратной связи зоны размещения маломобильных групп населения №1</t>
  </si>
  <si>
    <t>f64f6322-a1cb-11f1-9619-cc5d3c3b48f3</t>
  </si>
  <si>
    <t>ГП Амундсмена Екатеринбург.04.11.20 Секция 2_Устройство системы обратной связи зоны размещения маломобильных групп населения №1</t>
  </si>
  <si>
    <t>dcdae6ea-a1cb-11f1-9619-cc5d3c3b48f3</t>
  </si>
  <si>
    <t>ГП Амундсмена Екатеринбург.05.11.20 Секция 3_Устройство системы обратной связи зоны размещения маломобильных групп населения №1</t>
  </si>
  <si>
    <t>e3120fc5-a1cb-11f1-9619-cc5d3c3b48f3</t>
  </si>
  <si>
    <t>Итог</t>
  </si>
  <si>
    <t>Прочие материалы</t>
  </si>
  <si>
    <t>ПОДРЯДЧИК:</t>
  </si>
  <si>
    <t>ЗАКАЗЧИК:</t>
  </si>
  <si>
    <t>ТЕХНИЧЕСКИЙ ЗАКАЗЧИК:</t>
  </si>
  <si>
    <t>Устройство системы обратной связи зоны размещения маломобильных групп населения и сопутствующим работам</t>
  </si>
  <si>
    <t>Секция 1.1</t>
  </si>
  <si>
    <t>Секция 1.2</t>
  </si>
  <si>
    <t>Секция 1.3</t>
  </si>
  <si>
    <t>Примечание:</t>
  </si>
  <si>
    <t>В стоимости СМР учтено:                                            </t>
  </si>
  <si>
    <t>-</t>
  </si>
  <si>
    <t>срок производства работ и сезонность выполнения работ                                            </t>
  </si>
  <si>
    <t>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 (за искл. Башенных кранов "предоставляются заказчиком"), оборудования и инструментов, бытовых помещений и биотуалетов; выполнение сопутствующих работ                                            </t>
  </si>
  <si>
    <t>погрузочно-разгрузочные работы, перемещение к месту производства работ                                            </t>
  </si>
  <si>
    <t>вывоз мусора с объекта                                            </t>
  </si>
  <si>
    <t>накладные расходы, зимнее удорожание, прибыль организации, налоги и иные издержки Подрядчика                                            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</si>
  <si>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                                            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</si>
  <si>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                                            </t>
  </si>
  <si>
    <t>Стоимость материалов учитывает стоимость доставки</t>
  </si>
  <si>
    <t>в тч НДС ____%</t>
  </si>
  <si>
    <t>указать %</t>
  </si>
  <si>
    <t>Монтаж устройства</t>
  </si>
  <si>
    <t>Монтаж адаптера</t>
  </si>
  <si>
    <t>Монтаж табло светозвукового</t>
  </si>
  <si>
    <t>Работы (типовой этаж):</t>
  </si>
  <si>
    <t>Работы (уникальный этаж):</t>
  </si>
  <si>
    <t>Монтаж блока связи</t>
  </si>
  <si>
    <t>Монтаж аккумулятора</t>
  </si>
  <si>
    <t>Монтаж источника бесперебойного электропитания</t>
  </si>
  <si>
    <t>Работы (цокольный этаж):</t>
  </si>
  <si>
    <t>Монтаж блока расширения</t>
  </si>
  <si>
    <t>Проверка:</t>
  </si>
  <si>
    <t>Локальный сметный расчет (ЛСР) №7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</si>
</sst>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right" vertical="center"/>
    </xf>
    <xf numFmtId="4" fontId="4" fillId="2" borderId="5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left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right" vertical="center"/>
    </xf>
    <xf numFmtId="4" fontId="4" fillId="3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right" vertical="center"/>
    </xf>
    <xf numFmtId="4" fontId="4" fillId="4" borderId="5" xfId="0" applyNumberFormat="1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/>
    </xf>
    <xf numFmtId="0" fontId="4" fillId="4" borderId="5" xfId="0" applyFont="1" applyFill="1" applyBorder="1" applyAlignment="1">
      <alignment horizontal="center" vertical="center"/>
    </xf>
    <xf numFmtId="4" fontId="4" fillId="4" borderId="5" xfId="0" applyNumberFormat="1" applyFont="1" applyFill="1" applyBorder="1" applyAlignment="1">
      <alignment horizontal="center" vertical="center"/>
    </xf>
    <xf numFmtId="4" fontId="5" fillId="4" borderId="0" xfId="0" applyNumberFormat="1" applyFont="1" applyFill="1" applyAlignment="1">
      <alignment horizontal="right" vertical="center"/>
    </xf>
    <xf numFmtId="0" fontId="4" fillId="4" borderId="5" xfId="0" applyFont="1" applyFill="1" applyBorder="1" applyAlignment="1">
      <alignment horizontal="right"/>
    </xf>
    <xf numFmtId="0" fontId="4" fillId="5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left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right" vertical="center"/>
    </xf>
    <xf numFmtId="1" fontId="4" fillId="5" borderId="5" xfId="0" applyNumberFormat="1" applyFont="1" applyFill="1" applyBorder="1" applyAlignment="1">
      <alignment horizontal="right" vertical="center"/>
    </xf>
    <xf numFmtId="3" fontId="4" fillId="5" borderId="5" xfId="0" applyNumberFormat="1" applyFont="1" applyFill="1" applyBorder="1" applyAlignment="1">
      <alignment horizontal="right" vertical="center"/>
    </xf>
    <xf numFmtId="4" fontId="4" fillId="5" borderId="5" xfId="0" applyNumberFormat="1" applyFont="1" applyFill="1" applyBorder="1" applyAlignment="1">
      <alignment horizontal="right" vertical="center"/>
    </xf>
    <xf numFmtId="0" fontId="4" fillId="6" borderId="5" xfId="0" applyFont="1" applyFill="1" applyBorder="1" applyAlignment="1">
      <alignment horizontal="left"/>
    </xf>
    <xf numFmtId="4" fontId="5" fillId="6" borderId="5" xfId="0" applyNumberFormat="1" applyFont="1" applyFill="1" applyBorder="1" applyAlignment="1">
      <alignment horizontal="right" vertical="center"/>
    </xf>
    <xf numFmtId="0" fontId="4" fillId="6" borderId="5" xfId="0" applyFont="1" applyFill="1" applyBorder="1" applyAlignment="1">
      <alignment horizontal="right"/>
    </xf>
    <xf numFmtId="0" fontId="4" fillId="7" borderId="5" xfId="0" applyFont="1" applyFill="1" applyBorder="1" applyAlignment="1">
      <alignment horizontal="left"/>
    </xf>
    <xf numFmtId="0" fontId="7" fillId="5" borderId="5" xfId="0" applyFont="1" applyFill="1" applyBorder="1" applyAlignment="1">
      <alignment horizontal="left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/>
    </xf>
    <xf numFmtId="49" fontId="8" fillId="0" borderId="0" xfId="0" applyNumberFormat="1" applyFont="1"/>
    <xf numFmtId="0" fontId="9" fillId="0" borderId="0" xfId="1" applyFont="1" applyAlignment="1">
      <alignment vertical="center"/>
    </xf>
    <xf numFmtId="4" fontId="10" fillId="0" borderId="0" xfId="1" applyNumberFormat="1" applyFont="1"/>
    <xf numFmtId="4" fontId="9" fillId="0" borderId="0" xfId="1" applyNumberFormat="1" applyFont="1" applyAlignment="1">
      <alignment wrapText="1"/>
    </xf>
    <xf numFmtId="0" fontId="10" fillId="0" borderId="0" xfId="1" applyFont="1"/>
    <xf numFmtId="0" fontId="8" fillId="0" borderId="0" xfId="0" applyFont="1"/>
    <xf numFmtId="4" fontId="9" fillId="0" borderId="0" xfId="1" applyNumberFormat="1" applyFont="1"/>
    <xf numFmtId="4" fontId="5" fillId="6" borderId="7" xfId="0" applyNumberFormat="1" applyFont="1" applyFill="1" applyBorder="1" applyAlignment="1">
      <alignment horizontal="right" vertical="center"/>
    </xf>
    <xf numFmtId="0" fontId="11" fillId="0" borderId="0" xfId="0" applyFont="1" applyAlignment="1">
      <alignment wrapText="1"/>
    </xf>
    <xf numFmtId="49" fontId="4" fillId="0" borderId="0" xfId="0" applyNumberFormat="1" applyFont="1"/>
    <xf numFmtId="4" fontId="4" fillId="0" borderId="0" xfId="0" applyNumberFormat="1" applyFont="1" applyAlignment="1">
      <alignment wrapText="1"/>
    </xf>
    <xf numFmtId="49" fontId="4" fillId="0" borderId="0" xfId="0" applyNumberFormat="1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0" fontId="4" fillId="0" borderId="0" xfId="1" applyFont="1" applyAlignment="1">
      <alignment vertical="center" wrapText="1"/>
    </xf>
    <xf numFmtId="0" fontId="1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4" fontId="5" fillId="0" borderId="0" xfId="0" applyNumberFormat="1" applyFont="1"/>
    <xf numFmtId="4" fontId="4" fillId="0" borderId="0" xfId="0" applyNumberFormat="1" applyFont="1"/>
    <xf numFmtId="0" fontId="7" fillId="6" borderId="7" xfId="0" applyFont="1" applyFill="1" applyBorder="1" applyAlignment="1">
      <alignment horizontal="center"/>
    </xf>
    <xf numFmtId="1" fontId="7" fillId="8" borderId="5" xfId="0" applyNumberFormat="1" applyFont="1" applyFill="1" applyBorder="1" applyAlignment="1">
      <alignment horizontal="right" vertical="center"/>
    </xf>
    <xf numFmtId="4" fontId="7" fillId="5" borderId="5" xfId="0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1" fontId="0" fillId="8" borderId="5" xfId="0" applyNumberFormat="1" applyFill="1" applyBorder="1" applyAlignment="1">
      <alignment horizontal="right" vertical="center"/>
    </xf>
    <xf numFmtId="0" fontId="3" fillId="0" borderId="0" xfId="0" applyFont="1" applyAlignment="1">
      <alignment horizontal="right"/>
    </xf>
    <xf numFmtId="4" fontId="0" fillId="0" borderId="0" xfId="0" applyNumberFormat="1" applyAlignment="1">
      <alignment horizontal="left"/>
    </xf>
    <xf numFmtId="0" fontId="14" fillId="0" borderId="0" xfId="0" applyFont="1" applyAlignment="1">
      <alignment wrapText="1"/>
    </xf>
    <xf numFmtId="4" fontId="15" fillId="0" borderId="0" xfId="0" applyNumberFormat="1" applyFont="1" applyAlignment="1">
      <alignment wrapText="1"/>
    </xf>
    <xf numFmtId="0" fontId="3" fillId="0" borderId="0" xfId="0" applyFont="1"/>
    <xf numFmtId="0" fontId="16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0" fontId="15" fillId="0" borderId="0" xfId="1" applyFont="1" applyAlignment="1">
      <alignment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4" fontId="18" fillId="0" borderId="0" xfId="0" applyNumberFormat="1" applyFont="1"/>
    <xf numFmtId="4" fontId="15" fillId="0" borderId="0" xfId="0" applyNumberFormat="1" applyFont="1"/>
    <xf numFmtId="0" fontId="17" fillId="0" borderId="0" xfId="0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4" fontId="5" fillId="7" borderId="7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5" fillId="6" borderId="9" xfId="0" applyFont="1" applyFill="1" applyBorder="1" applyAlignment="1">
      <alignment horizontal="right"/>
    </xf>
    <xf numFmtId="0" fontId="5" fillId="6" borderId="6" xfId="0" applyFont="1" applyFill="1" applyBorder="1" applyAlignment="1">
      <alignment horizontal="right"/>
    </xf>
    <xf numFmtId="0" fontId="5" fillId="6" borderId="7" xfId="0" applyFont="1" applyFill="1" applyBorder="1" applyAlignment="1">
      <alignment horizontal="right"/>
    </xf>
    <xf numFmtId="0" fontId="6" fillId="6" borderId="9" xfId="0" applyFont="1" applyFill="1" applyBorder="1" applyAlignment="1">
      <alignment horizontal="right"/>
    </xf>
    <xf numFmtId="0" fontId="6" fillId="6" borderId="6" xfId="0" applyFont="1" applyFill="1" applyBorder="1" applyAlignment="1">
      <alignment horizontal="right"/>
    </xf>
    <xf numFmtId="0" fontId="6" fillId="6" borderId="7" xfId="0" applyFont="1" applyFill="1" applyBorder="1" applyAlignment="1">
      <alignment horizontal="right"/>
    </xf>
    <xf numFmtId="4" fontId="6" fillId="6" borderId="9" xfId="0" applyNumberFormat="1" applyFont="1" applyFill="1" applyBorder="1" applyAlignment="1">
      <alignment horizontal="right"/>
    </xf>
    <xf numFmtId="4" fontId="6" fillId="6" borderId="6" xfId="0" applyNumberFormat="1" applyFont="1" applyFill="1" applyBorder="1" applyAlignment="1">
      <alignment horizontal="right"/>
    </xf>
    <xf numFmtId="4" fontId="6" fillId="6" borderId="7" xfId="0" applyNumberFormat="1" applyFont="1" applyFill="1" applyBorder="1" applyAlignment="1">
      <alignment horizontal="right"/>
    </xf>
    <xf numFmtId="0" fontId="5" fillId="0" borderId="8" xfId="0" applyFont="1" applyBorder="1" applyAlignment="1">
      <alignment horizontal="left" vertical="top" wrapText="1"/>
    </xf>
    <xf numFmtId="4" fontId="5" fillId="0" borderId="8" xfId="0" applyNumberFormat="1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3 2 2 2" xfId="1" xr:uid="{34999075-B66F-45ED-9773-F81A8F840A21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0DCC65-B71D-4140-B6D3-6851BC135CD9}" name="Р" displayName="Р" ref="A3:F15" totalsRowCount="1" headerRowDxfId="37" headerRowBorderDxfId="36" tableBorderDxfId="35" totalsRowBorderDxfId="34">
  <autoFilter ref="A3:F14" xr:uid="{ED0DCC65-B71D-4140-B6D3-6851BC135CD9}"/>
  <tableColumns count="6">
    <tableColumn id="1" xr3:uid="{51361684-2281-443D-AA95-A763B906D1F4}" name="Наименование" totalsRowLabel="Итог" dataDxfId="33" totalsRowDxfId="32"/>
    <tableColumn id="2" xr3:uid="{ECFEF7B5-B11D-41F9-BE49-657B7FEC1D64}" name="Ед. изм." dataDxfId="31" totalsRowDxfId="30"/>
    <tableColumn id="3" xr3:uid="{133EAEFC-C188-4296-967A-4B437057E0E0}" name="Количество" dataDxfId="29" totalsRowDxfId="28"/>
    <tableColumn id="4" xr3:uid="{A56CD076-2770-4C6E-878E-EF3F053C8D0E}" name="Цена за ед., руб" dataDxfId="27" totalsRowDxfId="26"/>
    <tableColumn id="5" xr3:uid="{AC034858-FCCB-47F3-AE78-863263D4C8D2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D727BF37-FC78-40DA-BA4B-929A6381D9CA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25140D-5618-4FD6-BD95-45BA86FDF2F3}" name="М" displayName="М" ref="A3:I22" totalsRowCount="1" headerRowDxfId="21" headerRowBorderDxfId="20" tableBorderDxfId="19" totalsRowBorderDxfId="18">
  <autoFilter ref="A3:I21" xr:uid="{B425140D-5618-4FD6-BD95-45BA86FDF2F3}"/>
  <tableColumns count="9">
    <tableColumn id="1" xr3:uid="{FBE9F598-D487-4D2B-BA73-315919D8DB15}" name="Наим." totalsRowLabel="Итог" dataDxfId="17" totalsRowDxfId="16"/>
    <tableColumn id="2" xr3:uid="{8B7E7A57-F330-49B6-9018-01A78C32550F}" name="Артикул, марка, произв." dataDxfId="15" totalsRowDxfId="14"/>
    <tableColumn id="3" xr3:uid="{B4E2B9A1-4365-42A2-A728-C64B4855F722}" name="Хар-ка" dataDxfId="13" totalsRowDxfId="12"/>
    <tableColumn id="4" xr3:uid="{2D1C0B36-1580-4665-955F-7E04E25E07E8}" name="Ед. изм." dataDxfId="11" totalsRowDxfId="10"/>
    <tableColumn id="5" xr3:uid="{80016BCA-80E4-485E-B6EE-CA4D0190C53C}" name="Количество" dataDxfId="9" totalsRowDxfId="8"/>
    <tableColumn id="6" xr3:uid="{5FCB3AAE-D8E1-4128-865F-636DD6B2C6A3}" name="Цена за ед., руб" dataDxfId="7" totalsRowDxfId="6"/>
    <tableColumn id="7" xr3:uid="{051A8677-590F-4922-BB3E-349D12FC0502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C2A74C73-22D7-4B5E-9EBB-1D2BC5605875}" name="Прим." dataDxfId="3" totalsRowDxfId="2"/>
    <tableColumn id="9" xr3:uid="{73AE6267-987C-41DD-A363-5CD11E4F9ED1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R98"/>
  <sheetViews>
    <sheetView tabSelected="1" zoomScale="70" zoomScaleNormal="70" workbookViewId="0">
      <pane ySplit="8" topLeftCell="A9" activePane="bottomLeft" state="frozen"/>
      <selection pane="bottomLeft" activeCell="B4" sqref="B4:J4"/>
    </sheetView>
  </sheetViews>
  <sheetFormatPr defaultColWidth="10.5" defaultRowHeight="15.75" outlineLevelRow="4" x14ac:dyDescent="0.25"/>
  <cols>
    <col min="1" max="1" width="14" style="21" bestFit="1" customWidth="1"/>
    <col min="2" max="2" width="91.6640625" style="21" bestFit="1" customWidth="1"/>
    <col min="3" max="3" width="15" style="21" bestFit="1" customWidth="1"/>
    <col min="4" max="4" width="43.5" style="21" bestFit="1" customWidth="1"/>
    <col min="5" max="5" width="10.5" style="21" bestFit="1" customWidth="1"/>
    <col min="6" max="6" width="9" style="21" bestFit="1" customWidth="1"/>
    <col min="7" max="9" width="14.1640625" style="21" bestFit="1" customWidth="1"/>
    <col min="10" max="11" width="11.5" style="21" bestFit="1" customWidth="1"/>
    <col min="12" max="12" width="15.83203125" style="21" bestFit="1" customWidth="1"/>
    <col min="13" max="13" width="15.1640625" style="21" bestFit="1" customWidth="1"/>
    <col min="14" max="14" width="16.83203125" style="21" bestFit="1" customWidth="1"/>
    <col min="15" max="15" width="67.1640625" style="21" bestFit="1" customWidth="1"/>
    <col min="16" max="16" width="23" style="21" bestFit="1" customWidth="1"/>
    <col min="17" max="16384" width="10.5" style="22"/>
  </cols>
  <sheetData>
    <row r="2" spans="1:18" s="68" customFormat="1" ht="12.75" x14ac:dyDescent="0.2">
      <c r="A2" s="63"/>
      <c r="B2" s="64" t="s">
        <v>111</v>
      </c>
      <c r="C2" s="65"/>
      <c r="D2" s="66" t="s">
        <v>112</v>
      </c>
      <c r="E2" s="67"/>
      <c r="F2" s="67"/>
      <c r="G2" s="67"/>
      <c r="H2" s="67"/>
      <c r="I2" s="67"/>
      <c r="J2" s="67"/>
      <c r="K2" s="67"/>
      <c r="L2" s="67"/>
      <c r="M2" s="67"/>
      <c r="P2" s="69" t="s">
        <v>113</v>
      </c>
      <c r="Q2" s="67"/>
      <c r="R2" s="67"/>
    </row>
    <row r="3" spans="1:18" x14ac:dyDescent="0.25">
      <c r="B3" s="109" t="s">
        <v>142</v>
      </c>
      <c r="C3" s="109"/>
      <c r="D3" s="109"/>
      <c r="E3" s="109"/>
      <c r="F3" s="109"/>
      <c r="G3" s="109"/>
      <c r="H3" s="109"/>
      <c r="I3" s="109"/>
      <c r="J3" s="109"/>
    </row>
    <row r="4" spans="1:18" ht="22.5" customHeight="1" x14ac:dyDescent="0.25">
      <c r="B4" s="115" t="s">
        <v>114</v>
      </c>
      <c r="C4" s="115"/>
      <c r="D4" s="115"/>
      <c r="E4" s="115"/>
      <c r="F4" s="115"/>
      <c r="G4" s="115"/>
      <c r="H4" s="115"/>
      <c r="I4" s="115"/>
      <c r="J4" s="115"/>
    </row>
    <row r="5" spans="1:18" ht="36" customHeight="1" x14ac:dyDescent="0.25">
      <c r="B5" s="110" t="s">
        <v>0</v>
      </c>
      <c r="C5" s="110"/>
      <c r="D5" s="110"/>
      <c r="E5" s="110"/>
      <c r="F5" s="110"/>
      <c r="G5" s="110"/>
      <c r="H5" s="110"/>
      <c r="I5" s="110"/>
      <c r="J5" s="110"/>
    </row>
    <row r="7" spans="1:18" x14ac:dyDescent="0.25">
      <c r="A7" s="107" t="s">
        <v>1</v>
      </c>
      <c r="B7" s="107" t="s">
        <v>2</v>
      </c>
      <c r="C7" s="111" t="s">
        <v>3</v>
      </c>
      <c r="D7" s="113" t="s">
        <v>4</v>
      </c>
      <c r="E7" s="107" t="s">
        <v>5</v>
      </c>
      <c r="F7" s="101" t="s">
        <v>6</v>
      </c>
      <c r="G7" s="105" t="s">
        <v>115</v>
      </c>
      <c r="H7" s="105" t="s">
        <v>116</v>
      </c>
      <c r="I7" s="105" t="s">
        <v>117</v>
      </c>
      <c r="J7" s="105" t="s">
        <v>7</v>
      </c>
      <c r="K7" s="105" t="s">
        <v>8</v>
      </c>
      <c r="L7" s="107" t="s">
        <v>9</v>
      </c>
      <c r="M7" s="101" t="s">
        <v>10</v>
      </c>
      <c r="N7" s="101" t="s">
        <v>11</v>
      </c>
      <c r="O7" s="107" t="s">
        <v>12</v>
      </c>
      <c r="P7" s="101" t="s">
        <v>13</v>
      </c>
    </row>
    <row r="8" spans="1:18" x14ac:dyDescent="0.25">
      <c r="A8" s="108"/>
      <c r="B8" s="108"/>
      <c r="C8" s="112"/>
      <c r="D8" s="114"/>
      <c r="E8" s="108"/>
      <c r="F8" s="102"/>
      <c r="G8" s="106"/>
      <c r="H8" s="106"/>
      <c r="I8" s="106"/>
      <c r="J8" s="106"/>
      <c r="K8" s="106"/>
      <c r="L8" s="108"/>
      <c r="M8" s="102"/>
      <c r="N8" s="102"/>
      <c r="O8" s="108"/>
      <c r="P8" s="102"/>
    </row>
    <row r="9" spans="1:18" x14ac:dyDescent="0.25">
      <c r="A9" s="23" t="s">
        <v>14</v>
      </c>
      <c r="B9" s="24" t="s">
        <v>15</v>
      </c>
      <c r="C9" s="25"/>
      <c r="D9" s="25"/>
      <c r="E9" s="26"/>
      <c r="F9" s="27"/>
      <c r="G9" s="27"/>
      <c r="H9" s="27"/>
      <c r="I9" s="27"/>
      <c r="J9" s="27"/>
      <c r="K9" s="27"/>
      <c r="L9" s="27"/>
      <c r="M9" s="28"/>
      <c r="N9" s="28"/>
      <c r="O9" s="25"/>
      <c r="P9" s="25"/>
    </row>
    <row r="10" spans="1:18" ht="31.5" outlineLevel="1" x14ac:dyDescent="0.25">
      <c r="A10" s="29" t="s">
        <v>16</v>
      </c>
      <c r="B10" s="30" t="s">
        <v>17</v>
      </c>
      <c r="C10" s="31"/>
      <c r="D10" s="31"/>
      <c r="E10" s="32"/>
      <c r="F10" s="33"/>
      <c r="G10" s="33"/>
      <c r="H10" s="33"/>
      <c r="I10" s="33"/>
      <c r="J10" s="33"/>
      <c r="K10" s="33"/>
      <c r="L10" s="33"/>
      <c r="M10" s="34"/>
      <c r="N10" s="34">
        <f>SUM($N$79,$N$69,$N$29,$N$11)</f>
        <v>0</v>
      </c>
      <c r="O10" s="31"/>
      <c r="P10" s="31"/>
    </row>
    <row r="11" spans="1:18" outlineLevel="2" x14ac:dyDescent="0.25">
      <c r="A11" s="35" t="s">
        <v>18</v>
      </c>
      <c r="B11" s="36" t="s">
        <v>19</v>
      </c>
      <c r="C11" s="37"/>
      <c r="D11" s="37"/>
      <c r="E11" s="38"/>
      <c r="F11" s="39"/>
      <c r="G11" s="40"/>
      <c r="H11" s="40"/>
      <c r="I11" s="40"/>
      <c r="J11" s="40"/>
      <c r="K11" s="40"/>
      <c r="L11" s="40"/>
      <c r="M11" s="41"/>
      <c r="N11" s="41">
        <f>SUM($N$12)</f>
        <v>0</v>
      </c>
      <c r="O11" s="42"/>
      <c r="P11" s="42"/>
    </row>
    <row r="12" spans="1:18" outlineLevel="3" x14ac:dyDescent="0.25">
      <c r="A12" s="35" t="s">
        <v>20</v>
      </c>
      <c r="B12" s="36" t="s">
        <v>19</v>
      </c>
      <c r="C12" s="37"/>
      <c r="D12" s="37"/>
      <c r="E12" s="38"/>
      <c r="F12" s="39"/>
      <c r="G12" s="40"/>
      <c r="H12" s="40"/>
      <c r="I12" s="40"/>
      <c r="J12" s="40"/>
      <c r="K12" s="40"/>
      <c r="L12" s="40"/>
      <c r="M12" s="41"/>
      <c r="N12" s="41">
        <f>SUM($N$27,$N$24,$N$22,$N$20,$N$18,$N$15,$N$13)</f>
        <v>0</v>
      </c>
      <c r="O12" s="42"/>
      <c r="P12" s="42"/>
    </row>
    <row r="13" spans="1:18" outlineLevel="4" x14ac:dyDescent="0.25">
      <c r="A13" s="43"/>
      <c r="B13" s="36" t="s">
        <v>21</v>
      </c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5"/>
      <c r="N13" s="46">
        <f>SUM($N$14)</f>
        <v>0</v>
      </c>
      <c r="O13" s="40"/>
      <c r="P13" s="47"/>
    </row>
    <row r="14" spans="1:18" outlineLevel="4" x14ac:dyDescent="0.25">
      <c r="A14" s="48"/>
      <c r="B14" s="49" t="s">
        <v>22</v>
      </c>
      <c r="C14" s="50"/>
      <c r="D14" s="50"/>
      <c r="E14" s="51" t="s">
        <v>23</v>
      </c>
      <c r="F14" s="52"/>
      <c r="G14" s="53">
        <f>G16+G17</f>
        <v>341</v>
      </c>
      <c r="H14" s="53">
        <f t="shared" ref="H14:K14" si="0">H16+H17</f>
        <v>1114</v>
      </c>
      <c r="I14" s="53">
        <f t="shared" si="0"/>
        <v>399</v>
      </c>
      <c r="J14" s="53">
        <f t="shared" si="0"/>
        <v>132</v>
      </c>
      <c r="K14" s="53">
        <f t="shared" si="0"/>
        <v>110</v>
      </c>
      <c r="L14" s="54">
        <f>SUM($G$14:$K$14)</f>
        <v>2096</v>
      </c>
      <c r="M14" s="55">
        <f t="array" ref="M14">INDEX(Р[Цена за ед., руб],MATCH(1,IF(($B14=Р[Наименование])*($O14=Р[Примечание]),{1},($B14=Р[Наименование])*($O14=Р[Примечание])),0))</f>
        <v>0</v>
      </c>
      <c r="N14" s="55">
        <f>ROUND($L$14*$M$14,2)</f>
        <v>0</v>
      </c>
      <c r="O14" s="50"/>
      <c r="P14" s="50"/>
    </row>
    <row r="15" spans="1:18" outlineLevel="4" x14ac:dyDescent="0.25">
      <c r="A15" s="43"/>
      <c r="B15" s="36" t="s">
        <v>24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5"/>
      <c r="N15" s="46">
        <f>SUM($N$16:$N$17)</f>
        <v>0</v>
      </c>
      <c r="O15" s="40"/>
      <c r="P15" s="47"/>
    </row>
    <row r="16" spans="1:18" outlineLevel="4" x14ac:dyDescent="0.25">
      <c r="A16" s="48" t="s">
        <v>25</v>
      </c>
      <c r="B16" s="49" t="s">
        <v>26</v>
      </c>
      <c r="C16" s="50"/>
      <c r="D16" s="50" t="s">
        <v>27</v>
      </c>
      <c r="E16" s="51" t="s">
        <v>23</v>
      </c>
      <c r="F16" s="52"/>
      <c r="G16" s="53">
        <v>341</v>
      </c>
      <c r="H16" s="54">
        <v>1114</v>
      </c>
      <c r="I16" s="53">
        <v>399</v>
      </c>
      <c r="J16" s="52"/>
      <c r="K16" s="52"/>
      <c r="L16" s="54">
        <f>SUM($G$16:$K$16)</f>
        <v>1854</v>
      </c>
      <c r="M16" s="55">
        <f t="array" ref="M16">INDEX(М[Цена за ед., руб],MATCH(1,IF(($B16=М[Наим.])*($C16=М[Артикул,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  <c r="N16" s="55">
        <f>ROUND($L$16*$M$16,2)</f>
        <v>0</v>
      </c>
      <c r="O16" s="50"/>
      <c r="P16" s="50">
        <f t="array" ref="P16">INDEX(М[Форма закупа],MATCH(1,IF(($B16=М[Наим.])*($C16=М[Артикул, марка, произв.])*($D16=М[Хар-ка])*($O16=М[Прим.]),{1},($B16=М[Наим.])*($C16=М[Артикул, марка, произв.])*($D16=М[Хар-ка])*($O16=М[Прим.])),0))</f>
        <v>0</v>
      </c>
    </row>
    <row r="17" spans="1:16" outlineLevel="4" x14ac:dyDescent="0.25">
      <c r="A17" s="48" t="s">
        <v>28</v>
      </c>
      <c r="B17" s="49" t="s">
        <v>26</v>
      </c>
      <c r="C17" s="50"/>
      <c r="D17" s="50" t="s">
        <v>29</v>
      </c>
      <c r="E17" s="51" t="s">
        <v>23</v>
      </c>
      <c r="F17" s="52"/>
      <c r="G17" s="52"/>
      <c r="H17" s="52"/>
      <c r="I17" s="52"/>
      <c r="J17" s="53">
        <v>132</v>
      </c>
      <c r="K17" s="53">
        <v>110</v>
      </c>
      <c r="L17" s="53">
        <f>SUM($G$17:$K$17)</f>
        <v>242</v>
      </c>
      <c r="M17" s="55">
        <f t="array" ref="M17">INDEX(М[Цена за ед., руб],MATCH(1,IF(($B17=М[Наим.])*($C17=М[Артикул, марка, произв.])*($D17=М[Хар-ка])*($O17=М[Прим.]),{1},($B17=М[Наим.])*($C17=М[Артикул, марка, произв.])*($D17=М[Хар-ка])*($O17=М[Прим.])),0))</f>
        <v>0</v>
      </c>
      <c r="N17" s="55">
        <f>ROUND($L$17*$M$17,2)</f>
        <v>0</v>
      </c>
      <c r="O17" s="50"/>
      <c r="P17" s="50">
        <f t="array" ref="P17">INDEX(М[Форма закупа],MATCH(1,IF(($B17=М[Наим.])*($C17=М[Артикул, марка, произв.])*($D17=М[Хар-ка])*($O17=М[Прим.]),{1},($B17=М[Наим.])*($C17=М[Артикул, марка, произв.])*($D17=М[Хар-ка])*($O17=М[Прим.])),0))</f>
        <v>0</v>
      </c>
    </row>
    <row r="18" spans="1:16" outlineLevel="4" x14ac:dyDescent="0.25">
      <c r="A18" s="43"/>
      <c r="B18" s="36" t="s">
        <v>21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5"/>
      <c r="N18" s="46">
        <f>SUM($N$19)</f>
        <v>0</v>
      </c>
      <c r="O18" s="40"/>
      <c r="P18" s="47"/>
    </row>
    <row r="19" spans="1:16" outlineLevel="4" x14ac:dyDescent="0.25">
      <c r="A19" s="48"/>
      <c r="B19" s="49" t="s">
        <v>30</v>
      </c>
      <c r="C19" s="50"/>
      <c r="D19" s="50"/>
      <c r="E19" s="51" t="s">
        <v>23</v>
      </c>
      <c r="F19" s="52"/>
      <c r="G19" s="52"/>
      <c r="H19" s="52"/>
      <c r="I19" s="52"/>
      <c r="J19" s="53">
        <f>J21</f>
        <v>717</v>
      </c>
      <c r="K19" s="53">
        <f>K21</f>
        <v>149</v>
      </c>
      <c r="L19" s="53">
        <f>SUM($G$19:$K$19)</f>
        <v>866</v>
      </c>
      <c r="M19" s="55">
        <f t="array" ref="M19">INDEX(Р[Цена за ед., руб],MATCH(1,IF(($B19=Р[Наименование])*($O19=Р[Примечание]),{1},($B19=Р[Наименование])*($O19=Р[Примечание])),0))</f>
        <v>0</v>
      </c>
      <c r="N19" s="55">
        <f>ROUND($L$19*$M$19,2)</f>
        <v>0</v>
      </c>
      <c r="O19" s="50"/>
      <c r="P19" s="50"/>
    </row>
    <row r="20" spans="1:16" outlineLevel="4" x14ac:dyDescent="0.25">
      <c r="A20" s="43"/>
      <c r="B20" s="36" t="s">
        <v>24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5"/>
      <c r="N20" s="46">
        <f>SUM($N$21)</f>
        <v>0</v>
      </c>
      <c r="O20" s="40"/>
      <c r="P20" s="47"/>
    </row>
    <row r="21" spans="1:16" outlineLevel="4" x14ac:dyDescent="0.25">
      <c r="A21" s="48" t="s">
        <v>25</v>
      </c>
      <c r="B21" s="49" t="s">
        <v>26</v>
      </c>
      <c r="C21" s="50"/>
      <c r="D21" s="50" t="s">
        <v>31</v>
      </c>
      <c r="E21" s="51" t="s">
        <v>23</v>
      </c>
      <c r="F21" s="52"/>
      <c r="G21" s="52"/>
      <c r="H21" s="52"/>
      <c r="I21" s="52"/>
      <c r="J21" s="53">
        <v>717</v>
      </c>
      <c r="K21" s="53">
        <v>149</v>
      </c>
      <c r="L21" s="53">
        <f>SUM($G$21:$K$21)</f>
        <v>866</v>
      </c>
      <c r="M21" s="55">
        <f t="array" ref="M21">INDEX(М[Цена за ед., руб],MATCH(1,IF(($B21=М[Наим.])*($C21=М[Артикул,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  <c r="N21" s="55">
        <f>ROUND($L$21*$M$21,2)</f>
        <v>0</v>
      </c>
      <c r="O21" s="50"/>
      <c r="P21" s="50">
        <f t="array" ref="P21">INDEX(М[Форма закупа],MATCH(1,IF(($B21=М[Наим.])*($C21=М[Артикул, марка, произв.])*($D21=М[Хар-ка])*($O21=М[Прим.]),{1},($B21=М[Наим.])*($C21=М[Артикул, марка, произв.])*($D21=М[Хар-ка])*($O21=М[Прим.])),0))</f>
        <v>0</v>
      </c>
    </row>
    <row r="22" spans="1:16" outlineLevel="4" x14ac:dyDescent="0.25">
      <c r="A22" s="43"/>
      <c r="B22" s="36" t="s">
        <v>21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5"/>
      <c r="N22" s="46">
        <f>SUM($N$23)</f>
        <v>0</v>
      </c>
      <c r="O22" s="40"/>
      <c r="P22" s="47"/>
    </row>
    <row r="23" spans="1:16" outlineLevel="4" x14ac:dyDescent="0.25">
      <c r="A23" s="48"/>
      <c r="B23" s="49" t="s">
        <v>32</v>
      </c>
      <c r="C23" s="50"/>
      <c r="D23" s="50"/>
      <c r="E23" s="51" t="s">
        <v>23</v>
      </c>
      <c r="F23" s="52"/>
      <c r="G23" s="53">
        <f>G25+G26</f>
        <v>152</v>
      </c>
      <c r="H23" s="53">
        <f t="shared" ref="H23:K23" si="1">H25+H26</f>
        <v>470</v>
      </c>
      <c r="I23" s="53">
        <f t="shared" si="1"/>
        <v>189</v>
      </c>
      <c r="J23" s="53">
        <f t="shared" si="1"/>
        <v>820</v>
      </c>
      <c r="K23" s="53">
        <f t="shared" si="1"/>
        <v>127</v>
      </c>
      <c r="L23" s="54">
        <f>SUM($G$23:$K$23)</f>
        <v>1758</v>
      </c>
      <c r="M23" s="55">
        <f t="array" ref="M23">INDEX(Р[Цена за ед., руб],MATCH(1,IF(($B23=Р[Наименование])*($O23=Р[Примечание]),{1},($B23=Р[Наименование])*($O23=Р[Примечание])),0))</f>
        <v>0</v>
      </c>
      <c r="N23" s="55">
        <f>ROUND($L$23*$M$23,2)</f>
        <v>0</v>
      </c>
      <c r="O23" s="50"/>
      <c r="P23" s="50"/>
    </row>
    <row r="24" spans="1:16" outlineLevel="4" x14ac:dyDescent="0.25">
      <c r="A24" s="43"/>
      <c r="B24" s="36" t="s">
        <v>24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5"/>
      <c r="N24" s="46">
        <f>SUM($N$25:$N$26)</f>
        <v>0</v>
      </c>
      <c r="O24" s="40"/>
      <c r="P24" s="47"/>
    </row>
    <row r="25" spans="1:16" ht="31.5" outlineLevel="4" x14ac:dyDescent="0.25">
      <c r="A25" s="48" t="s">
        <v>25</v>
      </c>
      <c r="B25" s="49" t="s">
        <v>33</v>
      </c>
      <c r="C25" s="50"/>
      <c r="D25" s="50" t="s">
        <v>34</v>
      </c>
      <c r="E25" s="51" t="s">
        <v>35</v>
      </c>
      <c r="F25" s="52"/>
      <c r="G25" s="53">
        <v>44</v>
      </c>
      <c r="H25" s="53">
        <v>33</v>
      </c>
      <c r="I25" s="53">
        <v>39</v>
      </c>
      <c r="J25" s="53">
        <v>675</v>
      </c>
      <c r="K25" s="53">
        <v>127</v>
      </c>
      <c r="L25" s="53">
        <f>SUM($G$25:$K$25)</f>
        <v>918</v>
      </c>
      <c r="M25" s="55">
        <f t="array" ref="M25">INDEX(М[Цена за ед., руб],MATCH(1,IF(($B25=М[Наим.])*($C25=М[Артикул,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  <c r="N25" s="55">
        <f>ROUND($L$25*$M$25,2)</f>
        <v>0</v>
      </c>
      <c r="O25" s="50"/>
      <c r="P25" s="50">
        <f t="array" ref="P25">INDEX(М[Форма закупа],MATCH(1,IF(($B25=М[Наим.])*($C25=М[Артикул, марка, произв.])*($D25=М[Хар-ка])*($O25=М[Прим.]),{1},($B25=М[Наим.])*($C25=М[Артикул, марка, произв.])*($D25=М[Хар-ка])*($O25=М[Прим.])),0))</f>
        <v>0</v>
      </c>
    </row>
    <row r="26" spans="1:16" ht="31.5" outlineLevel="4" x14ac:dyDescent="0.25">
      <c r="A26" s="48" t="s">
        <v>28</v>
      </c>
      <c r="B26" s="49" t="s">
        <v>33</v>
      </c>
      <c r="C26" s="50"/>
      <c r="D26" s="50" t="s">
        <v>36</v>
      </c>
      <c r="E26" s="51" t="s">
        <v>35</v>
      </c>
      <c r="F26" s="52"/>
      <c r="G26" s="53">
        <v>108</v>
      </c>
      <c r="H26" s="53">
        <v>437</v>
      </c>
      <c r="I26" s="53">
        <v>150</v>
      </c>
      <c r="J26" s="53">
        <v>145</v>
      </c>
      <c r="K26" s="52"/>
      <c r="L26" s="53">
        <f>SUM($G$26:$K$26)</f>
        <v>840</v>
      </c>
      <c r="M26" s="55">
        <f t="array" ref="M26">INDEX(М[Цена за ед., руб],MATCH(1,IF(($B26=М[Наим.])*($C26=М[Артикул,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  <c r="N26" s="55">
        <f>ROUND($L$26*$M$26,2)</f>
        <v>0</v>
      </c>
      <c r="O26" s="50"/>
      <c r="P26" s="50">
        <f t="array" ref="P26">INDEX(М[Форма закупа],MATCH(1,IF(($B26=М[Наим.])*($C26=М[Артикул,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</row>
    <row r="27" spans="1:16" outlineLevel="4" x14ac:dyDescent="0.25">
      <c r="A27" s="43"/>
      <c r="B27" s="36" t="s">
        <v>24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5"/>
      <c r="N27" s="46">
        <f>SUM($N$28)</f>
        <v>0</v>
      </c>
      <c r="O27" s="40"/>
      <c r="P27" s="47"/>
    </row>
    <row r="28" spans="1:16" outlineLevel="4" x14ac:dyDescent="0.25">
      <c r="A28" s="48" t="s">
        <v>25</v>
      </c>
      <c r="B28" s="60" t="s">
        <v>110</v>
      </c>
      <c r="C28" s="61"/>
      <c r="D28" s="61"/>
      <c r="E28" s="62" t="s">
        <v>37</v>
      </c>
      <c r="F28" s="52"/>
      <c r="G28" s="52"/>
      <c r="H28" s="52"/>
      <c r="I28" s="52"/>
      <c r="J28" s="52"/>
      <c r="K28" s="52"/>
      <c r="L28" s="84">
        <f>Материалы!E21</f>
        <v>0</v>
      </c>
      <c r="M28" s="85"/>
      <c r="N28" s="85">
        <f>ROUND(SUM(N16:N17,N21,N25:N26)*L28%,3)</f>
        <v>0</v>
      </c>
      <c r="O28" s="50"/>
      <c r="P28" s="50">
        <f t="array" ref="P28">INDEX(М[Форма закупа],MATCH(1,IF(($B28=М[Наим.])*($C28=М[Артикул, марка, произв.])*($D28=М[Хар-ка])*($O28=М[Прим.]),{1},($B28=М[Наим.])*($C28=М[Артикул, марка, произв.])*($D28=М[Хар-ка])*($O28=М[Прим.])),0))</f>
        <v>0</v>
      </c>
    </row>
    <row r="29" spans="1:16" outlineLevel="2" x14ac:dyDescent="0.25">
      <c r="A29" s="35" t="s">
        <v>38</v>
      </c>
      <c r="B29" s="36" t="s">
        <v>39</v>
      </c>
      <c r="C29" s="37"/>
      <c r="D29" s="37"/>
      <c r="E29" s="38"/>
      <c r="F29" s="39"/>
      <c r="G29" s="40"/>
      <c r="H29" s="40"/>
      <c r="I29" s="40"/>
      <c r="J29" s="40"/>
      <c r="K29" s="40"/>
      <c r="L29" s="40"/>
      <c r="M29" s="41"/>
      <c r="N29" s="41">
        <f>SUM($N$30)</f>
        <v>0</v>
      </c>
      <c r="O29" s="42"/>
      <c r="P29" s="42"/>
    </row>
    <row r="30" spans="1:16" outlineLevel="3" x14ac:dyDescent="0.25">
      <c r="A30" s="35" t="s">
        <v>40</v>
      </c>
      <c r="B30" s="36" t="s">
        <v>39</v>
      </c>
      <c r="C30" s="37"/>
      <c r="D30" s="37"/>
      <c r="E30" s="38"/>
      <c r="F30" s="39"/>
      <c r="G30" s="40"/>
      <c r="H30" s="40"/>
      <c r="I30" s="40"/>
      <c r="J30" s="40"/>
      <c r="K30" s="40"/>
      <c r="L30" s="40"/>
      <c r="M30" s="41"/>
      <c r="N30" s="41">
        <f>SUM($N$58,$N$50,$N$45,$N$40,$N$35,$N$31)</f>
        <v>0</v>
      </c>
      <c r="O30" s="42"/>
      <c r="P30" s="42"/>
    </row>
    <row r="31" spans="1:16" outlineLevel="4" x14ac:dyDescent="0.25">
      <c r="A31" s="43"/>
      <c r="B31" s="36" t="s">
        <v>134</v>
      </c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5"/>
      <c r="N31" s="46">
        <f>SUM($N$32:$N$34)</f>
        <v>0</v>
      </c>
      <c r="O31" s="40"/>
      <c r="P31" s="47"/>
    </row>
    <row r="32" spans="1:16" outlineLevel="4" x14ac:dyDescent="0.25">
      <c r="A32" s="48"/>
      <c r="B32" s="49" t="s">
        <v>131</v>
      </c>
      <c r="C32" s="50"/>
      <c r="D32" s="50"/>
      <c r="E32" s="51" t="s">
        <v>44</v>
      </c>
      <c r="F32" s="52"/>
      <c r="G32" s="53">
        <f>G36+G37</f>
        <v>9</v>
      </c>
      <c r="H32" s="53">
        <f t="shared" ref="H32:K32" si="2">H36+H37</f>
        <v>23</v>
      </c>
      <c r="I32" s="53">
        <f t="shared" si="2"/>
        <v>15</v>
      </c>
      <c r="J32" s="53">
        <f t="shared" si="2"/>
        <v>29</v>
      </c>
      <c r="K32" s="53">
        <f t="shared" si="2"/>
        <v>22</v>
      </c>
      <c r="L32" s="53">
        <f>SUM(G32:K32)</f>
        <v>98</v>
      </c>
      <c r="M32" s="55">
        <f t="array" ref="M32">INDEX(Р[Цена за ед., руб],MATCH(1,IF(($B32=Р[Наименование])*($O32=Р[Примечание]),{1},($B32=Р[Наименование])*($O32=Р[Примечание])),0))</f>
        <v>0</v>
      </c>
      <c r="N32" s="55">
        <f>ROUND(L32*M32,2)</f>
        <v>0</v>
      </c>
      <c r="O32" s="50"/>
      <c r="P32" s="50"/>
    </row>
    <row r="33" spans="1:16" outlineLevel="4" x14ac:dyDescent="0.25">
      <c r="A33" s="48"/>
      <c r="B33" s="49" t="s">
        <v>132</v>
      </c>
      <c r="C33" s="50"/>
      <c r="D33" s="50"/>
      <c r="E33" s="51" t="s">
        <v>44</v>
      </c>
      <c r="F33" s="52"/>
      <c r="G33" s="53">
        <f>G38</f>
        <v>0</v>
      </c>
      <c r="H33" s="53">
        <f t="shared" ref="H33:K33" si="3">H38</f>
        <v>0</v>
      </c>
      <c r="I33" s="53">
        <f t="shared" si="3"/>
        <v>0</v>
      </c>
      <c r="J33" s="53">
        <f t="shared" si="3"/>
        <v>29</v>
      </c>
      <c r="K33" s="53">
        <f t="shared" si="3"/>
        <v>22</v>
      </c>
      <c r="L33" s="53">
        <f t="shared" ref="L33:L34" si="4">SUM(G33:K33)</f>
        <v>51</v>
      </c>
      <c r="M33" s="55">
        <f t="array" ref="M33">INDEX(Р[Цена за ед., руб],MATCH(1,IF(($B33=Р[Наименование])*($O33=Р[Примечание]),{1},($B33=Р[Наименование])*($O33=Р[Примечание])),0))</f>
        <v>0</v>
      </c>
      <c r="N33" s="55">
        <f t="shared" ref="N33:N34" si="5">ROUND(L33*M33,2)</f>
        <v>0</v>
      </c>
      <c r="O33" s="50"/>
      <c r="P33" s="50"/>
    </row>
    <row r="34" spans="1:16" outlineLevel="4" x14ac:dyDescent="0.25">
      <c r="A34" s="48"/>
      <c r="B34" s="49" t="s">
        <v>133</v>
      </c>
      <c r="C34" s="50"/>
      <c r="D34" s="50"/>
      <c r="E34" s="51" t="s">
        <v>44</v>
      </c>
      <c r="F34" s="52"/>
      <c r="G34" s="53">
        <f>G39</f>
        <v>9</v>
      </c>
      <c r="H34" s="53">
        <f t="shared" ref="H34:K34" si="6">H39</f>
        <v>23</v>
      </c>
      <c r="I34" s="53">
        <f t="shared" si="6"/>
        <v>15</v>
      </c>
      <c r="J34" s="53">
        <f t="shared" si="6"/>
        <v>0</v>
      </c>
      <c r="K34" s="53">
        <f t="shared" si="6"/>
        <v>0</v>
      </c>
      <c r="L34" s="53">
        <f t="shared" si="4"/>
        <v>47</v>
      </c>
      <c r="M34" s="55">
        <f t="array" ref="M34">INDEX(Р[Цена за ед., руб],MATCH(1,IF(($B34=Р[Наименование])*($O34=Р[Примечание]),{1},($B34=Р[Наименование])*($O34=Р[Примечание])),0))</f>
        <v>0</v>
      </c>
      <c r="N34" s="55">
        <f t="shared" si="5"/>
        <v>0</v>
      </c>
      <c r="O34" s="50"/>
      <c r="P34" s="50"/>
    </row>
    <row r="35" spans="1:16" outlineLevel="4" x14ac:dyDescent="0.25">
      <c r="A35" s="43"/>
      <c r="B35" s="36" t="s">
        <v>24</v>
      </c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5"/>
      <c r="N35" s="46">
        <f>SUM($N$36:$N$39)</f>
        <v>0</v>
      </c>
      <c r="O35" s="40"/>
      <c r="P35" s="47"/>
    </row>
    <row r="36" spans="1:16" ht="31.5" outlineLevel="4" x14ac:dyDescent="0.25">
      <c r="A36" s="48" t="s">
        <v>25</v>
      </c>
      <c r="B36" s="49" t="s">
        <v>42</v>
      </c>
      <c r="C36" s="50"/>
      <c r="D36" s="50" t="s">
        <v>43</v>
      </c>
      <c r="E36" s="51" t="s">
        <v>44</v>
      </c>
      <c r="F36" s="52"/>
      <c r="G36" s="53">
        <v>9</v>
      </c>
      <c r="H36" s="53">
        <v>23</v>
      </c>
      <c r="I36" s="53">
        <v>15</v>
      </c>
      <c r="J36" s="52"/>
      <c r="K36" s="52"/>
      <c r="L36" s="53">
        <f>SUM($G$36:$K$36)</f>
        <v>47</v>
      </c>
      <c r="M36" s="55">
        <f t="array" ref="M36">INDEX(М[Цена за ед., руб],MATCH(1,IF(($B36=М[Наим.])*($C36=М[Артикул,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  <c r="N36" s="55">
        <f>ROUND($L$36*$M$36,2)</f>
        <v>0</v>
      </c>
      <c r="O36" s="50" t="s">
        <v>45</v>
      </c>
      <c r="P36" s="50">
        <f t="array" ref="P36">INDEX(М[Форма закупа],MATCH(1,IF(($B36=М[Наим.])*($C36=М[Артикул,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</row>
    <row r="37" spans="1:16" ht="31.5" outlineLevel="4" x14ac:dyDescent="0.25">
      <c r="A37" s="48" t="s">
        <v>28</v>
      </c>
      <c r="B37" s="49" t="s">
        <v>42</v>
      </c>
      <c r="C37" s="50"/>
      <c r="D37" s="50" t="s">
        <v>46</v>
      </c>
      <c r="E37" s="51" t="s">
        <v>44</v>
      </c>
      <c r="F37" s="52"/>
      <c r="G37" s="52"/>
      <c r="H37" s="52"/>
      <c r="I37" s="52"/>
      <c r="J37" s="53">
        <v>29</v>
      </c>
      <c r="K37" s="53">
        <v>22</v>
      </c>
      <c r="L37" s="53">
        <f>SUM($G$37:$K$37)</f>
        <v>51</v>
      </c>
      <c r="M37" s="55">
        <f t="array" ref="M37">INDEX(М[Цена за ед., руб],MATCH(1,IF(($B37=М[Наим.])*($C37=М[Артикул,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  <c r="N37" s="55">
        <f>ROUND($L$37*$M$37,2)</f>
        <v>0</v>
      </c>
      <c r="O37" s="50" t="s">
        <v>47</v>
      </c>
      <c r="P37" s="50">
        <f t="array" ref="P37">INDEX(М[Форма закупа],MATCH(1,IF(($B37=М[Наим.])*($C37=М[Артикул, марка, произв.])*($D37=М[Хар-ка])*($O37=М[Прим.]),{1},($B37=М[Наим.])*($C37=М[Артикул, марка, произв.])*($D37=М[Хар-ка])*($O37=М[Прим.])),0))</f>
        <v>0</v>
      </c>
    </row>
    <row r="38" spans="1:16" outlineLevel="4" x14ac:dyDescent="0.25">
      <c r="A38" s="48" t="s">
        <v>48</v>
      </c>
      <c r="B38" s="49" t="s">
        <v>49</v>
      </c>
      <c r="C38" s="50"/>
      <c r="D38" s="50" t="s">
        <v>50</v>
      </c>
      <c r="E38" s="51" t="s">
        <v>44</v>
      </c>
      <c r="F38" s="52"/>
      <c r="G38" s="52"/>
      <c r="H38" s="52"/>
      <c r="I38" s="52"/>
      <c r="J38" s="53">
        <v>29</v>
      </c>
      <c r="K38" s="53">
        <v>22</v>
      </c>
      <c r="L38" s="53">
        <f>SUM($G$38:$K$38)</f>
        <v>51</v>
      </c>
      <c r="M38" s="55">
        <f t="array" ref="M38">INDEX(М[Цена за ед., руб],MATCH(1,IF(($B38=М[Наим.])*($C38=М[Артикул,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  <c r="N38" s="55">
        <f>ROUND($L$38*$M$38,2)</f>
        <v>0</v>
      </c>
      <c r="O38" s="50" t="s">
        <v>51</v>
      </c>
      <c r="P38" s="50">
        <f t="array" ref="P38">INDEX(М[Форма закупа],MATCH(1,IF(($B38=М[Наим.])*($C38=М[Артикул, марка, произв.])*($D38=М[Хар-ка])*($O38=М[Прим.]),{1},($B38=М[Наим.])*($C38=М[Артикул, марка, произв.])*($D38=М[Хар-ка])*($O38=М[Прим.])),0))</f>
        <v>0</v>
      </c>
    </row>
    <row r="39" spans="1:16" outlineLevel="4" x14ac:dyDescent="0.25">
      <c r="A39" s="48" t="s">
        <v>52</v>
      </c>
      <c r="B39" s="49" t="s">
        <v>53</v>
      </c>
      <c r="C39" s="50"/>
      <c r="D39" s="50" t="s">
        <v>54</v>
      </c>
      <c r="E39" s="51" t="s">
        <v>44</v>
      </c>
      <c r="F39" s="52"/>
      <c r="G39" s="53">
        <v>9</v>
      </c>
      <c r="H39" s="53">
        <v>23</v>
      </c>
      <c r="I39" s="53">
        <v>15</v>
      </c>
      <c r="J39" s="52"/>
      <c r="K39" s="52"/>
      <c r="L39" s="53">
        <f>SUM($G$39:$K$39)</f>
        <v>47</v>
      </c>
      <c r="M39" s="55">
        <f t="array" ref="M39">INDEX(М[Цена за ед., руб],MATCH(1,IF(($B39=М[Наим.])*($C39=М[Артикул,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  <c r="N39" s="55">
        <f>ROUND($L$39*$M$39,2)</f>
        <v>0</v>
      </c>
      <c r="O39" s="50" t="s">
        <v>55</v>
      </c>
      <c r="P39" s="50">
        <f t="array" ref="P39">INDEX(М[Форма закупа],MATCH(1,IF(($B39=М[Наим.])*($C39=М[Артикул, марка, произв.])*($D39=М[Хар-ка])*($O39=М[Прим.]),{1},($B39=М[Наим.])*($C39=М[Артикул, марка, произв.])*($D39=М[Хар-ка])*($O39=М[Прим.])),0))</f>
        <v>0</v>
      </c>
    </row>
    <row r="40" spans="1:16" outlineLevel="4" x14ac:dyDescent="0.25">
      <c r="A40" s="43"/>
      <c r="B40" s="36" t="s">
        <v>135</v>
      </c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5"/>
      <c r="N40" s="46">
        <f>SUM($N$41:$N$44)</f>
        <v>0</v>
      </c>
      <c r="O40" s="40"/>
      <c r="P40" s="47"/>
    </row>
    <row r="41" spans="1:16" outlineLevel="4" x14ac:dyDescent="0.25">
      <c r="A41" s="48"/>
      <c r="B41" s="49" t="s">
        <v>131</v>
      </c>
      <c r="C41" s="50"/>
      <c r="D41" s="50"/>
      <c r="E41" s="51" t="s">
        <v>44</v>
      </c>
      <c r="F41" s="52"/>
      <c r="G41" s="52">
        <f>G46</f>
        <v>0</v>
      </c>
      <c r="H41" s="52">
        <f t="shared" ref="H41:K41" si="7">H46</f>
        <v>0</v>
      </c>
      <c r="I41" s="52">
        <f t="shared" si="7"/>
        <v>0</v>
      </c>
      <c r="J41" s="52">
        <f t="shared" si="7"/>
        <v>16</v>
      </c>
      <c r="K41" s="52">
        <f t="shared" si="7"/>
        <v>0</v>
      </c>
      <c r="L41" s="53">
        <f t="shared" ref="L41:L44" si="8">SUM(G41:K41)</f>
        <v>16</v>
      </c>
      <c r="M41" s="55">
        <f t="array" ref="M41">INDEX(Р[Цена за ед., руб],MATCH(1,IF(($B41=Р[Наименование])*($O41=Р[Примечание]),{1},($B41=Р[Наименование])*($O41=Р[Примечание])),0))</f>
        <v>0</v>
      </c>
      <c r="N41" s="55">
        <f t="shared" ref="N41:N44" si="9">ROUND(L41*M41,2)</f>
        <v>0</v>
      </c>
      <c r="O41" s="50"/>
      <c r="P41" s="50"/>
    </row>
    <row r="42" spans="1:16" outlineLevel="4" x14ac:dyDescent="0.25">
      <c r="A42" s="48"/>
      <c r="B42" s="49" t="s">
        <v>136</v>
      </c>
      <c r="C42" s="50"/>
      <c r="D42" s="50"/>
      <c r="E42" s="51" t="s">
        <v>44</v>
      </c>
      <c r="F42" s="52"/>
      <c r="G42" s="52">
        <f>G47</f>
        <v>0</v>
      </c>
      <c r="H42" s="52">
        <f t="shared" ref="H42:K42" si="10">H47</f>
        <v>0</v>
      </c>
      <c r="I42" s="52">
        <f t="shared" si="10"/>
        <v>0</v>
      </c>
      <c r="J42" s="52">
        <f t="shared" si="10"/>
        <v>1</v>
      </c>
      <c r="K42" s="52">
        <f t="shared" si="10"/>
        <v>0</v>
      </c>
      <c r="L42" s="53">
        <f t="shared" si="8"/>
        <v>1</v>
      </c>
      <c r="M42" s="55">
        <f t="array" ref="M42">INDEX(Р[Цена за ед., руб],MATCH(1,IF(($B42=Р[Наименование])*($O42=Р[Примечание]),{1},($B42=Р[Наименование])*($O42=Р[Примечание])),0))</f>
        <v>0</v>
      </c>
      <c r="N42" s="55">
        <f t="shared" si="9"/>
        <v>0</v>
      </c>
      <c r="O42" s="50"/>
      <c r="P42" s="50"/>
    </row>
    <row r="43" spans="1:16" outlineLevel="4" x14ac:dyDescent="0.25">
      <c r="A43" s="48"/>
      <c r="B43" s="49" t="s">
        <v>137</v>
      </c>
      <c r="C43" s="50"/>
      <c r="D43" s="50"/>
      <c r="E43" s="51" t="s">
        <v>44</v>
      </c>
      <c r="F43" s="52"/>
      <c r="G43" s="52">
        <f>G48</f>
        <v>0</v>
      </c>
      <c r="H43" s="52">
        <f t="shared" ref="H43:K43" si="11">H48</f>
        <v>0</v>
      </c>
      <c r="I43" s="52">
        <f t="shared" si="11"/>
        <v>0</v>
      </c>
      <c r="J43" s="52">
        <f t="shared" si="11"/>
        <v>2</v>
      </c>
      <c r="K43" s="52">
        <f t="shared" si="11"/>
        <v>0</v>
      </c>
      <c r="L43" s="53">
        <f t="shared" si="8"/>
        <v>2</v>
      </c>
      <c r="M43" s="55">
        <f t="array" ref="M43">INDEX(Р[Цена за ед., руб],MATCH(1,IF(($B43=Р[Наименование])*($O43=Р[Примечание]),{1},($B43=Р[Наименование])*($O43=Р[Примечание])),0))</f>
        <v>0</v>
      </c>
      <c r="N43" s="55">
        <f t="shared" si="9"/>
        <v>0</v>
      </c>
      <c r="O43" s="50"/>
      <c r="P43" s="50"/>
    </row>
    <row r="44" spans="1:16" outlineLevel="4" x14ac:dyDescent="0.25">
      <c r="A44" s="48"/>
      <c r="B44" s="49" t="s">
        <v>138</v>
      </c>
      <c r="C44" s="50"/>
      <c r="D44" s="50"/>
      <c r="E44" s="51" t="s">
        <v>44</v>
      </c>
      <c r="F44" s="52"/>
      <c r="G44" s="52">
        <f>G49</f>
        <v>0</v>
      </c>
      <c r="H44" s="52">
        <f t="shared" ref="H44:K44" si="12">H49</f>
        <v>0</v>
      </c>
      <c r="I44" s="52">
        <f t="shared" si="12"/>
        <v>0</v>
      </c>
      <c r="J44" s="52">
        <f t="shared" si="12"/>
        <v>1</v>
      </c>
      <c r="K44" s="52">
        <f t="shared" si="12"/>
        <v>0</v>
      </c>
      <c r="L44" s="53">
        <f t="shared" si="8"/>
        <v>1</v>
      </c>
      <c r="M44" s="55">
        <f t="array" ref="M44">INDEX(Р[Цена за ед., руб],MATCH(1,IF(($B44=Р[Наименование])*($O44=Р[Примечание]),{1},($B44=Р[Наименование])*($O44=Р[Примечание])),0))</f>
        <v>0</v>
      </c>
      <c r="N44" s="55">
        <f t="shared" si="9"/>
        <v>0</v>
      </c>
      <c r="O44" s="50"/>
      <c r="P44" s="50"/>
    </row>
    <row r="45" spans="1:16" outlineLevel="4" x14ac:dyDescent="0.25">
      <c r="A45" s="43"/>
      <c r="B45" s="36" t="s">
        <v>24</v>
      </c>
      <c r="C45" s="44"/>
      <c r="D45" s="44"/>
      <c r="E45" s="44"/>
      <c r="F45" s="44"/>
      <c r="G45" s="44"/>
      <c r="H45" s="44"/>
      <c r="I45" s="44"/>
      <c r="J45" s="44"/>
      <c r="K45" s="44"/>
      <c r="L45" s="44"/>
      <c r="M45" s="45"/>
      <c r="N45" s="46">
        <f>SUM($N$46:$N$49)</f>
        <v>0</v>
      </c>
      <c r="O45" s="40"/>
      <c r="P45" s="47"/>
    </row>
    <row r="46" spans="1:16" ht="31.5" outlineLevel="4" x14ac:dyDescent="0.25">
      <c r="A46" s="48" t="s">
        <v>25</v>
      </c>
      <c r="B46" s="49" t="s">
        <v>42</v>
      </c>
      <c r="C46" s="50"/>
      <c r="D46" s="50" t="s">
        <v>56</v>
      </c>
      <c r="E46" s="51" t="s">
        <v>44</v>
      </c>
      <c r="F46" s="52"/>
      <c r="G46" s="52"/>
      <c r="H46" s="52"/>
      <c r="I46" s="52"/>
      <c r="J46" s="53">
        <v>16</v>
      </c>
      <c r="K46" s="52"/>
      <c r="L46" s="53">
        <f>SUM($G$46:$K$46)</f>
        <v>16</v>
      </c>
      <c r="M46" s="55">
        <f t="array" ref="M46">INDEX(М[Цена за ед., руб],MATCH(1,IF(($B46=М[Наим.])*($C46=М[Артикул,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  <c r="N46" s="55">
        <f>ROUND($L$46*$M$46,2)</f>
        <v>0</v>
      </c>
      <c r="O46" s="50" t="s">
        <v>57</v>
      </c>
      <c r="P46" s="50">
        <f t="array" ref="P46">INDEX(М[Форма закупа],MATCH(1,IF(($B46=М[Наим.])*($C46=М[Артикул,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</row>
    <row r="47" spans="1:16" ht="31.5" outlineLevel="4" x14ac:dyDescent="0.25">
      <c r="A47" s="48" t="s">
        <v>28</v>
      </c>
      <c r="B47" s="49" t="s">
        <v>58</v>
      </c>
      <c r="C47" s="50"/>
      <c r="D47" s="50" t="s">
        <v>59</v>
      </c>
      <c r="E47" s="51" t="s">
        <v>44</v>
      </c>
      <c r="F47" s="52"/>
      <c r="G47" s="52"/>
      <c r="H47" s="52"/>
      <c r="I47" s="52"/>
      <c r="J47" s="53">
        <v>1</v>
      </c>
      <c r="K47" s="52"/>
      <c r="L47" s="53">
        <f>SUM($G$47:$K$47)</f>
        <v>1</v>
      </c>
      <c r="M47" s="55">
        <f t="array" ref="M47">INDEX(М[Цена за ед., руб],MATCH(1,IF(($B47=М[Наим.])*($C47=М[Артикул, марка, произв.])*($D47=М[Хар-ка])*($O47=М[Прим.]),{1},($B47=М[Наим.])*($C47=М[Артикул, марка, произв.])*($D47=М[Хар-ка])*($O47=М[Прим.])),0))</f>
        <v>0</v>
      </c>
      <c r="N47" s="55">
        <f>ROUND($L$47*$M$47,2)</f>
        <v>0</v>
      </c>
      <c r="O47" s="50" t="s">
        <v>60</v>
      </c>
      <c r="P47" s="50">
        <f t="array" ref="P47">INDEX(М[Форма закупа],MATCH(1,IF(($B47=М[Наим.])*($C47=М[Артикул, марка, произв.])*($D47=М[Хар-ка])*($O47=М[Прим.]),{1},($B47=М[Наим.])*($C47=М[Артикул, марка, произв.])*($D47=М[Хар-ка])*($O47=М[Прим.])),0))</f>
        <v>0</v>
      </c>
    </row>
    <row r="48" spans="1:16" outlineLevel="4" x14ac:dyDescent="0.25">
      <c r="A48" s="48" t="s">
        <v>48</v>
      </c>
      <c r="B48" s="49" t="s">
        <v>61</v>
      </c>
      <c r="C48" s="50"/>
      <c r="D48" s="50" t="s">
        <v>62</v>
      </c>
      <c r="E48" s="51" t="s">
        <v>44</v>
      </c>
      <c r="F48" s="52"/>
      <c r="G48" s="52"/>
      <c r="H48" s="52"/>
      <c r="I48" s="52"/>
      <c r="J48" s="53">
        <v>2</v>
      </c>
      <c r="K48" s="52"/>
      <c r="L48" s="53">
        <f>SUM($G$48:$K$48)</f>
        <v>2</v>
      </c>
      <c r="M48" s="55">
        <f t="array" ref="M48">INDEX(М[Цена за ед., руб],MATCH(1,IF(($B48=М[Наим.])*($C48=М[Артикул, марка, произв.])*($D48=М[Хар-ка])*($O48=М[Прим.]),{1},($B48=М[Наим.])*($C48=М[Артикул, марка, произв.])*($D48=М[Хар-ка])*($O48=М[Прим.])),0))</f>
        <v>0</v>
      </c>
      <c r="N48" s="55">
        <f>ROUND($L$48*$M$48,2)</f>
        <v>0</v>
      </c>
      <c r="O48" s="50"/>
      <c r="P48" s="50">
        <f t="array" ref="P48">INDEX(М[Форма закупа],MATCH(1,IF(($B48=М[Наим.])*($C48=М[Артикул, марка, произв.])*($D48=М[Хар-ка])*($O48=М[Прим.]),{1},($B48=М[Наим.])*($C48=М[Артикул, марка, произв.])*($D48=М[Хар-ка])*($O48=М[Прим.])),0))</f>
        <v>0</v>
      </c>
    </row>
    <row r="49" spans="1:16" outlineLevel="4" x14ac:dyDescent="0.25">
      <c r="A49" s="48" t="s">
        <v>52</v>
      </c>
      <c r="B49" s="49" t="s">
        <v>63</v>
      </c>
      <c r="C49" s="50"/>
      <c r="D49" s="50" t="s">
        <v>64</v>
      </c>
      <c r="E49" s="51" t="s">
        <v>44</v>
      </c>
      <c r="F49" s="52"/>
      <c r="G49" s="52"/>
      <c r="H49" s="52"/>
      <c r="I49" s="52"/>
      <c r="J49" s="53">
        <v>1</v>
      </c>
      <c r="K49" s="52"/>
      <c r="L49" s="53">
        <f>SUM($G$49:$K$49)</f>
        <v>1</v>
      </c>
      <c r="M49" s="55">
        <f t="array" ref="M49">INDEX(М[Цена за ед., руб],MATCH(1,IF(($B49=М[Наим.])*($C49=М[Артикул, марка, произв.])*($D49=М[Хар-ка])*($O49=М[Прим.]),{1},($B49=М[Наим.])*($C49=М[Артикул, марка, произв.])*($D49=М[Хар-ка])*($O49=М[Прим.])),0))</f>
        <v>0</v>
      </c>
      <c r="N49" s="55">
        <f>ROUND($L$49*$M$49,2)</f>
        <v>0</v>
      </c>
      <c r="O49" s="50"/>
      <c r="P49" s="50">
        <f t="array" ref="P49">INDEX(М[Форма закупа],MATCH(1,IF(($B49=М[Наим.])*($C49=М[Артикул, марка, произв.])*($D49=М[Хар-ка])*($O49=М[Прим.]),{1},($B49=М[Наим.])*($C49=М[Артикул, марка, произв.])*($D49=М[Хар-ка])*($O49=М[Прим.])),0))</f>
        <v>0</v>
      </c>
    </row>
    <row r="50" spans="1:16" outlineLevel="4" x14ac:dyDescent="0.25">
      <c r="A50" s="43"/>
      <c r="B50" s="36" t="s">
        <v>139</v>
      </c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5"/>
      <c r="N50" s="46">
        <f>SUM($N$51:$N$57)</f>
        <v>0</v>
      </c>
      <c r="O50" s="40"/>
      <c r="P50" s="47"/>
    </row>
    <row r="51" spans="1:16" outlineLevel="4" x14ac:dyDescent="0.25">
      <c r="A51" s="48"/>
      <c r="B51" s="49" t="s">
        <v>131</v>
      </c>
      <c r="C51" s="50"/>
      <c r="D51" s="50"/>
      <c r="E51" s="51" t="s">
        <v>44</v>
      </c>
      <c r="F51" s="52"/>
      <c r="G51" s="53">
        <f>G59+G60</f>
        <v>1</v>
      </c>
      <c r="H51" s="53">
        <f t="shared" ref="H51:K51" si="13">H59+H60</f>
        <v>1</v>
      </c>
      <c r="I51" s="53">
        <f t="shared" si="13"/>
        <v>1</v>
      </c>
      <c r="J51" s="53">
        <f t="shared" si="13"/>
        <v>1</v>
      </c>
      <c r="K51" s="53">
        <f t="shared" si="13"/>
        <v>1</v>
      </c>
      <c r="L51" s="53">
        <f>SUM(G51:K51)</f>
        <v>5</v>
      </c>
      <c r="M51" s="55">
        <f t="array" ref="M51">INDEX(Р[Цена за ед., руб],MATCH(1,IF(($B51=Р[Наименование])*($O51=Р[Примечание]),{1},($B51=Р[Наименование])*($O51=Р[Примечание])),0))</f>
        <v>0</v>
      </c>
      <c r="N51" s="55">
        <f>ROUND(L51*M51,2)</f>
        <v>0</v>
      </c>
      <c r="O51" s="50"/>
      <c r="P51" s="50"/>
    </row>
    <row r="52" spans="1:16" outlineLevel="4" x14ac:dyDescent="0.25">
      <c r="A52" s="48"/>
      <c r="B52" s="49" t="s">
        <v>132</v>
      </c>
      <c r="C52" s="50"/>
      <c r="D52" s="50"/>
      <c r="E52" s="51" t="s">
        <v>44</v>
      </c>
      <c r="F52" s="52"/>
      <c r="G52" s="53">
        <f>G61</f>
        <v>0</v>
      </c>
      <c r="H52" s="53">
        <f t="shared" ref="H52:K52" si="14">H61</f>
        <v>0</v>
      </c>
      <c r="I52" s="53">
        <f t="shared" si="14"/>
        <v>0</v>
      </c>
      <c r="J52" s="53">
        <f t="shared" si="14"/>
        <v>1</v>
      </c>
      <c r="K52" s="53">
        <f t="shared" si="14"/>
        <v>1</v>
      </c>
      <c r="L52" s="53">
        <f>SUM(G52:K52)</f>
        <v>2</v>
      </c>
      <c r="M52" s="55">
        <f t="array" ref="M52">INDEX(Р[Цена за ед., руб],MATCH(1,IF(($B52=Р[Наименование])*($O52=Р[Примечание]),{1},($B52=Р[Наименование])*($O52=Р[Примечание])),0))</f>
        <v>0</v>
      </c>
      <c r="N52" s="55">
        <f>ROUND(L52*M52,2)</f>
        <v>0</v>
      </c>
      <c r="O52" s="50"/>
      <c r="P52" s="50"/>
    </row>
    <row r="53" spans="1:16" outlineLevel="4" x14ac:dyDescent="0.25">
      <c r="A53" s="48"/>
      <c r="B53" s="49" t="s">
        <v>136</v>
      </c>
      <c r="C53" s="50"/>
      <c r="D53" s="50"/>
      <c r="E53" s="51" t="s">
        <v>44</v>
      </c>
      <c r="F53" s="52"/>
      <c r="G53" s="53">
        <f>G62</f>
        <v>1</v>
      </c>
      <c r="H53" s="53">
        <f t="shared" ref="H53:K53" si="15">H62</f>
        <v>2</v>
      </c>
      <c r="I53" s="53">
        <f t="shared" si="15"/>
        <v>1</v>
      </c>
      <c r="J53" s="53">
        <f t="shared" si="15"/>
        <v>0</v>
      </c>
      <c r="K53" s="53">
        <f t="shared" si="15"/>
        <v>0</v>
      </c>
      <c r="L53" s="53">
        <f t="shared" ref="L53:L57" si="16">SUM(G53:K53)</f>
        <v>4</v>
      </c>
      <c r="M53" s="55">
        <f t="array" ref="M53">INDEX(Р[Цена за ед., руб],MATCH(1,IF(($B53=Р[Наименование])*($O53=Р[Примечание]),{1},($B53=Р[Наименование])*($O53=Р[Примечание])),0))</f>
        <v>0</v>
      </c>
      <c r="N53" s="55">
        <f t="shared" ref="N53:N57" si="17">ROUND(L53*M53,2)</f>
        <v>0</v>
      </c>
      <c r="O53" s="50"/>
      <c r="P53" s="50"/>
    </row>
    <row r="54" spans="1:16" outlineLevel="4" x14ac:dyDescent="0.25">
      <c r="A54" s="48"/>
      <c r="B54" s="49" t="s">
        <v>140</v>
      </c>
      <c r="C54" s="50"/>
      <c r="D54" s="50"/>
      <c r="E54" s="51" t="s">
        <v>44</v>
      </c>
      <c r="F54" s="52"/>
      <c r="G54" s="53">
        <f>G63</f>
        <v>0</v>
      </c>
      <c r="H54" s="53">
        <f t="shared" ref="H54:K54" si="18">H63</f>
        <v>0</v>
      </c>
      <c r="I54" s="53">
        <f t="shared" si="18"/>
        <v>0</v>
      </c>
      <c r="J54" s="53">
        <f t="shared" si="18"/>
        <v>1</v>
      </c>
      <c r="K54" s="53">
        <f t="shared" si="18"/>
        <v>1</v>
      </c>
      <c r="L54" s="53">
        <f t="shared" si="16"/>
        <v>2</v>
      </c>
      <c r="M54" s="55">
        <f t="array" ref="M54">INDEX(Р[Цена за ед., руб],MATCH(1,IF(($B54=Р[Наименование])*($O54=Р[Примечание]),{1},($B54=Р[Наименование])*($O54=Р[Примечание])),0))</f>
        <v>0</v>
      </c>
      <c r="N54" s="55">
        <f t="shared" si="17"/>
        <v>0</v>
      </c>
      <c r="O54" s="50"/>
      <c r="P54" s="50"/>
    </row>
    <row r="55" spans="1:16" outlineLevel="4" x14ac:dyDescent="0.25">
      <c r="A55" s="48"/>
      <c r="B55" s="49" t="s">
        <v>133</v>
      </c>
      <c r="C55" s="50"/>
      <c r="D55" s="50"/>
      <c r="E55" s="51" t="s">
        <v>44</v>
      </c>
      <c r="F55" s="52"/>
      <c r="G55" s="53">
        <f>G64</f>
        <v>1</v>
      </c>
      <c r="H55" s="53">
        <f t="shared" ref="H55:K55" si="19">H64</f>
        <v>1</v>
      </c>
      <c r="I55" s="53">
        <f t="shared" si="19"/>
        <v>1</v>
      </c>
      <c r="J55" s="53">
        <f t="shared" si="19"/>
        <v>0</v>
      </c>
      <c r="K55" s="53">
        <f t="shared" si="19"/>
        <v>0</v>
      </c>
      <c r="L55" s="53">
        <f t="shared" si="16"/>
        <v>3</v>
      </c>
      <c r="M55" s="55">
        <f t="array" ref="M55">INDEX(Р[Цена за ед., руб],MATCH(1,IF(($B55=Р[Наименование])*($O55=Р[Примечание]),{1},($B55=Р[Наименование])*($O55=Р[Примечание])),0))</f>
        <v>0</v>
      </c>
      <c r="N55" s="55">
        <f t="shared" si="17"/>
        <v>0</v>
      </c>
      <c r="O55" s="50"/>
      <c r="P55" s="50"/>
    </row>
    <row r="56" spans="1:16" outlineLevel="4" x14ac:dyDescent="0.25">
      <c r="A56" s="48"/>
      <c r="B56" s="49" t="s">
        <v>137</v>
      </c>
      <c r="C56" s="50"/>
      <c r="D56" s="50"/>
      <c r="E56" s="51" t="s">
        <v>44</v>
      </c>
      <c r="F56" s="52"/>
      <c r="G56" s="53">
        <f>G65+G66</f>
        <v>2</v>
      </c>
      <c r="H56" s="53">
        <f t="shared" ref="H56:K56" si="20">H65+H66</f>
        <v>4</v>
      </c>
      <c r="I56" s="53">
        <f t="shared" si="20"/>
        <v>2</v>
      </c>
      <c r="J56" s="53">
        <f t="shared" si="20"/>
        <v>2</v>
      </c>
      <c r="K56" s="53">
        <f t="shared" si="20"/>
        <v>2</v>
      </c>
      <c r="L56" s="53">
        <f t="shared" si="16"/>
        <v>12</v>
      </c>
      <c r="M56" s="55">
        <f t="array" ref="M56">INDEX(Р[Цена за ед., руб],MATCH(1,IF(($B56=Р[Наименование])*($O56=Р[Примечание]),{1},($B56=Р[Наименование])*($O56=Р[Примечание])),0))</f>
        <v>0</v>
      </c>
      <c r="N56" s="55">
        <f t="shared" si="17"/>
        <v>0</v>
      </c>
      <c r="O56" s="50"/>
      <c r="P56" s="50"/>
    </row>
    <row r="57" spans="1:16" outlineLevel="4" x14ac:dyDescent="0.25">
      <c r="A57" s="48"/>
      <c r="B57" s="49" t="s">
        <v>138</v>
      </c>
      <c r="C57" s="50"/>
      <c r="D57" s="50"/>
      <c r="E57" s="51" t="s">
        <v>44</v>
      </c>
      <c r="F57" s="52"/>
      <c r="G57" s="53">
        <f>G67+G68</f>
        <v>1</v>
      </c>
      <c r="H57" s="53">
        <f t="shared" ref="H57:K57" si="21">H67+H68</f>
        <v>2</v>
      </c>
      <c r="I57" s="53">
        <f t="shared" si="21"/>
        <v>1</v>
      </c>
      <c r="J57" s="53">
        <f t="shared" si="21"/>
        <v>1</v>
      </c>
      <c r="K57" s="53">
        <f t="shared" si="21"/>
        <v>1</v>
      </c>
      <c r="L57" s="53">
        <f t="shared" si="16"/>
        <v>6</v>
      </c>
      <c r="M57" s="55">
        <f t="array" ref="M57">INDEX(Р[Цена за ед., руб],MATCH(1,IF(($B57=Р[Наименование])*($O57=Р[Примечание]),{1},($B57=Р[Наименование])*($O57=Р[Примечание])),0))</f>
        <v>0</v>
      </c>
      <c r="N57" s="55">
        <f t="shared" si="17"/>
        <v>0</v>
      </c>
      <c r="O57" s="50"/>
      <c r="P57" s="50"/>
    </row>
    <row r="58" spans="1:16" outlineLevel="4" x14ac:dyDescent="0.25">
      <c r="A58" s="43"/>
      <c r="B58" s="36" t="s">
        <v>24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5"/>
      <c r="N58" s="46">
        <f>SUM($N$59:$N$68)</f>
        <v>0</v>
      </c>
      <c r="O58" s="40"/>
      <c r="P58" s="47"/>
    </row>
    <row r="59" spans="1:16" ht="31.5" outlineLevel="4" x14ac:dyDescent="0.25">
      <c r="A59" s="48" t="s">
        <v>25</v>
      </c>
      <c r="B59" s="49" t="s">
        <v>42</v>
      </c>
      <c r="C59" s="50"/>
      <c r="D59" s="50" t="s">
        <v>43</v>
      </c>
      <c r="E59" s="51" t="s">
        <v>44</v>
      </c>
      <c r="F59" s="52"/>
      <c r="G59" s="53">
        <v>1</v>
      </c>
      <c r="H59" s="53">
        <v>1</v>
      </c>
      <c r="I59" s="53">
        <v>1</v>
      </c>
      <c r="J59" s="52"/>
      <c r="K59" s="52"/>
      <c r="L59" s="53">
        <f>SUM($G$59:$K$59)</f>
        <v>3</v>
      </c>
      <c r="M59" s="55">
        <f t="array" ref="M59">INDEX(М[Цена за ед., руб],MATCH(1,IF(($B59=М[Наим.])*($C59=М[Артикул,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  <c r="N59" s="55">
        <f>ROUND($L$59*$M$59,2)</f>
        <v>0</v>
      </c>
      <c r="O59" s="50" t="s">
        <v>45</v>
      </c>
      <c r="P59" s="50">
        <f t="array" ref="P59">INDEX(М[Форма закупа],MATCH(1,IF(($B59=М[Наим.])*($C59=М[Артикул,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</row>
    <row r="60" spans="1:16" ht="31.5" outlineLevel="4" x14ac:dyDescent="0.25">
      <c r="A60" s="48" t="s">
        <v>28</v>
      </c>
      <c r="B60" s="49" t="s">
        <v>42</v>
      </c>
      <c r="C60" s="50"/>
      <c r="D60" s="50" t="s">
        <v>46</v>
      </c>
      <c r="E60" s="51" t="s">
        <v>44</v>
      </c>
      <c r="F60" s="52"/>
      <c r="G60" s="52"/>
      <c r="H60" s="52"/>
      <c r="I60" s="52"/>
      <c r="J60" s="53">
        <v>1</v>
      </c>
      <c r="K60" s="53">
        <v>1</v>
      </c>
      <c r="L60" s="53">
        <f>SUM($G$60:$K$60)</f>
        <v>2</v>
      </c>
      <c r="M60" s="55">
        <f t="array" ref="M60">INDEX(М[Цена за ед., руб],MATCH(1,IF(($B60=М[Наим.])*($C60=М[Артикул,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  <c r="N60" s="55">
        <f>ROUND($L$60*$M$60,2)</f>
        <v>0</v>
      </c>
      <c r="O60" s="50" t="s">
        <v>47</v>
      </c>
      <c r="P60" s="50">
        <f t="array" ref="P60">INDEX(М[Форма закупа],MATCH(1,IF(($B60=М[Наим.])*($C60=М[Артикул,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</row>
    <row r="61" spans="1:16" outlineLevel="4" x14ac:dyDescent="0.25">
      <c r="A61" s="48" t="s">
        <v>48</v>
      </c>
      <c r="B61" s="49" t="s">
        <v>49</v>
      </c>
      <c r="C61" s="50"/>
      <c r="D61" s="50" t="s">
        <v>50</v>
      </c>
      <c r="E61" s="51" t="s">
        <v>44</v>
      </c>
      <c r="F61" s="52"/>
      <c r="G61" s="52"/>
      <c r="H61" s="52"/>
      <c r="I61" s="52"/>
      <c r="J61" s="53">
        <v>1</v>
      </c>
      <c r="K61" s="53">
        <v>1</v>
      </c>
      <c r="L61" s="53">
        <f>SUM($G$61:$K$61)</f>
        <v>2</v>
      </c>
      <c r="M61" s="55">
        <f t="array" ref="M61">INDEX(М[Цена за ед., руб],MATCH(1,IF(($B61=М[Наим.])*($C61=М[Артикул,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  <c r="N61" s="55">
        <f>ROUND($L$61*$M$61,2)</f>
        <v>0</v>
      </c>
      <c r="O61" s="50" t="s">
        <v>51</v>
      </c>
      <c r="P61" s="50">
        <f t="array" ref="P61">INDEX(М[Форма закупа],MATCH(1,IF(($B61=М[Наим.])*($C61=М[Артикул, марка, произв.])*($D61=М[Хар-ка])*($O61=М[Прим.]),{1},($B61=М[Наим.])*($C61=М[Артикул, марка, произв.])*($D61=М[Хар-ка])*($O61=М[Прим.])),0))</f>
        <v>0</v>
      </c>
    </row>
    <row r="62" spans="1:16" outlineLevel="4" x14ac:dyDescent="0.25">
      <c r="A62" s="48" t="s">
        <v>52</v>
      </c>
      <c r="B62" s="49" t="s">
        <v>58</v>
      </c>
      <c r="C62" s="50"/>
      <c r="D62" s="50" t="s">
        <v>65</v>
      </c>
      <c r="E62" s="51" t="s">
        <v>44</v>
      </c>
      <c r="F62" s="52"/>
      <c r="G62" s="53">
        <v>1</v>
      </c>
      <c r="H62" s="53">
        <v>2</v>
      </c>
      <c r="I62" s="53">
        <v>1</v>
      </c>
      <c r="J62" s="52"/>
      <c r="K62" s="52"/>
      <c r="L62" s="53">
        <f>SUM($G$62:$K$62)</f>
        <v>4</v>
      </c>
      <c r="M62" s="55">
        <f t="array" ref="M62">INDEX(М[Цена за ед., руб],MATCH(1,IF(($B62=М[Наим.])*($C62=М[Артикул, марка, произв.])*($D62=М[Хар-ка])*($O62=М[Прим.]),{1},($B62=М[Наим.])*($C62=М[Артикул, марка, произв.])*($D62=М[Хар-ка])*($O62=М[Прим.])),0))</f>
        <v>0</v>
      </c>
      <c r="N62" s="55">
        <f>ROUND($L$62*$M$62,2)</f>
        <v>0</v>
      </c>
      <c r="O62" s="50" t="s">
        <v>66</v>
      </c>
      <c r="P62" s="50">
        <f t="array" ref="P62">INDEX(М[Форма закупа],MATCH(1,IF(($B62=М[Наим.])*($C62=М[Артикул, марка, произв.])*($D62=М[Хар-ка])*($O62=М[Прим.]),{1},($B62=М[Наим.])*($C62=М[Артикул, марка, произв.])*($D62=М[Хар-ка])*($O62=М[Прим.])),0))</f>
        <v>0</v>
      </c>
    </row>
    <row r="63" spans="1:16" ht="31.5" outlineLevel="4" x14ac:dyDescent="0.25">
      <c r="A63" s="48" t="s">
        <v>67</v>
      </c>
      <c r="B63" s="49" t="s">
        <v>68</v>
      </c>
      <c r="C63" s="50"/>
      <c r="D63" s="50" t="s">
        <v>69</v>
      </c>
      <c r="E63" s="51" t="s">
        <v>44</v>
      </c>
      <c r="F63" s="52"/>
      <c r="G63" s="52"/>
      <c r="H63" s="52"/>
      <c r="I63" s="52"/>
      <c r="J63" s="53">
        <v>1</v>
      </c>
      <c r="K63" s="53">
        <v>1</v>
      </c>
      <c r="L63" s="53">
        <f>SUM($G$63:$K$63)</f>
        <v>2</v>
      </c>
      <c r="M63" s="55">
        <f t="array" ref="M63">INDEX(М[Цена за ед., руб],MATCH(1,IF(($B63=М[Наим.])*($C63=М[Артикул, марка, произв.])*($D63=М[Хар-ка])*($O63=М[Прим.]),{1},($B63=М[Наим.])*($C63=М[Артикул, марка, произв.])*($D63=М[Хар-ка])*($O63=М[Прим.])),0))</f>
        <v>0</v>
      </c>
      <c r="N63" s="55">
        <f>ROUND($L$63*$M$63,2)</f>
        <v>0</v>
      </c>
      <c r="O63" s="50" t="s">
        <v>70</v>
      </c>
      <c r="P63" s="50">
        <f t="array" ref="P63">INDEX(М[Форма закупа],MATCH(1,IF(($B63=М[Наим.])*($C63=М[Артикул, марка, произв.])*($D63=М[Хар-ка])*($O63=М[Прим.]),{1},($B63=М[Наим.])*($C63=М[Артикул, марка, произв.])*($D63=М[Хар-ка])*($O63=М[Прим.])),0))</f>
        <v>0</v>
      </c>
    </row>
    <row r="64" spans="1:16" outlineLevel="4" x14ac:dyDescent="0.25">
      <c r="A64" s="48" t="s">
        <v>71</v>
      </c>
      <c r="B64" s="49" t="s">
        <v>53</v>
      </c>
      <c r="C64" s="50"/>
      <c r="D64" s="50" t="s">
        <v>54</v>
      </c>
      <c r="E64" s="51" t="s">
        <v>44</v>
      </c>
      <c r="F64" s="52"/>
      <c r="G64" s="53">
        <v>1</v>
      </c>
      <c r="H64" s="53">
        <v>1</v>
      </c>
      <c r="I64" s="53">
        <v>1</v>
      </c>
      <c r="J64" s="52"/>
      <c r="K64" s="52"/>
      <c r="L64" s="53">
        <f>SUM($G$64:$K$64)</f>
        <v>3</v>
      </c>
      <c r="M64" s="55">
        <f t="array" ref="M64">INDEX(М[Цена за ед., руб],MATCH(1,IF(($B64=М[Наим.])*($C64=М[Артикул, марка, произв.])*($D64=М[Хар-ка])*($O64=М[Прим.]),{1},($B64=М[Наим.])*($C64=М[Артикул, марка, произв.])*($D64=М[Хар-ка])*($O64=М[Прим.])),0))</f>
        <v>0</v>
      </c>
      <c r="N64" s="55">
        <f>ROUND($L$64*$M$64,2)</f>
        <v>0</v>
      </c>
      <c r="O64" s="50" t="s">
        <v>55</v>
      </c>
      <c r="P64" s="50">
        <f t="array" ref="P64">INDEX(М[Форма закупа],MATCH(1,IF(($B64=М[Наим.])*($C64=М[Артикул, марка, произв.])*($D64=М[Хар-ка])*($O64=М[Прим.]),{1},($B64=М[Наим.])*($C64=М[Артикул, марка, произв.])*($D64=М[Хар-ка])*($O64=М[Прим.])),0))</f>
        <v>0</v>
      </c>
    </row>
    <row r="65" spans="1:16" outlineLevel="4" x14ac:dyDescent="0.25">
      <c r="A65" s="48" t="s">
        <v>72</v>
      </c>
      <c r="B65" s="49" t="s">
        <v>61</v>
      </c>
      <c r="C65" s="50"/>
      <c r="D65" s="50" t="s">
        <v>73</v>
      </c>
      <c r="E65" s="51" t="s">
        <v>44</v>
      </c>
      <c r="F65" s="52"/>
      <c r="G65" s="53">
        <v>2</v>
      </c>
      <c r="H65" s="53">
        <v>4</v>
      </c>
      <c r="I65" s="53">
        <v>2</v>
      </c>
      <c r="J65" s="52"/>
      <c r="K65" s="52"/>
      <c r="L65" s="53">
        <f>SUM($G$65:$K$65)</f>
        <v>8</v>
      </c>
      <c r="M65" s="55">
        <f t="array" ref="M65">INDEX(М[Цена за ед., руб],MATCH(1,IF(($B65=М[Наим.])*($C65=М[Артикул, марка, произв.])*($D65=М[Хар-ка])*($O65=М[Прим.]),{1},($B65=М[Наим.])*($C65=М[Артикул, марка, произв.])*($D65=М[Хар-ка])*($O65=М[Прим.])),0))</f>
        <v>0</v>
      </c>
      <c r="N65" s="55">
        <f>ROUND($L$65*$M$65,2)</f>
        <v>0</v>
      </c>
      <c r="O65" s="50"/>
      <c r="P65" s="50">
        <f t="array" ref="P65">INDEX(М[Форма закупа],MATCH(1,IF(($B65=М[Наим.])*($C65=М[Артикул, марка, произв.])*($D65=М[Хар-ка])*($O65=М[Прим.]),{1},($B65=М[Наим.])*($C65=М[Артикул, марка, произв.])*($D65=М[Хар-ка])*($O65=М[Прим.])),0))</f>
        <v>0</v>
      </c>
    </row>
    <row r="66" spans="1:16" outlineLevel="4" x14ac:dyDescent="0.25">
      <c r="A66" s="48" t="s">
        <v>74</v>
      </c>
      <c r="B66" s="49" t="s">
        <v>61</v>
      </c>
      <c r="C66" s="50"/>
      <c r="D66" s="50" t="s">
        <v>62</v>
      </c>
      <c r="E66" s="51" t="s">
        <v>44</v>
      </c>
      <c r="F66" s="52"/>
      <c r="G66" s="52"/>
      <c r="H66" s="52"/>
      <c r="I66" s="52"/>
      <c r="J66" s="53">
        <v>2</v>
      </c>
      <c r="K66" s="53">
        <v>2</v>
      </c>
      <c r="L66" s="53">
        <f>SUM($G$66:$K$66)</f>
        <v>4</v>
      </c>
      <c r="M66" s="55">
        <f t="array" ref="M66">INDEX(М[Цена за ед., руб],MATCH(1,IF(($B66=М[Наим.])*($C66=М[Артикул,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  <c r="N66" s="55">
        <f>ROUND($L$66*$M$66,2)</f>
        <v>0</v>
      </c>
      <c r="O66" s="50"/>
      <c r="P66" s="50">
        <f t="array" ref="P66">INDEX(М[Форма закупа],MATCH(1,IF(($B66=М[Наим.])*($C66=М[Артикул, марка, произв.])*($D66=М[Хар-ка])*($O66=М[Прим.]),{1},($B66=М[Наим.])*($C66=М[Артикул, марка, произв.])*($D66=М[Хар-ка])*($O66=М[Прим.])),0))</f>
        <v>0</v>
      </c>
    </row>
    <row r="67" spans="1:16" outlineLevel="4" x14ac:dyDescent="0.25">
      <c r="A67" s="48" t="s">
        <v>75</v>
      </c>
      <c r="B67" s="49" t="s">
        <v>63</v>
      </c>
      <c r="C67" s="50"/>
      <c r="D67" s="50" t="s">
        <v>64</v>
      </c>
      <c r="E67" s="51" t="s">
        <v>44</v>
      </c>
      <c r="F67" s="52"/>
      <c r="G67" s="52"/>
      <c r="H67" s="52"/>
      <c r="I67" s="52"/>
      <c r="J67" s="53">
        <v>1</v>
      </c>
      <c r="K67" s="53">
        <v>1</v>
      </c>
      <c r="L67" s="53">
        <f>SUM($G$67:$K$67)</f>
        <v>2</v>
      </c>
      <c r="M67" s="55">
        <f t="array" ref="M67">INDEX(М[Цена за ед., руб],MATCH(1,IF(($B67=М[Наим.])*($C67=М[Артикул,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  <c r="N67" s="55">
        <f>ROUND($L$67*$M$67,2)</f>
        <v>0</v>
      </c>
      <c r="O67" s="50"/>
      <c r="P67" s="50">
        <f t="array" ref="P67">INDEX(М[Форма закупа],MATCH(1,IF(($B67=М[Наим.])*($C67=М[Артикул, марка, произв.])*($D67=М[Хар-ка])*($O67=М[Прим.]),{1},($B67=М[Наим.])*($C67=М[Артикул, марка, произв.])*($D67=М[Хар-ка])*($O67=М[Прим.])),0))</f>
        <v>0</v>
      </c>
    </row>
    <row r="68" spans="1:16" outlineLevel="4" x14ac:dyDescent="0.25">
      <c r="A68" s="48" t="s">
        <v>76</v>
      </c>
      <c r="B68" s="49" t="s">
        <v>63</v>
      </c>
      <c r="C68" s="50"/>
      <c r="D68" s="50" t="s">
        <v>77</v>
      </c>
      <c r="E68" s="51" t="s">
        <v>44</v>
      </c>
      <c r="F68" s="52"/>
      <c r="G68" s="53">
        <v>1</v>
      </c>
      <c r="H68" s="53">
        <v>2</v>
      </c>
      <c r="I68" s="53">
        <v>1</v>
      </c>
      <c r="J68" s="52"/>
      <c r="K68" s="52"/>
      <c r="L68" s="53">
        <f>SUM($G$68:$K$68)</f>
        <v>4</v>
      </c>
      <c r="M68" s="55">
        <f t="array" ref="M68">INDEX(М[Цена за ед., руб],MATCH(1,IF(($B68=М[Наим.])*($C68=М[Артикул, марка, произв.])*($D68=М[Хар-ка])*($O68=М[Прим.]),{1},($B68=М[Наим.])*($C68=М[Артикул, марка, произв.])*($D68=М[Хар-ка])*($O68=М[Прим.])),0))</f>
        <v>0</v>
      </c>
      <c r="N68" s="55">
        <f>ROUND($L$68*$M$68,2)</f>
        <v>0</v>
      </c>
      <c r="O68" s="50" t="s">
        <v>78</v>
      </c>
      <c r="P68" s="50">
        <f t="array" ref="P68">INDEX(М[Форма закупа],MATCH(1,IF(($B68=М[Наим.])*($C68=М[Артикул, марка, произв.])*($D68=М[Хар-ка])*($O68=М[Прим.]),{1},($B68=М[Наим.])*($C68=М[Артикул, марка, произв.])*($D68=М[Хар-ка])*($O68=М[Прим.])),0))</f>
        <v>0</v>
      </c>
    </row>
    <row r="69" spans="1:16" outlineLevel="2" x14ac:dyDescent="0.25">
      <c r="A69" s="35" t="s">
        <v>79</v>
      </c>
      <c r="B69" s="36" t="s">
        <v>80</v>
      </c>
      <c r="C69" s="37"/>
      <c r="D69" s="37"/>
      <c r="E69" s="38"/>
      <c r="F69" s="39"/>
      <c r="G69" s="40"/>
      <c r="H69" s="40"/>
      <c r="I69" s="40"/>
      <c r="J69" s="40"/>
      <c r="K69" s="40"/>
      <c r="L69" s="40"/>
      <c r="M69" s="41"/>
      <c r="N69" s="41">
        <f>SUM($N$70)</f>
        <v>0</v>
      </c>
      <c r="O69" s="42"/>
      <c r="P69" s="42"/>
    </row>
    <row r="70" spans="1:16" outlineLevel="3" x14ac:dyDescent="0.25">
      <c r="A70" s="35" t="s">
        <v>81</v>
      </c>
      <c r="B70" s="36" t="s">
        <v>80</v>
      </c>
      <c r="C70" s="37"/>
      <c r="D70" s="37"/>
      <c r="E70" s="38"/>
      <c r="F70" s="39"/>
      <c r="G70" s="40"/>
      <c r="H70" s="40"/>
      <c r="I70" s="40"/>
      <c r="J70" s="40"/>
      <c r="K70" s="40"/>
      <c r="L70" s="40"/>
      <c r="M70" s="41"/>
      <c r="N70" s="41">
        <f>SUM($N$77,$N$75,$N$73,$N$71)</f>
        <v>0</v>
      </c>
      <c r="O70" s="42"/>
      <c r="P70" s="42"/>
    </row>
    <row r="71" spans="1:16" outlineLevel="4" x14ac:dyDescent="0.25">
      <c r="A71" s="43"/>
      <c r="B71" s="36" t="s">
        <v>21</v>
      </c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5"/>
      <c r="N71" s="46">
        <f>SUM($N$72)</f>
        <v>0</v>
      </c>
      <c r="O71" s="40"/>
      <c r="P71" s="47"/>
    </row>
    <row r="72" spans="1:16" outlineLevel="4" x14ac:dyDescent="0.25">
      <c r="A72" s="48"/>
      <c r="B72" s="49" t="s">
        <v>22</v>
      </c>
      <c r="C72" s="50"/>
      <c r="D72" s="50"/>
      <c r="E72" s="51" t="s">
        <v>23</v>
      </c>
      <c r="F72" s="52"/>
      <c r="G72" s="53">
        <f>G74</f>
        <v>172</v>
      </c>
      <c r="H72" s="53">
        <f t="shared" ref="H72:I72" si="22">H74</f>
        <v>506</v>
      </c>
      <c r="I72" s="53">
        <f t="shared" si="22"/>
        <v>295</v>
      </c>
      <c r="J72" s="53"/>
      <c r="K72" s="53"/>
      <c r="L72" s="53">
        <f>SUM($G$72:$K$72)</f>
        <v>973</v>
      </c>
      <c r="M72" s="55">
        <f t="array" ref="M72">INDEX(Р[Цена за ед., руб],MATCH(1,IF(($B72=Р[Наименование])*($O72=Р[Примечание]),{1},($B72=Р[Наименование])*($O72=Р[Примечание])),0))</f>
        <v>0</v>
      </c>
      <c r="N72" s="55">
        <f>ROUND($L$72*$M$72,2)</f>
        <v>0</v>
      </c>
      <c r="O72" s="50"/>
      <c r="P72" s="50"/>
    </row>
    <row r="73" spans="1:16" outlineLevel="4" x14ac:dyDescent="0.25">
      <c r="A73" s="43"/>
      <c r="B73" s="36" t="s">
        <v>24</v>
      </c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5"/>
      <c r="N73" s="46">
        <f>SUM($N$74)</f>
        <v>0</v>
      </c>
      <c r="O73" s="40"/>
      <c r="P73" s="47"/>
    </row>
    <row r="74" spans="1:16" outlineLevel="4" x14ac:dyDescent="0.25">
      <c r="A74" s="48" t="s">
        <v>25</v>
      </c>
      <c r="B74" s="49" t="s">
        <v>26</v>
      </c>
      <c r="C74" s="50"/>
      <c r="D74" s="50" t="s">
        <v>27</v>
      </c>
      <c r="E74" s="51" t="s">
        <v>23</v>
      </c>
      <c r="F74" s="52"/>
      <c r="G74" s="53">
        <v>172</v>
      </c>
      <c r="H74" s="53">
        <v>506</v>
      </c>
      <c r="I74" s="53">
        <v>295</v>
      </c>
      <c r="J74" s="52"/>
      <c r="K74" s="52"/>
      <c r="L74" s="53">
        <f>SUM($G$74:$K$74)</f>
        <v>973</v>
      </c>
      <c r="M74" s="55">
        <f t="array" ref="M74">INDEX(М[Цена за ед., руб],MATCH(1,IF(($B74=М[Наим.])*($C74=М[Артикул, марка, произв.])*($D74=М[Хар-ка])*($O74=М[Прим.]),{1},($B74=М[Наим.])*($C74=М[Артикул, марка, произв.])*($D74=М[Хар-ка])*($O74=М[Прим.])),0))</f>
        <v>0</v>
      </c>
      <c r="N74" s="55">
        <f>ROUND($L$74*$M$74,2)</f>
        <v>0</v>
      </c>
      <c r="O74" s="50"/>
      <c r="P74" s="50">
        <f t="array" ref="P74">INDEX(М[Форма закупа],MATCH(1,IF(($B74=М[Наим.])*($C74=М[Артикул, марка, произв.])*($D74=М[Хар-ка])*($O74=М[Прим.]),{1},($B74=М[Наим.])*($C74=М[Артикул, марка, произв.])*($D74=М[Хар-ка])*($O74=М[Прим.])),0))</f>
        <v>0</v>
      </c>
    </row>
    <row r="75" spans="1:16" outlineLevel="4" x14ac:dyDescent="0.25">
      <c r="A75" s="43"/>
      <c r="B75" s="36" t="s">
        <v>21</v>
      </c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5"/>
      <c r="N75" s="46">
        <f>SUM($N$76)</f>
        <v>0</v>
      </c>
      <c r="O75" s="40"/>
      <c r="P75" s="47"/>
    </row>
    <row r="76" spans="1:16" outlineLevel="4" x14ac:dyDescent="0.25">
      <c r="A76" s="48"/>
      <c r="B76" s="49" t="s">
        <v>30</v>
      </c>
      <c r="C76" s="50"/>
      <c r="D76" s="50"/>
      <c r="E76" s="51" t="s">
        <v>23</v>
      </c>
      <c r="F76" s="52"/>
      <c r="G76" s="52"/>
      <c r="H76" s="52"/>
      <c r="I76" s="52"/>
      <c r="J76" s="52">
        <f t="shared" ref="J76:K76" si="23">J78</f>
        <v>656</v>
      </c>
      <c r="K76" s="52">
        <f t="shared" si="23"/>
        <v>489</v>
      </c>
      <c r="L76" s="54">
        <f>SUM($G$76:$K$76)</f>
        <v>1145</v>
      </c>
      <c r="M76" s="55">
        <f t="array" ref="M76">INDEX(Р[Цена за ед., руб],MATCH(1,IF(($B76=Р[Наименование])*($O76=Р[Примечание]),{1},($B76=Р[Наименование])*($O76=Р[Примечание])),0))</f>
        <v>0</v>
      </c>
      <c r="N76" s="55">
        <f>ROUND($L$76*$M$76,2)</f>
        <v>0</v>
      </c>
      <c r="O76" s="50"/>
      <c r="P76" s="50"/>
    </row>
    <row r="77" spans="1:16" outlineLevel="4" x14ac:dyDescent="0.25">
      <c r="A77" s="43"/>
      <c r="B77" s="36" t="s">
        <v>24</v>
      </c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5"/>
      <c r="N77" s="46">
        <f>SUM($N$78)</f>
        <v>0</v>
      </c>
      <c r="O77" s="40"/>
      <c r="P77" s="47"/>
    </row>
    <row r="78" spans="1:16" outlineLevel="4" x14ac:dyDescent="0.25">
      <c r="A78" s="48" t="s">
        <v>25</v>
      </c>
      <c r="B78" s="49" t="s">
        <v>26</v>
      </c>
      <c r="C78" s="50"/>
      <c r="D78" s="50" t="s">
        <v>31</v>
      </c>
      <c r="E78" s="51" t="s">
        <v>23</v>
      </c>
      <c r="F78" s="52"/>
      <c r="G78" s="52"/>
      <c r="H78" s="52"/>
      <c r="I78" s="52"/>
      <c r="J78" s="53">
        <v>656</v>
      </c>
      <c r="K78" s="53">
        <v>489</v>
      </c>
      <c r="L78" s="54">
        <f>SUM($G$78:$K$78)</f>
        <v>1145</v>
      </c>
      <c r="M78" s="55">
        <f t="array" ref="M78">INDEX(М[Цена за ед., руб],MATCH(1,IF(($B78=М[Наим.])*($C78=М[Артикул, марка, произв.])*($D78=М[Хар-ка])*($O78=М[Прим.]),{1},($B78=М[Наим.])*($C78=М[Артикул, марка, произв.])*($D78=М[Хар-ка])*($O78=М[Прим.])),0))</f>
        <v>0</v>
      </c>
      <c r="N78" s="55">
        <f>ROUND($L$78*$M$78,2)</f>
        <v>0</v>
      </c>
      <c r="O78" s="50"/>
      <c r="P78" s="50">
        <f t="array" ref="P78">INDEX(М[Форма закупа],MATCH(1,IF(($B78=М[Наим.])*($C78=М[Артикул, марка, произв.])*($D78=М[Хар-ка])*($O78=М[Прим.]),{1},($B78=М[Наим.])*($C78=М[Артикул, марка, произв.])*($D78=М[Хар-ка])*($O78=М[Прим.])),0))</f>
        <v>0</v>
      </c>
    </row>
    <row r="79" spans="1:16" outlineLevel="2" x14ac:dyDescent="0.25">
      <c r="A79" s="35" t="s">
        <v>82</v>
      </c>
      <c r="B79" s="36" t="s">
        <v>83</v>
      </c>
      <c r="C79" s="37"/>
      <c r="D79" s="37"/>
      <c r="E79" s="38"/>
      <c r="F79" s="39"/>
      <c r="G79" s="40"/>
      <c r="H79" s="40"/>
      <c r="I79" s="40"/>
      <c r="J79" s="40"/>
      <c r="K79" s="40"/>
      <c r="L79" s="40"/>
      <c r="M79" s="41"/>
      <c r="N79" s="41">
        <f>SUM($N$80)</f>
        <v>0</v>
      </c>
      <c r="O79" s="42"/>
      <c r="P79" s="42"/>
    </row>
    <row r="80" spans="1:16" outlineLevel="3" x14ac:dyDescent="0.25">
      <c r="A80" s="35" t="s">
        <v>84</v>
      </c>
      <c r="B80" s="36" t="s">
        <v>83</v>
      </c>
      <c r="C80" s="37"/>
      <c r="D80" s="37"/>
      <c r="E80" s="38"/>
      <c r="F80" s="39"/>
      <c r="G80" s="40"/>
      <c r="H80" s="40"/>
      <c r="I80" s="40"/>
      <c r="J80" s="40"/>
      <c r="K80" s="40"/>
      <c r="L80" s="40"/>
      <c r="M80" s="41"/>
      <c r="N80" s="41">
        <f>SUM($N$81)</f>
        <v>0</v>
      </c>
      <c r="O80" s="42"/>
      <c r="P80" s="42"/>
    </row>
    <row r="81" spans="1:18" outlineLevel="4" x14ac:dyDescent="0.25">
      <c r="A81" s="43"/>
      <c r="B81" s="36" t="s">
        <v>21</v>
      </c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5"/>
      <c r="N81" s="46">
        <f>SUM($N$82)</f>
        <v>0</v>
      </c>
      <c r="O81" s="40"/>
      <c r="P81" s="47"/>
    </row>
    <row r="82" spans="1:18" outlineLevel="4" x14ac:dyDescent="0.25">
      <c r="A82" s="48"/>
      <c r="B82" s="49" t="s">
        <v>85</v>
      </c>
      <c r="C82" s="50"/>
      <c r="D82" s="50"/>
      <c r="E82" s="51" t="s">
        <v>41</v>
      </c>
      <c r="F82" s="52"/>
      <c r="G82" s="53">
        <v>1</v>
      </c>
      <c r="H82" s="53">
        <v>1</v>
      </c>
      <c r="I82" s="53">
        <v>1</v>
      </c>
      <c r="J82" s="53">
        <v>1</v>
      </c>
      <c r="K82" s="53">
        <v>1</v>
      </c>
      <c r="L82" s="53">
        <f>SUM($G$82:$K$82)</f>
        <v>5</v>
      </c>
      <c r="M82" s="55">
        <f t="array" ref="M82">INDEX(Р[Цена за ед., руб],MATCH(1,IF(($B82=Р[Наименование])*($O82=Р[Примечание]),{1},($B82=Р[Наименование])*($O82=Р[Примечание])),0))</f>
        <v>0</v>
      </c>
      <c r="N82" s="55">
        <f>ROUND($L$82*$M$82,2)</f>
        <v>0</v>
      </c>
      <c r="O82" s="50"/>
      <c r="P82" s="50"/>
    </row>
    <row r="83" spans="1:18" x14ac:dyDescent="0.25">
      <c r="A83" s="56"/>
      <c r="B83" s="117" t="s">
        <v>86</v>
      </c>
      <c r="C83" s="118"/>
      <c r="D83" s="118"/>
      <c r="E83" s="118"/>
      <c r="F83" s="118"/>
      <c r="G83" s="118"/>
      <c r="H83" s="118"/>
      <c r="I83" s="118"/>
      <c r="J83" s="118"/>
      <c r="K83" s="118"/>
      <c r="L83" s="118"/>
      <c r="M83" s="119"/>
      <c r="N83" s="57">
        <f>$N$10</f>
        <v>0</v>
      </c>
      <c r="O83" s="58"/>
      <c r="P83" s="58"/>
    </row>
    <row r="84" spans="1:18" x14ac:dyDescent="0.25">
      <c r="A84" s="56"/>
      <c r="B84" s="120" t="s">
        <v>87</v>
      </c>
      <c r="C84" s="121"/>
      <c r="D84" s="121"/>
      <c r="E84" s="121"/>
      <c r="F84" s="121"/>
      <c r="G84" s="121"/>
      <c r="H84" s="121"/>
      <c r="I84" s="121"/>
      <c r="J84" s="121"/>
      <c r="K84" s="121"/>
      <c r="L84" s="121"/>
      <c r="M84" s="122"/>
      <c r="N84" s="57">
        <f>SUM($N$81,$N$75,$N$71,$N$50,$N$40,$N$31,$N$22,$N$18,$N$13)</f>
        <v>0</v>
      </c>
      <c r="O84" s="58"/>
      <c r="P84" s="58"/>
    </row>
    <row r="85" spans="1:18" x14ac:dyDescent="0.25">
      <c r="A85" s="56"/>
      <c r="B85" s="120" t="s">
        <v>88</v>
      </c>
      <c r="C85" s="121"/>
      <c r="D85" s="121"/>
      <c r="E85" s="121"/>
      <c r="F85" s="121"/>
      <c r="G85" s="121"/>
      <c r="H85" s="121"/>
      <c r="I85" s="121"/>
      <c r="J85" s="121"/>
      <c r="K85" s="121"/>
      <c r="L85" s="121"/>
      <c r="M85" s="122"/>
      <c r="N85" s="57">
        <f>SUM($N$77,$N$73,$N$58,$N$45,$N$35,$N$27,$N$24,$N$20,$N$15)</f>
        <v>0</v>
      </c>
      <c r="O85" s="58"/>
      <c r="P85" s="58"/>
    </row>
    <row r="86" spans="1:18" x14ac:dyDescent="0.25">
      <c r="A86" s="56"/>
      <c r="B86" s="123" t="s">
        <v>129</v>
      </c>
      <c r="C86" s="124"/>
      <c r="D86" s="124"/>
      <c r="E86" s="124"/>
      <c r="F86" s="124"/>
      <c r="G86" s="124"/>
      <c r="H86" s="124"/>
      <c r="I86" s="124"/>
      <c r="J86" s="124"/>
      <c r="K86" s="124"/>
      <c r="L86" s="124"/>
      <c r="M86" s="125"/>
      <c r="N86" s="70"/>
      <c r="O86" s="83" t="s">
        <v>130</v>
      </c>
      <c r="P86" s="58"/>
    </row>
    <row r="87" spans="1:18" x14ac:dyDescent="0.25">
      <c r="A87" s="59"/>
      <c r="B87" s="103" t="s">
        <v>89</v>
      </c>
      <c r="C87" s="103"/>
      <c r="D87" s="103"/>
      <c r="E87" s="103"/>
      <c r="F87" s="103"/>
      <c r="G87" s="103"/>
      <c r="H87" s="103"/>
      <c r="I87" s="103"/>
      <c r="J87" s="103"/>
      <c r="K87" s="103"/>
      <c r="L87" s="103"/>
      <c r="M87" s="104"/>
      <c r="N87" s="104"/>
      <c r="O87" s="103"/>
      <c r="P87" s="59"/>
    </row>
    <row r="88" spans="1:18" x14ac:dyDescent="0.25"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7"/>
      <c r="N88" s="127"/>
      <c r="O88" s="126"/>
    </row>
    <row r="89" spans="1:18" x14ac:dyDescent="0.25">
      <c r="A89" s="72"/>
      <c r="B89" s="71" t="s">
        <v>118</v>
      </c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3"/>
    </row>
    <row r="90" spans="1:18" x14ac:dyDescent="0.25">
      <c r="A90" s="74"/>
      <c r="B90" s="75" t="s">
        <v>119</v>
      </c>
      <c r="C90" s="75"/>
      <c r="D90" s="76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7"/>
    </row>
    <row r="91" spans="1:18" x14ac:dyDescent="0.25">
      <c r="A91" s="74" t="s">
        <v>120</v>
      </c>
      <c r="B91" s="78" t="s">
        <v>121</v>
      </c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</row>
    <row r="92" spans="1:18" ht="30" customHeight="1" x14ac:dyDescent="0.25">
      <c r="A92" s="79" t="s">
        <v>120</v>
      </c>
      <c r="B92" s="116" t="s">
        <v>122</v>
      </c>
      <c r="C92" s="116"/>
      <c r="D92" s="116"/>
      <c r="E92" s="116"/>
      <c r="F92" s="116"/>
      <c r="G92" s="116"/>
      <c r="H92" s="116"/>
      <c r="I92" s="116"/>
      <c r="J92" s="116"/>
      <c r="K92" s="116"/>
      <c r="L92" s="116"/>
      <c r="M92" s="116"/>
      <c r="N92" s="116"/>
      <c r="O92" s="116"/>
      <c r="P92" s="116"/>
      <c r="Q92" s="116"/>
      <c r="R92" s="116"/>
    </row>
    <row r="93" spans="1:18" x14ac:dyDescent="0.25">
      <c r="A93" s="74" t="s">
        <v>120</v>
      </c>
      <c r="B93" s="78" t="s">
        <v>123</v>
      </c>
      <c r="C93" s="22"/>
      <c r="D93" s="80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81"/>
      <c r="P93" s="82"/>
      <c r="Q93" s="82"/>
      <c r="R93" s="80"/>
    </row>
    <row r="94" spans="1:18" x14ac:dyDescent="0.25">
      <c r="A94" s="74" t="s">
        <v>120</v>
      </c>
      <c r="B94" s="78" t="s">
        <v>124</v>
      </c>
      <c r="C94" s="22"/>
      <c r="D94" s="80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81"/>
      <c r="P94" s="82"/>
      <c r="Q94" s="82"/>
      <c r="R94" s="80"/>
    </row>
    <row r="95" spans="1:18" x14ac:dyDescent="0.25">
      <c r="A95" s="74" t="s">
        <v>120</v>
      </c>
      <c r="B95" s="78" t="s">
        <v>125</v>
      </c>
      <c r="C95" s="22"/>
      <c r="D95" s="80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81"/>
      <c r="P95" s="82"/>
      <c r="Q95" s="82"/>
      <c r="R95" s="80"/>
    </row>
    <row r="96" spans="1:18" x14ac:dyDescent="0.25">
      <c r="A96" s="74" t="s">
        <v>120</v>
      </c>
      <c r="B96" s="78" t="s">
        <v>126</v>
      </c>
      <c r="C96" s="22"/>
      <c r="D96" s="80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81"/>
      <c r="P96" s="82"/>
      <c r="Q96" s="82"/>
      <c r="R96" s="80"/>
    </row>
    <row r="97" spans="1:18" x14ac:dyDescent="0.25">
      <c r="A97" s="74" t="s">
        <v>120</v>
      </c>
      <c r="B97" s="78" t="s">
        <v>127</v>
      </c>
      <c r="C97" s="22"/>
      <c r="D97" s="80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81"/>
      <c r="P97" s="82"/>
      <c r="Q97" s="82"/>
      <c r="R97" s="80"/>
    </row>
    <row r="98" spans="1:18" x14ac:dyDescent="0.25">
      <c r="A98" s="74" t="s">
        <v>120</v>
      </c>
      <c r="B98" s="78" t="s">
        <v>128</v>
      </c>
      <c r="C98" s="22"/>
      <c r="D98" s="80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81"/>
      <c r="P98" s="82"/>
      <c r="Q98" s="82"/>
      <c r="R98" s="80"/>
    </row>
  </sheetData>
  <autoFilter ref="A8:R87" xr:uid="{00000000-0001-0000-0000-000000000000}"/>
  <mergeCells count="26">
    <mergeCell ref="B92:R92"/>
    <mergeCell ref="B83:M83"/>
    <mergeCell ref="B84:M84"/>
    <mergeCell ref="B85:M85"/>
    <mergeCell ref="B86:M86"/>
    <mergeCell ref="B88:O88"/>
    <mergeCell ref="B3:J3"/>
    <mergeCell ref="B5:J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B4:J4"/>
    <mergeCell ref="P7:P8"/>
    <mergeCell ref="B87:O87"/>
    <mergeCell ref="K7:K8"/>
    <mergeCell ref="L7:L8"/>
    <mergeCell ref="M7:M8"/>
    <mergeCell ref="N7:N8"/>
    <mergeCell ref="O7:O8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Q28"/>
  <sheetViews>
    <sheetView workbookViewId="0">
      <pane ySplit="3" topLeftCell="A4" activePane="bottomLeft" state="frozen"/>
      <selection pane="bottomLeft" activeCell="D44" sqref="D4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28" t="s">
        <v>90</v>
      </c>
      <c r="B1" s="128"/>
      <c r="C1" s="128"/>
      <c r="D1" s="128"/>
      <c r="E1" s="128"/>
      <c r="F1" s="128"/>
    </row>
    <row r="3" spans="1:6" ht="11.1" customHeight="1" x14ac:dyDescent="0.2">
      <c r="A3" s="9" t="s">
        <v>2</v>
      </c>
      <c r="B3" s="2" t="s">
        <v>5</v>
      </c>
      <c r="C3" s="2" t="s">
        <v>9</v>
      </c>
      <c r="D3" s="16" t="s">
        <v>10</v>
      </c>
      <c r="E3" s="16" t="s">
        <v>11</v>
      </c>
      <c r="F3" s="10" t="s">
        <v>12</v>
      </c>
    </row>
    <row r="4" spans="1:6" ht="11.1" customHeight="1" x14ac:dyDescent="0.2">
      <c r="A4" s="7" t="s">
        <v>22</v>
      </c>
      <c r="B4" s="3" t="s">
        <v>23</v>
      </c>
      <c r="C4" s="4">
        <v>3069</v>
      </c>
      <c r="D4" s="17"/>
      <c r="E4" s="17">
        <f>ROUND(Р[[#This Row],[Количество]]*Р[[#This Row],[Цена за ед., руб]],2)</f>
        <v>0</v>
      </c>
      <c r="F4" s="8"/>
    </row>
    <row r="5" spans="1:6" ht="11.1" customHeight="1" x14ac:dyDescent="0.2">
      <c r="A5" s="7" t="s">
        <v>30</v>
      </c>
      <c r="B5" s="3" t="s">
        <v>23</v>
      </c>
      <c r="C5" s="4">
        <v>2011</v>
      </c>
      <c r="D5" s="17"/>
      <c r="E5" s="17">
        <f>ROUND(Р[[#This Row],[Количество]]*Р[[#This Row],[Цена за ед., руб]],2)</f>
        <v>0</v>
      </c>
      <c r="F5" s="8"/>
    </row>
    <row r="6" spans="1:6" ht="11.1" customHeight="1" x14ac:dyDescent="0.2">
      <c r="A6" s="7" t="s">
        <v>32</v>
      </c>
      <c r="B6" s="3" t="s">
        <v>23</v>
      </c>
      <c r="C6" s="4">
        <v>1758</v>
      </c>
      <c r="D6" s="17"/>
      <c r="E6" s="17">
        <f>ROUND(Р[[#This Row],[Количество]]*Р[[#This Row],[Цена за ед., руб]],2)</f>
        <v>0</v>
      </c>
      <c r="F6" s="8"/>
    </row>
    <row r="7" spans="1:6" ht="11.1" customHeight="1" x14ac:dyDescent="0.2">
      <c r="A7" s="11" t="s">
        <v>131</v>
      </c>
      <c r="B7" s="12" t="s">
        <v>44</v>
      </c>
      <c r="C7" s="13">
        <v>119</v>
      </c>
      <c r="D7" s="18"/>
      <c r="E7" s="18">
        <f>ROUND(Р[[#This Row],[Количество]]*Р[[#This Row],[Цена за ед., руб]],2)</f>
        <v>0</v>
      </c>
      <c r="F7" s="15"/>
    </row>
    <row r="8" spans="1:6" ht="11.1" customHeight="1" x14ac:dyDescent="0.2">
      <c r="A8" s="11" t="s">
        <v>132</v>
      </c>
      <c r="B8" s="12" t="s">
        <v>44</v>
      </c>
      <c r="C8" s="13">
        <v>53</v>
      </c>
      <c r="D8" s="18"/>
      <c r="E8" s="18">
        <f>ROUND(Р[[#This Row],[Количество]]*Р[[#This Row],[Цена за ед., руб]],2)</f>
        <v>0</v>
      </c>
      <c r="F8" s="15"/>
    </row>
    <row r="9" spans="1:6" ht="11.1" customHeight="1" x14ac:dyDescent="0.2">
      <c r="A9" s="11" t="s">
        <v>136</v>
      </c>
      <c r="B9" s="12" t="s">
        <v>44</v>
      </c>
      <c r="C9" s="13">
        <v>5</v>
      </c>
      <c r="D9" s="18"/>
      <c r="E9" s="18">
        <f>ROUND(Р[[#This Row],[Количество]]*Р[[#This Row],[Цена за ед., руб]],2)</f>
        <v>0</v>
      </c>
      <c r="F9" s="15"/>
    </row>
    <row r="10" spans="1:6" ht="11.1" customHeight="1" x14ac:dyDescent="0.2">
      <c r="A10" s="11" t="s">
        <v>140</v>
      </c>
      <c r="B10" s="12" t="s">
        <v>44</v>
      </c>
      <c r="C10" s="13">
        <v>2</v>
      </c>
      <c r="D10" s="18"/>
      <c r="E10" s="18">
        <f>ROUND(Р[[#This Row],[Количество]]*Р[[#This Row],[Цена за ед., руб]],2)</f>
        <v>0</v>
      </c>
      <c r="F10" s="15"/>
    </row>
    <row r="11" spans="1:6" ht="11.1" customHeight="1" x14ac:dyDescent="0.2">
      <c r="A11" s="11" t="s">
        <v>133</v>
      </c>
      <c r="B11" s="12" t="s">
        <v>44</v>
      </c>
      <c r="C11" s="13">
        <v>50</v>
      </c>
      <c r="D11" s="18"/>
      <c r="E11" s="18">
        <f>ROUND(Р[[#This Row],[Количество]]*Р[[#This Row],[Цена за ед., руб]],2)</f>
        <v>0</v>
      </c>
      <c r="F11" s="15"/>
    </row>
    <row r="12" spans="1:6" ht="11.1" customHeight="1" x14ac:dyDescent="0.2">
      <c r="A12" s="11" t="s">
        <v>137</v>
      </c>
      <c r="B12" s="12" t="s">
        <v>44</v>
      </c>
      <c r="C12" s="13">
        <v>14</v>
      </c>
      <c r="D12" s="18"/>
      <c r="E12" s="18">
        <f>ROUND(Р[[#This Row],[Количество]]*Р[[#This Row],[Цена за ед., руб]],2)</f>
        <v>0</v>
      </c>
      <c r="F12" s="15"/>
    </row>
    <row r="13" spans="1:6" ht="11.1" customHeight="1" x14ac:dyDescent="0.2">
      <c r="A13" s="11" t="s">
        <v>138</v>
      </c>
      <c r="B13" s="12" t="s">
        <v>44</v>
      </c>
      <c r="C13" s="13">
        <v>7</v>
      </c>
      <c r="D13" s="18"/>
      <c r="E13" s="18">
        <f>ROUND(Р[[#This Row],[Количество]]*Р[[#This Row],[Цена за ед., руб]],2)</f>
        <v>0</v>
      </c>
      <c r="F13" s="15"/>
    </row>
    <row r="14" spans="1:6" ht="11.1" customHeight="1" x14ac:dyDescent="0.2">
      <c r="A14" s="11" t="s">
        <v>85</v>
      </c>
      <c r="B14" s="12" t="s">
        <v>41</v>
      </c>
      <c r="C14" s="13">
        <v>5</v>
      </c>
      <c r="D14" s="18"/>
      <c r="E14" s="18">
        <f>ROUND(Р[[#This Row],[Количество]]*Р[[#This Row],[Цена за ед., руб]],2)</f>
        <v>0</v>
      </c>
      <c r="F14" s="15"/>
    </row>
    <row r="15" spans="1:6" ht="11.45" customHeight="1" x14ac:dyDescent="0.2">
      <c r="A15" s="11" t="s">
        <v>109</v>
      </c>
      <c r="B15" s="12"/>
      <c r="C15" s="14"/>
      <c r="D15" s="18"/>
      <c r="E15" s="18">
        <f>SUBTOTAL(109,Р[Сумма, руб])</f>
        <v>0</v>
      </c>
      <c r="F15" s="15"/>
    </row>
    <row r="16" spans="1:6" ht="11.45" customHeight="1" x14ac:dyDescent="0.2">
      <c r="D16" s="88" t="s">
        <v>141</v>
      </c>
      <c r="E16" s="89">
        <f>ЛСР!N84-Р[[#Totals],[Сумма, руб]]</f>
        <v>0</v>
      </c>
    </row>
    <row r="18" spans="1:17" s="92" customFormat="1" ht="11.25" x14ac:dyDescent="0.2">
      <c r="A18" s="90" t="s">
        <v>118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1"/>
    </row>
    <row r="19" spans="1:17" s="92" customFormat="1" ht="11.25" x14ac:dyDescent="0.2">
      <c r="A19" s="93" t="s">
        <v>119</v>
      </c>
      <c r="B19" s="93"/>
      <c r="C19" s="94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5"/>
    </row>
    <row r="20" spans="1:17" s="92" customFormat="1" ht="11.25" x14ac:dyDescent="0.2">
      <c r="A20" s="129" t="s">
        <v>121</v>
      </c>
      <c r="B20" s="129"/>
      <c r="C20" s="129"/>
      <c r="D20" s="129"/>
      <c r="E20" s="129"/>
      <c r="F20" s="129"/>
      <c r="G20" s="95"/>
      <c r="H20" s="95"/>
      <c r="I20" s="95"/>
      <c r="J20" s="95"/>
      <c r="K20" s="95"/>
      <c r="L20" s="95"/>
      <c r="M20" s="95"/>
      <c r="N20" s="95"/>
      <c r="O20" s="95"/>
      <c r="P20" s="95"/>
      <c r="Q20" s="95"/>
    </row>
    <row r="21" spans="1:17" s="92" customFormat="1" ht="41.25" customHeight="1" x14ac:dyDescent="0.2">
      <c r="A21" s="129" t="s">
        <v>122</v>
      </c>
      <c r="B21" s="129"/>
      <c r="C21" s="129"/>
      <c r="D21" s="129"/>
      <c r="E21" s="129"/>
      <c r="F21" s="129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</row>
    <row r="22" spans="1:17" s="92" customFormat="1" ht="16.5" customHeight="1" x14ac:dyDescent="0.2">
      <c r="A22" s="129" t="s">
        <v>123</v>
      </c>
      <c r="B22" s="129"/>
      <c r="C22" s="129"/>
      <c r="D22" s="129"/>
      <c r="E22" s="129"/>
      <c r="F22" s="129"/>
      <c r="G22" s="96"/>
      <c r="H22" s="96"/>
      <c r="I22" s="96"/>
      <c r="J22" s="96"/>
      <c r="K22" s="96"/>
      <c r="L22" s="96"/>
      <c r="M22" s="96"/>
      <c r="N22" s="98"/>
      <c r="O22" s="99"/>
      <c r="P22" s="99"/>
      <c r="Q22" s="97"/>
    </row>
    <row r="23" spans="1:17" s="92" customFormat="1" ht="11.25" x14ac:dyDescent="0.2">
      <c r="A23" s="129" t="s">
        <v>124</v>
      </c>
      <c r="B23" s="129"/>
      <c r="C23" s="129"/>
      <c r="D23" s="129"/>
      <c r="E23" s="129"/>
      <c r="F23" s="129"/>
      <c r="G23" s="96"/>
      <c r="H23" s="96"/>
      <c r="I23" s="96"/>
      <c r="J23" s="96"/>
      <c r="K23" s="96"/>
      <c r="L23" s="96"/>
      <c r="M23" s="96"/>
      <c r="N23" s="98"/>
      <c r="O23" s="99"/>
      <c r="P23" s="99"/>
      <c r="Q23" s="97"/>
    </row>
    <row r="24" spans="1:17" s="92" customFormat="1" ht="17.25" customHeight="1" x14ac:dyDescent="0.2">
      <c r="A24" s="129" t="s">
        <v>125</v>
      </c>
      <c r="B24" s="129"/>
      <c r="C24" s="129"/>
      <c r="D24" s="129"/>
      <c r="E24" s="129"/>
      <c r="F24" s="129"/>
      <c r="G24" s="96"/>
      <c r="H24" s="96"/>
      <c r="I24" s="96"/>
      <c r="J24" s="96"/>
      <c r="K24" s="96"/>
      <c r="L24" s="96"/>
      <c r="M24" s="96"/>
      <c r="N24" s="98"/>
      <c r="O24" s="99"/>
      <c r="P24" s="99"/>
      <c r="Q24" s="97"/>
    </row>
    <row r="25" spans="1:17" s="92" customFormat="1" ht="15" customHeight="1" x14ac:dyDescent="0.2">
      <c r="A25" s="129" t="s">
        <v>126</v>
      </c>
      <c r="B25" s="129"/>
      <c r="C25" s="129"/>
      <c r="D25" s="129"/>
      <c r="E25" s="129"/>
      <c r="F25" s="129"/>
      <c r="G25" s="96"/>
      <c r="H25" s="96"/>
      <c r="I25" s="96"/>
      <c r="J25" s="96"/>
      <c r="K25" s="96"/>
      <c r="L25" s="96"/>
      <c r="M25" s="96"/>
      <c r="N25" s="98"/>
      <c r="O25" s="99"/>
      <c r="P25" s="99"/>
      <c r="Q25" s="97"/>
    </row>
    <row r="26" spans="1:17" s="92" customFormat="1" ht="28.5" customHeight="1" x14ac:dyDescent="0.2">
      <c r="A26" s="129" t="s">
        <v>127</v>
      </c>
      <c r="B26" s="129"/>
      <c r="C26" s="129"/>
      <c r="D26" s="129"/>
      <c r="E26" s="129"/>
      <c r="F26" s="129"/>
      <c r="G26" s="96"/>
      <c r="H26" s="96"/>
      <c r="I26" s="96"/>
      <c r="J26" s="96"/>
      <c r="K26" s="96"/>
      <c r="L26" s="96"/>
      <c r="M26" s="96"/>
      <c r="N26" s="98"/>
      <c r="O26" s="99"/>
      <c r="P26" s="99"/>
      <c r="Q26" s="97"/>
    </row>
    <row r="27" spans="1:17" s="92" customFormat="1" ht="11.25" x14ac:dyDescent="0.2">
      <c r="A27" s="129" t="s">
        <v>128</v>
      </c>
      <c r="B27" s="129"/>
      <c r="C27" s="129"/>
      <c r="D27" s="129"/>
      <c r="E27" s="129"/>
      <c r="F27" s="129"/>
      <c r="G27" s="96"/>
      <c r="H27" s="96"/>
      <c r="I27" s="96"/>
      <c r="J27" s="96"/>
      <c r="K27" s="96"/>
      <c r="L27" s="96"/>
      <c r="M27" s="96"/>
      <c r="N27" s="98"/>
      <c r="O27" s="99"/>
      <c r="P27" s="99"/>
      <c r="Q27" s="97"/>
    </row>
    <row r="28" spans="1:17" ht="11.25" x14ac:dyDescent="0.2"/>
  </sheetData>
  <mergeCells count="9">
    <mergeCell ref="A24:F24"/>
    <mergeCell ref="A25:F25"/>
    <mergeCell ref="A26:F26"/>
    <mergeCell ref="A27:F27"/>
    <mergeCell ref="A1:F1"/>
    <mergeCell ref="A20:F20"/>
    <mergeCell ref="A21:F21"/>
    <mergeCell ref="A22:F22"/>
    <mergeCell ref="A23:F23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Q36"/>
  <sheetViews>
    <sheetView workbookViewId="0">
      <pane ySplit="3" topLeftCell="A4" activePane="bottomLeft" state="frozen"/>
      <selection pane="bottomLeft" activeCell="D17" sqref="D17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28" t="s">
        <v>91</v>
      </c>
      <c r="B1" s="128"/>
      <c r="C1" s="128"/>
      <c r="D1" s="128"/>
      <c r="E1" s="128"/>
      <c r="F1" s="128"/>
      <c r="G1" s="128"/>
      <c r="H1" s="128"/>
    </row>
    <row r="2" spans="1:9" ht="11.1" customHeight="1" x14ac:dyDescent="0.2"/>
    <row r="3" spans="1:9" ht="23.1" customHeight="1" x14ac:dyDescent="0.2">
      <c r="A3" s="9" t="s">
        <v>92</v>
      </c>
      <c r="B3" s="19" t="s">
        <v>93</v>
      </c>
      <c r="C3" s="10" t="s">
        <v>94</v>
      </c>
      <c r="D3" s="2" t="s">
        <v>5</v>
      </c>
      <c r="E3" s="2" t="s">
        <v>9</v>
      </c>
      <c r="F3" s="16" t="s">
        <v>10</v>
      </c>
      <c r="G3" s="16" t="s">
        <v>11</v>
      </c>
      <c r="H3" s="2" t="s">
        <v>95</v>
      </c>
      <c r="I3" s="10" t="s">
        <v>96</v>
      </c>
    </row>
    <row r="4" spans="1:9" ht="23.1" customHeight="1" x14ac:dyDescent="0.2">
      <c r="A4" s="7" t="s">
        <v>42</v>
      </c>
      <c r="B4" s="5"/>
      <c r="C4" s="5" t="s">
        <v>43</v>
      </c>
      <c r="D4" s="3" t="s">
        <v>44</v>
      </c>
      <c r="E4" s="6">
        <v>50</v>
      </c>
      <c r="F4" s="17"/>
      <c r="G4" s="17">
        <f>ROUND(М[[#This Row],[Количество]]*М[[#This Row],[Цена за ед., руб]],2)</f>
        <v>0</v>
      </c>
      <c r="H4" s="5" t="s">
        <v>45</v>
      </c>
      <c r="I4" s="8"/>
    </row>
    <row r="5" spans="1:9" ht="35.1" customHeight="1" x14ac:dyDescent="0.2">
      <c r="A5" s="7" t="s">
        <v>42</v>
      </c>
      <c r="B5" s="5"/>
      <c r="C5" s="5" t="s">
        <v>56</v>
      </c>
      <c r="D5" s="3" t="s">
        <v>44</v>
      </c>
      <c r="E5" s="6">
        <v>16</v>
      </c>
      <c r="F5" s="17"/>
      <c r="G5" s="17">
        <f>ROUND(М[[#This Row],[Количество]]*М[[#This Row],[Цена за ед., руб]],2)</f>
        <v>0</v>
      </c>
      <c r="H5" s="5" t="s">
        <v>57</v>
      </c>
      <c r="I5" s="8"/>
    </row>
    <row r="6" spans="1:9" ht="35.1" customHeight="1" x14ac:dyDescent="0.2">
      <c r="A6" s="7" t="s">
        <v>42</v>
      </c>
      <c r="B6" s="5"/>
      <c r="C6" s="5" t="s">
        <v>46</v>
      </c>
      <c r="D6" s="3" t="s">
        <v>44</v>
      </c>
      <c r="E6" s="6">
        <v>53</v>
      </c>
      <c r="F6" s="17"/>
      <c r="G6" s="17">
        <f>ROUND(М[[#This Row],[Количество]]*М[[#This Row],[Цена за ед., руб]],2)</f>
        <v>0</v>
      </c>
      <c r="H6" s="5" t="s">
        <v>47</v>
      </c>
      <c r="I6" s="8"/>
    </row>
    <row r="7" spans="1:9" ht="23.1" customHeight="1" x14ac:dyDescent="0.2">
      <c r="A7" s="7" t="s">
        <v>49</v>
      </c>
      <c r="B7" s="5"/>
      <c r="C7" s="5" t="s">
        <v>50</v>
      </c>
      <c r="D7" s="3" t="s">
        <v>44</v>
      </c>
      <c r="E7" s="6">
        <v>53</v>
      </c>
      <c r="F7" s="17"/>
      <c r="G7" s="17">
        <f>ROUND(М[[#This Row],[Количество]]*М[[#This Row],[Цена за ед., руб]],2)</f>
        <v>0</v>
      </c>
      <c r="H7" s="5" t="s">
        <v>51</v>
      </c>
      <c r="I7" s="8"/>
    </row>
    <row r="8" spans="1:9" ht="35.1" customHeight="1" x14ac:dyDescent="0.2">
      <c r="A8" s="7" t="s">
        <v>58</v>
      </c>
      <c r="B8" s="5"/>
      <c r="C8" s="5" t="s">
        <v>59</v>
      </c>
      <c r="D8" s="3" t="s">
        <v>44</v>
      </c>
      <c r="E8" s="6">
        <v>1</v>
      </c>
      <c r="F8" s="17"/>
      <c r="G8" s="17">
        <f>ROUND(М[[#This Row],[Количество]]*М[[#This Row],[Цена за ед., руб]],2)</f>
        <v>0</v>
      </c>
      <c r="H8" s="5" t="s">
        <v>60</v>
      </c>
      <c r="I8" s="8"/>
    </row>
    <row r="9" spans="1:9" ht="11.1" customHeight="1" x14ac:dyDescent="0.2">
      <c r="A9" s="7" t="s">
        <v>58</v>
      </c>
      <c r="B9" s="5"/>
      <c r="C9" s="5" t="s">
        <v>65</v>
      </c>
      <c r="D9" s="3" t="s">
        <v>44</v>
      </c>
      <c r="E9" s="6">
        <v>4</v>
      </c>
      <c r="F9" s="17"/>
      <c r="G9" s="17">
        <f>ROUND(М[[#This Row],[Количество]]*М[[#This Row],[Цена за ед., руб]],2)</f>
        <v>0</v>
      </c>
      <c r="H9" s="5" t="s">
        <v>66</v>
      </c>
      <c r="I9" s="8"/>
    </row>
    <row r="10" spans="1:9" ht="35.1" customHeight="1" x14ac:dyDescent="0.2">
      <c r="A10" s="7" t="s">
        <v>68</v>
      </c>
      <c r="B10" s="5"/>
      <c r="C10" s="5" t="s">
        <v>69</v>
      </c>
      <c r="D10" s="3" t="s">
        <v>44</v>
      </c>
      <c r="E10" s="6">
        <v>2</v>
      </c>
      <c r="F10" s="17"/>
      <c r="G10" s="17">
        <f>ROUND(М[[#This Row],[Количество]]*М[[#This Row],[Цена за ед., руб]],2)</f>
        <v>0</v>
      </c>
      <c r="H10" s="5" t="s">
        <v>70</v>
      </c>
      <c r="I10" s="8"/>
    </row>
    <row r="11" spans="1:9" ht="23.1" customHeight="1" x14ac:dyDescent="0.2">
      <c r="A11" s="7" t="s">
        <v>53</v>
      </c>
      <c r="B11" s="5"/>
      <c r="C11" s="5" t="s">
        <v>54</v>
      </c>
      <c r="D11" s="3" t="s">
        <v>44</v>
      </c>
      <c r="E11" s="6">
        <v>50</v>
      </c>
      <c r="F11" s="17"/>
      <c r="G11" s="17">
        <f>ROUND(М[[#This Row],[Количество]]*М[[#This Row],[Цена за ед., руб]],2)</f>
        <v>0</v>
      </c>
      <c r="H11" s="5" t="s">
        <v>55</v>
      </c>
      <c r="I11" s="8"/>
    </row>
    <row r="12" spans="1:9" ht="11.1" customHeight="1" x14ac:dyDescent="0.2">
      <c r="A12" s="7" t="s">
        <v>26</v>
      </c>
      <c r="B12" s="5"/>
      <c r="C12" s="5" t="s">
        <v>31</v>
      </c>
      <c r="D12" s="3" t="s">
        <v>23</v>
      </c>
      <c r="E12" s="4">
        <v>2011</v>
      </c>
      <c r="F12" s="17"/>
      <c r="G12" s="17">
        <f>ROUND(М[[#This Row],[Количество]]*М[[#This Row],[Цена за ед., руб]],2)</f>
        <v>0</v>
      </c>
      <c r="H12" s="5"/>
      <c r="I12" s="8"/>
    </row>
    <row r="13" spans="1:9" ht="11.1" customHeight="1" x14ac:dyDescent="0.2">
      <c r="A13" s="7" t="s">
        <v>26</v>
      </c>
      <c r="B13" s="5"/>
      <c r="C13" s="5" t="s">
        <v>27</v>
      </c>
      <c r="D13" s="3" t="s">
        <v>23</v>
      </c>
      <c r="E13" s="4">
        <v>2827</v>
      </c>
      <c r="F13" s="17"/>
      <c r="G13" s="17">
        <f>ROUND(М[[#This Row],[Количество]]*М[[#This Row],[Цена за ед., руб]],2)</f>
        <v>0</v>
      </c>
      <c r="H13" s="5"/>
      <c r="I13" s="8"/>
    </row>
    <row r="14" spans="1:9" ht="11.1" customHeight="1" x14ac:dyDescent="0.2">
      <c r="A14" s="7" t="s">
        <v>26</v>
      </c>
      <c r="B14" s="5"/>
      <c r="C14" s="5" t="s">
        <v>29</v>
      </c>
      <c r="D14" s="3" t="s">
        <v>23</v>
      </c>
      <c r="E14" s="6">
        <v>242</v>
      </c>
      <c r="F14" s="17"/>
      <c r="G14" s="17">
        <f>ROUND(М[[#This Row],[Количество]]*М[[#This Row],[Цена за ед., руб]],2)</f>
        <v>0</v>
      </c>
      <c r="H14" s="5"/>
      <c r="I14" s="8"/>
    </row>
    <row r="15" spans="1:9" ht="23.1" customHeight="1" x14ac:dyDescent="0.2">
      <c r="A15" s="7" t="s">
        <v>33</v>
      </c>
      <c r="B15" s="5"/>
      <c r="C15" s="5" t="s">
        <v>34</v>
      </c>
      <c r="D15" s="3" t="s">
        <v>35</v>
      </c>
      <c r="E15" s="6">
        <v>918</v>
      </c>
      <c r="F15" s="17"/>
      <c r="G15" s="17">
        <f>ROUND(М[[#This Row],[Количество]]*М[[#This Row],[Цена за ед., руб]],2)</f>
        <v>0</v>
      </c>
      <c r="H15" s="5"/>
      <c r="I15" s="8"/>
    </row>
    <row r="16" spans="1:9" ht="23.1" customHeight="1" x14ac:dyDescent="0.2">
      <c r="A16" s="7" t="s">
        <v>33</v>
      </c>
      <c r="B16" s="5"/>
      <c r="C16" s="5" t="s">
        <v>36</v>
      </c>
      <c r="D16" s="3" t="s">
        <v>35</v>
      </c>
      <c r="E16" s="6">
        <v>840</v>
      </c>
      <c r="F16" s="17"/>
      <c r="G16" s="17">
        <f>ROUND(М[[#This Row],[Количество]]*М[[#This Row],[Цена за ед., руб]],2)</f>
        <v>0</v>
      </c>
      <c r="H16" s="5"/>
      <c r="I16" s="8"/>
    </row>
    <row r="17" spans="1:17" ht="11.1" customHeight="1" x14ac:dyDescent="0.2">
      <c r="A17" s="7" t="s">
        <v>61</v>
      </c>
      <c r="B17" s="5"/>
      <c r="C17" s="5" t="s">
        <v>73</v>
      </c>
      <c r="D17" s="3" t="s">
        <v>44</v>
      </c>
      <c r="E17" s="6">
        <v>8</v>
      </c>
      <c r="F17" s="17"/>
      <c r="G17" s="17">
        <f>ROUND(М[[#This Row],[Количество]]*М[[#This Row],[Цена за ед., руб]],2)</f>
        <v>0</v>
      </c>
      <c r="H17" s="5"/>
      <c r="I17" s="8"/>
    </row>
    <row r="18" spans="1:17" ht="11.1" customHeight="1" x14ac:dyDescent="0.2">
      <c r="A18" s="7" t="s">
        <v>61</v>
      </c>
      <c r="B18" s="5"/>
      <c r="C18" s="5" t="s">
        <v>62</v>
      </c>
      <c r="D18" s="3" t="s">
        <v>44</v>
      </c>
      <c r="E18" s="6">
        <v>6</v>
      </c>
      <c r="F18" s="17"/>
      <c r="G18" s="17">
        <f>ROUND(М[[#This Row],[Количество]]*М[[#This Row],[Цена за ед., руб]],2)</f>
        <v>0</v>
      </c>
      <c r="H18" s="5"/>
      <c r="I18" s="8"/>
    </row>
    <row r="19" spans="1:17" ht="11.1" customHeight="1" x14ac:dyDescent="0.2">
      <c r="A19" s="7" t="s">
        <v>63</v>
      </c>
      <c r="B19" s="5"/>
      <c r="C19" s="5" t="s">
        <v>64</v>
      </c>
      <c r="D19" s="3" t="s">
        <v>44</v>
      </c>
      <c r="E19" s="6">
        <v>3</v>
      </c>
      <c r="F19" s="17"/>
      <c r="G19" s="17">
        <f>ROUND(М[[#This Row],[Количество]]*М[[#This Row],[Цена за ед., руб]],2)</f>
        <v>0</v>
      </c>
      <c r="H19" s="5"/>
      <c r="I19" s="8"/>
    </row>
    <row r="20" spans="1:17" ht="11.1" customHeight="1" x14ac:dyDescent="0.2">
      <c r="A20" s="11" t="s">
        <v>63</v>
      </c>
      <c r="B20" s="20"/>
      <c r="C20" s="20" t="s">
        <v>77</v>
      </c>
      <c r="D20" s="12" t="s">
        <v>44</v>
      </c>
      <c r="E20" s="13">
        <v>4</v>
      </c>
      <c r="F20" s="17"/>
      <c r="G20" s="18">
        <f>ROUND(М[[#This Row],[Количество]]*М[[#This Row],[Цена за ед., руб]],2)</f>
        <v>0</v>
      </c>
      <c r="H20" s="20" t="s">
        <v>78</v>
      </c>
      <c r="I20" s="15"/>
    </row>
    <row r="21" spans="1:17" ht="11.1" customHeight="1" x14ac:dyDescent="0.2">
      <c r="A21" s="11" t="s">
        <v>110</v>
      </c>
      <c r="B21" s="20"/>
      <c r="C21" s="20"/>
      <c r="D21" s="86" t="s">
        <v>37</v>
      </c>
      <c r="E21" s="87"/>
      <c r="F21" s="18"/>
      <c r="G21" s="18">
        <f ca="1">SUMIF(ЛСР!$B$7:$N$82,М[[#This Row],[Наим.]],ЛСР!$N$7:$N$82)</f>
        <v>0</v>
      </c>
      <c r="H21" s="20"/>
      <c r="I21" s="15"/>
    </row>
    <row r="22" spans="1:17" ht="11.45" customHeight="1" x14ac:dyDescent="0.2">
      <c r="A22" s="11" t="s">
        <v>109</v>
      </c>
      <c r="B22" s="20"/>
      <c r="C22" s="20"/>
      <c r="D22" s="12"/>
      <c r="E22" s="14"/>
      <c r="F22" s="18"/>
      <c r="G22" s="18">
        <f ca="1">SUBTOTAL(109,М[Сумма, руб])</f>
        <v>0</v>
      </c>
      <c r="H22" s="20"/>
      <c r="I22" s="15"/>
    </row>
    <row r="23" spans="1:17" ht="11.45" customHeight="1" x14ac:dyDescent="0.2">
      <c r="F23" s="88" t="s">
        <v>141</v>
      </c>
      <c r="G23" s="89">
        <f ca="1">ЛСР!N85-М[[#Totals],[Сумма, руб]]</f>
        <v>0</v>
      </c>
    </row>
    <row r="25" spans="1:17" s="92" customFormat="1" ht="11.25" x14ac:dyDescent="0.2">
      <c r="A25" s="90" t="s">
        <v>118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1"/>
    </row>
    <row r="26" spans="1:17" s="92" customFormat="1" ht="11.25" x14ac:dyDescent="0.2">
      <c r="A26" s="93" t="s">
        <v>119</v>
      </c>
      <c r="B26" s="93"/>
      <c r="C26" s="94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5"/>
    </row>
    <row r="27" spans="1:17" s="92" customFormat="1" ht="11.25" x14ac:dyDescent="0.2">
      <c r="A27" s="129" t="s">
        <v>121</v>
      </c>
      <c r="B27" s="129"/>
      <c r="C27" s="129"/>
      <c r="D27" s="129"/>
      <c r="E27" s="129"/>
      <c r="F27" s="129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</row>
    <row r="28" spans="1:17" s="92" customFormat="1" ht="41.25" customHeight="1" x14ac:dyDescent="0.2">
      <c r="A28" s="129" t="s">
        <v>122</v>
      </c>
      <c r="B28" s="129"/>
      <c r="C28" s="129"/>
      <c r="D28" s="129"/>
      <c r="E28" s="129"/>
      <c r="F28" s="129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</row>
    <row r="29" spans="1:17" s="92" customFormat="1" ht="16.5" customHeight="1" x14ac:dyDescent="0.2">
      <c r="A29" s="129" t="s">
        <v>123</v>
      </c>
      <c r="B29" s="129"/>
      <c r="C29" s="129"/>
      <c r="D29" s="129"/>
      <c r="E29" s="129"/>
      <c r="F29" s="129"/>
      <c r="G29" s="96"/>
      <c r="H29" s="96"/>
      <c r="I29" s="96"/>
      <c r="J29" s="96"/>
      <c r="K29" s="96"/>
      <c r="L29" s="96"/>
      <c r="M29" s="96"/>
      <c r="N29" s="98"/>
      <c r="O29" s="99"/>
      <c r="P29" s="99"/>
      <c r="Q29" s="97"/>
    </row>
    <row r="30" spans="1:17" s="92" customFormat="1" ht="11.25" x14ac:dyDescent="0.2">
      <c r="A30" s="129" t="s">
        <v>124</v>
      </c>
      <c r="B30" s="129"/>
      <c r="C30" s="129"/>
      <c r="D30" s="129"/>
      <c r="E30" s="129"/>
      <c r="F30" s="129"/>
      <c r="G30" s="96"/>
      <c r="H30" s="96"/>
      <c r="I30" s="96"/>
      <c r="J30" s="96"/>
      <c r="K30" s="96"/>
      <c r="L30" s="96"/>
      <c r="M30" s="96"/>
      <c r="N30" s="98"/>
      <c r="O30" s="99"/>
      <c r="P30" s="99"/>
      <c r="Q30" s="97"/>
    </row>
    <row r="31" spans="1:17" s="92" customFormat="1" ht="17.25" customHeight="1" x14ac:dyDescent="0.2">
      <c r="A31" s="129" t="s">
        <v>125</v>
      </c>
      <c r="B31" s="129"/>
      <c r="C31" s="129"/>
      <c r="D31" s="129"/>
      <c r="E31" s="129"/>
      <c r="F31" s="129"/>
      <c r="G31" s="96"/>
      <c r="H31" s="96"/>
      <c r="I31" s="96"/>
      <c r="J31" s="96"/>
      <c r="K31" s="96"/>
      <c r="L31" s="96"/>
      <c r="M31" s="96"/>
      <c r="N31" s="98"/>
      <c r="O31" s="99"/>
      <c r="P31" s="99"/>
      <c r="Q31" s="97"/>
    </row>
    <row r="32" spans="1:17" s="92" customFormat="1" ht="15" customHeight="1" x14ac:dyDescent="0.2">
      <c r="A32" s="129" t="s">
        <v>126</v>
      </c>
      <c r="B32" s="129"/>
      <c r="C32" s="129"/>
      <c r="D32" s="129"/>
      <c r="E32" s="129"/>
      <c r="F32" s="129"/>
      <c r="G32" s="96"/>
      <c r="H32" s="96"/>
      <c r="I32" s="96"/>
      <c r="J32" s="96"/>
      <c r="K32" s="96"/>
      <c r="L32" s="96"/>
      <c r="M32" s="96"/>
      <c r="N32" s="98"/>
      <c r="O32" s="99"/>
      <c r="P32" s="99"/>
      <c r="Q32" s="97"/>
    </row>
    <row r="33" spans="1:17" s="92" customFormat="1" ht="28.5" customHeight="1" x14ac:dyDescent="0.2">
      <c r="A33" s="129" t="s">
        <v>127</v>
      </c>
      <c r="B33" s="129"/>
      <c r="C33" s="129"/>
      <c r="D33" s="129"/>
      <c r="E33" s="129"/>
      <c r="F33" s="129"/>
      <c r="G33" s="96"/>
      <c r="H33" s="96"/>
      <c r="I33" s="96"/>
      <c r="J33" s="96"/>
      <c r="K33" s="96"/>
      <c r="L33" s="96"/>
      <c r="M33" s="96"/>
      <c r="N33" s="98"/>
      <c r="O33" s="99"/>
      <c r="P33" s="99"/>
      <c r="Q33" s="97"/>
    </row>
    <row r="34" spans="1:17" s="92" customFormat="1" ht="11.25" x14ac:dyDescent="0.2">
      <c r="A34" s="129" t="s">
        <v>128</v>
      </c>
      <c r="B34" s="129"/>
      <c r="C34" s="129"/>
      <c r="D34" s="129"/>
      <c r="E34" s="129"/>
      <c r="F34" s="129"/>
      <c r="G34" s="96"/>
      <c r="H34" s="96"/>
      <c r="I34" s="96"/>
      <c r="J34" s="96"/>
      <c r="K34" s="96"/>
      <c r="L34" s="96"/>
      <c r="M34" s="96"/>
      <c r="N34" s="98"/>
      <c r="O34" s="99"/>
      <c r="P34" s="99"/>
      <c r="Q34" s="97"/>
    </row>
    <row r="35" spans="1:17" ht="11.25" x14ac:dyDescent="0.2">
      <c r="G35"/>
      <c r="H35"/>
      <c r="I35"/>
    </row>
    <row r="36" spans="1:17" ht="11.25" x14ac:dyDescent="0.2"/>
  </sheetData>
  <mergeCells count="9">
    <mergeCell ref="A31:F31"/>
    <mergeCell ref="A32:F32"/>
    <mergeCell ref="A33:F33"/>
    <mergeCell ref="A34:F34"/>
    <mergeCell ref="A1:H1"/>
    <mergeCell ref="A27:F27"/>
    <mergeCell ref="A28:F28"/>
    <mergeCell ref="A29:F29"/>
    <mergeCell ref="A30:F30"/>
  </mergeCells>
  <dataValidations count="1">
    <dataValidation type="list" errorStyle="information" allowBlank="1" showInputMessage="1" showErrorMessage="1" sqref="I1:I18" xr:uid="{C2CE1E35-CA6F-4C69-92A0-257B4851D410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97</v>
      </c>
      <c r="B1" s="1" t="s">
        <v>98</v>
      </c>
    </row>
    <row r="2" spans="1:2" ht="11.1" customHeight="1" x14ac:dyDescent="0.2">
      <c r="A2" s="1" t="s">
        <v>99</v>
      </c>
      <c r="B2" s="1" t="s">
        <v>100</v>
      </c>
    </row>
    <row r="3" spans="1:2" ht="11.1" customHeight="1" x14ac:dyDescent="0.2">
      <c r="A3" s="1" t="s">
        <v>101</v>
      </c>
      <c r="B3" s="1" t="s">
        <v>102</v>
      </c>
    </row>
    <row r="4" spans="1:2" ht="11.1" customHeight="1" x14ac:dyDescent="0.2">
      <c r="A4" s="1" t="s">
        <v>103</v>
      </c>
      <c r="B4" s="1" t="s">
        <v>104</v>
      </c>
    </row>
    <row r="5" spans="1:2" ht="11.1" customHeight="1" x14ac:dyDescent="0.2">
      <c r="A5" s="1" t="s">
        <v>105</v>
      </c>
      <c r="B5" s="1" t="s">
        <v>106</v>
      </c>
    </row>
    <row r="6" spans="1:2" ht="11.1" customHeight="1" x14ac:dyDescent="0.2">
      <c r="A6" s="1" t="s">
        <v>107</v>
      </c>
      <c r="B6" s="1" t="s">
        <v>108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2026-09-10T08:29:02Z</dcterms:modified>
</cp:coreProperties>
</file>