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E0759B54-1FE3-4691-8E13-0956158C0BC4}" xr6:coauthVersionLast="47" xr6:coauthVersionMax="47" xr10:uidLastSave="{00000000-0000-0000-0000-000000000000}"/>
  <bookViews>
    <workbookView xWindow="1350" yWindow="975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P79" i="1" l="1" a="1"/>
  <c r="P79" i="1" s="1"/>
  <c r="P43" i="1" a="1"/>
  <c r="P43" i="1" s="1"/>
  <c r="L43" i="1"/>
  <c r="L79" i="1"/>
  <c r="H75" i="1"/>
  <c r="I75" i="1"/>
  <c r="J75" i="1"/>
  <c r="K75" i="1"/>
  <c r="G75" i="1"/>
  <c r="H68" i="1"/>
  <c r="I68" i="1"/>
  <c r="J68" i="1"/>
  <c r="K68" i="1"/>
  <c r="G68" i="1"/>
  <c r="L68" i="1" s="1"/>
  <c r="H57" i="1"/>
  <c r="I57" i="1"/>
  <c r="J57" i="1"/>
  <c r="K57" i="1"/>
  <c r="G57" i="1"/>
  <c r="H51" i="1"/>
  <c r="I51" i="1"/>
  <c r="J51" i="1"/>
  <c r="K51" i="1"/>
  <c r="G51" i="1"/>
  <c r="H39" i="1"/>
  <c r="I39" i="1"/>
  <c r="J39" i="1"/>
  <c r="K39" i="1"/>
  <c r="G39" i="1"/>
  <c r="L39" i="1" s="1"/>
  <c r="H35" i="1"/>
  <c r="I35" i="1"/>
  <c r="J35" i="1"/>
  <c r="K35" i="1"/>
  <c r="G35" i="1"/>
  <c r="L35" i="1" s="1"/>
  <c r="H30" i="1"/>
  <c r="I30" i="1"/>
  <c r="J30" i="1"/>
  <c r="K30" i="1"/>
  <c r="G30" i="1"/>
  <c r="H25" i="1"/>
  <c r="I25" i="1"/>
  <c r="J25" i="1"/>
  <c r="K25" i="1"/>
  <c r="G25" i="1"/>
  <c r="L25" i="1" s="1"/>
  <c r="K21" i="1"/>
  <c r="H14" i="1"/>
  <c r="I14" i="1"/>
  <c r="J14" i="1"/>
  <c r="K14" i="1"/>
  <c r="G14" i="1"/>
  <c r="M14" i="1" a="1"/>
  <c r="M14" i="1" s="1"/>
  <c r="L16" i="1"/>
  <c r="P16" i="1" a="1"/>
  <c r="P16" i="1" s="1"/>
  <c r="M16" i="1" a="1"/>
  <c r="M16" i="1" s="1"/>
  <c r="N16" i="1" s="1"/>
  <c r="L17" i="1"/>
  <c r="P17" i="1" a="1"/>
  <c r="P17" i="1" s="1"/>
  <c r="M17" i="1" a="1"/>
  <c r="M17" i="1" s="1"/>
  <c r="N17" i="1" s="1"/>
  <c r="L18" i="1"/>
  <c r="P18" i="1" a="1"/>
  <c r="P18" i="1" s="1"/>
  <c r="M18" i="1" a="1"/>
  <c r="M18" i="1" s="1"/>
  <c r="N18" i="1" s="1"/>
  <c r="L19" i="1"/>
  <c r="P19" i="1" a="1"/>
  <c r="P19" i="1" s="1"/>
  <c r="M19" i="1" a="1"/>
  <c r="M19" i="1" s="1"/>
  <c r="N19" i="1" s="1"/>
  <c r="L21" i="1"/>
  <c r="M21" i="1" a="1"/>
  <c r="M21" i="1" s="1"/>
  <c r="L23" i="1"/>
  <c r="P23" i="1" a="1"/>
  <c r="P23" i="1" s="1"/>
  <c r="M23" i="1" a="1"/>
  <c r="M23" i="1" s="1"/>
  <c r="M25" i="1" a="1"/>
  <c r="M25" i="1" s="1"/>
  <c r="L27" i="1"/>
  <c r="P27" i="1" a="1"/>
  <c r="P27" i="1" s="1"/>
  <c r="M27" i="1" a="1"/>
  <c r="M27" i="1" s="1"/>
  <c r="N27" i="1" s="1"/>
  <c r="L28" i="1"/>
  <c r="P28" i="1" a="1"/>
  <c r="P28" i="1" s="1"/>
  <c r="M28" i="1" a="1"/>
  <c r="M28" i="1" s="1"/>
  <c r="N28" i="1" s="1"/>
  <c r="M30" i="1" a="1"/>
  <c r="M30" i="1" s="1"/>
  <c r="L32" i="1"/>
  <c r="P32" i="1" a="1"/>
  <c r="P32" i="1" s="1"/>
  <c r="M32" i="1" a="1"/>
  <c r="M32" i="1" s="1"/>
  <c r="N32" i="1" s="1"/>
  <c r="L33" i="1"/>
  <c r="P33" i="1" a="1"/>
  <c r="P33" i="1" s="1"/>
  <c r="M33" i="1" a="1"/>
  <c r="M33" i="1" s="1"/>
  <c r="N33" i="1" s="1"/>
  <c r="M35" i="1" a="1"/>
  <c r="M35" i="1" s="1"/>
  <c r="L37" i="1"/>
  <c r="P37" i="1" a="1"/>
  <c r="P37" i="1" s="1"/>
  <c r="M37" i="1" a="1"/>
  <c r="M37" i="1" s="1"/>
  <c r="M39" i="1" a="1"/>
  <c r="M39" i="1" s="1"/>
  <c r="L41" i="1"/>
  <c r="P41" i="1" a="1"/>
  <c r="P41" i="1" s="1"/>
  <c r="M41" i="1" a="1"/>
  <c r="M41" i="1" s="1"/>
  <c r="N41" i="1" s="1"/>
  <c r="N40" i="1" s="1"/>
  <c r="L47" i="1"/>
  <c r="M47" i="1" a="1"/>
  <c r="M47" i="1" s="1"/>
  <c r="M51" i="1" a="1"/>
  <c r="M51" i="1" s="1"/>
  <c r="L53" i="1"/>
  <c r="P53" i="1" a="1"/>
  <c r="P53" i="1" s="1"/>
  <c r="M53" i="1" a="1"/>
  <c r="M53" i="1" s="1"/>
  <c r="N53" i="1" s="1"/>
  <c r="L54" i="1"/>
  <c r="P54" i="1" a="1"/>
  <c r="P54" i="1" s="1"/>
  <c r="M54" i="1" a="1"/>
  <c r="M54" i="1" s="1"/>
  <c r="N54" i="1" s="1"/>
  <c r="L55" i="1"/>
  <c r="P55" i="1" a="1"/>
  <c r="P55" i="1" s="1"/>
  <c r="M55" i="1" a="1"/>
  <c r="M55" i="1" s="1"/>
  <c r="M57" i="1" a="1"/>
  <c r="M57" i="1" s="1"/>
  <c r="L59" i="1"/>
  <c r="P59" i="1" a="1"/>
  <c r="P59" i="1" s="1"/>
  <c r="M59" i="1" a="1"/>
  <c r="M59" i="1" s="1"/>
  <c r="N59" i="1" s="1"/>
  <c r="L60" i="1"/>
  <c r="P60" i="1" a="1"/>
  <c r="P60" i="1" s="1"/>
  <c r="M60" i="1" a="1"/>
  <c r="M60" i="1" s="1"/>
  <c r="L61" i="1"/>
  <c r="P61" i="1" a="1"/>
  <c r="P61" i="1" s="1"/>
  <c r="M61" i="1" a="1"/>
  <c r="M61" i="1" s="1"/>
  <c r="N61" i="1" s="1"/>
  <c r="L62" i="1"/>
  <c r="P62" i="1" a="1"/>
  <c r="P62" i="1" s="1"/>
  <c r="M62" i="1" a="1"/>
  <c r="M62" i="1" s="1"/>
  <c r="L63" i="1"/>
  <c r="P63" i="1" a="1"/>
  <c r="P63" i="1" s="1"/>
  <c r="M63" i="1" a="1"/>
  <c r="M63" i="1" s="1"/>
  <c r="L64" i="1"/>
  <c r="P64" i="1" a="1"/>
  <c r="P64" i="1" s="1"/>
  <c r="M64" i="1" a="1"/>
  <c r="M64" i="1" s="1"/>
  <c r="L65" i="1"/>
  <c r="P65" i="1" a="1"/>
  <c r="P65" i="1" s="1"/>
  <c r="M65" i="1" a="1"/>
  <c r="M65" i="1" s="1"/>
  <c r="L66" i="1"/>
  <c r="P66" i="1" a="1"/>
  <c r="P66" i="1" s="1"/>
  <c r="M66" i="1" a="1"/>
  <c r="M66" i="1" s="1"/>
  <c r="N66" i="1" s="1"/>
  <c r="M68" i="1" a="1"/>
  <c r="M68" i="1" s="1"/>
  <c r="L70" i="1"/>
  <c r="P70" i="1" a="1"/>
  <c r="P70" i="1" s="1"/>
  <c r="M70" i="1" a="1"/>
  <c r="M70" i="1" s="1"/>
  <c r="N70" i="1" s="1"/>
  <c r="L71" i="1"/>
  <c r="P71" i="1" a="1"/>
  <c r="P71" i="1" s="1"/>
  <c r="M71" i="1" a="1"/>
  <c r="M71" i="1" s="1"/>
  <c r="N71" i="1" s="1"/>
  <c r="L72" i="1"/>
  <c r="P72" i="1" a="1"/>
  <c r="P72" i="1" s="1"/>
  <c r="M72" i="1" a="1"/>
  <c r="M72" i="1" s="1"/>
  <c r="N72" i="1" s="1"/>
  <c r="L73" i="1"/>
  <c r="P73" i="1" a="1"/>
  <c r="P73" i="1" s="1"/>
  <c r="M73" i="1" a="1"/>
  <c r="M73" i="1" s="1"/>
  <c r="N73" i="1" s="1"/>
  <c r="M75" i="1" a="1"/>
  <c r="M75" i="1" s="1"/>
  <c r="L77" i="1"/>
  <c r="P77" i="1" a="1"/>
  <c r="P77" i="1" s="1"/>
  <c r="M77" i="1" a="1"/>
  <c r="M77" i="1" s="1"/>
  <c r="N77" i="1" s="1"/>
  <c r="N76" i="1" s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2" i="2"/>
  <c r="E11" i="2"/>
  <c r="E10" i="2"/>
  <c r="E9" i="2"/>
  <c r="E8" i="2"/>
  <c r="E7" i="2"/>
  <c r="E6" i="2"/>
  <c r="E5" i="2"/>
  <c r="E4" i="2"/>
  <c r="E13" i="2" l="1"/>
  <c r="L30" i="1"/>
  <c r="N30" i="1" s="1"/>
  <c r="N29" i="1" s="1"/>
  <c r="N35" i="1"/>
  <c r="N34" i="1" s="1"/>
  <c r="N25" i="1"/>
  <c r="N24" i="1" s="1"/>
  <c r="L75" i="1"/>
  <c r="N75" i="1" s="1"/>
  <c r="N74" i="1" s="1"/>
  <c r="N68" i="1"/>
  <c r="N67" i="1" s="1"/>
  <c r="L51" i="1"/>
  <c r="N51" i="1" s="1"/>
  <c r="N50" i="1" s="1"/>
  <c r="L57" i="1"/>
  <c r="N57" i="1" s="1"/>
  <c r="N56" i="1" s="1"/>
  <c r="L14" i="1"/>
  <c r="N14" i="1" s="1"/>
  <c r="N13" i="1" s="1"/>
  <c r="N26" i="1"/>
  <c r="N37" i="1"/>
  <c r="N36" i="1" s="1"/>
  <c r="N21" i="1"/>
  <c r="N20" i="1" s="1"/>
  <c r="N23" i="1"/>
  <c r="N31" i="1"/>
  <c r="N47" i="1"/>
  <c r="N46" i="1" s="1"/>
  <c r="N55" i="1"/>
  <c r="N62" i="1"/>
  <c r="N15" i="1"/>
  <c r="N39" i="1"/>
  <c r="N38" i="1" s="1"/>
  <c r="N69" i="1"/>
  <c r="N60" i="1"/>
  <c r="N63" i="1"/>
  <c r="N64" i="1"/>
  <c r="N65" i="1"/>
  <c r="N22" i="1" l="1"/>
  <c r="N43" i="1"/>
  <c r="G28" i="3" s="1"/>
  <c r="N52" i="1"/>
  <c r="N79" i="1"/>
  <c r="N81" i="1"/>
  <c r="E14" i="2" s="1"/>
  <c r="N45" i="1"/>
  <c r="N44" i="1" s="1"/>
  <c r="N58" i="1"/>
  <c r="N78" i="1" l="1"/>
  <c r="N49" i="1" s="1"/>
  <c r="N48" i="1" s="1"/>
  <c r="G29" i="3"/>
  <c r="G30" i="3" s="1"/>
  <c r="N42" i="1" l="1"/>
  <c r="N12" i="1" l="1"/>
  <c r="N11" i="1" s="1"/>
  <c r="N10" i="1" s="1"/>
  <c r="N80" i="1" s="1"/>
  <c r="N82" i="1"/>
  <c r="G31" i="3" s="1"/>
</calcChain>
</file>

<file path=xl/sharedStrings.xml><?xml version="1.0" encoding="utf-8"?>
<sst xmlns="http://schemas.openxmlformats.org/spreadsheetml/2006/main" count="363" uniqueCount="130">
  <si>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</si>
  <si>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</si>
  <si>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</si>
  <si>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</si>
  <si>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</si>
  <si>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</si>
  <si>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</si>
  <si>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</si>
  <si>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</si>
  <si>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</si>
  <si>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</si>
  <si>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</si>
  <si>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</si>
  <si>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</si>
  <si>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</si>
  <si>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</si>
  <si>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11.12</t>
  </si>
  <si>
    <t>Устройство телефонии</t>
  </si>
  <si>
    <t>11.12.01</t>
  </si>
  <si>
    <t>Прокладка КПП и КНС (горизонтальные КЛ)</t>
  </si>
  <si>
    <t>11.12.01.00</t>
  </si>
  <si>
    <t>Работы:</t>
  </si>
  <si>
    <t>Монтаж ШМН</t>
  </si>
  <si>
    <t>шт</t>
  </si>
  <si>
    <t>Материалы:</t>
  </si>
  <si>
    <t>1</t>
  </si>
  <si>
    <t>Шкаф монтажный</t>
  </si>
  <si>
    <t>настенный 500х600х650 9U</t>
  </si>
  <si>
    <t>IT-корпус навесной STI 19" 9U, 500х600х650, дверь с закаленным стеклом, RAL7035 в составе: R5STI0965GS DKC 1шт. (либо аналог)
Потолочный вентилятор 135x400x400 мм, 675/702 м3/ч, 230 В, IP55 R5SCF700    DKC 1шт. (либо аналог)
Полка 1U стационарная, "L" профиль, глубина 653мм для напольных 19" IT-корпусов ДКС серии CQE, RAL9005  R5RFLIT100B DKC 1шт. (либо аналог)
Источник бесперебойного питания он-лайн SNR ELEMENT II 1000ВА/1000Вт (PF-1.0), 1ф:1ф (220-240В), 24В (DC) (2x9Ач)   SNR-UPS-ONRT-1000-S24   SNR 1шт. (либо аналог)
Вертикальные монтажные профили 9U, "L" для 19" IT-корпусов ДКС серии STI/CQE, 2шт   
    R5VUG09L    DKC 1компл. (либо аналог)
DIN-рейка 35х7,5 мм длиной 600 мм   
    02140-RET10 DKC 2шт. (либо аналог)
Блок распределения питания (PDU) 19" 16A с выключателем и защитой, Вых:6 Schuko, Вх: Schuko 
    R519SH6OPSHSP   DKC 1шт. (либо аналог)
Коммутационная панель SNR, 19" неэкранированная, 1U, 24 порта, cat.5e, горизонтальная заделка   
    SNR-UD-1U24-5E-H    SNR 1шт. (либо аналог)
Настраиваемый L2 коммутатор c 24 портами 10/1</t>
  </si>
  <si>
    <t>2</t>
  </si>
  <si>
    <t>IT-корпус навесной STI 19" 9U, 500х600х650, дверь с закаленным стеклом, RAL7035 в составе: R5STI0965GS DKC 1шт. (либо аналог)
Потолочный вентилятор 135x400x400 мм, 675/702 м3/ч, 230 В, IP55 R5SCF700    DKC 1шт. (либо аналог)
Полка 1U стационарная, "L" профиль, глубина 653мм для напольных 19" IT-корпусов ДКС серии CQE, RAL9005  R5RFLIT100B DKC 1шт. (либо аналог)
Источник бесперебойного питания он-лайн SNR ELEMENT II 1000ВА/1000Вт (PF-1.0), 1ф:1ф (220-240В), 24В (DC) (2x9Ач)   SNR-UPS-ONRT-1000-S24   SNR 1шт. (либо аналог)
Вертикальные монтажные профили 9U, "L" для 19" IT-корпусов ДКС серии STI/CQE, 2шт   
    R5VUG09L    DKC 1компл. (либо аналог)
DIN-рейка 35х7,5 мм длиной 600 мм   
    02140-RET10 DKC 2шт. (либо аналог)
Блок распределения питания (PDU) 19" 16A с выключателем и защитой, Вых:6 Schuko, Вх: Schuko 
    R519SH6OPSHSP   DKC 1шт. (либо аналог)
Коммутационная панель SNR, 19" неэкранированная, 1U, 48 портов, cat.5e, горизонтальная заделка  
    SNR-UD-1U48-5E-H    SNR 1шт. (либо аналог)
Настраиваемый L2 коммутатор с 48 портами 10/</t>
  </si>
  <si>
    <t>3</t>
  </si>
  <si>
    <t>IT-корпус навесной STI 19" 9U, 500х600х650, дверь с закаленным стеклом, RAL7035 в составе: R5STI0965GS DKC 1шт. (либо аналог)
Потолочный вентилятор 135x400x400 мм, 675/702 м3/ч, 230 В, IP55 R5SCF700    DKC 1шт. (либо аналог)
Полка 1U стационарная, "L" профиль, глубина 653мм для напольных 19" IT-корпусов ДКС серии CQE, RAL9005  R5RFLIT100B DKC 1шт. (либо аналог)
Источник бесперебойного питания он-лайн SNR ELEMENT II 1000ВА/1000Вт (PF-1.0), 1ф:1ф (220-240В), 24В (DC) (2x9Ач)   SNR-UPS-ONRT-1000-S24   SNR 1шт. (либо аналог)
Вертикальные монтажные профили 9U, "L" для 19" IT-корпусов ДКС серии STI/CQE, 2шт   
    R5VUG09L    DKC 1компл. (либо аналог)
DIN-рейка 35х7,5 мм длиной 600 мм   
    02140-RET10 DKC 2шт. (либо аналог)
Блок распределения питания (PDU) 19" 16A с выключателем и защитой, Вых:6 Schuko, Вх: Schuko 
    R519SH6OPSHSP   DKC 1шт. (либо аналог)
Коммутационная панель SNR, 10" неэкранированная, 1U, 12 портов, cat.5e, горизонтальная заделка  
    SNR-UD-1U12-5E-H10" SNR 1шт. (либо аналог)
WebSmart коммутатор с 8 портами 10/100/10</t>
  </si>
  <si>
    <t>4</t>
  </si>
  <si>
    <t>IT-корпус навесной STI 19" 9U, 500х600х650, дверь с закаленным стеклом, RAL7035 в составе: R5STI0965GS DKC 1шт. (либо аналог)
Потолочный вентилятор 135x400x400 мм, 675/702 м3/ч, 230 В, IP55 R5SCF700    DKC 1шт. (либо аналог)
Полка 1U стационарная, "L" профиль, глубина 653мм для напольных 19" IT-корпусов ДКС серии CQE, RAL9005  R5RFLIT100B DKC 1шт. (либо аналог)
Источник бесперебойного питания on-line SNR серии Element, 1000 VA, 24VDC, без АКБ (ток заряда 6А)
    SNR-UPS-ONRM-1000-X24   SNR 1шт. (либо аналог)
Вертикальные монтажные профили 9U, "L" для 19" IT-корпусов ДКС серии STI/CQE, 2шт   
    R5VUG09L    DKC 1компл. (либо аналог)
DIN-рейка 35х7,5 мм длиной 600 мм   
    02140-RET10 DKC 2шт. (либо аналог)
Блок распределения питания (PDU) 19" 16A с выключателем и защитой, Вых:6 Schuko, Вх: Schuko 
    R519SH6OPSHSP   DKC 1шт. (либо аналог)
Коммутационная панель SNR, 19" неэкранированная, 1U, 48 портов, cat.5e, горизонтальная заделка  
    SNR-UD-1U48-5E-H    SNR 1шт. (либо аналог)
Настраиваемый L2 коммутатор с 48 портами 10/100/1000Base-T</t>
  </si>
  <si>
    <t>Прокладка кабеля «витая пара» (LAN)</t>
  </si>
  <si>
    <t>м</t>
  </si>
  <si>
    <t>Кабель</t>
  </si>
  <si>
    <t>U/UTP cat.5е PVCLS нг(А)-FRLS 2х2х0,52</t>
  </si>
  <si>
    <t>Прокладка кабеля волоконно-оптического</t>
  </si>
  <si>
    <t>ОКГ 0,22-94 П 2,7кН</t>
  </si>
  <si>
    <t>CO-FTTH2-1</t>
  </si>
  <si>
    <t>Прокладка КПП многожильного до 4 кв.мм</t>
  </si>
  <si>
    <t>Провод</t>
  </si>
  <si>
    <t>ПВЗ 1х2,5</t>
  </si>
  <si>
    <t>ВВГнг(А)-LS 3х1,5</t>
  </si>
  <si>
    <t>Прокладка трубы гладкой до 32 мм</t>
  </si>
  <si>
    <t>Труба электромонтажная</t>
  </si>
  <si>
    <t>ПНД гофр. тяжелая с протяжкой 20мм</t>
  </si>
  <si>
    <t>пог. м</t>
  </si>
  <si>
    <t>Труба гладкая техническая ПНД 20 мм</t>
  </si>
  <si>
    <t>Прокладка трубы гофрированной до 32 мм</t>
  </si>
  <si>
    <t>ПВХ гофр. легкая с протяжкой 25мм</t>
  </si>
  <si>
    <t>%</t>
  </si>
  <si>
    <t>11.12.02</t>
  </si>
  <si>
    <t>ПНР</t>
  </si>
  <si>
    <t>11.12.02.00</t>
  </si>
  <si>
    <t>Пусконаладочные работы</t>
  </si>
  <si>
    <t>компл.</t>
  </si>
  <si>
    <t>11.12.03</t>
  </si>
  <si>
    <t>Прокладка КПП и КНС (вертикальные КЛ)</t>
  </si>
  <si>
    <t>11.12.03.00</t>
  </si>
  <si>
    <t>Монтаж крышки лотка</t>
  </si>
  <si>
    <t>Крышка для кабельного лотка</t>
  </si>
  <si>
    <t>200х3000</t>
  </si>
  <si>
    <t>100х3000</t>
  </si>
  <si>
    <t>50х3000</t>
  </si>
  <si>
    <t>Монтаж лотка</t>
  </si>
  <si>
    <t>Хомут для лотка</t>
  </si>
  <si>
    <t>ХКУ 50х50</t>
  </si>
  <si>
    <t>ХКУ 100х50</t>
  </si>
  <si>
    <t>ХКУ 100х100</t>
  </si>
  <si>
    <t>ХКУ 200х50</t>
  </si>
  <si>
    <t>5</t>
  </si>
  <si>
    <t>Лоток кабельный (шт.)</t>
  </si>
  <si>
    <t>перфорированный 50х200х3000</t>
  </si>
  <si>
    <t>6</t>
  </si>
  <si>
    <t>неперфорированный 50х50х3000</t>
  </si>
  <si>
    <t>7</t>
  </si>
  <si>
    <t>неперфорированный 50х100х3000</t>
  </si>
  <si>
    <t>8</t>
  </si>
  <si>
    <t>неперфорированный 100х100х3000</t>
  </si>
  <si>
    <t>Патч-корд</t>
  </si>
  <si>
    <t>SC/UPC-SC/UPC SM армированный LSZH 120м</t>
  </si>
  <si>
    <t>120м (либо аналог)</t>
  </si>
  <si>
    <t>SC/UPC-SC/UPC SM армированный LSZH 200м</t>
  </si>
  <si>
    <t>200м (либо аналог)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</si>
  <si>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</si>
  <si>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</si>
  <si>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</si>
  <si>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</si>
  <si>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</si>
  <si>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</si>
  <si>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</si>
  <si>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</si>
  <si>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</si>
  <si>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</si>
  <si>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</si>
  <si>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</si>
  <si>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</si>
  <si>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Екатеринбург.01.11.12 Секция 1.1_Устройство телефонии №1</t>
  </si>
  <si>
    <t>8ac4fb00-9d42-11f1-9619-cc5d3c3b48f3</t>
  </si>
  <si>
    <t>ГП Амундсмена Екатеринбург.02.11.12 Секция 1.2_Устройство телефонии №1</t>
  </si>
  <si>
    <t>927da76e-9d42-11f1-9619-cc5d3c3b48f3</t>
  </si>
  <si>
    <t>ГП Амундсмена Екатеринбург.03.11.12 Секция 1.3_Устройство телефонии №1</t>
  </si>
  <si>
    <t>96b3a406-9d42-11f1-9619-cc5d3c3b48f3</t>
  </si>
  <si>
    <t>ГП Амундсмена Екатеринбург.04.11.12 Секция 2_Устройство телефонии №1</t>
  </si>
  <si>
    <t>9cabcc11-9d42-11f1-9619-cc5d3c3b48f3</t>
  </si>
  <si>
    <t>ГП Амундсмена Екатеринбург.05.11.12 Секция 3_Устройство телефонии №1</t>
  </si>
  <si>
    <t>87b2c350-9d42-11f1-9619-cc5d3c3b48f3</t>
  </si>
  <si>
    <t>Итог</t>
  </si>
  <si>
    <t>Прочие материалы (для раздела (горизонтальные КЛ)</t>
  </si>
  <si>
    <t>Прочие материалы (для раздела вертикальные КЛ)</t>
  </si>
  <si>
    <t>ПОДРЯДЧИК:</t>
  </si>
  <si>
    <t>ЗАКАЗЧИК:</t>
  </si>
  <si>
    <t>ТЕХНИЧЕСКИЙ ЗАКАЗЧИК: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</si>
  <si>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</si>
  <si>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</si>
  <si>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</si>
  <si>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</si>
  <si>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</si>
  <si>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</si>
  <si>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Проверка:</t>
  </si>
  <si>
    <t>в тч НДС ____%</t>
  </si>
  <si>
    <t>указать %</t>
  </si>
  <si>
    <t>Секция 1.1</t>
  </si>
  <si>
    <t>Секция 1.2</t>
  </si>
  <si>
    <t>Секция 1.3</t>
  </si>
  <si>
    <t>Устройство системы телефонии</t>
  </si>
  <si>
    <t>Локальный сметный расчет (ЛСР)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</si>
</sst>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9" fontId="5" fillId="0" borderId="0" xfId="0" applyNumberFormat="1" applyFont="1"/>
    <xf numFmtId="0" fontId="6" fillId="0" borderId="0" xfId="0" applyFont="1" applyAlignment="1">
      <alignment wrapText="1"/>
    </xf>
    <xf numFmtId="0" fontId="5" fillId="0" borderId="0" xfId="0" applyFont="1"/>
    <xf numFmtId="4" fontId="6" fillId="0" borderId="0" xfId="0" applyNumberFormat="1" applyFont="1"/>
    <xf numFmtId="0" fontId="6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4" fontId="9" fillId="0" borderId="0" xfId="0" applyNumberFormat="1" applyFont="1"/>
    <xf numFmtId="4" fontId="7" fillId="0" borderId="0" xfId="0" applyNumberFormat="1" applyFont="1"/>
    <xf numFmtId="0" fontId="10" fillId="0" borderId="0" xfId="0" applyFont="1"/>
    <xf numFmtId="49" fontId="5" fillId="0" borderId="0" xfId="0" applyNumberFormat="1" applyFont="1" applyAlignment="1">
      <alignment horizontal="center" vertical="center"/>
    </xf>
    <xf numFmtId="0" fontId="10" fillId="0" borderId="0" xfId="2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right" vertical="center"/>
    </xf>
    <xf numFmtId="4" fontId="5" fillId="2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right" vertical="center"/>
    </xf>
    <xf numFmtId="4" fontId="5" fillId="3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4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4" borderId="5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3" fontId="5" fillId="5" borderId="5" xfId="0" applyNumberFormat="1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left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left"/>
    </xf>
    <xf numFmtId="4" fontId="6" fillId="6" borderId="5" xfId="0" applyNumberFormat="1" applyFont="1" applyFill="1" applyBorder="1" applyAlignment="1">
      <alignment horizontal="right" vertical="center"/>
    </xf>
    <xf numFmtId="0" fontId="5" fillId="6" borderId="5" xfId="0" applyFont="1" applyFill="1" applyBorder="1" applyAlignment="1">
      <alignment horizontal="right"/>
    </xf>
    <xf numFmtId="0" fontId="5" fillId="7" borderId="5" xfId="0" applyFont="1" applyFill="1" applyBorder="1" applyAlignment="1">
      <alignment horizontal="left"/>
    </xf>
    <xf numFmtId="0" fontId="4" fillId="0" borderId="12" xfId="0" applyFont="1" applyBorder="1" applyAlignment="1">
      <alignment horizontal="left" wrapText="1"/>
    </xf>
    <xf numFmtId="0" fontId="4" fillId="0" borderId="2" xfId="0" applyFont="1" applyBorder="1" applyAlignment="1">
      <alignment horizontal="center" vertical="center"/>
    </xf>
    <xf numFmtId="1" fontId="10" fillId="8" borderId="5" xfId="0" applyNumberFormat="1" applyFont="1" applyFill="1" applyBorder="1" applyAlignment="1">
      <alignment horizontal="right" vertical="center"/>
    </xf>
    <xf numFmtId="4" fontId="10" fillId="5" borderId="5" xfId="0" applyNumberFormat="1" applyFont="1" applyFill="1" applyBorder="1" applyAlignment="1">
      <alignment horizontal="right" vertical="center"/>
    </xf>
    <xf numFmtId="1" fontId="0" fillId="8" borderId="5" xfId="0" applyNumberFormat="1" applyFill="1" applyBorder="1" applyAlignment="1">
      <alignment horizontal="right" vertical="center"/>
    </xf>
    <xf numFmtId="0" fontId="4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4" fontId="6" fillId="6" borderId="7" xfId="0" applyNumberFormat="1" applyFont="1" applyFill="1" applyBorder="1" applyAlignment="1">
      <alignment horizontal="right" vertical="center"/>
    </xf>
    <xf numFmtId="0" fontId="10" fillId="6" borderId="7" xfId="0" applyFont="1" applyFill="1" applyBorder="1" applyAlignment="1">
      <alignment horizontal="center"/>
    </xf>
    <xf numFmtId="43" fontId="0" fillId="8" borderId="5" xfId="1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4" fontId="14" fillId="0" borderId="0" xfId="0" applyNumberFormat="1" applyFont="1"/>
    <xf numFmtId="4" fontId="13" fillId="0" borderId="0" xfId="0" applyNumberFormat="1" applyFont="1"/>
    <xf numFmtId="0" fontId="15" fillId="0" borderId="0" xfId="0" applyFont="1"/>
    <xf numFmtId="0" fontId="3" fillId="0" borderId="0" xfId="0" applyFont="1"/>
    <xf numFmtId="0" fontId="15" fillId="0" borderId="0" xfId="2" applyFont="1" applyAlignment="1">
      <alignment vertical="center" wrapText="1"/>
    </xf>
    <xf numFmtId="4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6" fillId="0" borderId="0" xfId="2" applyFont="1" applyAlignment="1">
      <alignment vertical="center" wrapText="1"/>
    </xf>
    <xf numFmtId="0" fontId="16" fillId="0" borderId="0" xfId="2" applyFont="1" applyAlignment="1">
      <alignment vertical="top" wrapText="1"/>
    </xf>
    <xf numFmtId="0" fontId="16" fillId="0" borderId="0" xfId="0" applyFont="1" applyAlignment="1">
      <alignment vertical="top" wrapText="1"/>
    </xf>
    <xf numFmtId="0" fontId="1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6" fillId="6" borderId="9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right"/>
    </xf>
    <xf numFmtId="0" fontId="11" fillId="6" borderId="9" xfId="0" applyFont="1" applyFill="1" applyBorder="1" applyAlignment="1">
      <alignment horizontal="right"/>
    </xf>
    <xf numFmtId="0" fontId="11" fillId="6" borderId="6" xfId="0" applyFont="1" applyFill="1" applyBorder="1" applyAlignment="1">
      <alignment horizontal="right"/>
    </xf>
    <xf numFmtId="0" fontId="11" fillId="6" borderId="7" xfId="0" applyFont="1" applyFill="1" applyBorder="1" applyAlignment="1">
      <alignment horizontal="right"/>
    </xf>
    <xf numFmtId="4" fontId="11" fillId="6" borderId="9" xfId="0" applyNumberFormat="1" applyFont="1" applyFill="1" applyBorder="1" applyAlignment="1">
      <alignment horizontal="right"/>
    </xf>
    <xf numFmtId="4" fontId="11" fillId="6" borderId="6" xfId="0" applyNumberFormat="1" applyFont="1" applyFill="1" applyBorder="1" applyAlignment="1">
      <alignment horizontal="right"/>
    </xf>
    <xf numFmtId="4" fontId="11" fillId="6" borderId="7" xfId="0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left" vertical="top" wrapText="1"/>
    </xf>
    <xf numFmtId="4" fontId="6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6" fillId="0" borderId="0" xfId="2" applyFont="1" applyAlignment="1">
      <alignment horizontal="left" vertical="center" wrapText="1"/>
    </xf>
    <xf numFmtId="0" fontId="16" fillId="0" borderId="0" xfId="2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</cellXfs>
  <cellStyles count="3">
    <cellStyle name="Обычный" xfId="0" builtinId="0"/>
    <cellStyle name="Обычный 3 2 2" xfId="2" xr:uid="{A54D7B3E-6909-4902-8493-188C15297684}"/>
    <cellStyle name="Финансовый" xfId="1" builtinId="3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07462F-F2B5-4583-A071-56370664EBB6}" name="Р" displayName="Р" ref="A3:F13" totalsRowCount="1" headerRowDxfId="37" headerRowBorderDxfId="36" tableBorderDxfId="35" totalsRowBorderDxfId="34">
  <autoFilter ref="A3:F12" xr:uid="{A807462F-F2B5-4583-A071-56370664EBB6}"/>
  <tableColumns count="6">
    <tableColumn id="1" xr3:uid="{211E84D4-0DA4-4C74-A2B9-5A059BD3D323}" name="Наименование" totalsRowLabel="Итог" dataDxfId="33" totalsRowDxfId="32"/>
    <tableColumn id="2" xr3:uid="{4DEDBF5B-C720-47F3-BF14-0DA8E55BE86E}" name="Ед. изм." dataDxfId="31" totalsRowDxfId="30"/>
    <tableColumn id="3" xr3:uid="{0EA279DA-C4C2-4328-82A1-C0373C74470E}" name="Количество" dataDxfId="29" totalsRowDxfId="28"/>
    <tableColumn id="4" xr3:uid="{15D31C8C-5995-49E9-94A1-F5C2B677F4D5}" name="Цена за ед., руб" dataDxfId="27" totalsRowDxfId="26"/>
    <tableColumn id="5" xr3:uid="{E1D95D07-DD92-41B8-A69B-743FA724AABC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9FEA8833-783B-4C4D-A271-0BCF315C63A6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78EC57-BA56-4C14-88CA-68A6703C80C4}" name="М" displayName="М" ref="A3:I30" totalsRowCount="1" headerRowDxfId="21" headerRowBorderDxfId="20" tableBorderDxfId="19" totalsRowBorderDxfId="18">
  <autoFilter ref="A3:I29" xr:uid="{0978EC57-BA56-4C14-88CA-68A6703C80C4}"/>
  <tableColumns count="9">
    <tableColumn id="1" xr3:uid="{601CD7FA-DC58-4CFE-9F4D-DF9C7B81BAE0}" name="Наим." totalsRowLabel="Итог" dataDxfId="17" totalsRowDxfId="16"/>
    <tableColumn id="2" xr3:uid="{3BFE328E-5FFF-4616-9980-3D8124898340}" name="Артикул, марка, произв." dataDxfId="15" totalsRowDxfId="14"/>
    <tableColumn id="3" xr3:uid="{6514D617-4E48-4FC6-B2E7-51F4765B5E1B}" name="Хар-ка" dataDxfId="13" totalsRowDxfId="12"/>
    <tableColumn id="4" xr3:uid="{15D85763-6D7A-4FAF-8ACD-A897D94B549E}" name="Ед. изм." dataDxfId="11" totalsRowDxfId="10"/>
    <tableColumn id="5" xr3:uid="{8686BA81-B053-4D5C-9E33-6F01A66FBBF4}" name="Количество" dataDxfId="9" totalsRowDxfId="8"/>
    <tableColumn id="6" xr3:uid="{0CA43F59-F96C-449D-9048-212769C004DC}" name="Цена за ед., руб" dataDxfId="7" totalsRowDxfId="6"/>
    <tableColumn id="7" xr3:uid="{334F171A-D6CB-4999-AE10-A2AD5E48F8B2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B2AE22F3-04F7-44A1-8BAE-CD6C3C9C1094}" name="Прим." dataDxfId="3" totalsRowDxfId="2"/>
    <tableColumn id="9" xr3:uid="{7671FC34-8C14-4D88-953F-E17660F1372E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R90"/>
  <sheetViews>
    <sheetView tabSelected="1" zoomScale="70" zoomScaleNormal="70" workbookViewId="0">
      <pane ySplit="8" topLeftCell="A54" activePane="bottomLeft" state="frozen"/>
      <selection pane="bottomLeft" activeCell="B79" sqref="B79"/>
    </sheetView>
  </sheetViews>
  <sheetFormatPr defaultColWidth="10.5" defaultRowHeight="15.75" outlineLevelRow="4" x14ac:dyDescent="0.25"/>
  <cols>
    <col min="1" max="1" width="14.83203125" style="40" bestFit="1" customWidth="1"/>
    <col min="2" max="2" width="36.83203125" style="40" bestFit="1" customWidth="1"/>
    <col min="3" max="3" width="43.33203125" style="40" bestFit="1" customWidth="1"/>
    <col min="4" max="4" width="22.33203125" style="40" bestFit="1" customWidth="1"/>
    <col min="5" max="5" width="11.33203125" style="40" bestFit="1" customWidth="1"/>
    <col min="6" max="6" width="20" style="40" bestFit="1" customWidth="1"/>
    <col min="7" max="9" width="14.1640625" style="40" bestFit="1" customWidth="1"/>
    <col min="10" max="11" width="11.6640625" style="40" bestFit="1" customWidth="1"/>
    <col min="12" max="12" width="16.5" style="40" bestFit="1" customWidth="1"/>
    <col min="13" max="13" width="21.5" style="40" bestFit="1" customWidth="1"/>
    <col min="14" max="14" width="16.1640625" style="40" bestFit="1" customWidth="1"/>
    <col min="15" max="15" width="68.6640625" style="40" bestFit="1" customWidth="1"/>
    <col min="16" max="16" width="34.33203125" style="40" bestFit="1" customWidth="1"/>
    <col min="17" max="16384" width="10.5" style="24"/>
  </cols>
  <sheetData>
    <row r="2" spans="1:17" x14ac:dyDescent="0.25">
      <c r="A2" s="22"/>
      <c r="B2" s="23" t="s">
        <v>113</v>
      </c>
      <c r="C2" s="24"/>
      <c r="D2" s="23" t="s">
        <v>114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26" t="s">
        <v>115</v>
      </c>
      <c r="P2" s="24"/>
      <c r="Q2" s="27"/>
    </row>
    <row r="3" spans="1:17" x14ac:dyDescent="0.25">
      <c r="B3" s="116" t="s">
        <v>129</v>
      </c>
      <c r="C3" s="116"/>
      <c r="D3" s="116"/>
      <c r="E3" s="116"/>
      <c r="F3" s="116"/>
      <c r="G3" s="116"/>
      <c r="H3" s="116"/>
      <c r="I3" s="116"/>
      <c r="J3" s="116"/>
    </row>
    <row r="4" spans="1:17" x14ac:dyDescent="0.25">
      <c r="B4" s="122" t="s">
        <v>128</v>
      </c>
      <c r="C4" s="122"/>
      <c r="D4" s="122"/>
      <c r="E4" s="122"/>
      <c r="F4" s="122"/>
      <c r="G4" s="122"/>
      <c r="H4" s="122"/>
      <c r="I4" s="122"/>
      <c r="J4" s="122"/>
    </row>
    <row r="5" spans="1:17" ht="43.5" customHeight="1" x14ac:dyDescent="0.25">
      <c r="B5" s="117" t="s">
        <v>0</v>
      </c>
      <c r="C5" s="117"/>
      <c r="D5" s="117"/>
      <c r="E5" s="117"/>
      <c r="F5" s="117"/>
      <c r="G5" s="117"/>
      <c r="H5" s="117"/>
      <c r="I5" s="117"/>
      <c r="J5" s="117"/>
    </row>
    <row r="7" spans="1:17" x14ac:dyDescent="0.25">
      <c r="A7" s="114" t="s">
        <v>1</v>
      </c>
      <c r="B7" s="114" t="s">
        <v>2</v>
      </c>
      <c r="C7" s="118" t="s">
        <v>3</v>
      </c>
      <c r="D7" s="120" t="s">
        <v>4</v>
      </c>
      <c r="E7" s="114" t="s">
        <v>5</v>
      </c>
      <c r="F7" s="108" t="s">
        <v>6</v>
      </c>
      <c r="G7" s="112" t="s">
        <v>125</v>
      </c>
      <c r="H7" s="112" t="s">
        <v>126</v>
      </c>
      <c r="I7" s="112" t="s">
        <v>127</v>
      </c>
      <c r="J7" s="112" t="s">
        <v>7</v>
      </c>
      <c r="K7" s="112" t="s">
        <v>8</v>
      </c>
      <c r="L7" s="114" t="s">
        <v>9</v>
      </c>
      <c r="M7" s="108" t="s">
        <v>10</v>
      </c>
      <c r="N7" s="108" t="s">
        <v>11</v>
      </c>
      <c r="O7" s="114" t="s">
        <v>12</v>
      </c>
      <c r="P7" s="108" t="s">
        <v>13</v>
      </c>
    </row>
    <row r="8" spans="1:17" x14ac:dyDescent="0.25">
      <c r="A8" s="115"/>
      <c r="B8" s="115"/>
      <c r="C8" s="119"/>
      <c r="D8" s="121"/>
      <c r="E8" s="115"/>
      <c r="F8" s="109"/>
      <c r="G8" s="113"/>
      <c r="H8" s="113"/>
      <c r="I8" s="113"/>
      <c r="J8" s="113"/>
      <c r="K8" s="113"/>
      <c r="L8" s="115"/>
      <c r="M8" s="109"/>
      <c r="N8" s="109"/>
      <c r="O8" s="115"/>
      <c r="P8" s="109"/>
    </row>
    <row r="9" spans="1:17" ht="31.5" x14ac:dyDescent="0.25">
      <c r="A9" s="41" t="s">
        <v>14</v>
      </c>
      <c r="B9" s="42" t="s">
        <v>15</v>
      </c>
      <c r="C9" s="43"/>
      <c r="D9" s="43"/>
      <c r="E9" s="44"/>
      <c r="F9" s="45"/>
      <c r="G9" s="45"/>
      <c r="H9" s="45"/>
      <c r="I9" s="45"/>
      <c r="J9" s="45"/>
      <c r="K9" s="45"/>
      <c r="L9" s="45"/>
      <c r="M9" s="46"/>
      <c r="N9" s="46"/>
      <c r="O9" s="43"/>
      <c r="P9" s="43"/>
    </row>
    <row r="10" spans="1:17" outlineLevel="1" x14ac:dyDescent="0.25">
      <c r="A10" s="47" t="s">
        <v>16</v>
      </c>
      <c r="B10" s="48" t="s">
        <v>17</v>
      </c>
      <c r="C10" s="49"/>
      <c r="D10" s="49"/>
      <c r="E10" s="50"/>
      <c r="F10" s="51"/>
      <c r="G10" s="51"/>
      <c r="H10" s="51"/>
      <c r="I10" s="51"/>
      <c r="J10" s="51"/>
      <c r="K10" s="51"/>
      <c r="L10" s="51"/>
      <c r="M10" s="52"/>
      <c r="N10" s="52">
        <f>SUM($N$48,$N$44,$N$11)</f>
        <v>0</v>
      </c>
      <c r="O10" s="49"/>
      <c r="P10" s="49"/>
    </row>
    <row r="11" spans="1:17" ht="31.5" outlineLevel="2" x14ac:dyDescent="0.25">
      <c r="A11" s="53" t="s">
        <v>18</v>
      </c>
      <c r="B11" s="54" t="s">
        <v>19</v>
      </c>
      <c r="C11" s="55"/>
      <c r="D11" s="55"/>
      <c r="E11" s="56"/>
      <c r="F11" s="57"/>
      <c r="G11" s="58"/>
      <c r="H11" s="58"/>
      <c r="I11" s="58"/>
      <c r="J11" s="58"/>
      <c r="K11" s="58"/>
      <c r="L11" s="58"/>
      <c r="M11" s="59"/>
      <c r="N11" s="59">
        <f>SUM($N$12)</f>
        <v>0</v>
      </c>
      <c r="O11" s="60"/>
      <c r="P11" s="60"/>
    </row>
    <row r="12" spans="1:17" ht="31.5" outlineLevel="3" x14ac:dyDescent="0.25">
      <c r="A12" s="53" t="s">
        <v>20</v>
      </c>
      <c r="B12" s="54" t="s">
        <v>19</v>
      </c>
      <c r="C12" s="55"/>
      <c r="D12" s="55"/>
      <c r="E12" s="56"/>
      <c r="F12" s="57"/>
      <c r="G12" s="58"/>
      <c r="H12" s="58"/>
      <c r="I12" s="58"/>
      <c r="J12" s="58"/>
      <c r="K12" s="58"/>
      <c r="L12" s="58"/>
      <c r="M12" s="59"/>
      <c r="N12" s="59">
        <f>SUM($N$42,$N$40,$N$38,$N$36,$N$34,$N$31,$N$29,$N$26,$N$24,$N$22,$N$20,$N$15,$N$13)</f>
        <v>0</v>
      </c>
      <c r="O12" s="60"/>
      <c r="P12" s="60"/>
    </row>
    <row r="13" spans="1:17" outlineLevel="4" x14ac:dyDescent="0.25">
      <c r="A13" s="61"/>
      <c r="B13" s="54" t="s">
        <v>21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3"/>
      <c r="N13" s="64">
        <f>SUM($N$14)</f>
        <v>0</v>
      </c>
      <c r="O13" s="58"/>
      <c r="P13" s="65"/>
    </row>
    <row r="14" spans="1:17" outlineLevel="4" x14ac:dyDescent="0.25">
      <c r="A14" s="66"/>
      <c r="B14" s="67" t="s">
        <v>22</v>
      </c>
      <c r="C14" s="68"/>
      <c r="D14" s="68"/>
      <c r="E14" s="69" t="s">
        <v>23</v>
      </c>
      <c r="F14" s="70"/>
      <c r="G14" s="71">
        <f>SUM(G16:G19)</f>
        <v>1</v>
      </c>
      <c r="H14" s="71">
        <f t="shared" ref="H14:K14" si="0">SUM(H16:H19)</f>
        <v>1</v>
      </c>
      <c r="I14" s="71">
        <f t="shared" si="0"/>
        <v>1</v>
      </c>
      <c r="J14" s="71">
        <f t="shared" si="0"/>
        <v>1</v>
      </c>
      <c r="K14" s="71">
        <f t="shared" si="0"/>
        <v>1</v>
      </c>
      <c r="L14" s="71">
        <f>SUM($G$14:$K$14)</f>
        <v>5</v>
      </c>
      <c r="M14" s="72">
        <f t="array" ref="M14">INDEX(Р[Цена за ед., руб],MATCH(1,IF(($B14=Р[Наименование])*($O14=Р[Примечание]),{1},($B14=Р[Наименование])*($O14=Р[Примечание])),0))</f>
        <v>0</v>
      </c>
      <c r="N14" s="72">
        <f>ROUND($L$14*$M$14,2)</f>
        <v>0</v>
      </c>
      <c r="O14" s="68"/>
      <c r="P14" s="68"/>
    </row>
    <row r="15" spans="1:17" outlineLevel="4" x14ac:dyDescent="0.25">
      <c r="A15" s="61"/>
      <c r="B15" s="54" t="s">
        <v>24</v>
      </c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3"/>
      <c r="N15" s="64">
        <f>SUM($N$16:$N$19)</f>
        <v>0</v>
      </c>
      <c r="O15" s="58"/>
      <c r="P15" s="65"/>
    </row>
    <row r="16" spans="1:17" ht="378" outlineLevel="4" x14ac:dyDescent="0.25">
      <c r="A16" s="66" t="s">
        <v>25</v>
      </c>
      <c r="B16" s="67" t="s">
        <v>26</v>
      </c>
      <c r="C16" s="68"/>
      <c r="D16" s="68" t="s">
        <v>27</v>
      </c>
      <c r="E16" s="69" t="s">
        <v>23</v>
      </c>
      <c r="F16" s="70"/>
      <c r="G16" s="71">
        <v>1</v>
      </c>
      <c r="H16" s="70"/>
      <c r="I16" s="71">
        <v>1</v>
      </c>
      <c r="J16" s="70"/>
      <c r="K16" s="70"/>
      <c r="L16" s="71">
        <f>SUM($G$16:$K$16)</f>
        <v>2</v>
      </c>
      <c r="M16" s="72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72">
        <f>ROUND($L$16*$M$16,2)</f>
        <v>0</v>
      </c>
      <c r="O16" s="68" t="s">
        <v>28</v>
      </c>
      <c r="P16" s="68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ht="378" outlineLevel="4" x14ac:dyDescent="0.25">
      <c r="A17" s="66" t="s">
        <v>29</v>
      </c>
      <c r="B17" s="67" t="s">
        <v>26</v>
      </c>
      <c r="C17" s="68"/>
      <c r="D17" s="68" t="s">
        <v>27</v>
      </c>
      <c r="E17" s="69" t="s">
        <v>23</v>
      </c>
      <c r="F17" s="70"/>
      <c r="G17" s="70"/>
      <c r="H17" s="71">
        <v>1</v>
      </c>
      <c r="I17" s="70"/>
      <c r="J17" s="70"/>
      <c r="K17" s="70"/>
      <c r="L17" s="71">
        <f>SUM($G$17:$K$17)</f>
        <v>1</v>
      </c>
      <c r="M17" s="72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72">
        <f>ROUND($L$17*$M$17,2)</f>
        <v>0</v>
      </c>
      <c r="O17" s="68" t="s">
        <v>30</v>
      </c>
      <c r="P17" s="68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</row>
    <row r="18" spans="1:16" ht="378" outlineLevel="4" x14ac:dyDescent="0.25">
      <c r="A18" s="66" t="s">
        <v>31</v>
      </c>
      <c r="B18" s="67" t="s">
        <v>26</v>
      </c>
      <c r="C18" s="68"/>
      <c r="D18" s="68" t="s">
        <v>27</v>
      </c>
      <c r="E18" s="69" t="s">
        <v>23</v>
      </c>
      <c r="F18" s="70"/>
      <c r="G18" s="70"/>
      <c r="H18" s="70"/>
      <c r="I18" s="70"/>
      <c r="J18" s="71">
        <v>1</v>
      </c>
      <c r="K18" s="70"/>
      <c r="L18" s="71">
        <f>SUM($G$18:$K$18)</f>
        <v>1</v>
      </c>
      <c r="M18" s="72">
        <f t="array" ref="M18">INDEX(М[Цена за ед., руб],MATCH(1,IF(($B18=М[Наим.])*($C18=М[Артикул, марка, произв.])*($D18=М[Хар-ка])*($O18=М[Прим.]),{1},($B18=М[Наим.])*($C18=М[Артикул, марка, произв.])*($D18=М[Хар-ка])*($O18=М[Прим.])),0))</f>
        <v>0</v>
      </c>
      <c r="N18" s="72">
        <f>ROUND($L$18*$M$18,2)</f>
        <v>0</v>
      </c>
      <c r="O18" s="68" t="s">
        <v>32</v>
      </c>
      <c r="P18" s="68">
        <f t="array" ref="P18">INDEX(М[Форма закупа],MATCH(1,IF(($B18=М[Наим.])*($C18=М[Артикул, марка, произв.])*($D18=М[Хар-ка])*($O18=М[Прим.]),{1},($B18=М[Наим.])*($C18=М[Артикул, марка, произв.])*($D18=М[Хар-ка])*($O18=М[Прим.])),0))</f>
        <v>0</v>
      </c>
    </row>
    <row r="19" spans="1:16" ht="378" outlineLevel="4" x14ac:dyDescent="0.25">
      <c r="A19" s="66" t="s">
        <v>33</v>
      </c>
      <c r="B19" s="67" t="s">
        <v>26</v>
      </c>
      <c r="C19" s="68"/>
      <c r="D19" s="68" t="s">
        <v>27</v>
      </c>
      <c r="E19" s="69" t="s">
        <v>23</v>
      </c>
      <c r="F19" s="70"/>
      <c r="G19" s="70"/>
      <c r="H19" s="70"/>
      <c r="I19" s="70"/>
      <c r="J19" s="70"/>
      <c r="K19" s="71">
        <v>1</v>
      </c>
      <c r="L19" s="71">
        <f>SUM($G$19:$K$19)</f>
        <v>1</v>
      </c>
      <c r="M19" s="72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72">
        <f>ROUND($L$19*$M$19,2)</f>
        <v>0</v>
      </c>
      <c r="O19" s="68" t="s">
        <v>34</v>
      </c>
      <c r="P19" s="68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</row>
    <row r="20" spans="1:16" outlineLevel="4" x14ac:dyDescent="0.25">
      <c r="A20" s="61"/>
      <c r="B20" s="54" t="s">
        <v>21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3"/>
      <c r="N20" s="64">
        <f>SUM($N$21)</f>
        <v>0</v>
      </c>
      <c r="O20" s="58"/>
      <c r="P20" s="65"/>
    </row>
    <row r="21" spans="1:16" ht="31.5" outlineLevel="4" x14ac:dyDescent="0.25">
      <c r="A21" s="66"/>
      <c r="B21" s="67" t="s">
        <v>35</v>
      </c>
      <c r="C21" s="68"/>
      <c r="D21" s="68"/>
      <c r="E21" s="69" t="s">
        <v>36</v>
      </c>
      <c r="F21" s="70"/>
      <c r="G21" s="70"/>
      <c r="H21" s="70"/>
      <c r="I21" s="70"/>
      <c r="J21" s="70"/>
      <c r="K21" s="71">
        <f>K23</f>
        <v>149</v>
      </c>
      <c r="L21" s="71">
        <f>SUM($G$21:$K$21)</f>
        <v>149</v>
      </c>
      <c r="M21" s="72">
        <f t="array" ref="M21">INDEX(Р[Цена за ед., руб],MATCH(1,IF(($B21=Р[Наименование])*($O21=Р[Примечание]),{1},($B21=Р[Наименование])*($O21=Р[Примечание])),0))</f>
        <v>0</v>
      </c>
      <c r="N21" s="72">
        <f>ROUND($L$21*$M$21,2)</f>
        <v>0</v>
      </c>
      <c r="O21" s="68"/>
      <c r="P21" s="68"/>
    </row>
    <row r="22" spans="1:16" outlineLevel="4" x14ac:dyDescent="0.25">
      <c r="A22" s="61"/>
      <c r="B22" s="54" t="s">
        <v>24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3"/>
      <c r="N22" s="64">
        <f>SUM($N$23)</f>
        <v>0</v>
      </c>
      <c r="O22" s="58"/>
      <c r="P22" s="65"/>
    </row>
    <row r="23" spans="1:16" ht="47.25" outlineLevel="4" x14ac:dyDescent="0.25">
      <c r="A23" s="66" t="s">
        <v>25</v>
      </c>
      <c r="B23" s="67" t="s">
        <v>37</v>
      </c>
      <c r="C23" s="68"/>
      <c r="D23" s="68" t="s">
        <v>38</v>
      </c>
      <c r="E23" s="69" t="s">
        <v>36</v>
      </c>
      <c r="F23" s="70"/>
      <c r="G23" s="70"/>
      <c r="H23" s="70"/>
      <c r="I23" s="70"/>
      <c r="J23" s="70"/>
      <c r="K23" s="71">
        <v>149</v>
      </c>
      <c r="L23" s="71">
        <f>SUM($G$23:$K$23)</f>
        <v>149</v>
      </c>
      <c r="M23" s="72">
        <f t="array" ref="M23">INDEX(М[Цена за ед., руб],MATCH(1,IF(($B23=М[Наим.])*($C23=М[Артикул,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  <c r="N23" s="72">
        <f>ROUND($L$23*$M$23,2)</f>
        <v>0</v>
      </c>
      <c r="O23" s="68"/>
      <c r="P23" s="68">
        <f t="array" ref="P23">INDEX(М[Форма закупа],MATCH(1,IF(($B23=М[Наим.])*($C23=М[Артикул,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</row>
    <row r="24" spans="1:16" outlineLevel="4" x14ac:dyDescent="0.25">
      <c r="A24" s="61"/>
      <c r="B24" s="54" t="s">
        <v>21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3"/>
      <c r="N24" s="64">
        <f>SUM($N$25)</f>
        <v>0</v>
      </c>
      <c r="O24" s="58"/>
      <c r="P24" s="65"/>
    </row>
    <row r="25" spans="1:16" ht="31.5" outlineLevel="4" x14ac:dyDescent="0.25">
      <c r="A25" s="66"/>
      <c r="B25" s="67" t="s">
        <v>39</v>
      </c>
      <c r="C25" s="68"/>
      <c r="D25" s="68"/>
      <c r="E25" s="69" t="s">
        <v>36</v>
      </c>
      <c r="F25" s="70"/>
      <c r="G25" s="71">
        <f>G27+G28</f>
        <v>837</v>
      </c>
      <c r="H25" s="71">
        <f t="shared" ref="H25:K25" si="1">H27+H28</f>
        <v>3347</v>
      </c>
      <c r="I25" s="71">
        <f t="shared" si="1"/>
        <v>2093</v>
      </c>
      <c r="J25" s="71">
        <f t="shared" si="1"/>
        <v>5933</v>
      </c>
      <c r="K25" s="71">
        <f t="shared" si="1"/>
        <v>5200</v>
      </c>
      <c r="L25" s="73">
        <f>SUM($G$25:$K$25)</f>
        <v>17410</v>
      </c>
      <c r="M25" s="72">
        <f t="array" ref="M25">INDEX(Р[Цена за ед., руб],MATCH(1,IF(($B25=Р[Наименование])*($O25=Р[Примечание]),{1},($B25=Р[Наименование])*($O25=Р[Примечание])),0))</f>
        <v>0</v>
      </c>
      <c r="N25" s="72">
        <f>ROUND($L$25*$M$25,2)</f>
        <v>0</v>
      </c>
      <c r="O25" s="68"/>
      <c r="P25" s="68"/>
    </row>
    <row r="26" spans="1:16" outlineLevel="4" x14ac:dyDescent="0.25">
      <c r="A26" s="61"/>
      <c r="B26" s="54" t="s">
        <v>24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3"/>
      <c r="N26" s="64">
        <f>SUM($N$27:$N$28)</f>
        <v>0</v>
      </c>
      <c r="O26" s="58"/>
      <c r="P26" s="65"/>
    </row>
    <row r="27" spans="1:16" ht="31.5" outlineLevel="4" x14ac:dyDescent="0.25">
      <c r="A27" s="66" t="s">
        <v>25</v>
      </c>
      <c r="B27" s="67" t="s">
        <v>37</v>
      </c>
      <c r="C27" s="68"/>
      <c r="D27" s="68" t="s">
        <v>40</v>
      </c>
      <c r="E27" s="69" t="s">
        <v>36</v>
      </c>
      <c r="F27" s="70"/>
      <c r="G27" s="71">
        <v>17</v>
      </c>
      <c r="H27" s="71">
        <v>121</v>
      </c>
      <c r="I27" s="71">
        <v>34</v>
      </c>
      <c r="J27" s="71">
        <v>189</v>
      </c>
      <c r="K27" s="71">
        <v>62</v>
      </c>
      <c r="L27" s="71">
        <f>SUM($G$27:$K$27)</f>
        <v>423</v>
      </c>
      <c r="M27" s="72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72">
        <f>ROUND($L$27*$M$27,2)</f>
        <v>0</v>
      </c>
      <c r="O27" s="68"/>
      <c r="P27" s="68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outlineLevel="4" x14ac:dyDescent="0.25">
      <c r="A28" s="66" t="s">
        <v>29</v>
      </c>
      <c r="B28" s="67" t="s">
        <v>37</v>
      </c>
      <c r="C28" s="68"/>
      <c r="D28" s="68" t="s">
        <v>41</v>
      </c>
      <c r="E28" s="69" t="s">
        <v>36</v>
      </c>
      <c r="F28" s="70"/>
      <c r="G28" s="71">
        <v>820</v>
      </c>
      <c r="H28" s="73">
        <v>3226</v>
      </c>
      <c r="I28" s="73">
        <v>2059</v>
      </c>
      <c r="J28" s="73">
        <v>5744</v>
      </c>
      <c r="K28" s="73">
        <v>5138</v>
      </c>
      <c r="L28" s="73">
        <f>SUM($G$28:$K$28)</f>
        <v>16987</v>
      </c>
      <c r="M28" s="72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72">
        <f>ROUND($L$28*$M$28,2)</f>
        <v>0</v>
      </c>
      <c r="O28" s="68"/>
      <c r="P28" s="68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outlineLevel="4" x14ac:dyDescent="0.25">
      <c r="A29" s="61"/>
      <c r="B29" s="54" t="s">
        <v>21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3"/>
      <c r="N29" s="64">
        <f>SUM($N$30)</f>
        <v>0</v>
      </c>
      <c r="O29" s="58"/>
      <c r="P29" s="65"/>
    </row>
    <row r="30" spans="1:16" ht="31.5" outlineLevel="4" x14ac:dyDescent="0.25">
      <c r="A30" s="66"/>
      <c r="B30" s="67" t="s">
        <v>42</v>
      </c>
      <c r="C30" s="68"/>
      <c r="D30" s="68"/>
      <c r="E30" s="69" t="s">
        <v>36</v>
      </c>
      <c r="F30" s="70"/>
      <c r="G30" s="71">
        <f>G32+G33</f>
        <v>44</v>
      </c>
      <c r="H30" s="71">
        <f t="shared" ref="H30:K30" si="2">H32+H33</f>
        <v>44</v>
      </c>
      <c r="I30" s="71">
        <f t="shared" si="2"/>
        <v>44</v>
      </c>
      <c r="J30" s="71">
        <f t="shared" si="2"/>
        <v>44</v>
      </c>
      <c r="K30" s="71">
        <f t="shared" si="2"/>
        <v>44</v>
      </c>
      <c r="L30" s="71">
        <f>SUM($G$30:$K$30)</f>
        <v>220</v>
      </c>
      <c r="M30" s="72">
        <f t="array" ref="M30">INDEX(Р[Цена за ед., руб],MATCH(1,IF(($B30=Р[Наименование])*($O30=Р[Примечание]),{1},($B30=Р[Наименование])*($O30=Р[Примечание])),0))</f>
        <v>0</v>
      </c>
      <c r="N30" s="72">
        <f>ROUND($L$30*$M$30,2)</f>
        <v>0</v>
      </c>
      <c r="O30" s="68"/>
      <c r="P30" s="68"/>
    </row>
    <row r="31" spans="1:16" outlineLevel="4" x14ac:dyDescent="0.25">
      <c r="A31" s="61"/>
      <c r="B31" s="54" t="s">
        <v>24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3"/>
      <c r="N31" s="64">
        <f>SUM($N$32:$N$33)</f>
        <v>0</v>
      </c>
      <c r="O31" s="58"/>
      <c r="P31" s="65"/>
    </row>
    <row r="32" spans="1:16" outlineLevel="4" x14ac:dyDescent="0.25">
      <c r="A32" s="66" t="s">
        <v>25</v>
      </c>
      <c r="B32" s="67" t="s">
        <v>43</v>
      </c>
      <c r="C32" s="68"/>
      <c r="D32" s="68" t="s">
        <v>44</v>
      </c>
      <c r="E32" s="69" t="s">
        <v>36</v>
      </c>
      <c r="F32" s="70"/>
      <c r="G32" s="71">
        <v>22</v>
      </c>
      <c r="H32" s="71">
        <v>22</v>
      </c>
      <c r="I32" s="71">
        <v>22</v>
      </c>
      <c r="J32" s="71">
        <v>22</v>
      </c>
      <c r="K32" s="71">
        <v>22</v>
      </c>
      <c r="L32" s="71">
        <f>SUM($G$32:$K$32)</f>
        <v>110</v>
      </c>
      <c r="M32" s="72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72">
        <f>ROUND($L$32*$M$32,2)</f>
        <v>0</v>
      </c>
      <c r="O32" s="68"/>
      <c r="P32" s="68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</row>
    <row r="33" spans="1:16" ht="31.5" outlineLevel="4" x14ac:dyDescent="0.25">
      <c r="A33" s="66" t="s">
        <v>29</v>
      </c>
      <c r="B33" s="67" t="s">
        <v>37</v>
      </c>
      <c r="C33" s="68"/>
      <c r="D33" s="68" t="s">
        <v>45</v>
      </c>
      <c r="E33" s="69" t="s">
        <v>36</v>
      </c>
      <c r="F33" s="70"/>
      <c r="G33" s="71">
        <v>22</v>
      </c>
      <c r="H33" s="71">
        <v>22</v>
      </c>
      <c r="I33" s="71">
        <v>22</v>
      </c>
      <c r="J33" s="71">
        <v>22</v>
      </c>
      <c r="K33" s="71">
        <v>22</v>
      </c>
      <c r="L33" s="71">
        <f>SUM($G$33:$K$33)</f>
        <v>110</v>
      </c>
      <c r="M33" s="72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72">
        <f>ROUND($L$33*$M$33,2)</f>
        <v>0</v>
      </c>
      <c r="O33" s="68"/>
      <c r="P33" s="68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outlineLevel="4" x14ac:dyDescent="0.25">
      <c r="A34" s="61"/>
      <c r="B34" s="54" t="s">
        <v>21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3"/>
      <c r="N34" s="64">
        <f>SUM($N$35)</f>
        <v>0</v>
      </c>
      <c r="O34" s="58"/>
      <c r="P34" s="65"/>
    </row>
    <row r="35" spans="1:16" ht="31.5" outlineLevel="4" x14ac:dyDescent="0.25">
      <c r="A35" s="66"/>
      <c r="B35" s="67" t="s">
        <v>46</v>
      </c>
      <c r="C35" s="68"/>
      <c r="D35" s="68"/>
      <c r="E35" s="69" t="s">
        <v>36</v>
      </c>
      <c r="F35" s="70"/>
      <c r="G35" s="73">
        <f>G37</f>
        <v>2214</v>
      </c>
      <c r="H35" s="73">
        <f t="shared" ref="H35:K35" si="3">H37</f>
        <v>9108</v>
      </c>
      <c r="I35" s="73">
        <f t="shared" si="3"/>
        <v>5940</v>
      </c>
      <c r="J35" s="73">
        <f t="shared" si="3"/>
        <v>16878</v>
      </c>
      <c r="K35" s="73">
        <f t="shared" si="3"/>
        <v>11484</v>
      </c>
      <c r="L35" s="73">
        <f>SUM($G$35:$K$35)</f>
        <v>45624</v>
      </c>
      <c r="M35" s="72">
        <f t="array" ref="M35">INDEX(Р[Цена за ед., руб],MATCH(1,IF(($B35=Р[Наименование])*($O35=Р[Примечание]),{1},($B35=Р[Наименование])*($O35=Р[Примечание])),0))</f>
        <v>0</v>
      </c>
      <c r="N35" s="72">
        <f>ROUND($L$35*$M$35,2)</f>
        <v>0</v>
      </c>
      <c r="O35" s="68"/>
      <c r="P35" s="68"/>
    </row>
    <row r="36" spans="1:16" outlineLevel="4" x14ac:dyDescent="0.25">
      <c r="A36" s="61"/>
      <c r="B36" s="54" t="s">
        <v>24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3"/>
      <c r="N36" s="64">
        <f>SUM($N$37)</f>
        <v>0</v>
      </c>
      <c r="O36" s="58"/>
      <c r="P36" s="65"/>
    </row>
    <row r="37" spans="1:16" ht="47.25" outlineLevel="4" x14ac:dyDescent="0.25">
      <c r="A37" s="66" t="s">
        <v>25</v>
      </c>
      <c r="B37" s="67" t="s">
        <v>47</v>
      </c>
      <c r="C37" s="68"/>
      <c r="D37" s="68" t="s">
        <v>48</v>
      </c>
      <c r="E37" s="69" t="s">
        <v>49</v>
      </c>
      <c r="F37" s="70"/>
      <c r="G37" s="73">
        <v>2214</v>
      </c>
      <c r="H37" s="73">
        <v>9108</v>
      </c>
      <c r="I37" s="73">
        <v>5940</v>
      </c>
      <c r="J37" s="73">
        <v>16878</v>
      </c>
      <c r="K37" s="73">
        <v>11484</v>
      </c>
      <c r="L37" s="73">
        <f>SUM($G$37:$K$37)</f>
        <v>45624</v>
      </c>
      <c r="M37" s="72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72">
        <f>ROUND($L$37*$M$37,2)</f>
        <v>0</v>
      </c>
      <c r="O37" s="68" t="s">
        <v>50</v>
      </c>
      <c r="P37" s="68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outlineLevel="4" x14ac:dyDescent="0.25">
      <c r="A38" s="61"/>
      <c r="B38" s="54" t="s">
        <v>21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3"/>
      <c r="N38" s="64">
        <f>SUM($N$39)</f>
        <v>0</v>
      </c>
      <c r="O38" s="58"/>
      <c r="P38" s="65"/>
    </row>
    <row r="39" spans="1:16" ht="31.5" outlineLevel="4" x14ac:dyDescent="0.25">
      <c r="A39" s="66"/>
      <c r="B39" s="67" t="s">
        <v>51</v>
      </c>
      <c r="C39" s="68"/>
      <c r="D39" s="68"/>
      <c r="E39" s="69" t="s">
        <v>36</v>
      </c>
      <c r="F39" s="70"/>
      <c r="G39" s="71">
        <f>G41</f>
        <v>40</v>
      </c>
      <c r="H39" s="71">
        <f t="shared" ref="H39:K39" si="4">H41</f>
        <v>70</v>
      </c>
      <c r="I39" s="71">
        <f t="shared" si="4"/>
        <v>40</v>
      </c>
      <c r="J39" s="71">
        <f t="shared" si="4"/>
        <v>80</v>
      </c>
      <c r="K39" s="71">
        <f t="shared" si="4"/>
        <v>300</v>
      </c>
      <c r="L39" s="71">
        <f>SUM($G$39:$K$39)</f>
        <v>530</v>
      </c>
      <c r="M39" s="72">
        <f t="array" ref="M39">INDEX(Р[Цена за ед., руб],MATCH(1,IF(($B39=Р[Наименование])*($O39=Р[Примечание]),{1},($B39=Р[Наименование])*($O39=Р[Примечание])),0))</f>
        <v>0</v>
      </c>
      <c r="N39" s="72">
        <f>ROUND($L$39*$M$39,2)</f>
        <v>0</v>
      </c>
      <c r="O39" s="68"/>
      <c r="P39" s="68"/>
    </row>
    <row r="40" spans="1:16" outlineLevel="4" x14ac:dyDescent="0.25">
      <c r="A40" s="61"/>
      <c r="B40" s="54" t="s">
        <v>24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3"/>
      <c r="N40" s="64">
        <f>SUM($N$41)</f>
        <v>0</v>
      </c>
      <c r="O40" s="58"/>
      <c r="P40" s="65"/>
    </row>
    <row r="41" spans="1:16" ht="47.25" outlineLevel="4" x14ac:dyDescent="0.25">
      <c r="A41" s="66" t="s">
        <v>25</v>
      </c>
      <c r="B41" s="67" t="s">
        <v>47</v>
      </c>
      <c r="C41" s="68"/>
      <c r="D41" s="68" t="s">
        <v>52</v>
      </c>
      <c r="E41" s="69" t="s">
        <v>49</v>
      </c>
      <c r="F41" s="70"/>
      <c r="G41" s="71">
        <v>40</v>
      </c>
      <c r="H41" s="71">
        <v>70</v>
      </c>
      <c r="I41" s="71">
        <v>40</v>
      </c>
      <c r="J41" s="71">
        <v>80</v>
      </c>
      <c r="K41" s="71">
        <v>300</v>
      </c>
      <c r="L41" s="71">
        <f>SUM($G$41:$K$41)</f>
        <v>530</v>
      </c>
      <c r="M41" s="72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72">
        <f>ROUND($L$41*$M$41,2)</f>
        <v>0</v>
      </c>
      <c r="O41" s="68"/>
      <c r="P41" s="68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outlineLevel="4" x14ac:dyDescent="0.25">
      <c r="A42" s="61"/>
      <c r="B42" s="54" t="s">
        <v>24</v>
      </c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3"/>
      <c r="N42" s="64">
        <f>SUM($N$43)</f>
        <v>0</v>
      </c>
      <c r="O42" s="58"/>
      <c r="P42" s="65"/>
    </row>
    <row r="43" spans="1:16" ht="31.5" outlineLevel="4" x14ac:dyDescent="0.25">
      <c r="A43" s="66" t="s">
        <v>25</v>
      </c>
      <c r="B43" s="74" t="s">
        <v>111</v>
      </c>
      <c r="C43" s="75"/>
      <c r="D43" s="75"/>
      <c r="E43" s="76" t="s">
        <v>53</v>
      </c>
      <c r="F43" s="70"/>
      <c r="G43" s="70"/>
      <c r="H43" s="70"/>
      <c r="I43" s="70"/>
      <c r="J43" s="70"/>
      <c r="K43" s="70"/>
      <c r="L43" s="84">
        <f>Материалы!E28</f>
        <v>0</v>
      </c>
      <c r="M43" s="85"/>
      <c r="N43" s="85">
        <f>ROUND(SUM(N16:N19,N23,N27:N28,N32:N33,N37,N41)*L43%,3)</f>
        <v>0</v>
      </c>
      <c r="O43" s="68"/>
      <c r="P43" s="68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outlineLevel="2" x14ac:dyDescent="0.25">
      <c r="A44" s="53" t="s">
        <v>54</v>
      </c>
      <c r="B44" s="54" t="s">
        <v>55</v>
      </c>
      <c r="C44" s="55"/>
      <c r="D44" s="55"/>
      <c r="E44" s="56"/>
      <c r="F44" s="57"/>
      <c r="G44" s="58"/>
      <c r="H44" s="58"/>
      <c r="I44" s="58"/>
      <c r="J44" s="58"/>
      <c r="K44" s="58"/>
      <c r="L44" s="58"/>
      <c r="M44" s="59"/>
      <c r="N44" s="59">
        <f>SUM($N$45)</f>
        <v>0</v>
      </c>
      <c r="O44" s="60"/>
      <c r="P44" s="60"/>
    </row>
    <row r="45" spans="1:16" outlineLevel="3" x14ac:dyDescent="0.25">
      <c r="A45" s="53" t="s">
        <v>56</v>
      </c>
      <c r="B45" s="54" t="s">
        <v>55</v>
      </c>
      <c r="C45" s="55"/>
      <c r="D45" s="55"/>
      <c r="E45" s="56"/>
      <c r="F45" s="57"/>
      <c r="G45" s="58"/>
      <c r="H45" s="58"/>
      <c r="I45" s="58"/>
      <c r="J45" s="58"/>
      <c r="K45" s="58"/>
      <c r="L45" s="58"/>
      <c r="M45" s="59"/>
      <c r="N45" s="59">
        <f>SUM($N$46)</f>
        <v>0</v>
      </c>
      <c r="O45" s="60"/>
      <c r="P45" s="60"/>
    </row>
    <row r="46" spans="1:16" outlineLevel="4" x14ac:dyDescent="0.25">
      <c r="A46" s="61"/>
      <c r="B46" s="54" t="s">
        <v>21</v>
      </c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3"/>
      <c r="N46" s="64">
        <f>SUM($N$47)</f>
        <v>0</v>
      </c>
      <c r="O46" s="58"/>
      <c r="P46" s="65"/>
    </row>
    <row r="47" spans="1:16" outlineLevel="4" x14ac:dyDescent="0.25">
      <c r="A47" s="66"/>
      <c r="B47" s="67" t="s">
        <v>57</v>
      </c>
      <c r="C47" s="68"/>
      <c r="D47" s="68"/>
      <c r="E47" s="69" t="s">
        <v>58</v>
      </c>
      <c r="F47" s="70"/>
      <c r="G47" s="71">
        <v>1</v>
      </c>
      <c r="H47" s="71">
        <v>1</v>
      </c>
      <c r="I47" s="71">
        <v>1</v>
      </c>
      <c r="J47" s="71">
        <v>1</v>
      </c>
      <c r="K47" s="71">
        <v>1</v>
      </c>
      <c r="L47" s="71">
        <f>SUM($G$47:$K$47)</f>
        <v>5</v>
      </c>
      <c r="M47" s="72">
        <f t="array" ref="M47">INDEX(Р[Цена за ед., руб],MATCH(1,IF(($B47=Р[Наименование])*($O47=Р[Примечание]),{1},($B47=Р[Наименование])*($O47=Р[Примечание])),0))</f>
        <v>0</v>
      </c>
      <c r="N47" s="72">
        <f>ROUND($L$47*$M$47,2)</f>
        <v>0</v>
      </c>
      <c r="O47" s="68"/>
      <c r="P47" s="68"/>
    </row>
    <row r="48" spans="1:16" ht="31.5" outlineLevel="2" x14ac:dyDescent="0.25">
      <c r="A48" s="53" t="s">
        <v>59</v>
      </c>
      <c r="B48" s="54" t="s">
        <v>60</v>
      </c>
      <c r="C48" s="55"/>
      <c r="D48" s="55"/>
      <c r="E48" s="56"/>
      <c r="F48" s="57"/>
      <c r="G48" s="58"/>
      <c r="H48" s="58"/>
      <c r="I48" s="58"/>
      <c r="J48" s="58"/>
      <c r="K48" s="58"/>
      <c r="L48" s="58"/>
      <c r="M48" s="59"/>
      <c r="N48" s="59">
        <f>SUM($N$49)</f>
        <v>0</v>
      </c>
      <c r="O48" s="60"/>
      <c r="P48" s="60"/>
    </row>
    <row r="49" spans="1:16" ht="31.5" outlineLevel="3" x14ac:dyDescent="0.25">
      <c r="A49" s="53" t="s">
        <v>61</v>
      </c>
      <c r="B49" s="54" t="s">
        <v>60</v>
      </c>
      <c r="C49" s="55"/>
      <c r="D49" s="55"/>
      <c r="E49" s="56"/>
      <c r="F49" s="57"/>
      <c r="G49" s="58"/>
      <c r="H49" s="58"/>
      <c r="I49" s="58"/>
      <c r="J49" s="58"/>
      <c r="K49" s="58"/>
      <c r="L49" s="58"/>
      <c r="M49" s="59"/>
      <c r="N49" s="59">
        <f>SUM($N$78,$N$76,$N$74,$N$69,$N$67,$N$58,$N$56,$N$52,$N$50)</f>
        <v>0</v>
      </c>
      <c r="O49" s="60"/>
      <c r="P49" s="60"/>
    </row>
    <row r="50" spans="1:16" outlineLevel="4" x14ac:dyDescent="0.25">
      <c r="A50" s="61"/>
      <c r="B50" s="54" t="s">
        <v>21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3"/>
      <c r="N50" s="64">
        <f>SUM($N$51)</f>
        <v>0</v>
      </c>
      <c r="O50" s="58"/>
      <c r="P50" s="65"/>
    </row>
    <row r="51" spans="1:16" outlineLevel="4" x14ac:dyDescent="0.25">
      <c r="A51" s="66"/>
      <c r="B51" s="67" t="s">
        <v>62</v>
      </c>
      <c r="C51" s="68"/>
      <c r="D51" s="68"/>
      <c r="E51" s="69" t="s">
        <v>36</v>
      </c>
      <c r="F51" s="70"/>
      <c r="G51" s="71">
        <f>(G53+G54+G55)*3</f>
        <v>90</v>
      </c>
      <c r="H51" s="71">
        <f t="shared" ref="H51:K51" si="5">(H53+H54+H55)*3</f>
        <v>360</v>
      </c>
      <c r="I51" s="71">
        <f t="shared" si="5"/>
        <v>240</v>
      </c>
      <c r="J51" s="71">
        <f t="shared" si="5"/>
        <v>693</v>
      </c>
      <c r="K51" s="71">
        <f t="shared" si="5"/>
        <v>207</v>
      </c>
      <c r="L51" s="73">
        <f>SUM($G$51:$K$51)</f>
        <v>1590</v>
      </c>
      <c r="M51" s="72">
        <f t="array" ref="M51">INDEX(Р[Цена за ед., руб],MATCH(1,IF(($B51=Р[Наименование])*($O51=Р[Примечание]),{1},($B51=Р[Наименование])*($O51=Р[Примечание])),0))</f>
        <v>0</v>
      </c>
      <c r="N51" s="72">
        <f>ROUND($L$51*$M$51,2)</f>
        <v>0</v>
      </c>
      <c r="O51" s="68"/>
      <c r="P51" s="68"/>
    </row>
    <row r="52" spans="1:16" outlineLevel="4" x14ac:dyDescent="0.25">
      <c r="A52" s="61"/>
      <c r="B52" s="54" t="s">
        <v>24</v>
      </c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3"/>
      <c r="N52" s="64">
        <f>SUM($N$53:$N$55)</f>
        <v>0</v>
      </c>
      <c r="O52" s="58"/>
      <c r="P52" s="65"/>
    </row>
    <row r="53" spans="1:16" outlineLevel="4" x14ac:dyDescent="0.25">
      <c r="A53" s="66" t="s">
        <v>25</v>
      </c>
      <c r="B53" s="67" t="s">
        <v>63</v>
      </c>
      <c r="C53" s="68"/>
      <c r="D53" s="68" t="s">
        <v>64</v>
      </c>
      <c r="E53" s="69" t="s">
        <v>23</v>
      </c>
      <c r="F53" s="70"/>
      <c r="G53" s="71">
        <v>20</v>
      </c>
      <c r="H53" s="71">
        <v>72</v>
      </c>
      <c r="I53" s="71">
        <v>48</v>
      </c>
      <c r="J53" s="70"/>
      <c r="K53" s="71">
        <v>46</v>
      </c>
      <c r="L53" s="71">
        <f>SUM($G$53:$K$53)</f>
        <v>186</v>
      </c>
      <c r="M53" s="72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72">
        <f>ROUND($L$53*$M$53,2)</f>
        <v>0</v>
      </c>
      <c r="O53" s="68"/>
      <c r="P53" s="68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outlineLevel="4" x14ac:dyDescent="0.25">
      <c r="A54" s="66" t="s">
        <v>29</v>
      </c>
      <c r="B54" s="67" t="s">
        <v>63</v>
      </c>
      <c r="C54" s="68"/>
      <c r="D54" s="68" t="s">
        <v>65</v>
      </c>
      <c r="E54" s="69" t="s">
        <v>23</v>
      </c>
      <c r="F54" s="70"/>
      <c r="G54" s="70"/>
      <c r="H54" s="71">
        <v>48</v>
      </c>
      <c r="I54" s="71">
        <v>32</v>
      </c>
      <c r="J54" s="71">
        <v>185</v>
      </c>
      <c r="K54" s="71">
        <v>23</v>
      </c>
      <c r="L54" s="71">
        <f>SUM($G$54:$K$54)</f>
        <v>288</v>
      </c>
      <c r="M54" s="72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72">
        <f>ROUND($L$54*$M$54,2)</f>
        <v>0</v>
      </c>
      <c r="O54" s="68"/>
      <c r="P54" s="68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outlineLevel="4" x14ac:dyDescent="0.25">
      <c r="A55" s="66" t="s">
        <v>31</v>
      </c>
      <c r="B55" s="67" t="s">
        <v>63</v>
      </c>
      <c r="C55" s="68"/>
      <c r="D55" s="68" t="s">
        <v>66</v>
      </c>
      <c r="E55" s="69" t="s">
        <v>23</v>
      </c>
      <c r="F55" s="70"/>
      <c r="G55" s="71">
        <v>10</v>
      </c>
      <c r="H55" s="70"/>
      <c r="I55" s="70"/>
      <c r="J55" s="71">
        <v>46</v>
      </c>
      <c r="K55" s="70"/>
      <c r="L55" s="71">
        <f>SUM($G$55:$K$55)</f>
        <v>56</v>
      </c>
      <c r="M55" s="72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72">
        <f>ROUND($L$55*$M$55,2)</f>
        <v>0</v>
      </c>
      <c r="O55" s="68"/>
      <c r="P55" s="68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outlineLevel="4" x14ac:dyDescent="0.25">
      <c r="A56" s="61"/>
      <c r="B56" s="54" t="s">
        <v>21</v>
      </c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3"/>
      <c r="N56" s="64">
        <f>SUM($N$57)</f>
        <v>0</v>
      </c>
      <c r="O56" s="58"/>
      <c r="P56" s="65"/>
    </row>
    <row r="57" spans="1:16" outlineLevel="4" x14ac:dyDescent="0.25">
      <c r="A57" s="66"/>
      <c r="B57" s="67" t="s">
        <v>67</v>
      </c>
      <c r="C57" s="68"/>
      <c r="D57" s="68"/>
      <c r="E57" s="69" t="s">
        <v>36</v>
      </c>
      <c r="F57" s="70"/>
      <c r="G57" s="71">
        <f>SUM(G63:G66)*3</f>
        <v>90</v>
      </c>
      <c r="H57" s="71">
        <f t="shared" ref="H57:K57" si="6">SUM(H63:H66)*3</f>
        <v>360</v>
      </c>
      <c r="I57" s="71">
        <f t="shared" si="6"/>
        <v>240</v>
      </c>
      <c r="J57" s="71">
        <f t="shared" si="6"/>
        <v>693</v>
      </c>
      <c r="K57" s="71">
        <f t="shared" si="6"/>
        <v>207</v>
      </c>
      <c r="L57" s="73">
        <f>SUM($G$57:$K$57)</f>
        <v>1590</v>
      </c>
      <c r="M57" s="72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72">
        <f>ROUND($L$57*$M$57,2)</f>
        <v>0</v>
      </c>
      <c r="O57" s="68"/>
      <c r="P57" s="68"/>
    </row>
    <row r="58" spans="1:16" outlineLevel="4" x14ac:dyDescent="0.25">
      <c r="A58" s="61"/>
      <c r="B58" s="54" t="s">
        <v>24</v>
      </c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3"/>
      <c r="N58" s="64">
        <f>SUM($N$59:$N$66)</f>
        <v>0</v>
      </c>
      <c r="O58" s="58"/>
      <c r="P58" s="65"/>
    </row>
    <row r="59" spans="1:16" outlineLevel="4" x14ac:dyDescent="0.25">
      <c r="A59" s="66" t="s">
        <v>25</v>
      </c>
      <c r="B59" s="67" t="s">
        <v>68</v>
      </c>
      <c r="C59" s="68"/>
      <c r="D59" s="68" t="s">
        <v>69</v>
      </c>
      <c r="E59" s="69" t="s">
        <v>23</v>
      </c>
      <c r="F59" s="70"/>
      <c r="G59" s="71">
        <v>20</v>
      </c>
      <c r="H59" s="70"/>
      <c r="I59" s="70"/>
      <c r="J59" s="71">
        <v>92</v>
      </c>
      <c r="K59" s="70"/>
      <c r="L59" s="71">
        <f>SUM($G$59:$K$59)</f>
        <v>112</v>
      </c>
      <c r="M59" s="72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72">
        <f>ROUND($L$59*$M$59,2)</f>
        <v>0</v>
      </c>
      <c r="O59" s="68"/>
      <c r="P59" s="68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outlineLevel="4" x14ac:dyDescent="0.25">
      <c r="A60" s="66" t="s">
        <v>29</v>
      </c>
      <c r="B60" s="67" t="s">
        <v>68</v>
      </c>
      <c r="C60" s="68"/>
      <c r="D60" s="68" t="s">
        <v>70</v>
      </c>
      <c r="E60" s="69" t="s">
        <v>23</v>
      </c>
      <c r="F60" s="70"/>
      <c r="G60" s="70"/>
      <c r="H60" s="71">
        <v>96</v>
      </c>
      <c r="I60" s="71">
        <v>64</v>
      </c>
      <c r="J60" s="70"/>
      <c r="K60" s="71">
        <v>46</v>
      </c>
      <c r="L60" s="71">
        <f>SUM($G$60:$K$60)</f>
        <v>206</v>
      </c>
      <c r="M60" s="72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72">
        <f>ROUND($L$60*$M$60,2)</f>
        <v>0</v>
      </c>
      <c r="O60" s="68"/>
      <c r="P60" s="68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outlineLevel="4" x14ac:dyDescent="0.25">
      <c r="A61" s="66" t="s">
        <v>31</v>
      </c>
      <c r="B61" s="67" t="s">
        <v>68</v>
      </c>
      <c r="C61" s="68"/>
      <c r="D61" s="68" t="s">
        <v>71</v>
      </c>
      <c r="E61" s="69" t="s">
        <v>23</v>
      </c>
      <c r="F61" s="70"/>
      <c r="G61" s="70"/>
      <c r="H61" s="70"/>
      <c r="I61" s="70"/>
      <c r="J61" s="71">
        <v>370</v>
      </c>
      <c r="K61" s="70"/>
      <c r="L61" s="71">
        <f>SUM($G$61:$K$61)</f>
        <v>370</v>
      </c>
      <c r="M61" s="72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72">
        <f>ROUND($L$61*$M$61,2)</f>
        <v>0</v>
      </c>
      <c r="O61" s="68"/>
      <c r="P61" s="68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outlineLevel="4" x14ac:dyDescent="0.25">
      <c r="A62" s="66" t="s">
        <v>33</v>
      </c>
      <c r="B62" s="67" t="s">
        <v>68</v>
      </c>
      <c r="C62" s="68"/>
      <c r="D62" s="68" t="s">
        <v>72</v>
      </c>
      <c r="E62" s="69" t="s">
        <v>23</v>
      </c>
      <c r="F62" s="70"/>
      <c r="G62" s="71">
        <v>40</v>
      </c>
      <c r="H62" s="71">
        <v>144</v>
      </c>
      <c r="I62" s="71">
        <v>96</v>
      </c>
      <c r="J62" s="70"/>
      <c r="K62" s="71">
        <v>92</v>
      </c>
      <c r="L62" s="71">
        <f>SUM($G$62:$K$62)</f>
        <v>372</v>
      </c>
      <c r="M62" s="72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72">
        <f>ROUND($L$62*$M$62,2)</f>
        <v>0</v>
      </c>
      <c r="O62" s="68"/>
      <c r="P62" s="68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ht="31.5" outlineLevel="4" x14ac:dyDescent="0.25">
      <c r="A63" s="66" t="s">
        <v>73</v>
      </c>
      <c r="B63" s="67" t="s">
        <v>74</v>
      </c>
      <c r="C63" s="68"/>
      <c r="D63" s="68" t="s">
        <v>75</v>
      </c>
      <c r="E63" s="69" t="s">
        <v>23</v>
      </c>
      <c r="F63" s="70"/>
      <c r="G63" s="71">
        <v>20</v>
      </c>
      <c r="H63" s="71">
        <v>72</v>
      </c>
      <c r="I63" s="71">
        <v>48</v>
      </c>
      <c r="J63" s="70"/>
      <c r="K63" s="71">
        <v>46</v>
      </c>
      <c r="L63" s="71">
        <f>SUM($G$63:$K$63)</f>
        <v>186</v>
      </c>
      <c r="M63" s="72">
        <f t="array" ref="M63">INDEX(М[Цена за ед., руб],MATCH(1,IF(($B63=М[Наим.])*($C63=М[Артикул,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  <c r="N63" s="72">
        <f>ROUND($L$63*$M$63,2)</f>
        <v>0</v>
      </c>
      <c r="O63" s="68"/>
      <c r="P63" s="68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</row>
    <row r="64" spans="1:16" ht="31.5" outlineLevel="4" x14ac:dyDescent="0.25">
      <c r="A64" s="66" t="s">
        <v>76</v>
      </c>
      <c r="B64" s="67" t="s">
        <v>74</v>
      </c>
      <c r="C64" s="68"/>
      <c r="D64" s="68" t="s">
        <v>77</v>
      </c>
      <c r="E64" s="69" t="s">
        <v>23</v>
      </c>
      <c r="F64" s="70"/>
      <c r="G64" s="71">
        <v>10</v>
      </c>
      <c r="H64" s="70"/>
      <c r="I64" s="70"/>
      <c r="J64" s="71">
        <v>46</v>
      </c>
      <c r="K64" s="70"/>
      <c r="L64" s="71">
        <f>SUM($G$64:$K$64)</f>
        <v>56</v>
      </c>
      <c r="M64" s="72">
        <f t="array" ref="M64">INDEX(М[Цена за ед., руб],MATCH(1,IF(($B64=М[Наим.])*($C64=М[Артикул,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  <c r="N64" s="72">
        <f>ROUND($L$64*$M$64,2)</f>
        <v>0</v>
      </c>
      <c r="O64" s="68"/>
      <c r="P64" s="68">
        <f t="array" ref="P64">INDEX(М[Форма закупа],MATCH(1,IF(($B64=М[Наим.])*($C64=М[Артикул,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</row>
    <row r="65" spans="1:16" ht="31.5" outlineLevel="4" x14ac:dyDescent="0.25">
      <c r="A65" s="66" t="s">
        <v>78</v>
      </c>
      <c r="B65" s="67" t="s">
        <v>74</v>
      </c>
      <c r="C65" s="68"/>
      <c r="D65" s="68" t="s">
        <v>79</v>
      </c>
      <c r="E65" s="69" t="s">
        <v>23</v>
      </c>
      <c r="F65" s="70"/>
      <c r="G65" s="70"/>
      <c r="H65" s="71">
        <v>48</v>
      </c>
      <c r="I65" s="71">
        <v>32</v>
      </c>
      <c r="J65" s="70"/>
      <c r="K65" s="71">
        <v>23</v>
      </c>
      <c r="L65" s="71">
        <f>SUM($G$65:$K$65)</f>
        <v>103</v>
      </c>
      <c r="M65" s="72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72">
        <f>ROUND($L$65*$M$65,2)</f>
        <v>0</v>
      </c>
      <c r="O65" s="68"/>
      <c r="P65" s="68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</row>
    <row r="66" spans="1:16" ht="47.25" outlineLevel="4" x14ac:dyDescent="0.25">
      <c r="A66" s="66" t="s">
        <v>80</v>
      </c>
      <c r="B66" s="67" t="s">
        <v>74</v>
      </c>
      <c r="C66" s="68"/>
      <c r="D66" s="68" t="s">
        <v>81</v>
      </c>
      <c r="E66" s="69" t="s">
        <v>23</v>
      </c>
      <c r="F66" s="70"/>
      <c r="G66" s="70"/>
      <c r="H66" s="70"/>
      <c r="I66" s="70"/>
      <c r="J66" s="71">
        <v>185</v>
      </c>
      <c r="K66" s="70"/>
      <c r="L66" s="71">
        <f>SUM($G$66:$K$66)</f>
        <v>185</v>
      </c>
      <c r="M66" s="72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72">
        <f>ROUND($L$66*$M$66,2)</f>
        <v>0</v>
      </c>
      <c r="O66" s="68"/>
      <c r="P66" s="68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outlineLevel="4" x14ac:dyDescent="0.25">
      <c r="A67" s="61"/>
      <c r="B67" s="54" t="s">
        <v>21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3"/>
      <c r="N67" s="64">
        <f>SUM($N$68)</f>
        <v>0</v>
      </c>
      <c r="O67" s="58"/>
      <c r="P67" s="65"/>
    </row>
    <row r="68" spans="1:16" ht="31.5" outlineLevel="4" x14ac:dyDescent="0.25">
      <c r="A68" s="66"/>
      <c r="B68" s="67" t="s">
        <v>39</v>
      </c>
      <c r="C68" s="68"/>
      <c r="D68" s="68"/>
      <c r="E68" s="69" t="s">
        <v>36</v>
      </c>
      <c r="F68" s="70"/>
      <c r="G68" s="71">
        <f>(G70+G71)+G72*120+G73*200</f>
        <v>188</v>
      </c>
      <c r="H68" s="71">
        <f t="shared" ref="H68:K68" si="7">(H70+H71)+H72*120+H73*200</f>
        <v>575</v>
      </c>
      <c r="I68" s="71">
        <f t="shared" si="7"/>
        <v>279</v>
      </c>
      <c r="J68" s="71">
        <f t="shared" si="7"/>
        <v>641</v>
      </c>
      <c r="K68" s="71">
        <f t="shared" si="7"/>
        <v>566</v>
      </c>
      <c r="L68" s="73">
        <f>SUM($G$68:$K$68)</f>
        <v>2249</v>
      </c>
      <c r="M68" s="72">
        <f t="array" ref="M68">INDEX(Р[Цена за ед., руб],MATCH(1,IF(($B68=Р[Наименование])*($O68=Р[Примечание]),{1},($B68=Р[Наименование])*($O68=Р[Примечание])),0))</f>
        <v>0</v>
      </c>
      <c r="N68" s="72">
        <f>ROUND($L$68*$M$68,2)</f>
        <v>0</v>
      </c>
      <c r="O68" s="68"/>
      <c r="P68" s="68"/>
    </row>
    <row r="69" spans="1:16" outlineLevel="4" x14ac:dyDescent="0.25">
      <c r="A69" s="61"/>
      <c r="B69" s="54" t="s">
        <v>24</v>
      </c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3"/>
      <c r="N69" s="64">
        <f>SUM($N$70:$N$73)</f>
        <v>0</v>
      </c>
      <c r="O69" s="58"/>
      <c r="P69" s="65"/>
    </row>
    <row r="70" spans="1:16" ht="31.5" outlineLevel="4" x14ac:dyDescent="0.25">
      <c r="A70" s="66" t="s">
        <v>25</v>
      </c>
      <c r="B70" s="67" t="s">
        <v>37</v>
      </c>
      <c r="C70" s="68"/>
      <c r="D70" s="68" t="s">
        <v>40</v>
      </c>
      <c r="E70" s="69" t="s">
        <v>36</v>
      </c>
      <c r="F70" s="70"/>
      <c r="G70" s="71">
        <v>50</v>
      </c>
      <c r="H70" s="71">
        <v>344</v>
      </c>
      <c r="I70" s="71">
        <v>141</v>
      </c>
      <c r="J70" s="71">
        <v>405</v>
      </c>
      <c r="K70" s="71">
        <v>317</v>
      </c>
      <c r="L70" s="73">
        <f>SUM($G$70:$K$70)</f>
        <v>1257</v>
      </c>
      <c r="M70" s="72">
        <f t="array" ref="M70">INDEX(М[Цена за ед., руб],MATCH(1,IF(($B70=М[Наим.])*($C70=М[Артикул,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  <c r="N70" s="72">
        <f>ROUND($L$70*$M$70,2)</f>
        <v>0</v>
      </c>
      <c r="O70" s="68"/>
      <c r="P70" s="68">
        <f t="array" ref="P70">INDEX(М[Форма закупа],MATCH(1,IF(($B70=М[Наим.])*($C70=М[Артикул,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</row>
    <row r="71" spans="1:16" outlineLevel="4" x14ac:dyDescent="0.25">
      <c r="A71" s="66" t="s">
        <v>29</v>
      </c>
      <c r="B71" s="67" t="s">
        <v>37</v>
      </c>
      <c r="C71" s="68"/>
      <c r="D71" s="68" t="s">
        <v>41</v>
      </c>
      <c r="E71" s="69" t="s">
        <v>36</v>
      </c>
      <c r="F71" s="70"/>
      <c r="G71" s="71">
        <v>18</v>
      </c>
      <c r="H71" s="71">
        <v>31</v>
      </c>
      <c r="I71" s="71">
        <v>18</v>
      </c>
      <c r="J71" s="71">
        <v>36</v>
      </c>
      <c r="K71" s="71">
        <v>49</v>
      </c>
      <c r="L71" s="71">
        <f>SUM($G$71:$K$71)</f>
        <v>152</v>
      </c>
      <c r="M71" s="72">
        <f t="array" ref="M71">INDEX(М[Цена за ед., руб],MATCH(1,IF(($B71=М[Наим.])*($C71=М[Артикул,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  <c r="N71" s="72">
        <f>ROUND($L$71*$M$71,2)</f>
        <v>0</v>
      </c>
      <c r="O71" s="68"/>
      <c r="P71" s="68">
        <f t="array" ref="P71">INDEX(М[Форма закупа],MATCH(1,IF(($B71=М[Наим.])*($C71=М[Артикул,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</row>
    <row r="72" spans="1:16" ht="63" outlineLevel="4" x14ac:dyDescent="0.25">
      <c r="A72" s="66" t="s">
        <v>31</v>
      </c>
      <c r="B72" s="67" t="s">
        <v>82</v>
      </c>
      <c r="C72" s="68"/>
      <c r="D72" s="68" t="s">
        <v>83</v>
      </c>
      <c r="E72" s="69" t="s">
        <v>23</v>
      </c>
      <c r="F72" s="70"/>
      <c r="G72" s="71">
        <v>1</v>
      </c>
      <c r="H72" s="70"/>
      <c r="I72" s="71">
        <v>1</v>
      </c>
      <c r="J72" s="70"/>
      <c r="K72" s="70"/>
      <c r="L72" s="71">
        <f>SUM($G$72:$K$72)</f>
        <v>2</v>
      </c>
      <c r="M72" s="72">
        <f t="array" ref="M72">INDEX(М[Цена за ед., руб],MATCH(1,IF(($B72=М[Наим.])*($C72=М[Артикул,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  <c r="N72" s="72">
        <f>ROUND($L$72*$M$72,2)</f>
        <v>0</v>
      </c>
      <c r="O72" s="68" t="s">
        <v>84</v>
      </c>
      <c r="P72" s="68">
        <f t="array" ref="P72">INDEX(М[Форма закупа],MATCH(1,IF(($B72=М[Наим.])*($C72=М[Артикул,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</row>
    <row r="73" spans="1:16" ht="63" outlineLevel="4" x14ac:dyDescent="0.25">
      <c r="A73" s="66" t="s">
        <v>33</v>
      </c>
      <c r="B73" s="67" t="s">
        <v>82</v>
      </c>
      <c r="C73" s="68"/>
      <c r="D73" s="68" t="s">
        <v>85</v>
      </c>
      <c r="E73" s="69" t="s">
        <v>23</v>
      </c>
      <c r="F73" s="70"/>
      <c r="G73" s="70"/>
      <c r="H73" s="71">
        <v>1</v>
      </c>
      <c r="I73" s="70"/>
      <c r="J73" s="71">
        <v>1</v>
      </c>
      <c r="K73" s="71">
        <v>1</v>
      </c>
      <c r="L73" s="71">
        <f>SUM($G$73:$K$73)</f>
        <v>3</v>
      </c>
      <c r="M73" s="72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72">
        <f>ROUND($L$73*$M$73,2)</f>
        <v>0</v>
      </c>
      <c r="O73" s="68" t="s">
        <v>86</v>
      </c>
      <c r="P73" s="68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6" outlineLevel="4" x14ac:dyDescent="0.25">
      <c r="A74" s="61"/>
      <c r="B74" s="54" t="s">
        <v>21</v>
      </c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3"/>
      <c r="N74" s="64">
        <f>SUM($N$75)</f>
        <v>0</v>
      </c>
      <c r="O74" s="58"/>
      <c r="P74" s="65"/>
    </row>
    <row r="75" spans="1:16" ht="31.5" outlineLevel="4" x14ac:dyDescent="0.25">
      <c r="A75" s="66"/>
      <c r="B75" s="67" t="s">
        <v>51</v>
      </c>
      <c r="C75" s="68"/>
      <c r="D75" s="68"/>
      <c r="E75" s="69" t="s">
        <v>36</v>
      </c>
      <c r="F75" s="70"/>
      <c r="G75" s="71">
        <f>G77</f>
        <v>18</v>
      </c>
      <c r="H75" s="71">
        <f t="shared" ref="H75:K75" si="8">H77</f>
        <v>31</v>
      </c>
      <c r="I75" s="71">
        <f t="shared" si="8"/>
        <v>18</v>
      </c>
      <c r="J75" s="71">
        <f t="shared" si="8"/>
        <v>36</v>
      </c>
      <c r="K75" s="71">
        <f t="shared" si="8"/>
        <v>49</v>
      </c>
      <c r="L75" s="71">
        <f>SUM($G$75:$K$75)</f>
        <v>152</v>
      </c>
      <c r="M75" s="72">
        <f t="array" ref="M75">INDEX(Р[Цена за ед., руб],MATCH(1,IF(($B75=Р[Наименование])*($O75=Р[Примечание]),{1},($B75=Р[Наименование])*($O75=Р[Примечание])),0))</f>
        <v>0</v>
      </c>
      <c r="N75" s="72">
        <f>ROUND($L$75*$M$75,2)</f>
        <v>0</v>
      </c>
      <c r="O75" s="68"/>
      <c r="P75" s="68"/>
    </row>
    <row r="76" spans="1:16" outlineLevel="4" x14ac:dyDescent="0.25">
      <c r="A76" s="61"/>
      <c r="B76" s="54" t="s">
        <v>24</v>
      </c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3"/>
      <c r="N76" s="64">
        <f>SUM($N$77)</f>
        <v>0</v>
      </c>
      <c r="O76" s="58"/>
      <c r="P76" s="65"/>
    </row>
    <row r="77" spans="1:16" ht="47.25" outlineLevel="4" x14ac:dyDescent="0.25">
      <c r="A77" s="66" t="s">
        <v>25</v>
      </c>
      <c r="B77" s="67" t="s">
        <v>47</v>
      </c>
      <c r="C77" s="68"/>
      <c r="D77" s="68" t="s">
        <v>52</v>
      </c>
      <c r="E77" s="69" t="s">
        <v>49</v>
      </c>
      <c r="F77" s="70"/>
      <c r="G77" s="71">
        <v>18</v>
      </c>
      <c r="H77" s="71">
        <v>31</v>
      </c>
      <c r="I77" s="71">
        <v>18</v>
      </c>
      <c r="J77" s="71">
        <v>36</v>
      </c>
      <c r="K77" s="71">
        <v>49</v>
      </c>
      <c r="L77" s="71">
        <f>SUM($G$77:$K$77)</f>
        <v>152</v>
      </c>
      <c r="M77" s="72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72">
        <f>ROUND($L$77*$M$77,2)</f>
        <v>0</v>
      </c>
      <c r="O77" s="68"/>
      <c r="P77" s="68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6" outlineLevel="4" x14ac:dyDescent="0.25">
      <c r="A78" s="61"/>
      <c r="B78" s="54" t="s">
        <v>24</v>
      </c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3"/>
      <c r="N78" s="64">
        <f>SUM($N$79)</f>
        <v>0</v>
      </c>
      <c r="O78" s="58"/>
      <c r="P78" s="65"/>
    </row>
    <row r="79" spans="1:16" ht="31.5" outlineLevel="4" x14ac:dyDescent="0.25">
      <c r="A79" s="66" t="s">
        <v>25</v>
      </c>
      <c r="B79" s="74" t="s">
        <v>112</v>
      </c>
      <c r="C79" s="75"/>
      <c r="D79" s="75"/>
      <c r="E79" s="76" t="s">
        <v>53</v>
      </c>
      <c r="F79" s="77"/>
      <c r="G79" s="70"/>
      <c r="H79" s="70"/>
      <c r="I79" s="70"/>
      <c r="J79" s="70"/>
      <c r="K79" s="70"/>
      <c r="L79" s="84">
        <f>Материалы!E29</f>
        <v>0</v>
      </c>
      <c r="M79" s="85"/>
      <c r="N79" s="85">
        <f>ROUND(SUM(N53:N55,N59:N66,N70:N73,N77)*L79%,3)</f>
        <v>0</v>
      </c>
      <c r="O79" s="68"/>
      <c r="P79" s="68">
        <f t="array" ref="P79">INDEX(М[Форма закупа],MATCH(1,IF(($B79=М[Наим.])*($C79=М[Артикул,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</row>
    <row r="80" spans="1:16" x14ac:dyDescent="0.25">
      <c r="A80" s="78"/>
      <c r="B80" s="127" t="s">
        <v>87</v>
      </c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9"/>
      <c r="N80" s="79">
        <f>$N$10</f>
        <v>0</v>
      </c>
      <c r="O80" s="80"/>
      <c r="P80" s="80"/>
    </row>
    <row r="81" spans="1:18" x14ac:dyDescent="0.25">
      <c r="A81" s="78"/>
      <c r="B81" s="130" t="s">
        <v>88</v>
      </c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2"/>
      <c r="N81" s="79">
        <f>SUM($N$74,$N$67,$N$56,$N$50,$N$46,$N$38,$N$34,$N$29,$N$24,$N$20,$N$13)</f>
        <v>0</v>
      </c>
      <c r="O81" s="80"/>
      <c r="P81" s="80"/>
    </row>
    <row r="82" spans="1:18" x14ac:dyDescent="0.25">
      <c r="A82" s="78"/>
      <c r="B82" s="130" t="s">
        <v>89</v>
      </c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32"/>
      <c r="N82" s="79">
        <f>SUM($N$78,$N$76,$N$69,$N$58,$N$52,$N$42,$N$40,$N$36,$N$31,$N$26,$N$22,$N$15)</f>
        <v>0</v>
      </c>
      <c r="O82" s="80"/>
      <c r="P82" s="80"/>
    </row>
    <row r="83" spans="1:18" x14ac:dyDescent="0.25">
      <c r="A83" s="78"/>
      <c r="B83" s="133" t="s">
        <v>123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5"/>
      <c r="N83" s="89"/>
      <c r="O83" s="90" t="s">
        <v>124</v>
      </c>
      <c r="P83" s="80"/>
    </row>
    <row r="84" spans="1:18" x14ac:dyDescent="0.25">
      <c r="A84" s="81"/>
      <c r="B84" s="110" t="s">
        <v>90</v>
      </c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1"/>
      <c r="N84" s="111"/>
      <c r="O84" s="110"/>
      <c r="P84" s="81"/>
    </row>
    <row r="85" spans="1:18" x14ac:dyDescent="0.25">
      <c r="B85" s="136"/>
      <c r="C85" s="136"/>
      <c r="D85" s="136"/>
      <c r="E85" s="136"/>
      <c r="F85" s="136"/>
      <c r="G85" s="136"/>
      <c r="H85" s="136"/>
      <c r="I85" s="136"/>
      <c r="J85" s="136"/>
      <c r="K85" s="136"/>
      <c r="L85" s="136"/>
      <c r="M85" s="137"/>
      <c r="N85" s="137"/>
      <c r="O85" s="136"/>
    </row>
    <row r="86" spans="1:18" s="28" customFormat="1" x14ac:dyDescent="0.25">
      <c r="B86" s="29" t="s">
        <v>116</v>
      </c>
      <c r="C86" s="30"/>
      <c r="D86" s="30"/>
      <c r="N86" s="31"/>
      <c r="O86" s="32"/>
      <c r="P86" s="32"/>
      <c r="Q86" s="30"/>
      <c r="R86" s="33"/>
    </row>
    <row r="87" spans="1:18" s="28" customFormat="1" ht="30.75" customHeight="1" x14ac:dyDescent="0.25">
      <c r="A87" s="34" t="s">
        <v>117</v>
      </c>
      <c r="B87" s="123" t="s">
        <v>118</v>
      </c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35"/>
    </row>
    <row r="88" spans="1:18" s="28" customFormat="1" ht="53.25" customHeight="1" x14ac:dyDescent="0.25">
      <c r="A88" s="36" t="s">
        <v>117</v>
      </c>
      <c r="B88" s="124" t="s">
        <v>119</v>
      </c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37"/>
    </row>
    <row r="89" spans="1:18" s="28" customFormat="1" ht="22.5" customHeight="1" x14ac:dyDescent="0.25">
      <c r="A89" s="34" t="s">
        <v>117</v>
      </c>
      <c r="B89" s="125" t="s">
        <v>120</v>
      </c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</row>
    <row r="90" spans="1:18" s="28" customFormat="1" x14ac:dyDescent="0.25">
      <c r="A90" s="34" t="s">
        <v>117</v>
      </c>
      <c r="B90" s="126" t="s">
        <v>121</v>
      </c>
      <c r="C90" s="126"/>
      <c r="D90" s="126"/>
      <c r="E90" s="126"/>
      <c r="F90" s="126"/>
      <c r="G90" s="126"/>
      <c r="H90" s="126"/>
      <c r="I90" s="126"/>
      <c r="J90" s="126"/>
      <c r="K90" s="126"/>
      <c r="L90" s="38"/>
      <c r="M90" s="38"/>
      <c r="N90" s="39"/>
      <c r="O90" s="38"/>
      <c r="P90" s="38"/>
      <c r="Q90" s="38"/>
      <c r="R90" s="37"/>
    </row>
  </sheetData>
  <mergeCells count="29">
    <mergeCell ref="B87:Q87"/>
    <mergeCell ref="B88:Q88"/>
    <mergeCell ref="B89:R89"/>
    <mergeCell ref="B90:K90"/>
    <mergeCell ref="B80:M80"/>
    <mergeCell ref="B81:M81"/>
    <mergeCell ref="B82:M82"/>
    <mergeCell ref="B83:M83"/>
    <mergeCell ref="B85:O85"/>
    <mergeCell ref="B3:J3"/>
    <mergeCell ref="B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B4:J4"/>
    <mergeCell ref="P7:P8"/>
    <mergeCell ref="B84:O84"/>
    <mergeCell ref="K7:K8"/>
    <mergeCell ref="L7:L8"/>
    <mergeCell ref="M7:M8"/>
    <mergeCell ref="N7:N8"/>
    <mergeCell ref="O7:O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Q21"/>
  <sheetViews>
    <sheetView workbookViewId="0">
      <pane ySplit="3" topLeftCell="A4" activePane="bottomLeft" state="frozen"/>
      <selection pane="bottomLeft" activeCell="A16" sqref="A16:XFD2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17" ht="11.1" customHeight="1" x14ac:dyDescent="0.2">
      <c r="A1" s="138" t="s">
        <v>91</v>
      </c>
      <c r="B1" s="138"/>
      <c r="C1" s="138"/>
      <c r="D1" s="138"/>
      <c r="E1" s="138"/>
      <c r="F1" s="138"/>
    </row>
    <row r="3" spans="1:17" ht="11.1" customHeight="1" x14ac:dyDescent="0.2">
      <c r="A3" s="9" t="s">
        <v>2</v>
      </c>
      <c r="B3" s="2" t="s">
        <v>5</v>
      </c>
      <c r="C3" s="2" t="s">
        <v>9</v>
      </c>
      <c r="D3" s="16" t="s">
        <v>10</v>
      </c>
      <c r="E3" s="16" t="s">
        <v>11</v>
      </c>
      <c r="F3" s="10" t="s">
        <v>12</v>
      </c>
    </row>
    <row r="4" spans="1:17" ht="11.1" customHeight="1" x14ac:dyDescent="0.2">
      <c r="A4" s="7" t="s">
        <v>22</v>
      </c>
      <c r="B4" s="3" t="s">
        <v>23</v>
      </c>
      <c r="C4" s="4">
        <v>5</v>
      </c>
      <c r="D4" s="17"/>
      <c r="E4" s="17">
        <f>ROUND(Р[[#This Row],[Количество]]*Р[[#This Row],[Цена за ед., руб]],2)</f>
        <v>0</v>
      </c>
      <c r="F4" s="8"/>
    </row>
    <row r="5" spans="1:17" ht="11.1" customHeight="1" x14ac:dyDescent="0.2">
      <c r="A5" s="7" t="s">
        <v>35</v>
      </c>
      <c r="B5" s="3" t="s">
        <v>36</v>
      </c>
      <c r="C5" s="4">
        <v>149</v>
      </c>
      <c r="D5" s="17"/>
      <c r="E5" s="17">
        <f>ROUND(Р[[#This Row],[Количество]]*Р[[#This Row],[Цена за ед., руб]],2)</f>
        <v>0</v>
      </c>
      <c r="F5" s="8"/>
    </row>
    <row r="6" spans="1:17" ht="11.1" customHeight="1" x14ac:dyDescent="0.2">
      <c r="A6" s="7" t="s">
        <v>39</v>
      </c>
      <c r="B6" s="3" t="s">
        <v>36</v>
      </c>
      <c r="C6" s="6">
        <v>19659</v>
      </c>
      <c r="D6" s="17"/>
      <c r="E6" s="17">
        <f>ROUND(Р[[#This Row],[Количество]]*Р[[#This Row],[Цена за ед., руб]],2)</f>
        <v>0</v>
      </c>
      <c r="F6" s="8"/>
    </row>
    <row r="7" spans="1:17" ht="11.1" customHeight="1" x14ac:dyDescent="0.2">
      <c r="A7" s="7" t="s">
        <v>42</v>
      </c>
      <c r="B7" s="3" t="s">
        <v>36</v>
      </c>
      <c r="C7" s="4">
        <v>220</v>
      </c>
      <c r="D7" s="17"/>
      <c r="E7" s="17">
        <f>ROUND(Р[[#This Row],[Количество]]*Р[[#This Row],[Цена за ед., руб]],2)</f>
        <v>0</v>
      </c>
      <c r="F7" s="8"/>
    </row>
    <row r="8" spans="1:17" ht="11.1" customHeight="1" x14ac:dyDescent="0.2">
      <c r="A8" s="7" t="s">
        <v>46</v>
      </c>
      <c r="B8" s="3" t="s">
        <v>36</v>
      </c>
      <c r="C8" s="6">
        <v>45624</v>
      </c>
      <c r="D8" s="17"/>
      <c r="E8" s="17">
        <f>ROUND(Р[[#This Row],[Количество]]*Р[[#This Row],[Цена за ед., руб]],2)</f>
        <v>0</v>
      </c>
      <c r="F8" s="8"/>
    </row>
    <row r="9" spans="1:17" ht="11.1" customHeight="1" x14ac:dyDescent="0.2">
      <c r="A9" s="7" t="s">
        <v>51</v>
      </c>
      <c r="B9" s="3" t="s">
        <v>36</v>
      </c>
      <c r="C9" s="4">
        <v>682</v>
      </c>
      <c r="D9" s="17"/>
      <c r="E9" s="17">
        <f>ROUND(Р[[#This Row],[Количество]]*Р[[#This Row],[Цена за ед., руб]],2)</f>
        <v>0</v>
      </c>
      <c r="F9" s="8"/>
    </row>
    <row r="10" spans="1:17" ht="11.1" customHeight="1" x14ac:dyDescent="0.2">
      <c r="A10" s="7" t="s">
        <v>57</v>
      </c>
      <c r="B10" s="3" t="s">
        <v>58</v>
      </c>
      <c r="C10" s="4">
        <v>5</v>
      </c>
      <c r="D10" s="17"/>
      <c r="E10" s="17">
        <f>ROUND(Р[[#This Row],[Количество]]*Р[[#This Row],[Цена за ед., руб]],2)</f>
        <v>0</v>
      </c>
      <c r="F10" s="8"/>
    </row>
    <row r="11" spans="1:17" ht="11.1" customHeight="1" x14ac:dyDescent="0.2">
      <c r="A11" s="7" t="s">
        <v>62</v>
      </c>
      <c r="B11" s="3" t="s">
        <v>36</v>
      </c>
      <c r="C11" s="6">
        <v>1590</v>
      </c>
      <c r="D11" s="17"/>
      <c r="E11" s="17">
        <f>ROUND(Р[[#This Row],[Количество]]*Р[[#This Row],[Цена за ед., руб]],2)</f>
        <v>0</v>
      </c>
      <c r="F11" s="8"/>
    </row>
    <row r="12" spans="1:17" ht="11.1" customHeight="1" x14ac:dyDescent="0.2">
      <c r="A12" s="11" t="s">
        <v>67</v>
      </c>
      <c r="B12" s="12" t="s">
        <v>36</v>
      </c>
      <c r="C12" s="13">
        <v>1590</v>
      </c>
      <c r="D12" s="17"/>
      <c r="E12" s="18">
        <f>ROUND(Р[[#This Row],[Количество]]*Р[[#This Row],[Цена за ед., руб]],2)</f>
        <v>0</v>
      </c>
      <c r="F12" s="15"/>
    </row>
    <row r="13" spans="1:17" ht="11.45" customHeight="1" x14ac:dyDescent="0.2">
      <c r="A13" s="11" t="s">
        <v>110</v>
      </c>
      <c r="B13" s="12"/>
      <c r="C13" s="14"/>
      <c r="D13" s="18"/>
      <c r="E13" s="18">
        <f>SUBTOTAL(109,Р[Сумма, руб])</f>
        <v>0</v>
      </c>
      <c r="F13" s="15"/>
    </row>
    <row r="14" spans="1:17" ht="11.45" customHeight="1" x14ac:dyDescent="0.2">
      <c r="D14" s="87" t="s">
        <v>122</v>
      </c>
      <c r="E14" s="88">
        <f>ЛСР!N81-Р[[#Totals],[Сумма, руб]]</f>
        <v>0</v>
      </c>
    </row>
    <row r="16" spans="1:17" s="98" customFormat="1" ht="11.25" x14ac:dyDescent="0.2">
      <c r="A16" s="92" t="s">
        <v>116</v>
      </c>
      <c r="B16" s="93"/>
      <c r="C16" s="93"/>
      <c r="D16" s="94"/>
      <c r="E16" s="94"/>
      <c r="F16" s="94"/>
      <c r="G16" s="94"/>
      <c r="H16" s="94"/>
      <c r="I16" s="94"/>
      <c r="J16" s="94"/>
      <c r="K16" s="94"/>
      <c r="L16" s="94"/>
      <c r="M16" s="95"/>
      <c r="N16" s="96"/>
      <c r="O16" s="96"/>
      <c r="P16" s="93"/>
      <c r="Q16" s="97"/>
    </row>
    <row r="17" spans="1:17" s="98" customFormat="1" ht="36" customHeight="1" x14ac:dyDescent="0.2">
      <c r="A17" s="139" t="s">
        <v>118</v>
      </c>
      <c r="B17" s="139"/>
      <c r="C17" s="139"/>
      <c r="D17" s="139"/>
      <c r="E17" s="139"/>
      <c r="F17" s="139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99"/>
    </row>
    <row r="18" spans="1:17" s="98" customFormat="1" ht="51" customHeight="1" x14ac:dyDescent="0.2">
      <c r="A18" s="140" t="s">
        <v>119</v>
      </c>
      <c r="B18" s="140"/>
      <c r="C18" s="140"/>
      <c r="D18" s="140"/>
      <c r="E18" s="140"/>
      <c r="F18" s="140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0"/>
    </row>
    <row r="19" spans="1:17" s="98" customFormat="1" ht="11.25" x14ac:dyDescent="0.2">
      <c r="A19" s="141" t="s">
        <v>120</v>
      </c>
      <c r="B19" s="141"/>
      <c r="C19" s="141"/>
      <c r="D19" s="141"/>
      <c r="E19" s="141"/>
      <c r="F19" s="141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</row>
    <row r="20" spans="1:17" s="98" customFormat="1" ht="11.25" x14ac:dyDescent="0.2">
      <c r="A20" s="142" t="s">
        <v>121</v>
      </c>
      <c r="B20" s="142"/>
      <c r="C20" s="142"/>
      <c r="D20" s="142"/>
      <c r="E20" s="142"/>
      <c r="F20" s="142"/>
      <c r="G20" s="107"/>
      <c r="H20" s="107"/>
      <c r="I20" s="107"/>
      <c r="J20" s="107"/>
      <c r="K20" s="101"/>
      <c r="L20" s="101"/>
      <c r="M20" s="102"/>
      <c r="N20" s="101"/>
      <c r="O20" s="101"/>
      <c r="P20" s="101"/>
      <c r="Q20" s="100"/>
    </row>
    <row r="21" spans="1:17" s="98" customFormat="1" ht="11.25" x14ac:dyDescent="0.2">
      <c r="A21" s="103"/>
      <c r="B21" s="103"/>
      <c r="C21" s="103"/>
      <c r="D21" s="103"/>
      <c r="E21" s="103"/>
      <c r="F21" s="103"/>
    </row>
  </sheetData>
  <mergeCells count="5">
    <mergeCell ref="A1:F1"/>
    <mergeCell ref="A17:F17"/>
    <mergeCell ref="A18:F18"/>
    <mergeCell ref="A19:F19"/>
    <mergeCell ref="A20:F20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Q38"/>
  <sheetViews>
    <sheetView workbookViewId="0">
      <pane ySplit="3" topLeftCell="A25" activePane="bottomLeft" state="frozen"/>
      <selection pane="bottomLeft" activeCell="A22" sqref="A22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49.1640625" style="1" customWidth="1"/>
    <col min="9" max="9" width="23.33203125" style="1" customWidth="1"/>
  </cols>
  <sheetData>
    <row r="1" spans="1:9" ht="11.1" customHeight="1" x14ac:dyDescent="0.2">
      <c r="A1" s="138" t="s">
        <v>92</v>
      </c>
      <c r="B1" s="138"/>
      <c r="C1" s="138"/>
      <c r="D1" s="138"/>
      <c r="E1" s="138"/>
      <c r="F1" s="138"/>
      <c r="G1" s="138"/>
      <c r="H1" s="138"/>
    </row>
    <row r="2" spans="1:9" ht="11.1" customHeight="1" x14ac:dyDescent="0.2"/>
    <row r="3" spans="1:9" ht="23.1" customHeight="1" x14ac:dyDescent="0.2">
      <c r="A3" s="9" t="s">
        <v>93</v>
      </c>
      <c r="B3" s="19" t="s">
        <v>94</v>
      </c>
      <c r="C3" s="10" t="s">
        <v>95</v>
      </c>
      <c r="D3" s="2" t="s">
        <v>5</v>
      </c>
      <c r="E3" s="2" t="s">
        <v>9</v>
      </c>
      <c r="F3" s="16" t="s">
        <v>10</v>
      </c>
      <c r="G3" s="16" t="s">
        <v>11</v>
      </c>
      <c r="H3" s="2" t="s">
        <v>96</v>
      </c>
      <c r="I3" s="10" t="s">
        <v>97</v>
      </c>
    </row>
    <row r="4" spans="1:9" ht="11.1" customHeight="1" x14ac:dyDescent="0.2">
      <c r="A4" s="7" t="s">
        <v>63</v>
      </c>
      <c r="B4" s="5"/>
      <c r="C4" s="5" t="s">
        <v>64</v>
      </c>
      <c r="D4" s="3" t="s">
        <v>23</v>
      </c>
      <c r="E4" s="4">
        <v>186</v>
      </c>
      <c r="F4" s="17"/>
      <c r="G4" s="17">
        <f>ROUND(М[[#This Row],[Количество]]*М[[#This Row],[Цена за ед., руб]],2)</f>
        <v>0</v>
      </c>
      <c r="H4" s="5"/>
      <c r="I4" s="8"/>
    </row>
    <row r="5" spans="1:9" ht="11.1" customHeight="1" x14ac:dyDescent="0.2">
      <c r="A5" s="7" t="s">
        <v>63</v>
      </c>
      <c r="B5" s="5"/>
      <c r="C5" s="5" t="s">
        <v>65</v>
      </c>
      <c r="D5" s="3" t="s">
        <v>23</v>
      </c>
      <c r="E5" s="4">
        <v>288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9" ht="11.1" customHeight="1" x14ac:dyDescent="0.2">
      <c r="A6" s="7" t="s">
        <v>63</v>
      </c>
      <c r="B6" s="5"/>
      <c r="C6" s="5" t="s">
        <v>66</v>
      </c>
      <c r="D6" s="3" t="s">
        <v>23</v>
      </c>
      <c r="E6" s="4">
        <v>56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11.1" customHeight="1" x14ac:dyDescent="0.2">
      <c r="A7" s="7" t="s">
        <v>68</v>
      </c>
      <c r="B7" s="5"/>
      <c r="C7" s="5" t="s">
        <v>69</v>
      </c>
      <c r="D7" s="3" t="s">
        <v>23</v>
      </c>
      <c r="E7" s="4">
        <v>112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11.1" customHeight="1" x14ac:dyDescent="0.2">
      <c r="A8" s="7" t="s">
        <v>68</v>
      </c>
      <c r="B8" s="5"/>
      <c r="C8" s="5" t="s">
        <v>70</v>
      </c>
      <c r="D8" s="3" t="s">
        <v>23</v>
      </c>
      <c r="E8" s="4">
        <v>206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11.1" customHeight="1" x14ac:dyDescent="0.2">
      <c r="A9" s="7" t="s">
        <v>68</v>
      </c>
      <c r="B9" s="5"/>
      <c r="C9" s="5" t="s">
        <v>71</v>
      </c>
      <c r="D9" s="3" t="s">
        <v>23</v>
      </c>
      <c r="E9" s="4">
        <v>370</v>
      </c>
      <c r="F9" s="17"/>
      <c r="G9" s="17">
        <f>ROUND(М[[#This Row],[Количество]]*М[[#This Row],[Цена за ед., руб]],2)</f>
        <v>0</v>
      </c>
      <c r="H9" s="5"/>
      <c r="I9" s="8"/>
    </row>
    <row r="10" spans="1:9" ht="11.1" customHeight="1" x14ac:dyDescent="0.2">
      <c r="A10" s="7" t="s">
        <v>68</v>
      </c>
      <c r="B10" s="5"/>
      <c r="C10" s="5" t="s">
        <v>72</v>
      </c>
      <c r="D10" s="3" t="s">
        <v>23</v>
      </c>
      <c r="E10" s="4">
        <v>372</v>
      </c>
      <c r="F10" s="17"/>
      <c r="G10" s="17">
        <f>ROUND(М[[#This Row],[Количество]]*М[[#This Row],[Цена за ед., руб]],2)</f>
        <v>0</v>
      </c>
      <c r="H10" s="5"/>
      <c r="I10" s="8"/>
    </row>
    <row r="11" spans="1:9" ht="11.1" customHeight="1" x14ac:dyDescent="0.2">
      <c r="A11" s="7" t="s">
        <v>43</v>
      </c>
      <c r="B11" s="5"/>
      <c r="C11" s="5" t="s">
        <v>44</v>
      </c>
      <c r="D11" s="3" t="s">
        <v>36</v>
      </c>
      <c r="E11" s="4">
        <v>110</v>
      </c>
      <c r="F11" s="17"/>
      <c r="G11" s="17">
        <f>ROUND(М[[#This Row],[Количество]]*М[[#This Row],[Цена за ед., руб]],2)</f>
        <v>0</v>
      </c>
      <c r="H11" s="5"/>
      <c r="I11" s="8"/>
    </row>
    <row r="12" spans="1:9" ht="23.1" customHeight="1" x14ac:dyDescent="0.2">
      <c r="A12" s="7" t="s">
        <v>37</v>
      </c>
      <c r="B12" s="5"/>
      <c r="C12" s="5" t="s">
        <v>38</v>
      </c>
      <c r="D12" s="3" t="s">
        <v>36</v>
      </c>
      <c r="E12" s="4">
        <v>149</v>
      </c>
      <c r="F12" s="17"/>
      <c r="G12" s="17">
        <f>ROUND(М[[#This Row],[Количество]]*М[[#This Row],[Цена за ед., руб]],2)</f>
        <v>0</v>
      </c>
      <c r="H12" s="5"/>
      <c r="I12" s="8"/>
    </row>
    <row r="13" spans="1:9" ht="11.1" customHeight="1" x14ac:dyDescent="0.2">
      <c r="A13" s="7" t="s">
        <v>37</v>
      </c>
      <c r="B13" s="5"/>
      <c r="C13" s="5" t="s">
        <v>40</v>
      </c>
      <c r="D13" s="3" t="s">
        <v>36</v>
      </c>
      <c r="E13" s="6">
        <v>1680</v>
      </c>
      <c r="F13" s="17"/>
      <c r="G13" s="17">
        <f>ROUND(М[[#This Row],[Количество]]*М[[#This Row],[Цена за ед., руб]],2)</f>
        <v>0</v>
      </c>
      <c r="H13" s="5"/>
      <c r="I13" s="8"/>
    </row>
    <row r="14" spans="1:9" ht="11.1" customHeight="1" x14ac:dyDescent="0.2">
      <c r="A14" s="7" t="s">
        <v>37</v>
      </c>
      <c r="B14" s="5"/>
      <c r="C14" s="5" t="s">
        <v>41</v>
      </c>
      <c r="D14" s="3" t="s">
        <v>36</v>
      </c>
      <c r="E14" s="6">
        <v>17139</v>
      </c>
      <c r="F14" s="17"/>
      <c r="G14" s="17">
        <f>ROUND(М[[#This Row],[Количество]]*М[[#This Row],[Цена за ед., руб]],2)</f>
        <v>0</v>
      </c>
      <c r="H14" s="5"/>
      <c r="I14" s="8"/>
    </row>
    <row r="15" spans="1:9" ht="11.1" customHeight="1" x14ac:dyDescent="0.2">
      <c r="A15" s="7" t="s">
        <v>37</v>
      </c>
      <c r="B15" s="5"/>
      <c r="C15" s="5" t="s">
        <v>45</v>
      </c>
      <c r="D15" s="3" t="s">
        <v>36</v>
      </c>
      <c r="E15" s="4">
        <v>110</v>
      </c>
      <c r="F15" s="17"/>
      <c r="G15" s="17">
        <f>ROUND(М[[#This Row],[Количество]]*М[[#This Row],[Цена за ед., руб]],2)</f>
        <v>0</v>
      </c>
      <c r="H15" s="5"/>
      <c r="I15" s="8"/>
    </row>
    <row r="16" spans="1:9" ht="23.1" customHeight="1" x14ac:dyDescent="0.2">
      <c r="A16" s="7" t="s">
        <v>47</v>
      </c>
      <c r="B16" s="5"/>
      <c r="C16" s="5" t="s">
        <v>52</v>
      </c>
      <c r="D16" s="3" t="s">
        <v>49</v>
      </c>
      <c r="E16" s="4">
        <v>682</v>
      </c>
      <c r="F16" s="17"/>
      <c r="G16" s="17">
        <f>ROUND(М[[#This Row],[Количество]]*М[[#This Row],[Цена за ед., руб]],2)</f>
        <v>0</v>
      </c>
      <c r="H16" s="5"/>
      <c r="I16" s="8"/>
    </row>
    <row r="17" spans="1:9" ht="23.1" customHeight="1" x14ac:dyDescent="0.2">
      <c r="A17" s="7" t="s">
        <v>47</v>
      </c>
      <c r="B17" s="5"/>
      <c r="C17" s="5" t="s">
        <v>48</v>
      </c>
      <c r="D17" s="3" t="s">
        <v>49</v>
      </c>
      <c r="E17" s="6">
        <v>45624</v>
      </c>
      <c r="F17" s="17"/>
      <c r="G17" s="17">
        <f>ROUND(М[[#This Row],[Количество]]*М[[#This Row],[Цена за ед., руб]],2)</f>
        <v>0</v>
      </c>
      <c r="H17" s="5" t="s">
        <v>50</v>
      </c>
      <c r="I17" s="8"/>
    </row>
    <row r="18" spans="1:9" ht="23.1" customHeight="1" x14ac:dyDescent="0.2">
      <c r="A18" s="7" t="s">
        <v>82</v>
      </c>
      <c r="B18" s="5"/>
      <c r="C18" s="5" t="s">
        <v>83</v>
      </c>
      <c r="D18" s="3" t="s">
        <v>23</v>
      </c>
      <c r="E18" s="4">
        <v>2</v>
      </c>
      <c r="F18" s="17"/>
      <c r="G18" s="17">
        <f>ROUND(М[[#This Row],[Количество]]*М[[#This Row],[Цена за ед., руб]],2)</f>
        <v>0</v>
      </c>
      <c r="H18" s="5" t="s">
        <v>84</v>
      </c>
      <c r="I18" s="8"/>
    </row>
    <row r="19" spans="1:9" ht="23.1" customHeight="1" x14ac:dyDescent="0.2">
      <c r="A19" s="7" t="s">
        <v>82</v>
      </c>
      <c r="B19" s="5"/>
      <c r="C19" s="5" t="s">
        <v>85</v>
      </c>
      <c r="D19" s="3" t="s">
        <v>23</v>
      </c>
      <c r="E19" s="4">
        <v>3</v>
      </c>
      <c r="F19" s="17"/>
      <c r="G19" s="17">
        <f>ROUND(М[[#This Row],[Количество]]*М[[#This Row],[Цена за ед., руб]],2)</f>
        <v>0</v>
      </c>
      <c r="H19" s="5" t="s">
        <v>86</v>
      </c>
      <c r="I19" s="8"/>
    </row>
    <row r="20" spans="1:9" ht="270" x14ac:dyDescent="0.2">
      <c r="A20" s="7" t="s">
        <v>26</v>
      </c>
      <c r="B20" s="5"/>
      <c r="C20" s="5" t="s">
        <v>27</v>
      </c>
      <c r="D20" s="3" t="s">
        <v>23</v>
      </c>
      <c r="E20" s="4">
        <v>2</v>
      </c>
      <c r="F20" s="17"/>
      <c r="G20" s="17">
        <f>ROUND(М[[#This Row],[Количество]]*М[[#This Row],[Цена за ед., руб]],2)</f>
        <v>0</v>
      </c>
      <c r="H20" s="5" t="s">
        <v>28</v>
      </c>
      <c r="I20" s="8"/>
    </row>
    <row r="21" spans="1:9" ht="270" x14ac:dyDescent="0.2">
      <c r="A21" s="7" t="s">
        <v>26</v>
      </c>
      <c r="B21" s="5"/>
      <c r="C21" s="5" t="s">
        <v>27</v>
      </c>
      <c r="D21" s="3" t="s">
        <v>23</v>
      </c>
      <c r="E21" s="4">
        <v>1</v>
      </c>
      <c r="F21" s="17"/>
      <c r="G21" s="17">
        <f>ROUND(М[[#This Row],[Количество]]*М[[#This Row],[Цена за ед., руб]],2)</f>
        <v>0</v>
      </c>
      <c r="H21" s="5" t="s">
        <v>30</v>
      </c>
      <c r="I21" s="8"/>
    </row>
    <row r="22" spans="1:9" ht="270" x14ac:dyDescent="0.2">
      <c r="A22" s="7" t="s">
        <v>26</v>
      </c>
      <c r="B22" s="5"/>
      <c r="C22" s="5" t="s">
        <v>27</v>
      </c>
      <c r="D22" s="3" t="s">
        <v>23</v>
      </c>
      <c r="E22" s="4">
        <v>1</v>
      </c>
      <c r="F22" s="17"/>
      <c r="G22" s="17">
        <f>ROUND(М[[#This Row],[Количество]]*М[[#This Row],[Цена за ед., руб]],2)</f>
        <v>0</v>
      </c>
      <c r="H22" s="5" t="s">
        <v>32</v>
      </c>
      <c r="I22" s="8"/>
    </row>
    <row r="23" spans="1:9" ht="270" x14ac:dyDescent="0.2">
      <c r="A23" s="7" t="s">
        <v>26</v>
      </c>
      <c r="B23" s="5"/>
      <c r="C23" s="5" t="s">
        <v>27</v>
      </c>
      <c r="D23" s="3" t="s">
        <v>23</v>
      </c>
      <c r="E23" s="4">
        <v>1</v>
      </c>
      <c r="F23" s="17"/>
      <c r="G23" s="17">
        <f>ROUND(М[[#This Row],[Количество]]*М[[#This Row],[Цена за ед., руб]],2)</f>
        <v>0</v>
      </c>
      <c r="H23" s="5" t="s">
        <v>34</v>
      </c>
      <c r="I23" s="8"/>
    </row>
    <row r="24" spans="1:9" ht="11.1" customHeight="1" x14ac:dyDescent="0.2">
      <c r="A24" s="7" t="s">
        <v>74</v>
      </c>
      <c r="B24" s="5"/>
      <c r="C24" s="5" t="s">
        <v>75</v>
      </c>
      <c r="D24" s="3" t="s">
        <v>23</v>
      </c>
      <c r="E24" s="4">
        <v>186</v>
      </c>
      <c r="F24" s="17"/>
      <c r="G24" s="17">
        <f>ROUND(М[[#This Row],[Количество]]*М[[#This Row],[Цена за ед., руб]],2)</f>
        <v>0</v>
      </c>
      <c r="H24" s="5"/>
      <c r="I24" s="8"/>
    </row>
    <row r="25" spans="1:9" ht="23.1" customHeight="1" x14ac:dyDescent="0.2">
      <c r="A25" s="7" t="s">
        <v>74</v>
      </c>
      <c r="B25" s="5"/>
      <c r="C25" s="5" t="s">
        <v>77</v>
      </c>
      <c r="D25" s="3" t="s">
        <v>23</v>
      </c>
      <c r="E25" s="4">
        <v>56</v>
      </c>
      <c r="F25" s="17"/>
      <c r="G25" s="17">
        <f>ROUND(М[[#This Row],[Количество]]*М[[#This Row],[Цена за ед., руб]],2)</f>
        <v>0</v>
      </c>
      <c r="H25" s="5"/>
      <c r="I25" s="8"/>
    </row>
    <row r="26" spans="1:9" ht="23.1" customHeight="1" x14ac:dyDescent="0.2">
      <c r="A26" s="7" t="s">
        <v>74</v>
      </c>
      <c r="B26" s="5"/>
      <c r="C26" s="5" t="s">
        <v>79</v>
      </c>
      <c r="D26" s="3" t="s">
        <v>23</v>
      </c>
      <c r="E26" s="4">
        <v>103</v>
      </c>
      <c r="F26" s="17"/>
      <c r="G26" s="17">
        <f>ROUND(М[[#This Row],[Количество]]*М[[#This Row],[Цена за ед., руб]],2)</f>
        <v>0</v>
      </c>
      <c r="H26" s="5"/>
      <c r="I26" s="8"/>
    </row>
    <row r="27" spans="1:9" ht="23.1" customHeight="1" x14ac:dyDescent="0.2">
      <c r="A27" s="11" t="s">
        <v>74</v>
      </c>
      <c r="B27" s="20"/>
      <c r="C27" s="20" t="s">
        <v>81</v>
      </c>
      <c r="D27" s="12" t="s">
        <v>23</v>
      </c>
      <c r="E27" s="21">
        <v>185</v>
      </c>
      <c r="F27" s="17"/>
      <c r="G27" s="18">
        <f>ROUND(М[[#This Row],[Количество]]*М[[#This Row],[Цена за ед., руб]],2)</f>
        <v>0</v>
      </c>
      <c r="H27" s="20"/>
      <c r="I27" s="15"/>
    </row>
    <row r="28" spans="1:9" ht="23.1" customHeight="1" x14ac:dyDescent="0.2">
      <c r="A28" s="82" t="s">
        <v>111</v>
      </c>
      <c r="B28" s="20"/>
      <c r="C28" s="20"/>
      <c r="D28" s="83" t="s">
        <v>53</v>
      </c>
      <c r="E28" s="86"/>
      <c r="F28" s="18"/>
      <c r="G28" s="91">
        <f ca="1">SUMIF(ЛСР!$B$7:$N$79,М[[#This Row],[Наим.]],ЛСР!$N$7:$N$79)</f>
        <v>0</v>
      </c>
      <c r="H28" s="20"/>
      <c r="I28" s="15"/>
    </row>
    <row r="29" spans="1:9" ht="23.1" customHeight="1" x14ac:dyDescent="0.2">
      <c r="A29" s="82" t="s">
        <v>112</v>
      </c>
      <c r="B29" s="20"/>
      <c r="C29" s="20"/>
      <c r="D29" s="83" t="s">
        <v>53</v>
      </c>
      <c r="E29" s="86"/>
      <c r="F29" s="18"/>
      <c r="G29" s="91">
        <f ca="1">SUMIF(ЛСР!$B$7:$N$79,М[[#This Row],[Наим.]],ЛСР!$N$7:$N$79)</f>
        <v>0</v>
      </c>
      <c r="H29" s="20"/>
      <c r="I29" s="15"/>
    </row>
    <row r="30" spans="1:9" ht="11.45" customHeight="1" x14ac:dyDescent="0.2">
      <c r="A30" s="11" t="s">
        <v>110</v>
      </c>
      <c r="B30" s="20"/>
      <c r="C30" s="20"/>
      <c r="D30" s="12"/>
      <c r="E30" s="14"/>
      <c r="F30" s="18"/>
      <c r="G30" s="18">
        <f ca="1">SUBTOTAL(109,М[Сумма, руб])</f>
        <v>0</v>
      </c>
      <c r="H30" s="20"/>
      <c r="I30" s="15"/>
    </row>
    <row r="31" spans="1:9" ht="11.45" customHeight="1" x14ac:dyDescent="0.2">
      <c r="F31" s="87" t="s">
        <v>122</v>
      </c>
      <c r="G31" s="88">
        <f ca="1">ЛСР!N82-М[[#Totals],[Сумма, руб]]</f>
        <v>0</v>
      </c>
    </row>
    <row r="33" spans="1:17" s="98" customFormat="1" ht="11.25" x14ac:dyDescent="0.2">
      <c r="A33" s="92" t="s">
        <v>116</v>
      </c>
      <c r="B33" s="93"/>
      <c r="C33" s="93"/>
      <c r="D33" s="94"/>
      <c r="E33" s="94"/>
      <c r="F33" s="94"/>
      <c r="G33" s="94"/>
      <c r="H33" s="94"/>
      <c r="I33" s="94"/>
      <c r="J33" s="94"/>
      <c r="K33" s="94"/>
      <c r="L33" s="94"/>
      <c r="M33" s="95"/>
      <c r="N33" s="96"/>
      <c r="O33" s="96"/>
      <c r="P33" s="93"/>
      <c r="Q33" s="97"/>
    </row>
    <row r="34" spans="1:17" s="98" customFormat="1" ht="36" customHeight="1" x14ac:dyDescent="0.2">
      <c r="A34" s="139" t="s">
        <v>118</v>
      </c>
      <c r="B34" s="139"/>
      <c r="C34" s="139"/>
      <c r="D34" s="139"/>
      <c r="E34" s="139"/>
      <c r="F34" s="139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99"/>
    </row>
    <row r="35" spans="1:17" s="98" customFormat="1" ht="51" customHeight="1" x14ac:dyDescent="0.2">
      <c r="A35" s="140" t="s">
        <v>119</v>
      </c>
      <c r="B35" s="140"/>
      <c r="C35" s="140"/>
      <c r="D35" s="140"/>
      <c r="E35" s="140"/>
      <c r="F35" s="140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0"/>
    </row>
    <row r="36" spans="1:17" s="98" customFormat="1" ht="11.25" x14ac:dyDescent="0.2">
      <c r="A36" s="141" t="s">
        <v>120</v>
      </c>
      <c r="B36" s="141"/>
      <c r="C36" s="141"/>
      <c r="D36" s="141"/>
      <c r="E36" s="141"/>
      <c r="F36" s="141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 s="98" customFormat="1" ht="11.25" x14ac:dyDescent="0.2">
      <c r="A37" s="142" t="s">
        <v>121</v>
      </c>
      <c r="B37" s="142"/>
      <c r="C37" s="142"/>
      <c r="D37" s="142"/>
      <c r="E37" s="142"/>
      <c r="F37" s="142"/>
      <c r="G37" s="107"/>
      <c r="H37" s="107"/>
      <c r="I37" s="107"/>
      <c r="J37" s="107"/>
      <c r="K37" s="101"/>
      <c r="L37" s="101"/>
      <c r="M37" s="102"/>
      <c r="N37" s="101"/>
      <c r="O37" s="101"/>
      <c r="P37" s="101"/>
      <c r="Q37" s="100"/>
    </row>
    <row r="38" spans="1:17" ht="11.25" x14ac:dyDescent="0.2">
      <c r="G38"/>
      <c r="H38"/>
      <c r="I38"/>
    </row>
  </sheetData>
  <mergeCells count="5">
    <mergeCell ref="A1:H1"/>
    <mergeCell ref="A34:F34"/>
    <mergeCell ref="A35:F35"/>
    <mergeCell ref="A36:F36"/>
    <mergeCell ref="A37:F37"/>
  </mergeCells>
  <dataValidations count="1">
    <dataValidation type="list" errorStyle="information" allowBlank="1" showInputMessage="1" showErrorMessage="1" sqref="I3:I29" xr:uid="{3CAFFBA0-D010-4A4F-81D8-B8063B68C650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98</v>
      </c>
      <c r="B1" s="1" t="s">
        <v>99</v>
      </c>
    </row>
    <row r="2" spans="1:2" ht="11.1" customHeight="1" x14ac:dyDescent="0.2">
      <c r="A2" s="1" t="s">
        <v>100</v>
      </c>
      <c r="B2" s="1" t="s">
        <v>101</v>
      </c>
    </row>
    <row r="3" spans="1:2" ht="11.1" customHeight="1" x14ac:dyDescent="0.2">
      <c r="A3" s="1" t="s">
        <v>102</v>
      </c>
      <c r="B3" s="1" t="s">
        <v>103</v>
      </c>
    </row>
    <row r="4" spans="1:2" ht="11.1" customHeight="1" x14ac:dyDescent="0.2">
      <c r="A4" s="1" t="s">
        <v>104</v>
      </c>
      <c r="B4" s="1" t="s">
        <v>105</v>
      </c>
    </row>
    <row r="5" spans="1:2" ht="11.1" customHeight="1" x14ac:dyDescent="0.2">
      <c r="A5" s="1" t="s">
        <v>106</v>
      </c>
      <c r="B5" s="1" t="s">
        <v>107</v>
      </c>
    </row>
    <row r="6" spans="1:2" ht="11.1" customHeight="1" x14ac:dyDescent="0.2">
      <c r="A6" s="1" t="s">
        <v>108</v>
      </c>
      <c r="B6" s="1" t="s">
        <v>109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2026-09-10T08:21:06Z</dcterms:modified>
</cp:coreProperties>
</file>