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793C6C5F-1AC0-43DF-98D1-5B3BB341D576}" xr6:coauthVersionLast="47" xr6:coauthVersionMax="47" xr10:uidLastSave="{00000000-0000-0000-0000-000000000000}"/>
  <bookViews>
    <workbookView xWindow="1950" yWindow="1950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ЛСР!$A$8:$R$97</definedName>
  </definedNames>
  <calcPr calcId="191029"/>
</workbook>
</file>

<file path=xl/calcChain.xml><?xml version="1.0" encoding="utf-8"?>
<calcChain xmlns="http://schemas.openxmlformats.org/spreadsheetml/2006/main">
  <c r="P26" i="1" l="1" a="1"/>
  <c r="P26" i="1" s="1"/>
  <c r="L26" i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E11" i="2"/>
  <c r="E7" i="2"/>
  <c r="E8" i="2"/>
  <c r="E9" i="2"/>
  <c r="E10" i="2"/>
  <c r="E12" i="2"/>
  <c r="E13" i="2"/>
  <c r="M69" i="1" a="1"/>
  <c r="M69" i="1" s="1"/>
  <c r="M68" i="1" a="1"/>
  <c r="M68" i="1" s="1"/>
  <c r="M67" i="1" a="1"/>
  <c r="M67" i="1" s="1"/>
  <c r="M66" i="1" a="1"/>
  <c r="M66" i="1" s="1"/>
  <c r="M65" i="1" a="1"/>
  <c r="M65" i="1" s="1"/>
  <c r="M64" i="1" a="1"/>
  <c r="M64" i="1" s="1"/>
  <c r="M63" i="1" a="1"/>
  <c r="M63" i="1" s="1"/>
  <c r="M33" i="1" a="1"/>
  <c r="M33" i="1" s="1"/>
  <c r="M32" i="1" a="1"/>
  <c r="M32" i="1" s="1"/>
  <c r="M31" i="1" a="1"/>
  <c r="M31" i="1" s="1"/>
  <c r="M30" i="1" a="1"/>
  <c r="M30" i="1" s="1"/>
  <c r="H63" i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J66" i="1"/>
  <c r="K66" i="1"/>
  <c r="H67" i="1"/>
  <c r="I67" i="1"/>
  <c r="J67" i="1"/>
  <c r="K67" i="1"/>
  <c r="H68" i="1"/>
  <c r="I68" i="1"/>
  <c r="J68" i="1"/>
  <c r="K68" i="1"/>
  <c r="H69" i="1"/>
  <c r="I69" i="1"/>
  <c r="J69" i="1"/>
  <c r="K69" i="1"/>
  <c r="G69" i="1"/>
  <c r="L69" i="1" s="1"/>
  <c r="G68" i="1"/>
  <c r="L68" i="1" s="1"/>
  <c r="G67" i="1"/>
  <c r="G66" i="1"/>
  <c r="G65" i="1"/>
  <c r="G64" i="1"/>
  <c r="G63" i="1"/>
  <c r="H30" i="1"/>
  <c r="I30" i="1"/>
  <c r="J30" i="1"/>
  <c r="K30" i="1"/>
  <c r="H31" i="1"/>
  <c r="I31" i="1"/>
  <c r="J31" i="1"/>
  <c r="K31" i="1"/>
  <c r="H32" i="1"/>
  <c r="I32" i="1"/>
  <c r="J32" i="1"/>
  <c r="K32" i="1"/>
  <c r="H33" i="1"/>
  <c r="I33" i="1"/>
  <c r="J33" i="1"/>
  <c r="K33" i="1"/>
  <c r="G33" i="1"/>
  <c r="G32" i="1"/>
  <c r="L32" i="1" s="1"/>
  <c r="G31" i="1"/>
  <c r="G30" i="1"/>
  <c r="H22" i="1"/>
  <c r="I22" i="1"/>
  <c r="J22" i="1"/>
  <c r="K22" i="1"/>
  <c r="G22" i="1"/>
  <c r="H18" i="1"/>
  <c r="I18" i="1"/>
  <c r="J18" i="1"/>
  <c r="K18" i="1"/>
  <c r="G18" i="1"/>
  <c r="L18" i="1" s="1"/>
  <c r="H14" i="1"/>
  <c r="I14" i="1"/>
  <c r="J14" i="1"/>
  <c r="K14" i="1"/>
  <c r="G14" i="1"/>
  <c r="H86" i="1"/>
  <c r="I86" i="1"/>
  <c r="J86" i="1"/>
  <c r="K86" i="1"/>
  <c r="G86" i="1"/>
  <c r="M14" i="1" a="1"/>
  <c r="M14" i="1" s="1"/>
  <c r="L16" i="1"/>
  <c r="P16" i="1" a="1"/>
  <c r="P16" i="1" s="1"/>
  <c r="M16" i="1" a="1"/>
  <c r="M16" i="1" s="1"/>
  <c r="N16" i="1" s="1"/>
  <c r="M18" i="1" a="1"/>
  <c r="M18" i="1" s="1"/>
  <c r="L20" i="1"/>
  <c r="P20" i="1" a="1"/>
  <c r="P20" i="1" s="1"/>
  <c r="M20" i="1" a="1"/>
  <c r="M20" i="1" s="1"/>
  <c r="L22" i="1"/>
  <c r="M22" i="1" a="1"/>
  <c r="M22" i="1" s="1"/>
  <c r="L24" i="1"/>
  <c r="P24" i="1" a="1"/>
  <c r="P24" i="1" s="1"/>
  <c r="M24" i="1" a="1"/>
  <c r="M24" i="1" s="1"/>
  <c r="L35" i="1"/>
  <c r="P35" i="1" a="1"/>
  <c r="P35" i="1" s="1"/>
  <c r="M35" i="1" a="1"/>
  <c r="M35" i="1" s="1"/>
  <c r="N35" i="1" s="1"/>
  <c r="L36" i="1"/>
  <c r="P36" i="1" a="1"/>
  <c r="P36" i="1" s="1"/>
  <c r="M36" i="1" a="1"/>
  <c r="M36" i="1" s="1"/>
  <c r="N36" i="1" s="1"/>
  <c r="L37" i="1"/>
  <c r="P37" i="1" a="1"/>
  <c r="P37" i="1" s="1"/>
  <c r="M37" i="1" a="1"/>
  <c r="M37" i="1" s="1"/>
  <c r="N37" i="1" s="1"/>
  <c r="L38" i="1"/>
  <c r="P38" i="1" a="1"/>
  <c r="P38" i="1" s="1"/>
  <c r="M38" i="1" a="1"/>
  <c r="M38" i="1" s="1"/>
  <c r="L39" i="1"/>
  <c r="P39" i="1" a="1"/>
  <c r="P39" i="1" s="1"/>
  <c r="M39" i="1" a="1"/>
  <c r="M39" i="1" s="1"/>
  <c r="L40" i="1"/>
  <c r="P40" i="1" a="1"/>
  <c r="P40" i="1" s="1"/>
  <c r="M40" i="1" a="1"/>
  <c r="M40" i="1" s="1"/>
  <c r="L41" i="1"/>
  <c r="P41" i="1" a="1"/>
  <c r="P41" i="1" s="1"/>
  <c r="M41" i="1" a="1"/>
  <c r="M41" i="1" s="1"/>
  <c r="L42" i="1"/>
  <c r="P42" i="1" a="1"/>
  <c r="P42" i="1" s="1"/>
  <c r="M42" i="1" a="1"/>
  <c r="M42" i="1" s="1"/>
  <c r="L43" i="1"/>
  <c r="P43" i="1" a="1"/>
  <c r="P43" i="1" s="1"/>
  <c r="M43" i="1" a="1"/>
  <c r="M43" i="1" s="1"/>
  <c r="N43" i="1" s="1"/>
  <c r="L44" i="1"/>
  <c r="P44" i="1" a="1"/>
  <c r="P44" i="1" s="1"/>
  <c r="M44" i="1" a="1"/>
  <c r="M44" i="1" s="1"/>
  <c r="N44" i="1" s="1"/>
  <c r="L45" i="1"/>
  <c r="P45" i="1" a="1"/>
  <c r="P45" i="1" s="1"/>
  <c r="M45" i="1" a="1"/>
  <c r="M45" i="1" s="1"/>
  <c r="L46" i="1"/>
  <c r="P46" i="1" a="1"/>
  <c r="P46" i="1" s="1"/>
  <c r="M46" i="1" a="1"/>
  <c r="M46" i="1" s="1"/>
  <c r="L47" i="1"/>
  <c r="P47" i="1" a="1"/>
  <c r="P47" i="1" s="1"/>
  <c r="M47" i="1" a="1"/>
  <c r="M47" i="1" s="1"/>
  <c r="L48" i="1"/>
  <c r="P48" i="1" a="1"/>
  <c r="P48" i="1" s="1"/>
  <c r="M48" i="1" a="1"/>
  <c r="M48" i="1" s="1"/>
  <c r="L49" i="1"/>
  <c r="P49" i="1" a="1"/>
  <c r="P49" i="1" s="1"/>
  <c r="M49" i="1" a="1"/>
  <c r="M49" i="1" s="1"/>
  <c r="L50" i="1"/>
  <c r="P50" i="1" a="1"/>
  <c r="P50" i="1" s="1"/>
  <c r="M50" i="1" a="1"/>
  <c r="M50" i="1" s="1"/>
  <c r="L51" i="1"/>
  <c r="P51" i="1" a="1"/>
  <c r="P51" i="1" s="1"/>
  <c r="M51" i="1" a="1"/>
  <c r="M51" i="1" s="1"/>
  <c r="L52" i="1"/>
  <c r="P52" i="1" a="1"/>
  <c r="P52" i="1" s="1"/>
  <c r="M52" i="1" a="1"/>
  <c r="M52" i="1" s="1"/>
  <c r="L53" i="1"/>
  <c r="P53" i="1" a="1"/>
  <c r="P53" i="1" s="1"/>
  <c r="M53" i="1" a="1"/>
  <c r="M53" i="1" s="1"/>
  <c r="L54" i="1"/>
  <c r="P54" i="1" a="1"/>
  <c r="P54" i="1" s="1"/>
  <c r="M54" i="1" a="1"/>
  <c r="M54" i="1" s="1"/>
  <c r="L55" i="1"/>
  <c r="P55" i="1" a="1"/>
  <c r="P55" i="1" s="1"/>
  <c r="M55" i="1" a="1"/>
  <c r="M55" i="1" s="1"/>
  <c r="L56" i="1"/>
  <c r="P56" i="1" a="1"/>
  <c r="P56" i="1" s="1"/>
  <c r="M56" i="1" a="1"/>
  <c r="M56" i="1" s="1"/>
  <c r="L57" i="1"/>
  <c r="P57" i="1" a="1"/>
  <c r="P57" i="1" s="1"/>
  <c r="M57" i="1" a="1"/>
  <c r="M57" i="1" s="1"/>
  <c r="L58" i="1"/>
  <c r="P58" i="1" a="1"/>
  <c r="P58" i="1" s="1"/>
  <c r="M58" i="1" a="1"/>
  <c r="M58" i="1" s="1"/>
  <c r="L59" i="1"/>
  <c r="P59" i="1" a="1"/>
  <c r="P59" i="1" s="1"/>
  <c r="M59" i="1" a="1"/>
  <c r="M59" i="1" s="1"/>
  <c r="L60" i="1"/>
  <c r="P60" i="1" a="1"/>
  <c r="P60" i="1" s="1"/>
  <c r="M60" i="1" a="1"/>
  <c r="M60" i="1" s="1"/>
  <c r="L61" i="1"/>
  <c r="P61" i="1" a="1"/>
  <c r="P61" i="1" s="1"/>
  <c r="M61" i="1" a="1"/>
  <c r="M61" i="1" s="1"/>
  <c r="L71" i="1"/>
  <c r="P71" i="1" a="1"/>
  <c r="P71" i="1" s="1"/>
  <c r="M71" i="1" a="1"/>
  <c r="M71" i="1" s="1"/>
  <c r="L72" i="1"/>
  <c r="P72" i="1" a="1"/>
  <c r="P72" i="1" s="1"/>
  <c r="M72" i="1" a="1"/>
  <c r="M72" i="1" s="1"/>
  <c r="L73" i="1"/>
  <c r="P73" i="1" a="1"/>
  <c r="P73" i="1" s="1"/>
  <c r="M73" i="1" a="1"/>
  <c r="M73" i="1" s="1"/>
  <c r="N73" i="1" s="1"/>
  <c r="L74" i="1"/>
  <c r="P74" i="1" a="1"/>
  <c r="P74" i="1" s="1"/>
  <c r="M74" i="1" a="1"/>
  <c r="M74" i="1" s="1"/>
  <c r="L75" i="1"/>
  <c r="P75" i="1" a="1"/>
  <c r="P75" i="1" s="1"/>
  <c r="M75" i="1" a="1"/>
  <c r="M75" i="1" s="1"/>
  <c r="L76" i="1"/>
  <c r="P76" i="1" a="1"/>
  <c r="P76" i="1" s="1"/>
  <c r="M76" i="1" a="1"/>
  <c r="M76" i="1" s="1"/>
  <c r="N76" i="1" s="1"/>
  <c r="L77" i="1"/>
  <c r="P77" i="1" a="1"/>
  <c r="P77" i="1" s="1"/>
  <c r="M77" i="1" a="1"/>
  <c r="M77" i="1" s="1"/>
  <c r="N77" i="1" s="1"/>
  <c r="L78" i="1"/>
  <c r="P78" i="1" a="1"/>
  <c r="P78" i="1" s="1"/>
  <c r="M78" i="1" a="1"/>
  <c r="M78" i="1" s="1"/>
  <c r="L79" i="1"/>
  <c r="P79" i="1" a="1"/>
  <c r="P79" i="1" s="1"/>
  <c r="M79" i="1" a="1"/>
  <c r="M79" i="1" s="1"/>
  <c r="L80" i="1"/>
  <c r="P80" i="1" a="1"/>
  <c r="P80" i="1" s="1"/>
  <c r="M80" i="1" a="1"/>
  <c r="M80" i="1" s="1"/>
  <c r="L81" i="1"/>
  <c r="P81" i="1" a="1"/>
  <c r="P81" i="1" s="1"/>
  <c r="M81" i="1" a="1"/>
  <c r="M81" i="1" s="1"/>
  <c r="L82" i="1"/>
  <c r="P82" i="1" a="1"/>
  <c r="P82" i="1" s="1"/>
  <c r="M82" i="1" a="1"/>
  <c r="M82" i="1" s="1"/>
  <c r="M86" i="1" a="1"/>
  <c r="M86" i="1" s="1"/>
  <c r="L88" i="1"/>
  <c r="P88" i="1" a="1"/>
  <c r="P88" i="1" s="1"/>
  <c r="M88" i="1" a="1"/>
  <c r="M88" i="1" s="1"/>
  <c r="N88" i="1" s="1"/>
  <c r="N87" i="1" s="1"/>
  <c r="L92" i="1"/>
  <c r="M92" i="1" a="1"/>
  <c r="M92" i="1" s="1"/>
  <c r="N92" i="1" s="1"/>
  <c r="N91" i="1" s="1"/>
  <c r="E14" i="2"/>
  <c r="E6" i="2"/>
  <c r="E5" i="2"/>
  <c r="E4" i="2"/>
  <c r="E15" i="2"/>
  <c r="N15" i="1" l="1"/>
  <c r="N50" i="1"/>
  <c r="L67" i="1"/>
  <c r="N24" i="1"/>
  <c r="N23" i="1" s="1"/>
  <c r="L66" i="1"/>
  <c r="N66" i="1" s="1"/>
  <c r="L65" i="1"/>
  <c r="N65" i="1" s="1"/>
  <c r="L31" i="1"/>
  <c r="N31" i="1" s="1"/>
  <c r="L30" i="1"/>
  <c r="N40" i="1"/>
  <c r="N74" i="1"/>
  <c r="N82" i="1"/>
  <c r="L63" i="1"/>
  <c r="N63" i="1" s="1"/>
  <c r="L64" i="1"/>
  <c r="N64" i="1" s="1"/>
  <c r="N69" i="1"/>
  <c r="N68" i="1"/>
  <c r="N67" i="1"/>
  <c r="N32" i="1"/>
  <c r="N30" i="1"/>
  <c r="N48" i="1"/>
  <c r="L33" i="1"/>
  <c r="N33" i="1" s="1"/>
  <c r="L14" i="1"/>
  <c r="N14" i="1" s="1"/>
  <c r="N13" i="1" s="1"/>
  <c r="N38" i="1"/>
  <c r="N72" i="1"/>
  <c r="N22" i="1"/>
  <c r="N21" i="1" s="1"/>
  <c r="N81" i="1"/>
  <c r="N18" i="1"/>
  <c r="N17" i="1" s="1"/>
  <c r="N80" i="1"/>
  <c r="N39" i="1"/>
  <c r="N49" i="1"/>
  <c r="N71" i="1"/>
  <c r="N42" i="1"/>
  <c r="N54" i="1"/>
  <c r="N55" i="1"/>
  <c r="N60" i="1"/>
  <c r="N61" i="1"/>
  <c r="N20" i="1"/>
  <c r="L86" i="1"/>
  <c r="N86" i="1" s="1"/>
  <c r="N85" i="1" s="1"/>
  <c r="N75" i="1"/>
  <c r="N90" i="1"/>
  <c r="N89" i="1" s="1"/>
  <c r="N45" i="1"/>
  <c r="N46" i="1"/>
  <c r="N47" i="1"/>
  <c r="N51" i="1"/>
  <c r="N52" i="1"/>
  <c r="N53" i="1"/>
  <c r="N56" i="1"/>
  <c r="N57" i="1"/>
  <c r="N58" i="1"/>
  <c r="N59" i="1"/>
  <c r="N78" i="1"/>
  <c r="N79" i="1"/>
  <c r="N41" i="1"/>
  <c r="N19" i="1" l="1"/>
  <c r="N26" i="1"/>
  <c r="N62" i="1"/>
  <c r="N29" i="1"/>
  <c r="N84" i="1"/>
  <c r="N83" i="1" s="1"/>
  <c r="N70" i="1"/>
  <c r="N34" i="1"/>
  <c r="N25" i="1" l="1"/>
  <c r="G39" i="3"/>
  <c r="G40" i="3" s="1"/>
  <c r="N94" i="1"/>
  <c r="E16" i="2" s="1"/>
  <c r="N28" i="1"/>
  <c r="N27" i="1" s="1"/>
  <c r="N12" i="1" l="1"/>
  <c r="N11" i="1" s="1"/>
  <c r="N10" i="1" s="1"/>
  <c r="N93" i="1" s="1"/>
  <c r="N95" i="1"/>
  <c r="G41" i="3" s="1"/>
</calcChain>
</file>

<file path=xl/sharedStrings.xml><?xml version="1.0" encoding="utf-8"?>
<sst xmlns="http://schemas.openxmlformats.org/spreadsheetml/2006/main" count="464" uniqueCount="164">
  <si>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</si>
  <si>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</si>
  <si>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</si>
  <si>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</si>
  <si>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</si>
  <si>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</si>
  <si>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</si>
  <si>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</si>
  <si>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</si>
  <si>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</si>
  <si>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</si>
  <si>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</si>
  <si>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</si>
  <si>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</si>
  <si>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</si>
  <si>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</si>
  <si>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11.13</t>
  </si>
  <si>
    <t>Устройство телевидения</t>
  </si>
  <si>
    <t>11.13.01</t>
  </si>
  <si>
    <t>Прокладка КПП и КНС (горизонтальные КЛ)</t>
  </si>
  <si>
    <t>11.13.01.00</t>
  </si>
  <si>
    <t>Работы:</t>
  </si>
  <si>
    <t>Прокладка кабеля радиочастотного (коаксиальный)</t>
  </si>
  <si>
    <t>м</t>
  </si>
  <si>
    <t>Материалы:</t>
  </si>
  <si>
    <t>1</t>
  </si>
  <si>
    <t>Кабель</t>
  </si>
  <si>
    <t>SAT-703</t>
  </si>
  <si>
    <t>Прокладка трубы гладкой до 32 мм</t>
  </si>
  <si>
    <t>Труба электромонтажная</t>
  </si>
  <si>
    <t>атмосферостойкая ПВХ жесткая 20мм</t>
  </si>
  <si>
    <t>пог. м</t>
  </si>
  <si>
    <t>Прокладка трубы стальной до 40 мм</t>
  </si>
  <si>
    <t>Труба водогазопроводная</t>
  </si>
  <si>
    <t>стальная D-15х2,8 СТ3</t>
  </si>
  <si>
    <t>%</t>
  </si>
  <si>
    <t>11.13.02</t>
  </si>
  <si>
    <t>Установка оборудования</t>
  </si>
  <si>
    <t>11.13.02.00</t>
  </si>
  <si>
    <t>компл.</t>
  </si>
  <si>
    <t>Делитель абонентский</t>
  </si>
  <si>
    <t>2 отвода 4дБ 5-1000МГц</t>
  </si>
  <si>
    <t>шт</t>
  </si>
  <si>
    <t>2</t>
  </si>
  <si>
    <t>3 отвода 6дБ 5-1000МГц</t>
  </si>
  <si>
    <t>3</t>
  </si>
  <si>
    <t>4 отвода 8дБ 5-1000МГц</t>
  </si>
  <si>
    <t>4</t>
  </si>
  <si>
    <t>Ответвитель абонентский</t>
  </si>
  <si>
    <t>1 отвод 8дБ 5-1000МГц</t>
  </si>
  <si>
    <t>5</t>
  </si>
  <si>
    <t>1 отвод 12дБ 5-1000МГц</t>
  </si>
  <si>
    <t>6</t>
  </si>
  <si>
    <t>1 отвод 16дБ 5-1000МГц</t>
  </si>
  <si>
    <t>7</t>
  </si>
  <si>
    <t>1 отвод 22дБ 5-1000МГц</t>
  </si>
  <si>
    <t>8</t>
  </si>
  <si>
    <t>2 отвода 7дБ 5-1000МГц</t>
  </si>
  <si>
    <t>9</t>
  </si>
  <si>
    <t>2 отвода 12дБ 5-1000МГц</t>
  </si>
  <si>
    <t>10</t>
  </si>
  <si>
    <t>2 отвода 16дБ 5-1000МГц</t>
  </si>
  <si>
    <t>2 отвода 20дБ 5-1000МГц</t>
  </si>
  <si>
    <t>12</t>
  </si>
  <si>
    <t>4 отвода 15дБ 5-1000МГц</t>
  </si>
  <si>
    <t>13</t>
  </si>
  <si>
    <t>4 отвода 19дБ 5-1000МГц</t>
  </si>
  <si>
    <t>14</t>
  </si>
  <si>
    <t>4 отвода 23дБ 5-1000МГц</t>
  </si>
  <si>
    <t>15</t>
  </si>
  <si>
    <t>4 отвода 10дБ 5-1000МГц</t>
  </si>
  <si>
    <t>16</t>
  </si>
  <si>
    <t>Аттенюатор</t>
  </si>
  <si>
    <t>0дБ 5-1000МГц "F"</t>
  </si>
  <si>
    <t>В составе MX900 мод901i2</t>
  </si>
  <si>
    <t>17</t>
  </si>
  <si>
    <t>1дБ 5-1000МГц "F"</t>
  </si>
  <si>
    <t>18</t>
  </si>
  <si>
    <t>2дБ 5-1000МГц "F"</t>
  </si>
  <si>
    <t>19</t>
  </si>
  <si>
    <t>3дБ 5-1000МГц "F"</t>
  </si>
  <si>
    <t>20</t>
  </si>
  <si>
    <t>6дБ 5-1000МГц "F"</t>
  </si>
  <si>
    <t>21</t>
  </si>
  <si>
    <t>9дБ 5-1000МГц "F"</t>
  </si>
  <si>
    <t>22</t>
  </si>
  <si>
    <t>13дБ 5-1000МГц "F"</t>
  </si>
  <si>
    <t>23</t>
  </si>
  <si>
    <t>ступенчатый 0-21дБ 5-1000МГц "F"</t>
  </si>
  <si>
    <t>24</t>
  </si>
  <si>
    <t>точный 10дБ 5-1000МГц "F"</t>
  </si>
  <si>
    <t>25</t>
  </si>
  <si>
    <t>точный 6дБ 5-1000МГц "F"</t>
  </si>
  <si>
    <t>26</t>
  </si>
  <si>
    <t>12дБ 5-1000МГц "F"</t>
  </si>
  <si>
    <t>27</t>
  </si>
  <si>
    <t>Усилитель сигнала</t>
  </si>
  <si>
    <t>Широкополосный усилитель MX900 мод901i2 (либо аналог)</t>
  </si>
  <si>
    <t>Кронштейн для антенн</t>
  </si>
  <si>
    <t>Г-образный D-32мм L-375 мм</t>
  </si>
  <si>
    <t>Станция головная</t>
  </si>
  <si>
    <t>DVB-T2 2 канала (до 4) IP65</t>
  </si>
  <si>
    <t>Грозозащита-разрядник</t>
  </si>
  <si>
    <t>на F-разъемах 5-1000МГц</t>
  </si>
  <si>
    <t>Антенна</t>
  </si>
  <si>
    <t>уличная активная 30дБ 87,5-230/470-862MГц 75Ом</t>
  </si>
  <si>
    <t>11.13.03</t>
  </si>
  <si>
    <t>Прокладка КПП и КНС (вертикальные КЛ)</t>
  </si>
  <si>
    <t>11.13.03.00</t>
  </si>
  <si>
    <t>11.13.04</t>
  </si>
  <si>
    <t>ПНР</t>
  </si>
  <si>
    <t>11.13.04.00</t>
  </si>
  <si>
    <t>Пусконаладочные работы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</si>
  <si>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</si>
  <si>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</si>
  <si>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</si>
  <si>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</si>
  <si>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</si>
  <si>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</si>
  <si>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</si>
  <si>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</si>
  <si>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</si>
  <si>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</si>
  <si>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</si>
  <si>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</si>
  <si>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</si>
  <si>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Екатеринбург.01.11.13 Секция 1.1_Устройство телевидения №1</t>
  </si>
  <si>
    <t>99645fef-9c8c-11f1-9619-cc5d3c3b48f3</t>
  </si>
  <si>
    <t>ГП Амундсмена Екатеринбург.02.11.13 Секция 1.2_Устройство телевидения №1</t>
  </si>
  <si>
    <t>99646135-9c8c-11f1-9619-cc5d3c3b48f3</t>
  </si>
  <si>
    <t>ГП Амундсмена Екатеринбург.03.11.13 Секция 1.3_Устройство телевидения №1</t>
  </si>
  <si>
    <t>9f60634a-9c8c-11f1-9619-cc5d3c3b48f3</t>
  </si>
  <si>
    <t>ГП Амундсмена Екатеринбург.04.11.13 Секция 2_Устройство телевидения №1</t>
  </si>
  <si>
    <t>a5702ee2-9c8c-11f1-9619-cc5d3c3b48f3</t>
  </si>
  <si>
    <t>ГП Амундсмена Екатеринбург.05.11.13 Секция 3_Устройство телевидения №1</t>
  </si>
  <si>
    <t>ab82c173-9c8c-11f1-9619-cc5d3c3b48f3</t>
  </si>
  <si>
    <t>Итог</t>
  </si>
  <si>
    <t>Прочие материалы</t>
  </si>
  <si>
    <t>ПОДРЯДЧИК:</t>
  </si>
  <si>
    <t>ЗАКАЗЧИК:</t>
  </si>
  <si>
    <t>ТЕХНИЧЕСКИЙ ЗАКАЗЧИК: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</si>
  <si>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</si>
  <si>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</si>
  <si>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</si>
  <si>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</si>
  <si>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</si>
  <si>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</si>
  <si>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Устройство системы телевидения</t>
  </si>
  <si>
    <t>Секция 1.1</t>
  </si>
  <si>
    <t>Секция 1.2</t>
  </si>
  <si>
    <t>Секция 1.3</t>
  </si>
  <si>
    <t>Работы (типовой этаж):</t>
  </si>
  <si>
    <t>Монтаж делителя абонентского</t>
  </si>
  <si>
    <t>Монтаж ответвителя абонентского</t>
  </si>
  <si>
    <t>Монтаж аттенюатора</t>
  </si>
  <si>
    <t>Монтаж усилителя сигнала</t>
  </si>
  <si>
    <t>Монтаж станции головной</t>
  </si>
  <si>
    <t>Монтаж грозозащиты</t>
  </si>
  <si>
    <t>Монтаж антенны (в т.ч. Кронштейна)</t>
  </si>
  <si>
    <t>Работы (уникальный этаж):</t>
  </si>
  <si>
    <t>в тч НДС ____%</t>
  </si>
  <si>
    <t>указать %</t>
  </si>
  <si>
    <t>Проверка:</t>
  </si>
  <si>
    <t>Локальный сметный расчет (ЛСР)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</si>
</sst>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4" fillId="4" borderId="5" xfId="0" applyFont="1" applyFill="1" applyBorder="1" applyAlignment="1">
      <alignment horizontal="right"/>
    </xf>
    <xf numFmtId="0" fontId="4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right" vertical="center"/>
    </xf>
    <xf numFmtId="3" fontId="4" fillId="5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/>
    </xf>
    <xf numFmtId="4" fontId="5" fillId="6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right"/>
    </xf>
    <xf numFmtId="0" fontId="4" fillId="7" borderId="5" xfId="0" applyFont="1" applyFill="1" applyBorder="1" applyAlignment="1">
      <alignment horizontal="left"/>
    </xf>
    <xf numFmtId="49" fontId="4" fillId="0" borderId="0" xfId="0" applyNumberFormat="1" applyFont="1"/>
    <xf numFmtId="0" fontId="5" fillId="0" borderId="0" xfId="0" applyFont="1" applyAlignment="1">
      <alignment wrapText="1"/>
    </xf>
    <xf numFmtId="4" fontId="5" fillId="0" borderId="0" xfId="0" applyNumberFormat="1" applyFont="1"/>
    <xf numFmtId="0" fontId="5" fillId="0" borderId="0" xfId="0" applyFont="1"/>
    <xf numFmtId="49" fontId="4" fillId="8" borderId="0" xfId="0" applyNumberFormat="1" applyFont="1" applyFill="1" applyAlignment="1">
      <alignment horizontal="center" vertical="center"/>
    </xf>
    <xf numFmtId="0" fontId="8" fillId="8" borderId="0" xfId="0" applyFont="1" applyFill="1" applyAlignment="1">
      <alignment vertical="center" wrapText="1"/>
    </xf>
    <xf numFmtId="0" fontId="4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5" fillId="6" borderId="7" xfId="0" applyNumberFormat="1" applyFont="1" applyFill="1" applyBorder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1" fontId="0" fillId="9" borderId="5" xfId="0" applyNumberFormat="1" applyFill="1" applyBorder="1" applyAlignment="1">
      <alignment horizontal="right" vertical="center"/>
    </xf>
    <xf numFmtId="0" fontId="3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0" fontId="10" fillId="8" borderId="0" xfId="0" applyFont="1" applyFill="1" applyAlignment="1">
      <alignment vertical="center" wrapText="1"/>
    </xf>
    <xf numFmtId="0" fontId="11" fillId="8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1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5" fillId="6" borderId="9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right"/>
    </xf>
    <xf numFmtId="0" fontId="7" fillId="6" borderId="7" xfId="0" applyFont="1" applyFill="1" applyBorder="1" applyAlignment="1">
      <alignment horizontal="right"/>
    </xf>
    <xf numFmtId="4" fontId="7" fillId="6" borderId="9" xfId="0" applyNumberFormat="1" applyFont="1" applyFill="1" applyBorder="1" applyAlignment="1">
      <alignment horizontal="right"/>
    </xf>
    <xf numFmtId="4" fontId="7" fillId="6" borderId="6" xfId="0" applyNumberFormat="1" applyFont="1" applyFill="1" applyBorder="1" applyAlignment="1">
      <alignment horizontal="right"/>
    </xf>
    <xf numFmtId="4" fontId="7" fillId="6" borderId="7" xfId="0" applyNumberFormat="1" applyFont="1" applyFill="1" applyBorder="1" applyAlignment="1">
      <alignment horizontal="right"/>
    </xf>
    <xf numFmtId="0" fontId="5" fillId="0" borderId="8" xfId="0" applyFont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left" vertical="top" wrapText="1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 2 2" xfId="1" xr:uid="{757C680B-EC4C-4878-967C-5DB2818803C5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6DBAF4-1094-4DCA-A1BE-8104BC93F359}" name="Р" displayName="Р" ref="A3:F15" totalsRowCount="1" headerRowDxfId="37" headerRowBorderDxfId="36" tableBorderDxfId="35" totalsRowBorderDxfId="34">
  <autoFilter ref="A3:F14" xr:uid="{CF6DBAF4-1094-4DCA-A1BE-8104BC93F359}"/>
  <tableColumns count="6">
    <tableColumn id="1" xr3:uid="{B415A571-CE3C-4338-97AE-25C9680859EC}" name="Наименование" totalsRowLabel="Итог" dataDxfId="33" totalsRowDxfId="32"/>
    <tableColumn id="2" xr3:uid="{BC909A0B-A4CD-47F7-9865-26F2B68A99AC}" name="Ед. изм." dataDxfId="31" totalsRowDxfId="30"/>
    <tableColumn id="3" xr3:uid="{BD9E8716-8379-419F-AFB6-0355A2C05950}" name="Количество" dataDxfId="29" totalsRowDxfId="28"/>
    <tableColumn id="4" xr3:uid="{E15CFB42-2FFC-461F-9576-BE797F830EA6}" name="Цена за ед., руб" dataDxfId="27" totalsRowDxfId="26"/>
    <tableColumn id="5" xr3:uid="{2F82402D-3B4C-4E27-A281-310D4C03B28B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0CA1E1BA-6A07-4874-8BF0-61ABCF87273B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84A2CA-28F4-42A6-8129-8687B51ACC1B}" name="М" displayName="М" ref="A3:I40" totalsRowCount="1" headerRowDxfId="21" headerRowBorderDxfId="20" tableBorderDxfId="19" totalsRowBorderDxfId="18">
  <autoFilter ref="A3:I39" xr:uid="{7984A2CA-28F4-42A6-8129-8687B51ACC1B}"/>
  <tableColumns count="9">
    <tableColumn id="1" xr3:uid="{795376E8-218F-4717-BBEE-A8C0CB8ED121}" name="Наим." totalsRowLabel="Итог" dataDxfId="17" totalsRowDxfId="16"/>
    <tableColumn id="2" xr3:uid="{3FB2E7F4-E400-4CA4-8945-D1A5EF59B696}" name="Артикул, марка, произв." dataDxfId="15" totalsRowDxfId="14"/>
    <tableColumn id="3" xr3:uid="{6CA6C01C-054A-4353-A629-136191FC21ED}" name="Хар-ка" dataDxfId="13" totalsRowDxfId="12"/>
    <tableColumn id="4" xr3:uid="{6E1E6BA8-63C7-41F7-9296-3D3483B249C9}" name="Ед. изм." dataDxfId="11" totalsRowDxfId="10"/>
    <tableColumn id="5" xr3:uid="{546221FB-D9CE-4BE8-AAE9-37E38DB3036C}" name="Количество" dataDxfId="9" totalsRowDxfId="8"/>
    <tableColumn id="6" xr3:uid="{D6FB22DF-9A20-445B-8305-74904A3AEE85}" name="Цена за ед., руб" dataDxfId="7" totalsRowDxfId="6"/>
    <tableColumn id="7" xr3:uid="{1F4A8E99-0061-4A0E-BD91-99621D25A668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47FC6F8E-65E7-45DC-BCE0-00D02FA3AE39}" name="Прим." dataDxfId="3" totalsRowDxfId="2"/>
    <tableColumn id="9" xr3:uid="{8379ACB9-D39F-4C99-8DE6-899C1F7696FD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R103"/>
  <sheetViews>
    <sheetView tabSelected="1" zoomScale="70" zoomScaleNormal="70" workbookViewId="0">
      <pane ySplit="8" topLeftCell="A9" activePane="bottomLeft" state="frozen"/>
      <selection pane="bottomLeft" activeCell="B4" sqref="B4:J4"/>
    </sheetView>
  </sheetViews>
  <sheetFormatPr defaultColWidth="10.5" defaultRowHeight="15.75" outlineLevelRow="4" x14ac:dyDescent="0.25"/>
  <cols>
    <col min="1" max="1" width="14" style="21" bestFit="1" customWidth="1"/>
    <col min="2" max="2" width="61.1640625" style="21" bestFit="1" customWidth="1"/>
    <col min="3" max="3" width="15" style="21" bestFit="1" customWidth="1"/>
    <col min="4" max="4" width="36.33203125" style="21" bestFit="1" customWidth="1"/>
    <col min="5" max="5" width="10.5" style="21" bestFit="1" customWidth="1"/>
    <col min="6" max="6" width="9" style="21" bestFit="1" customWidth="1"/>
    <col min="7" max="9" width="14.1640625" style="21" bestFit="1" customWidth="1"/>
    <col min="10" max="11" width="11.5" style="21" bestFit="1" customWidth="1"/>
    <col min="12" max="12" width="15.83203125" style="21" bestFit="1" customWidth="1"/>
    <col min="13" max="13" width="15.1640625" style="21" bestFit="1" customWidth="1"/>
    <col min="14" max="14" width="14.83203125" style="21" bestFit="1" customWidth="1"/>
    <col min="15" max="15" width="72.1640625" style="21" bestFit="1" customWidth="1"/>
    <col min="16" max="16" width="23" style="21" bestFit="1" customWidth="1"/>
    <col min="17" max="16384" width="10.5" style="22"/>
  </cols>
  <sheetData>
    <row r="2" spans="1:16" x14ac:dyDescent="0.25">
      <c r="A2" s="63"/>
      <c r="B2" s="64" t="s">
        <v>138</v>
      </c>
      <c r="C2" s="22"/>
      <c r="D2" s="64" t="s">
        <v>139</v>
      </c>
      <c r="E2" s="22"/>
      <c r="F2" s="22"/>
      <c r="G2" s="22"/>
      <c r="H2" s="22"/>
      <c r="I2" s="22"/>
      <c r="J2" s="22"/>
      <c r="K2" s="22"/>
      <c r="L2" s="22"/>
      <c r="M2" s="22"/>
      <c r="N2" s="65"/>
      <c r="O2" s="66" t="s">
        <v>140</v>
      </c>
      <c r="P2" s="22"/>
    </row>
    <row r="3" spans="1:16" x14ac:dyDescent="0.25">
      <c r="B3" s="96" t="s">
        <v>163</v>
      </c>
      <c r="C3" s="96"/>
      <c r="D3" s="96"/>
      <c r="E3" s="96"/>
      <c r="F3" s="96"/>
      <c r="G3" s="96"/>
      <c r="H3" s="96"/>
      <c r="I3" s="96"/>
      <c r="J3" s="96"/>
    </row>
    <row r="4" spans="1:16" x14ac:dyDescent="0.25">
      <c r="B4" s="96" t="s">
        <v>147</v>
      </c>
      <c r="C4" s="96"/>
      <c r="D4" s="96"/>
      <c r="E4" s="96"/>
      <c r="F4" s="96"/>
      <c r="G4" s="96"/>
      <c r="H4" s="96"/>
      <c r="I4" s="96"/>
      <c r="J4" s="96"/>
    </row>
    <row r="5" spans="1:16" ht="35.25" customHeight="1" x14ac:dyDescent="0.25">
      <c r="B5" s="97" t="s">
        <v>0</v>
      </c>
      <c r="C5" s="97"/>
      <c r="D5" s="97"/>
      <c r="E5" s="97"/>
      <c r="F5" s="97"/>
      <c r="G5" s="97"/>
      <c r="H5" s="97"/>
      <c r="I5" s="97"/>
      <c r="J5" s="97"/>
    </row>
    <row r="7" spans="1:16" x14ac:dyDescent="0.25">
      <c r="A7" s="94" t="s">
        <v>1</v>
      </c>
      <c r="B7" s="94" t="s">
        <v>2</v>
      </c>
      <c r="C7" s="98" t="s">
        <v>3</v>
      </c>
      <c r="D7" s="100" t="s">
        <v>4</v>
      </c>
      <c r="E7" s="94" t="s">
        <v>5</v>
      </c>
      <c r="F7" s="102" t="s">
        <v>6</v>
      </c>
      <c r="G7" s="104" t="s">
        <v>148</v>
      </c>
      <c r="H7" s="104" t="s">
        <v>149</v>
      </c>
      <c r="I7" s="104" t="s">
        <v>150</v>
      </c>
      <c r="J7" s="104" t="s">
        <v>7</v>
      </c>
      <c r="K7" s="104" t="s">
        <v>8</v>
      </c>
      <c r="L7" s="94" t="s">
        <v>9</v>
      </c>
      <c r="M7" s="102" t="s">
        <v>10</v>
      </c>
      <c r="N7" s="102" t="s">
        <v>11</v>
      </c>
      <c r="O7" s="94" t="s">
        <v>12</v>
      </c>
      <c r="P7" s="102" t="s">
        <v>13</v>
      </c>
    </row>
    <row r="8" spans="1:16" x14ac:dyDescent="0.25">
      <c r="A8" s="95"/>
      <c r="B8" s="95"/>
      <c r="C8" s="99"/>
      <c r="D8" s="101"/>
      <c r="E8" s="95"/>
      <c r="F8" s="103"/>
      <c r="G8" s="105"/>
      <c r="H8" s="105"/>
      <c r="I8" s="105"/>
      <c r="J8" s="105"/>
      <c r="K8" s="105"/>
      <c r="L8" s="95"/>
      <c r="M8" s="103"/>
      <c r="N8" s="103"/>
      <c r="O8" s="95"/>
      <c r="P8" s="103"/>
    </row>
    <row r="9" spans="1:16" x14ac:dyDescent="0.25">
      <c r="A9" s="23" t="s">
        <v>14</v>
      </c>
      <c r="B9" s="24" t="s">
        <v>15</v>
      </c>
      <c r="C9" s="25"/>
      <c r="D9" s="25"/>
      <c r="E9" s="26"/>
      <c r="F9" s="27"/>
      <c r="G9" s="27"/>
      <c r="H9" s="27"/>
      <c r="I9" s="27"/>
      <c r="J9" s="27"/>
      <c r="K9" s="27"/>
      <c r="L9" s="27"/>
      <c r="M9" s="28"/>
      <c r="N9" s="28"/>
      <c r="O9" s="25"/>
      <c r="P9" s="25"/>
    </row>
    <row r="10" spans="1:16" outlineLevel="1" x14ac:dyDescent="0.25">
      <c r="A10" s="29" t="s">
        <v>16</v>
      </c>
      <c r="B10" s="30" t="s">
        <v>17</v>
      </c>
      <c r="C10" s="31"/>
      <c r="D10" s="31"/>
      <c r="E10" s="32"/>
      <c r="F10" s="33"/>
      <c r="G10" s="33"/>
      <c r="H10" s="33"/>
      <c r="I10" s="33"/>
      <c r="J10" s="33"/>
      <c r="K10" s="33"/>
      <c r="L10" s="33"/>
      <c r="M10" s="34"/>
      <c r="N10" s="34">
        <f>SUM($N$89,$N$83,$N$27,$N$11)</f>
        <v>0</v>
      </c>
      <c r="O10" s="31"/>
      <c r="P10" s="31"/>
    </row>
    <row r="11" spans="1:16" outlineLevel="2" x14ac:dyDescent="0.25">
      <c r="A11" s="35" t="s">
        <v>18</v>
      </c>
      <c r="B11" s="36" t="s">
        <v>19</v>
      </c>
      <c r="C11" s="37"/>
      <c r="D11" s="37"/>
      <c r="E11" s="38"/>
      <c r="F11" s="39"/>
      <c r="G11" s="40"/>
      <c r="H11" s="40"/>
      <c r="I11" s="40"/>
      <c r="J11" s="40"/>
      <c r="K11" s="40"/>
      <c r="L11" s="40"/>
      <c r="M11" s="41"/>
      <c r="N11" s="41">
        <f>SUM($N$12)</f>
        <v>0</v>
      </c>
      <c r="O11" s="42"/>
      <c r="P11" s="42"/>
    </row>
    <row r="12" spans="1:16" outlineLevel="3" x14ac:dyDescent="0.25">
      <c r="A12" s="35" t="s">
        <v>20</v>
      </c>
      <c r="B12" s="36" t="s">
        <v>19</v>
      </c>
      <c r="C12" s="37"/>
      <c r="D12" s="37"/>
      <c r="E12" s="38"/>
      <c r="F12" s="39"/>
      <c r="G12" s="40"/>
      <c r="H12" s="40"/>
      <c r="I12" s="40"/>
      <c r="J12" s="40"/>
      <c r="K12" s="40"/>
      <c r="L12" s="40"/>
      <c r="M12" s="41"/>
      <c r="N12" s="41">
        <f>SUM($N$25,$N$23,$N$21,$N$19,$N$17,$N$15,$N$13)</f>
        <v>0</v>
      </c>
      <c r="O12" s="42"/>
      <c r="P12" s="42"/>
    </row>
    <row r="13" spans="1:16" outlineLevel="4" x14ac:dyDescent="0.25">
      <c r="A13" s="43"/>
      <c r="B13" s="36" t="s">
        <v>21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5"/>
      <c r="N13" s="46">
        <f>SUM($N$14)</f>
        <v>0</v>
      </c>
      <c r="O13" s="40"/>
      <c r="P13" s="47"/>
    </row>
    <row r="14" spans="1:16" ht="31.5" outlineLevel="4" x14ac:dyDescent="0.25">
      <c r="A14" s="48"/>
      <c r="B14" s="49" t="s">
        <v>22</v>
      </c>
      <c r="C14" s="50"/>
      <c r="D14" s="50"/>
      <c r="E14" s="51" t="s">
        <v>23</v>
      </c>
      <c r="F14" s="52"/>
      <c r="G14" s="53">
        <f>G16</f>
        <v>793</v>
      </c>
      <c r="H14" s="53">
        <f t="shared" ref="H14:K14" si="0">H16</f>
        <v>3108</v>
      </c>
      <c r="I14" s="53">
        <f t="shared" si="0"/>
        <v>2206</v>
      </c>
      <c r="J14" s="53">
        <f t="shared" si="0"/>
        <v>5686</v>
      </c>
      <c r="K14" s="53">
        <f t="shared" si="0"/>
        <v>3619</v>
      </c>
      <c r="L14" s="54">
        <f>SUM($G$14:$K$14)</f>
        <v>15412</v>
      </c>
      <c r="M14" s="55">
        <f t="array" ref="M14">INDEX(Р[Цена за ед., руб],MATCH(1,IF(($B14=Р[Наименование])*($O14=Р[Примечание]),{1},($B14=Р[Наименование])*($O14=Р[Примечание])),0))</f>
        <v>0</v>
      </c>
      <c r="N14" s="55">
        <f>ROUND($L$14*$M$14,2)</f>
        <v>0</v>
      </c>
      <c r="O14" s="50"/>
      <c r="P14" s="50"/>
    </row>
    <row r="15" spans="1:16" outlineLevel="4" x14ac:dyDescent="0.25">
      <c r="A15" s="43"/>
      <c r="B15" s="36" t="s">
        <v>24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5"/>
      <c r="N15" s="46">
        <f>SUM($N$16)</f>
        <v>0</v>
      </c>
      <c r="O15" s="40"/>
      <c r="P15" s="47"/>
    </row>
    <row r="16" spans="1:16" outlineLevel="4" x14ac:dyDescent="0.25">
      <c r="A16" s="48" t="s">
        <v>25</v>
      </c>
      <c r="B16" s="49" t="s">
        <v>26</v>
      </c>
      <c r="C16" s="50"/>
      <c r="D16" s="50" t="s">
        <v>27</v>
      </c>
      <c r="E16" s="51" t="s">
        <v>23</v>
      </c>
      <c r="F16" s="52"/>
      <c r="G16" s="53">
        <v>793</v>
      </c>
      <c r="H16" s="54">
        <v>3108</v>
      </c>
      <c r="I16" s="54">
        <v>2206</v>
      </c>
      <c r="J16" s="54">
        <v>5686</v>
      </c>
      <c r="K16" s="54">
        <v>3619</v>
      </c>
      <c r="L16" s="54">
        <f>SUM($G$16:$K$16)</f>
        <v>15412</v>
      </c>
      <c r="M16" s="55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55">
        <f>ROUND($L$16*$M$16,2)</f>
        <v>0</v>
      </c>
      <c r="O16" s="50"/>
      <c r="P16" s="50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</row>
    <row r="17" spans="1:16" outlineLevel="4" x14ac:dyDescent="0.25">
      <c r="A17" s="43"/>
      <c r="B17" s="36" t="s">
        <v>21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5"/>
      <c r="N17" s="46">
        <f>SUM($N$18)</f>
        <v>0</v>
      </c>
      <c r="O17" s="40"/>
      <c r="P17" s="47"/>
    </row>
    <row r="18" spans="1:16" outlineLevel="4" x14ac:dyDescent="0.25">
      <c r="A18" s="48"/>
      <c r="B18" s="49" t="s">
        <v>28</v>
      </c>
      <c r="C18" s="50"/>
      <c r="D18" s="50"/>
      <c r="E18" s="51" t="s">
        <v>23</v>
      </c>
      <c r="F18" s="52"/>
      <c r="G18" s="53">
        <f>G20</f>
        <v>54</v>
      </c>
      <c r="H18" s="53">
        <f t="shared" ref="H18:K18" si="1">H20</f>
        <v>65</v>
      </c>
      <c r="I18" s="53">
        <f t="shared" si="1"/>
        <v>60</v>
      </c>
      <c r="J18" s="53">
        <f t="shared" si="1"/>
        <v>60</v>
      </c>
      <c r="K18" s="53">
        <f t="shared" si="1"/>
        <v>55</v>
      </c>
      <c r="L18" s="53">
        <f>SUM($G$18:$K$18)</f>
        <v>294</v>
      </c>
      <c r="M18" s="55">
        <f t="array" ref="M18">INDEX(Р[Цена за ед., руб],MATCH(1,IF(($B18=Р[Наименование])*($O18=Р[Примечание]),{1},($B18=Р[Наименование])*($O18=Р[Примечание])),0))</f>
        <v>0</v>
      </c>
      <c r="N18" s="55">
        <f>ROUND($L$18*$M$18,2)</f>
        <v>0</v>
      </c>
      <c r="O18" s="50"/>
      <c r="P18" s="50"/>
    </row>
    <row r="19" spans="1:16" outlineLevel="4" x14ac:dyDescent="0.25">
      <c r="A19" s="43"/>
      <c r="B19" s="36" t="s">
        <v>24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5"/>
      <c r="N19" s="46">
        <f>SUM($N$20)</f>
        <v>0</v>
      </c>
      <c r="O19" s="40"/>
      <c r="P19" s="47"/>
    </row>
    <row r="20" spans="1:16" ht="31.5" outlineLevel="4" x14ac:dyDescent="0.25">
      <c r="A20" s="48" t="s">
        <v>25</v>
      </c>
      <c r="B20" s="49" t="s">
        <v>29</v>
      </c>
      <c r="C20" s="50"/>
      <c r="D20" s="50" t="s">
        <v>30</v>
      </c>
      <c r="E20" s="51" t="s">
        <v>31</v>
      </c>
      <c r="F20" s="52"/>
      <c r="G20" s="53">
        <v>54</v>
      </c>
      <c r="H20" s="53">
        <v>65</v>
      </c>
      <c r="I20" s="53">
        <v>60</v>
      </c>
      <c r="J20" s="53">
        <v>60</v>
      </c>
      <c r="K20" s="53">
        <v>55</v>
      </c>
      <c r="L20" s="53">
        <f>SUM($G$20:$K$20)</f>
        <v>294</v>
      </c>
      <c r="M20" s="55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55">
        <f>ROUND($L$20*$M$20,2)</f>
        <v>0</v>
      </c>
      <c r="O20" s="50"/>
      <c r="P20" s="50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</row>
    <row r="21" spans="1:16" outlineLevel="4" x14ac:dyDescent="0.25">
      <c r="A21" s="43"/>
      <c r="B21" s="36" t="s">
        <v>21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5"/>
      <c r="N21" s="46">
        <f>SUM($N$22)</f>
        <v>0</v>
      </c>
      <c r="O21" s="40"/>
      <c r="P21" s="47"/>
    </row>
    <row r="22" spans="1:16" outlineLevel="4" x14ac:dyDescent="0.25">
      <c r="A22" s="48"/>
      <c r="B22" s="49" t="s">
        <v>32</v>
      </c>
      <c r="C22" s="50"/>
      <c r="D22" s="50"/>
      <c r="E22" s="51" t="s">
        <v>23</v>
      </c>
      <c r="F22" s="52"/>
      <c r="G22" s="53">
        <f>G24</f>
        <v>5</v>
      </c>
      <c r="H22" s="53">
        <f t="shared" ref="H22:K22" si="2">H24</f>
        <v>5</v>
      </c>
      <c r="I22" s="53">
        <f t="shared" si="2"/>
        <v>5</v>
      </c>
      <c r="J22" s="53">
        <f t="shared" si="2"/>
        <v>5</v>
      </c>
      <c r="K22" s="53">
        <f t="shared" si="2"/>
        <v>5</v>
      </c>
      <c r="L22" s="53">
        <f>SUM($G$22:$K$22)</f>
        <v>25</v>
      </c>
      <c r="M22" s="55">
        <f t="array" ref="M22">INDEX(Р[Цена за ед., руб],MATCH(1,IF(($B22=Р[Наименование])*($O22=Р[Примечание]),{1},($B22=Р[Наименование])*($O22=Р[Примечание])),0))</f>
        <v>0</v>
      </c>
      <c r="N22" s="55">
        <f>ROUND($L$22*$M$22,2)</f>
        <v>0</v>
      </c>
      <c r="O22" s="50"/>
      <c r="P22" s="50"/>
    </row>
    <row r="23" spans="1:16" outlineLevel="4" x14ac:dyDescent="0.25">
      <c r="A23" s="43"/>
      <c r="B23" s="36" t="s">
        <v>24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5"/>
      <c r="N23" s="46">
        <f>SUM($N$24)</f>
        <v>0</v>
      </c>
      <c r="O23" s="40"/>
      <c r="P23" s="47"/>
    </row>
    <row r="24" spans="1:16" outlineLevel="4" x14ac:dyDescent="0.25">
      <c r="A24" s="48" t="s">
        <v>25</v>
      </c>
      <c r="B24" s="49" t="s">
        <v>33</v>
      </c>
      <c r="C24" s="50"/>
      <c r="D24" s="50" t="s">
        <v>34</v>
      </c>
      <c r="E24" s="51" t="s">
        <v>31</v>
      </c>
      <c r="F24" s="52"/>
      <c r="G24" s="53">
        <v>5</v>
      </c>
      <c r="H24" s="53">
        <v>5</v>
      </c>
      <c r="I24" s="53">
        <v>5</v>
      </c>
      <c r="J24" s="53">
        <v>5</v>
      </c>
      <c r="K24" s="53">
        <v>5</v>
      </c>
      <c r="L24" s="53">
        <f>SUM($G$24:$K$24)</f>
        <v>25</v>
      </c>
      <c r="M24" s="55">
        <f t="array" ref="M24">INDEX(М[Цена за ед., руб],MATCH(1,IF(($B24=М[Наим.])*($C24=М[Артикул,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  <c r="N24" s="55">
        <f>ROUND($L$24*$M$24,2)</f>
        <v>0</v>
      </c>
      <c r="O24" s="50"/>
      <c r="P24" s="50">
        <f t="array" ref="P24">INDEX(М[Форма закупа],MATCH(1,IF(($B24=М[Наим.])*($C24=М[Артикул,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</row>
    <row r="25" spans="1:16" outlineLevel="4" x14ac:dyDescent="0.25">
      <c r="A25" s="43"/>
      <c r="B25" s="36" t="s">
        <v>24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  <c r="N25" s="46">
        <f>SUM($N$26)</f>
        <v>0</v>
      </c>
      <c r="O25" s="40"/>
      <c r="P25" s="47"/>
    </row>
    <row r="26" spans="1:16" outlineLevel="4" x14ac:dyDescent="0.25">
      <c r="A26" s="48" t="s">
        <v>25</v>
      </c>
      <c r="B26" s="56" t="s">
        <v>137</v>
      </c>
      <c r="C26" s="57"/>
      <c r="D26" s="57"/>
      <c r="E26" s="58" t="s">
        <v>35</v>
      </c>
      <c r="F26" s="52"/>
      <c r="G26" s="52"/>
      <c r="H26" s="52"/>
      <c r="I26" s="52"/>
      <c r="J26" s="52"/>
      <c r="K26" s="52"/>
      <c r="L26" s="77">
        <f>Материалы!E39</f>
        <v>0</v>
      </c>
      <c r="M26" s="78"/>
      <c r="N26" s="78">
        <f>ROUND(SUM(N16,N20,N24)*L26%,3)</f>
        <v>0</v>
      </c>
      <c r="O26" s="50"/>
      <c r="P26" s="50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outlineLevel="2" x14ac:dyDescent="0.25">
      <c r="A27" s="35" t="s">
        <v>36</v>
      </c>
      <c r="B27" s="36" t="s">
        <v>37</v>
      </c>
      <c r="C27" s="37"/>
      <c r="D27" s="37"/>
      <c r="E27" s="38"/>
      <c r="F27" s="39"/>
      <c r="G27" s="40"/>
      <c r="H27" s="40"/>
      <c r="I27" s="40"/>
      <c r="J27" s="40"/>
      <c r="K27" s="40"/>
      <c r="L27" s="40"/>
      <c r="M27" s="41"/>
      <c r="N27" s="41">
        <f>SUM($N$28)</f>
        <v>0</v>
      </c>
      <c r="O27" s="42"/>
      <c r="P27" s="42"/>
    </row>
    <row r="28" spans="1:16" outlineLevel="3" x14ac:dyDescent="0.25">
      <c r="A28" s="35" t="s">
        <v>38</v>
      </c>
      <c r="B28" s="36" t="s">
        <v>37</v>
      </c>
      <c r="C28" s="37"/>
      <c r="D28" s="37"/>
      <c r="E28" s="38"/>
      <c r="F28" s="39"/>
      <c r="G28" s="40"/>
      <c r="H28" s="40"/>
      <c r="I28" s="40"/>
      <c r="J28" s="40"/>
      <c r="K28" s="40"/>
      <c r="L28" s="40"/>
      <c r="M28" s="41"/>
      <c r="N28" s="41">
        <f>SUM($N$70,$N$62,$N$34,$N$29)</f>
        <v>0</v>
      </c>
      <c r="O28" s="42"/>
      <c r="P28" s="42"/>
    </row>
    <row r="29" spans="1:16" outlineLevel="4" x14ac:dyDescent="0.25">
      <c r="A29" s="43"/>
      <c r="B29" s="36" t="s">
        <v>151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5"/>
      <c r="N29" s="46">
        <f>SUM($N$30:$N$33)</f>
        <v>0</v>
      </c>
      <c r="O29" s="40"/>
      <c r="P29" s="47"/>
    </row>
    <row r="30" spans="1:16" outlineLevel="4" x14ac:dyDescent="0.25">
      <c r="A30" s="48"/>
      <c r="B30" s="49" t="s">
        <v>152</v>
      </c>
      <c r="C30" s="50"/>
      <c r="D30" s="50"/>
      <c r="E30" s="51" t="s">
        <v>42</v>
      </c>
      <c r="F30" s="52"/>
      <c r="G30" s="53">
        <f>SUM(G35:G37)</f>
        <v>2</v>
      </c>
      <c r="H30" s="53">
        <f t="shared" ref="H30:K30" si="3">SUM(H35:H37)</f>
        <v>14</v>
      </c>
      <c r="I30" s="53">
        <f t="shared" si="3"/>
        <v>4</v>
      </c>
      <c r="J30" s="53">
        <f t="shared" si="3"/>
        <v>13</v>
      </c>
      <c r="K30" s="53">
        <f t="shared" si="3"/>
        <v>11</v>
      </c>
      <c r="L30" s="53">
        <f>SUM(G30:K30)</f>
        <v>44</v>
      </c>
      <c r="M30" s="55">
        <f t="array" ref="M30">INDEX(Р[Цена за ед., руб],MATCH(1,IF(($B30=Р[Наименование])*($O30=Р[Примечание]),{1},($B30=Р[Наименование])*($O30=Р[Примечание])),0))</f>
        <v>0</v>
      </c>
      <c r="N30" s="55">
        <f>ROUND(L30*M30,2)</f>
        <v>0</v>
      </c>
      <c r="O30" s="50"/>
      <c r="P30" s="50"/>
    </row>
    <row r="31" spans="1:16" outlineLevel="4" x14ac:dyDescent="0.25">
      <c r="A31" s="48"/>
      <c r="B31" s="49" t="s">
        <v>153</v>
      </c>
      <c r="C31" s="50"/>
      <c r="D31" s="50"/>
      <c r="E31" s="51" t="s">
        <v>42</v>
      </c>
      <c r="F31" s="52"/>
      <c r="G31" s="53">
        <f>SUM(G38:G49)</f>
        <v>14</v>
      </c>
      <c r="H31" s="53">
        <f t="shared" ref="H31:K31" si="4">SUM(H38:H49)</f>
        <v>82</v>
      </c>
      <c r="I31" s="53">
        <f t="shared" si="4"/>
        <v>52</v>
      </c>
      <c r="J31" s="53">
        <f t="shared" si="4"/>
        <v>106</v>
      </c>
      <c r="K31" s="53">
        <f t="shared" si="4"/>
        <v>78</v>
      </c>
      <c r="L31" s="53">
        <f>SUM(G31:K31)</f>
        <v>332</v>
      </c>
      <c r="M31" s="55">
        <f t="array" ref="M31">INDEX(Р[Цена за ед., руб],MATCH(1,IF(($B31=Р[Наименование])*($O31=Р[Примечание]),{1},($B31=Р[Наименование])*($O31=Р[Примечание])),0))</f>
        <v>0</v>
      </c>
      <c r="N31" s="55">
        <f>ROUND(L31*M31,2)</f>
        <v>0</v>
      </c>
      <c r="O31" s="50"/>
      <c r="P31" s="50"/>
    </row>
    <row r="32" spans="1:16" outlineLevel="4" x14ac:dyDescent="0.25">
      <c r="A32" s="48"/>
      <c r="B32" s="49" t="s">
        <v>154</v>
      </c>
      <c r="C32" s="50"/>
      <c r="D32" s="50"/>
      <c r="E32" s="51" t="s">
        <v>42</v>
      </c>
      <c r="F32" s="52"/>
      <c r="G32" s="53">
        <f>SUM(G50:G60)</f>
        <v>0</v>
      </c>
      <c r="H32" s="53">
        <f t="shared" ref="H32:K32" si="5">SUM(H50:H60)</f>
        <v>18</v>
      </c>
      <c r="I32" s="53">
        <f t="shared" si="5"/>
        <v>2</v>
      </c>
      <c r="J32" s="53">
        <f t="shared" si="5"/>
        <v>19</v>
      </c>
      <c r="K32" s="53">
        <f t="shared" si="5"/>
        <v>20</v>
      </c>
      <c r="L32" s="53">
        <f t="shared" ref="L32:L33" si="6">SUM(G32:K32)</f>
        <v>59</v>
      </c>
      <c r="M32" s="55">
        <f t="array" ref="M32">INDEX(Р[Цена за ед., руб],MATCH(1,IF(($B32=Р[Наименование])*($O32=Р[Примечание]),{1},($B32=Р[Наименование])*($O32=Р[Примечание])),0))</f>
        <v>0</v>
      </c>
      <c r="N32" s="55">
        <f t="shared" ref="N32:N33" si="7">ROUND(L32*M32,2)</f>
        <v>0</v>
      </c>
      <c r="O32" s="50"/>
      <c r="P32" s="50"/>
    </row>
    <row r="33" spans="1:16" outlineLevel="4" x14ac:dyDescent="0.25">
      <c r="A33" s="48"/>
      <c r="B33" s="49" t="s">
        <v>155</v>
      </c>
      <c r="C33" s="50"/>
      <c r="D33" s="50"/>
      <c r="E33" s="51" t="s">
        <v>42</v>
      </c>
      <c r="F33" s="52"/>
      <c r="G33" s="53">
        <f>G61</f>
        <v>0</v>
      </c>
      <c r="H33" s="53">
        <f t="shared" ref="H33:K33" si="8">H61</f>
        <v>3</v>
      </c>
      <c r="I33" s="53">
        <f t="shared" si="8"/>
        <v>0</v>
      </c>
      <c r="J33" s="53">
        <f t="shared" si="8"/>
        <v>3</v>
      </c>
      <c r="K33" s="53">
        <f t="shared" si="8"/>
        <v>3</v>
      </c>
      <c r="L33" s="53">
        <f t="shared" si="6"/>
        <v>9</v>
      </c>
      <c r="M33" s="55">
        <f t="array" ref="M33">INDEX(Р[Цена за ед., руб],MATCH(1,IF(($B33=Р[Наименование])*($O33=Р[Примечание]),{1},($B33=Р[Наименование])*($O33=Р[Примечание])),0))</f>
        <v>0</v>
      </c>
      <c r="N33" s="55">
        <f t="shared" si="7"/>
        <v>0</v>
      </c>
      <c r="O33" s="50"/>
      <c r="P33" s="50"/>
    </row>
    <row r="34" spans="1:16" outlineLevel="4" x14ac:dyDescent="0.25">
      <c r="A34" s="43"/>
      <c r="B34" s="36" t="s">
        <v>24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  <c r="N34" s="46">
        <f>SUM($N$35:$N$61)</f>
        <v>0</v>
      </c>
      <c r="O34" s="40"/>
      <c r="P34" s="47"/>
    </row>
    <row r="35" spans="1:16" outlineLevel="4" x14ac:dyDescent="0.25">
      <c r="A35" s="48" t="s">
        <v>25</v>
      </c>
      <c r="B35" s="49" t="s">
        <v>40</v>
      </c>
      <c r="C35" s="50"/>
      <c r="D35" s="50" t="s">
        <v>41</v>
      </c>
      <c r="E35" s="51" t="s">
        <v>42</v>
      </c>
      <c r="F35" s="52"/>
      <c r="G35" s="52"/>
      <c r="H35" s="53">
        <v>6</v>
      </c>
      <c r="I35" s="52"/>
      <c r="J35" s="53">
        <v>5</v>
      </c>
      <c r="K35" s="53">
        <v>3</v>
      </c>
      <c r="L35" s="53">
        <f>SUM($G$35:$K$35)</f>
        <v>14</v>
      </c>
      <c r="M35" s="55">
        <f t="array" ref="M35">INDEX(М[Цена за ед., руб],MATCH(1,IF(($B35=М[Наим.])*($C35=М[Артикул,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  <c r="N35" s="55">
        <f>ROUND($L$35*$M$35,2)</f>
        <v>0</v>
      </c>
      <c r="O35" s="50"/>
      <c r="P35" s="50">
        <f t="array" ref="P35">INDEX(М[Форма закупа],MATCH(1,IF(($B35=М[Наим.])*($C35=М[Артикул,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</row>
    <row r="36" spans="1:16" outlineLevel="4" x14ac:dyDescent="0.25">
      <c r="A36" s="48" t="s">
        <v>43</v>
      </c>
      <c r="B36" s="49" t="s">
        <v>40</v>
      </c>
      <c r="C36" s="50"/>
      <c r="D36" s="50" t="s">
        <v>44</v>
      </c>
      <c r="E36" s="51" t="s">
        <v>42</v>
      </c>
      <c r="F36" s="52"/>
      <c r="G36" s="53">
        <v>2</v>
      </c>
      <c r="H36" s="52"/>
      <c r="I36" s="52"/>
      <c r="J36" s="52"/>
      <c r="K36" s="52"/>
      <c r="L36" s="53">
        <f>SUM($G$36:$K$36)</f>
        <v>2</v>
      </c>
      <c r="M36" s="55">
        <f t="array" ref="M36">INDEX(М[Цена за ед., руб],MATCH(1,IF(($B36=М[Наим.])*($C36=М[Артикул,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  <c r="N36" s="55">
        <f>ROUND($L$36*$M$36,2)</f>
        <v>0</v>
      </c>
      <c r="O36" s="50"/>
      <c r="P36" s="50">
        <f t="array" ref="P36">INDEX(М[Форма закупа],MATCH(1,IF(($B36=М[Наим.])*($C36=М[Артикул,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</row>
    <row r="37" spans="1:16" outlineLevel="4" x14ac:dyDescent="0.25">
      <c r="A37" s="48" t="s">
        <v>45</v>
      </c>
      <c r="B37" s="49" t="s">
        <v>40</v>
      </c>
      <c r="C37" s="50"/>
      <c r="D37" s="50" t="s">
        <v>46</v>
      </c>
      <c r="E37" s="51" t="s">
        <v>42</v>
      </c>
      <c r="F37" s="52"/>
      <c r="G37" s="52"/>
      <c r="H37" s="53">
        <v>8</v>
      </c>
      <c r="I37" s="53">
        <v>4</v>
      </c>
      <c r="J37" s="53">
        <v>8</v>
      </c>
      <c r="K37" s="53">
        <v>8</v>
      </c>
      <c r="L37" s="53">
        <f>SUM($G$37:$K$37)</f>
        <v>28</v>
      </c>
      <c r="M37" s="55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55">
        <f>ROUND($L$37*$M$37,2)</f>
        <v>0</v>
      </c>
      <c r="O37" s="50"/>
      <c r="P37" s="50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outlineLevel="4" x14ac:dyDescent="0.25">
      <c r="A38" s="48" t="s">
        <v>47</v>
      </c>
      <c r="B38" s="49" t="s">
        <v>48</v>
      </c>
      <c r="C38" s="50"/>
      <c r="D38" s="50" t="s">
        <v>49</v>
      </c>
      <c r="E38" s="51" t="s">
        <v>42</v>
      </c>
      <c r="F38" s="52"/>
      <c r="G38" s="52"/>
      <c r="H38" s="53">
        <v>3</v>
      </c>
      <c r="I38" s="53">
        <v>2</v>
      </c>
      <c r="J38" s="52"/>
      <c r="K38" s="52"/>
      <c r="L38" s="53">
        <f>SUM($G$38:$K$38)</f>
        <v>5</v>
      </c>
      <c r="M38" s="55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55">
        <f>ROUND($L$38*$M$38,2)</f>
        <v>0</v>
      </c>
      <c r="O38" s="50"/>
      <c r="P38" s="50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outlineLevel="4" x14ac:dyDescent="0.25">
      <c r="A39" s="48" t="s">
        <v>50</v>
      </c>
      <c r="B39" s="49" t="s">
        <v>48</v>
      </c>
      <c r="C39" s="50"/>
      <c r="D39" s="50" t="s">
        <v>51</v>
      </c>
      <c r="E39" s="51" t="s">
        <v>42</v>
      </c>
      <c r="F39" s="52"/>
      <c r="G39" s="52"/>
      <c r="H39" s="53">
        <v>6</v>
      </c>
      <c r="I39" s="53">
        <v>4</v>
      </c>
      <c r="J39" s="53">
        <v>3</v>
      </c>
      <c r="K39" s="53">
        <v>1</v>
      </c>
      <c r="L39" s="53">
        <f>SUM($G$39:$K$39)</f>
        <v>14</v>
      </c>
      <c r="M39" s="55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55">
        <f>ROUND($L$39*$M$39,2)</f>
        <v>0</v>
      </c>
      <c r="O39" s="50"/>
      <c r="P39" s="50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</row>
    <row r="40" spans="1:16" outlineLevel="4" x14ac:dyDescent="0.25">
      <c r="A40" s="48" t="s">
        <v>52</v>
      </c>
      <c r="B40" s="49" t="s">
        <v>48</v>
      </c>
      <c r="C40" s="50"/>
      <c r="D40" s="50" t="s">
        <v>53</v>
      </c>
      <c r="E40" s="51" t="s">
        <v>42</v>
      </c>
      <c r="F40" s="52"/>
      <c r="G40" s="52"/>
      <c r="H40" s="53">
        <v>20</v>
      </c>
      <c r="I40" s="53">
        <v>12</v>
      </c>
      <c r="J40" s="53">
        <v>5</v>
      </c>
      <c r="K40" s="53">
        <v>12</v>
      </c>
      <c r="L40" s="53">
        <f>SUM($G$40:$K$40)</f>
        <v>49</v>
      </c>
      <c r="M40" s="55">
        <f t="array" ref="M40">INDEX(М[Цена за ед., руб],MATCH(1,IF(($B40=М[Наим.])*($C40=М[Артикул,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  <c r="N40" s="55">
        <f>ROUND($L$40*$M$40,2)</f>
        <v>0</v>
      </c>
      <c r="O40" s="50"/>
      <c r="P40" s="50">
        <f t="array" ref="P40">INDEX(М[Форма закупа],MATCH(1,IF(($B40=М[Наим.])*($C40=М[Артикул,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</row>
    <row r="41" spans="1:16" outlineLevel="4" x14ac:dyDescent="0.25">
      <c r="A41" s="48" t="s">
        <v>54</v>
      </c>
      <c r="B41" s="49" t="s">
        <v>48</v>
      </c>
      <c r="C41" s="50"/>
      <c r="D41" s="50" t="s">
        <v>55</v>
      </c>
      <c r="E41" s="51" t="s">
        <v>42</v>
      </c>
      <c r="F41" s="52"/>
      <c r="G41" s="52"/>
      <c r="H41" s="53">
        <v>17</v>
      </c>
      <c r="I41" s="53">
        <v>10</v>
      </c>
      <c r="J41" s="53">
        <v>8</v>
      </c>
      <c r="K41" s="53">
        <v>10</v>
      </c>
      <c r="L41" s="53">
        <f>SUM($G$41:$K$41)</f>
        <v>45</v>
      </c>
      <c r="M41" s="55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55">
        <f>ROUND($L$41*$M$41,2)</f>
        <v>0</v>
      </c>
      <c r="O41" s="50"/>
      <c r="P41" s="50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</row>
    <row r="42" spans="1:16" outlineLevel="4" x14ac:dyDescent="0.25">
      <c r="A42" s="48" t="s">
        <v>56</v>
      </c>
      <c r="B42" s="49" t="s">
        <v>48</v>
      </c>
      <c r="C42" s="50"/>
      <c r="D42" s="50" t="s">
        <v>57</v>
      </c>
      <c r="E42" s="51" t="s">
        <v>42</v>
      </c>
      <c r="F42" s="52"/>
      <c r="G42" s="52"/>
      <c r="H42" s="52"/>
      <c r="I42" s="52"/>
      <c r="J42" s="53">
        <v>6</v>
      </c>
      <c r="K42" s="53">
        <v>1</v>
      </c>
      <c r="L42" s="53">
        <f>SUM($G$42:$K$42)</f>
        <v>7</v>
      </c>
      <c r="M42" s="55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55">
        <f>ROUND($L$42*$M$42,2)</f>
        <v>0</v>
      </c>
      <c r="O42" s="50"/>
      <c r="P42" s="50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</row>
    <row r="43" spans="1:16" outlineLevel="4" x14ac:dyDescent="0.25">
      <c r="A43" s="48" t="s">
        <v>58</v>
      </c>
      <c r="B43" s="49" t="s">
        <v>48</v>
      </c>
      <c r="C43" s="50"/>
      <c r="D43" s="50" t="s">
        <v>59</v>
      </c>
      <c r="E43" s="51" t="s">
        <v>42</v>
      </c>
      <c r="F43" s="52"/>
      <c r="G43" s="52"/>
      <c r="H43" s="52"/>
      <c r="I43" s="52"/>
      <c r="J43" s="53">
        <v>6</v>
      </c>
      <c r="K43" s="53">
        <v>4</v>
      </c>
      <c r="L43" s="53">
        <f>SUM($G$43:$K$43)</f>
        <v>10</v>
      </c>
      <c r="M43" s="55">
        <f t="array" ref="M43">INDEX(М[Цена за ед., руб],MATCH(1,IF(($B43=М[Наим.])*($C43=М[Артикул,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  <c r="N43" s="55">
        <f>ROUND($L$43*$M$43,2)</f>
        <v>0</v>
      </c>
      <c r="O43" s="50"/>
      <c r="P43" s="50">
        <f t="array" ref="P43">INDEX(М[Форма закупа],MATCH(1,IF(($B43=М[Наим.])*($C43=М[Артикул,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</row>
    <row r="44" spans="1:16" outlineLevel="4" x14ac:dyDescent="0.25">
      <c r="A44" s="48" t="s">
        <v>60</v>
      </c>
      <c r="B44" s="49" t="s">
        <v>48</v>
      </c>
      <c r="C44" s="50"/>
      <c r="D44" s="50" t="s">
        <v>61</v>
      </c>
      <c r="E44" s="51" t="s">
        <v>42</v>
      </c>
      <c r="F44" s="52"/>
      <c r="G44" s="52"/>
      <c r="H44" s="52"/>
      <c r="I44" s="52"/>
      <c r="J44" s="53">
        <v>12</v>
      </c>
      <c r="K44" s="53">
        <v>6</v>
      </c>
      <c r="L44" s="53">
        <f>SUM($G$44:$K$44)</f>
        <v>18</v>
      </c>
      <c r="M44" s="55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55">
        <f>ROUND($L$44*$M$44,2)</f>
        <v>0</v>
      </c>
      <c r="O44" s="50"/>
      <c r="P44" s="50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</row>
    <row r="45" spans="1:16" outlineLevel="4" x14ac:dyDescent="0.25">
      <c r="A45" s="48" t="s">
        <v>14</v>
      </c>
      <c r="B45" s="49" t="s">
        <v>48</v>
      </c>
      <c r="C45" s="50"/>
      <c r="D45" s="50" t="s">
        <v>62</v>
      </c>
      <c r="E45" s="51" t="s">
        <v>42</v>
      </c>
      <c r="F45" s="52"/>
      <c r="G45" s="53">
        <v>2</v>
      </c>
      <c r="H45" s="52"/>
      <c r="I45" s="52"/>
      <c r="J45" s="53">
        <v>18</v>
      </c>
      <c r="K45" s="53">
        <v>10</v>
      </c>
      <c r="L45" s="53">
        <f>SUM($G$45:$K$45)</f>
        <v>30</v>
      </c>
      <c r="M45" s="55">
        <f t="array" ref="M45">INDEX(М[Цена за ед., руб],MATCH(1,IF(($B45=М[Наим.])*($C45=М[Артикул,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  <c r="N45" s="55">
        <f>ROUND($L$45*$M$45,2)</f>
        <v>0</v>
      </c>
      <c r="O45" s="50"/>
      <c r="P45" s="50">
        <f t="array" ref="P45">INDEX(М[Форма закупа],MATCH(1,IF(($B45=М[Наим.])*($C45=М[Артикул,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</row>
    <row r="46" spans="1:16" outlineLevel="4" x14ac:dyDescent="0.25">
      <c r="A46" s="48" t="s">
        <v>63</v>
      </c>
      <c r="B46" s="49" t="s">
        <v>48</v>
      </c>
      <c r="C46" s="50"/>
      <c r="D46" s="50" t="s">
        <v>64</v>
      </c>
      <c r="E46" s="51" t="s">
        <v>42</v>
      </c>
      <c r="F46" s="52"/>
      <c r="G46" s="53">
        <v>5</v>
      </c>
      <c r="H46" s="53">
        <v>9</v>
      </c>
      <c r="I46" s="53">
        <v>8</v>
      </c>
      <c r="J46" s="53">
        <v>11</v>
      </c>
      <c r="K46" s="53">
        <v>8</v>
      </c>
      <c r="L46" s="53">
        <f>SUM($G$46:$K$46)</f>
        <v>41</v>
      </c>
      <c r="M46" s="55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55">
        <f>ROUND($L$46*$M$46,2)</f>
        <v>0</v>
      </c>
      <c r="O46" s="50"/>
      <c r="P46" s="50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</row>
    <row r="47" spans="1:16" outlineLevel="4" x14ac:dyDescent="0.25">
      <c r="A47" s="48" t="s">
        <v>65</v>
      </c>
      <c r="B47" s="49" t="s">
        <v>48</v>
      </c>
      <c r="C47" s="50"/>
      <c r="D47" s="50" t="s">
        <v>66</v>
      </c>
      <c r="E47" s="51" t="s">
        <v>42</v>
      </c>
      <c r="F47" s="52"/>
      <c r="G47" s="53">
        <v>3</v>
      </c>
      <c r="H47" s="53">
        <v>12</v>
      </c>
      <c r="I47" s="53">
        <v>8</v>
      </c>
      <c r="J47" s="53">
        <v>16</v>
      </c>
      <c r="K47" s="53">
        <v>15</v>
      </c>
      <c r="L47" s="53">
        <f>SUM($G$47:$K$47)</f>
        <v>54</v>
      </c>
      <c r="M47" s="55">
        <f t="array" ref="M47">INDEX(М[Цена за ед., руб],MATCH(1,IF(($B47=М[Наим.])*($C47=М[Артикул,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  <c r="N47" s="55">
        <f>ROUND($L$47*$M$47,2)</f>
        <v>0</v>
      </c>
      <c r="O47" s="50"/>
      <c r="P47" s="50">
        <f t="array" ref="P47">INDEX(М[Форма закупа],MATCH(1,IF(($B47=М[Наим.])*($C47=М[Артикул,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</row>
    <row r="48" spans="1:16" outlineLevel="4" x14ac:dyDescent="0.25">
      <c r="A48" s="48" t="s">
        <v>67</v>
      </c>
      <c r="B48" s="49" t="s">
        <v>48</v>
      </c>
      <c r="C48" s="50"/>
      <c r="D48" s="50" t="s">
        <v>68</v>
      </c>
      <c r="E48" s="51" t="s">
        <v>42</v>
      </c>
      <c r="F48" s="52"/>
      <c r="G48" s="53">
        <v>2</v>
      </c>
      <c r="H48" s="53">
        <v>12</v>
      </c>
      <c r="I48" s="53">
        <v>8</v>
      </c>
      <c r="J48" s="53">
        <v>15</v>
      </c>
      <c r="K48" s="53">
        <v>11</v>
      </c>
      <c r="L48" s="53">
        <f>SUM($G$48:$K$48)</f>
        <v>48</v>
      </c>
      <c r="M48" s="55">
        <f t="array" ref="M48">INDEX(М[Цена за ед., руб],MATCH(1,IF(($B48=М[Наим.])*($C48=М[Артикул,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  <c r="N48" s="55">
        <f>ROUND($L$48*$M$48,2)</f>
        <v>0</v>
      </c>
      <c r="O48" s="50"/>
      <c r="P48" s="50">
        <f t="array" ref="P48">INDEX(М[Форма закупа],MATCH(1,IF(($B48=М[Наим.])*($C48=М[Артикул,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</row>
    <row r="49" spans="1:16" outlineLevel="4" x14ac:dyDescent="0.25">
      <c r="A49" s="48" t="s">
        <v>69</v>
      </c>
      <c r="B49" s="49" t="s">
        <v>48</v>
      </c>
      <c r="C49" s="50"/>
      <c r="D49" s="50" t="s">
        <v>70</v>
      </c>
      <c r="E49" s="51" t="s">
        <v>42</v>
      </c>
      <c r="F49" s="52"/>
      <c r="G49" s="53">
        <v>2</v>
      </c>
      <c r="H49" s="53">
        <v>3</v>
      </c>
      <c r="I49" s="52"/>
      <c r="J49" s="53">
        <v>6</v>
      </c>
      <c r="K49" s="52"/>
      <c r="L49" s="53">
        <f>SUM($G$49:$K$49)</f>
        <v>11</v>
      </c>
      <c r="M49" s="55">
        <f t="array" ref="M49">INDEX(М[Цена за ед., руб],MATCH(1,IF(($B49=М[Наим.])*($C49=М[Артикул,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  <c r="N49" s="55">
        <f>ROUND($L$49*$M$49,2)</f>
        <v>0</v>
      </c>
      <c r="O49" s="50"/>
      <c r="P49" s="50">
        <f t="array" ref="P49">INDEX(М[Форма закупа],MATCH(1,IF(($B49=М[Наим.])*($C49=М[Артикул,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</row>
    <row r="50" spans="1:16" outlineLevel="4" x14ac:dyDescent="0.25">
      <c r="A50" s="48" t="s">
        <v>71</v>
      </c>
      <c r="B50" s="49" t="s">
        <v>72</v>
      </c>
      <c r="C50" s="50"/>
      <c r="D50" s="50" t="s">
        <v>73</v>
      </c>
      <c r="E50" s="51" t="s">
        <v>42</v>
      </c>
      <c r="F50" s="52"/>
      <c r="G50" s="52"/>
      <c r="H50" s="53">
        <v>1</v>
      </c>
      <c r="I50" s="52"/>
      <c r="J50" s="53">
        <v>1</v>
      </c>
      <c r="K50" s="53">
        <v>1</v>
      </c>
      <c r="L50" s="53">
        <f>SUM($G$50:$K$50)</f>
        <v>3</v>
      </c>
      <c r="M50" s="55">
        <f t="array" ref="M50">INDEX(М[Цена за ед., руб],MATCH(1,IF(($B50=М[Наим.])*($C50=М[Артикул,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  <c r="N50" s="55">
        <f>ROUND($L$50*$M$50,2)</f>
        <v>0</v>
      </c>
      <c r="O50" s="50" t="s">
        <v>74</v>
      </c>
      <c r="P50" s="50">
        <f t="array" ref="P50">INDEX(М[Форма закупа],MATCH(1,IF(($B50=М[Наим.])*($C50=М[Артикул,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</row>
    <row r="51" spans="1:16" outlineLevel="4" x14ac:dyDescent="0.25">
      <c r="A51" s="48" t="s">
        <v>75</v>
      </c>
      <c r="B51" s="49" t="s">
        <v>72</v>
      </c>
      <c r="C51" s="50"/>
      <c r="D51" s="50" t="s">
        <v>76</v>
      </c>
      <c r="E51" s="51" t="s">
        <v>42</v>
      </c>
      <c r="F51" s="52"/>
      <c r="G51" s="52"/>
      <c r="H51" s="53">
        <v>1</v>
      </c>
      <c r="I51" s="52"/>
      <c r="J51" s="52"/>
      <c r="K51" s="53">
        <v>1</v>
      </c>
      <c r="L51" s="53">
        <f>SUM($G$51:$K$51)</f>
        <v>2</v>
      </c>
      <c r="M51" s="55">
        <f t="array" ref="M51">INDEX(М[Цена за ед., руб],MATCH(1,IF(($B51=М[Наим.])*($C51=М[Артикул,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  <c r="N51" s="55">
        <f>ROUND($L$51*$M$51,2)</f>
        <v>0</v>
      </c>
      <c r="O51" s="50" t="s">
        <v>74</v>
      </c>
      <c r="P51" s="50">
        <f t="array" ref="P51">INDEX(М[Форма закупа],MATCH(1,IF(($B51=М[Наим.])*($C51=М[Артикул,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</row>
    <row r="52" spans="1:16" outlineLevel="4" x14ac:dyDescent="0.25">
      <c r="A52" s="48" t="s">
        <v>77</v>
      </c>
      <c r="B52" s="49" t="s">
        <v>72</v>
      </c>
      <c r="C52" s="50"/>
      <c r="D52" s="50" t="s">
        <v>78</v>
      </c>
      <c r="E52" s="51" t="s">
        <v>42</v>
      </c>
      <c r="F52" s="52"/>
      <c r="G52" s="52"/>
      <c r="H52" s="53">
        <v>1</v>
      </c>
      <c r="I52" s="52"/>
      <c r="J52" s="53">
        <v>2</v>
      </c>
      <c r="K52" s="53">
        <v>1</v>
      </c>
      <c r="L52" s="53">
        <f>SUM($G$52:$K$52)</f>
        <v>4</v>
      </c>
      <c r="M52" s="55">
        <f t="array" ref="M52">INDEX(М[Цена за ед., руб],MATCH(1,IF(($B52=М[Наим.])*($C52=М[Артикул,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  <c r="N52" s="55">
        <f>ROUND($L$52*$M$52,2)</f>
        <v>0</v>
      </c>
      <c r="O52" s="50" t="s">
        <v>74</v>
      </c>
      <c r="P52" s="50">
        <f t="array" ref="P52">INDEX(М[Форма закупа],MATCH(1,IF(($B52=М[Наим.])*($C52=М[Артикул,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</row>
    <row r="53" spans="1:16" outlineLevel="4" x14ac:dyDescent="0.25">
      <c r="A53" s="48" t="s">
        <v>79</v>
      </c>
      <c r="B53" s="49" t="s">
        <v>72</v>
      </c>
      <c r="C53" s="50"/>
      <c r="D53" s="50" t="s">
        <v>80</v>
      </c>
      <c r="E53" s="51" t="s">
        <v>42</v>
      </c>
      <c r="F53" s="52"/>
      <c r="G53" s="52"/>
      <c r="H53" s="52"/>
      <c r="I53" s="52"/>
      <c r="J53" s="53">
        <v>2</v>
      </c>
      <c r="K53" s="52"/>
      <c r="L53" s="53">
        <f>SUM($G$53:$K$53)</f>
        <v>2</v>
      </c>
      <c r="M53" s="55">
        <f t="array" ref="M53">INDEX(М[Цена за ед., руб],MATCH(1,IF(($B53=М[Наим.])*($C53=М[Артикул,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  <c r="N53" s="55">
        <f>ROUND($L$53*$M$53,2)</f>
        <v>0</v>
      </c>
      <c r="O53" s="50" t="s">
        <v>74</v>
      </c>
      <c r="P53" s="50">
        <f t="array" ref="P53">INDEX(М[Форма закупа],MATCH(1,IF(($B53=М[Наим.])*($C53=М[Артикул,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</row>
    <row r="54" spans="1:16" outlineLevel="4" x14ac:dyDescent="0.25">
      <c r="A54" s="48" t="s">
        <v>81</v>
      </c>
      <c r="B54" s="49" t="s">
        <v>72</v>
      </c>
      <c r="C54" s="50"/>
      <c r="D54" s="50" t="s">
        <v>82</v>
      </c>
      <c r="E54" s="51" t="s">
        <v>42</v>
      </c>
      <c r="F54" s="52"/>
      <c r="G54" s="52"/>
      <c r="H54" s="53">
        <v>1</v>
      </c>
      <c r="I54" s="52"/>
      <c r="J54" s="52"/>
      <c r="K54" s="53">
        <v>1</v>
      </c>
      <c r="L54" s="53">
        <f>SUM($G$54:$K$54)</f>
        <v>2</v>
      </c>
      <c r="M54" s="55">
        <f t="array" ref="M54">INDEX(М[Цена за ед., руб],MATCH(1,IF(($B54=М[Наим.])*($C54=М[Артикул,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  <c r="N54" s="55">
        <f>ROUND($L$54*$M$54,2)</f>
        <v>0</v>
      </c>
      <c r="O54" s="50" t="s">
        <v>74</v>
      </c>
      <c r="P54" s="50">
        <f t="array" ref="P54">INDEX(М[Форма закупа],MATCH(1,IF(($B54=М[Наим.])*($C54=М[Артикул,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</row>
    <row r="55" spans="1:16" outlineLevel="4" x14ac:dyDescent="0.25">
      <c r="A55" s="48" t="s">
        <v>83</v>
      </c>
      <c r="B55" s="49" t="s">
        <v>72</v>
      </c>
      <c r="C55" s="50"/>
      <c r="D55" s="50" t="s">
        <v>84</v>
      </c>
      <c r="E55" s="51" t="s">
        <v>42</v>
      </c>
      <c r="F55" s="52"/>
      <c r="G55" s="52"/>
      <c r="H55" s="53">
        <v>2</v>
      </c>
      <c r="I55" s="52"/>
      <c r="J55" s="53">
        <v>1</v>
      </c>
      <c r="K55" s="53">
        <v>2</v>
      </c>
      <c r="L55" s="53">
        <f>SUM($G$55:$K$55)</f>
        <v>5</v>
      </c>
      <c r="M55" s="55">
        <f t="array" ref="M55">INDEX(М[Цена за ед., руб],MATCH(1,IF(($B55=М[Наим.])*($C55=М[Артикул,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  <c r="N55" s="55">
        <f>ROUND($L$55*$M$55,2)</f>
        <v>0</v>
      </c>
      <c r="O55" s="50" t="s">
        <v>74</v>
      </c>
      <c r="P55" s="50">
        <f t="array" ref="P55">INDEX(М[Форма закупа],MATCH(1,IF(($B55=М[Наим.])*($C55=М[Артикул,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</row>
    <row r="56" spans="1:16" outlineLevel="4" x14ac:dyDescent="0.25">
      <c r="A56" s="48" t="s">
        <v>85</v>
      </c>
      <c r="B56" s="49" t="s">
        <v>72</v>
      </c>
      <c r="C56" s="50"/>
      <c r="D56" s="50" t="s">
        <v>86</v>
      </c>
      <c r="E56" s="51" t="s">
        <v>42</v>
      </c>
      <c r="F56" s="52"/>
      <c r="G56" s="52"/>
      <c r="H56" s="52"/>
      <c r="I56" s="52"/>
      <c r="J56" s="53">
        <v>1</v>
      </c>
      <c r="K56" s="52"/>
      <c r="L56" s="53">
        <f>SUM($G$56:$K$56)</f>
        <v>1</v>
      </c>
      <c r="M56" s="55">
        <f t="array" ref="M56">INDEX(М[Цена за ед., руб],MATCH(1,IF(($B56=М[Наим.])*($C56=М[Артикул, марка, произв.])*($D56=М[Хар-ка])*($O56=М[Прим.]),{1},($B56=М[Наим.])*($C56=М[Артикул, марка, произв.])*($D56=М[Хар-ка])*($O56=М[Прим.])),0))</f>
        <v>0</v>
      </c>
      <c r="N56" s="55">
        <f>ROUND($L$56*$M$56,2)</f>
        <v>0</v>
      </c>
      <c r="O56" s="50" t="s">
        <v>74</v>
      </c>
      <c r="P56" s="50">
        <f t="array" ref="P56">INDEX(М[Форма закупа],MATCH(1,IF(($B56=М[Наим.])*($C56=М[Артикул, марка, произв.])*($D56=М[Хар-ка])*($O56=М[Прим.]),{1},($B56=М[Наим.])*($C56=М[Артикул, марка, произв.])*($D56=М[Хар-ка])*($O56=М[Прим.])),0))</f>
        <v>0</v>
      </c>
    </row>
    <row r="57" spans="1:16" ht="31.5" outlineLevel="4" x14ac:dyDescent="0.25">
      <c r="A57" s="48" t="s">
        <v>87</v>
      </c>
      <c r="B57" s="49" t="s">
        <v>72</v>
      </c>
      <c r="C57" s="50"/>
      <c r="D57" s="50" t="s">
        <v>88</v>
      </c>
      <c r="E57" s="51" t="s">
        <v>42</v>
      </c>
      <c r="F57" s="52"/>
      <c r="G57" s="52"/>
      <c r="H57" s="53">
        <v>8</v>
      </c>
      <c r="I57" s="53">
        <v>2</v>
      </c>
      <c r="J57" s="53">
        <v>6</v>
      </c>
      <c r="K57" s="53">
        <v>7</v>
      </c>
      <c r="L57" s="53">
        <f>SUM($G$57:$K$57)</f>
        <v>23</v>
      </c>
      <c r="M57" s="55">
        <f t="array" ref="M57">INDEX(М[Цена за ед., руб],MATCH(1,IF(($B57=М[Наим.])*($C57=М[Артикул,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  <c r="N57" s="55">
        <f>ROUND($L$57*$M$57,2)</f>
        <v>0</v>
      </c>
      <c r="O57" s="50"/>
      <c r="P57" s="50">
        <f t="array" ref="P57">INDEX(М[Форма закупа],MATCH(1,IF(($B57=М[Наим.])*($C57=М[Артикул,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</row>
    <row r="58" spans="1:16" outlineLevel="4" x14ac:dyDescent="0.25">
      <c r="A58" s="48" t="s">
        <v>89</v>
      </c>
      <c r="B58" s="49" t="s">
        <v>72</v>
      </c>
      <c r="C58" s="50"/>
      <c r="D58" s="50" t="s">
        <v>90</v>
      </c>
      <c r="E58" s="51" t="s">
        <v>42</v>
      </c>
      <c r="F58" s="52"/>
      <c r="G58" s="52"/>
      <c r="H58" s="53">
        <v>1</v>
      </c>
      <c r="I58" s="52"/>
      <c r="J58" s="53">
        <v>1</v>
      </c>
      <c r="K58" s="52"/>
      <c r="L58" s="53">
        <f>SUM($G$58:$K$58)</f>
        <v>2</v>
      </c>
      <c r="M58" s="55">
        <f t="array" ref="M58">INDEX(М[Цена за ед., руб],MATCH(1,IF(($B58=М[Наим.])*($C58=М[Артикул,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  <c r="N58" s="55">
        <f>ROUND($L$58*$M$58,2)</f>
        <v>0</v>
      </c>
      <c r="O58" s="50"/>
      <c r="P58" s="50">
        <f t="array" ref="P58">INDEX(М[Форма закупа],MATCH(1,IF(($B58=М[Наим.])*($C58=М[Артикул,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</row>
    <row r="59" spans="1:16" outlineLevel="4" x14ac:dyDescent="0.25">
      <c r="A59" s="48" t="s">
        <v>91</v>
      </c>
      <c r="B59" s="49" t="s">
        <v>72</v>
      </c>
      <c r="C59" s="50"/>
      <c r="D59" s="50" t="s">
        <v>92</v>
      </c>
      <c r="E59" s="51" t="s">
        <v>42</v>
      </c>
      <c r="F59" s="52"/>
      <c r="G59" s="52"/>
      <c r="H59" s="52"/>
      <c r="I59" s="52"/>
      <c r="J59" s="53">
        <v>3</v>
      </c>
      <c r="K59" s="53">
        <v>4</v>
      </c>
      <c r="L59" s="53">
        <f>SUM($G$59:$K$59)</f>
        <v>7</v>
      </c>
      <c r="M59" s="55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55">
        <f>ROUND($L$59*$M$59,2)</f>
        <v>0</v>
      </c>
      <c r="O59" s="50"/>
      <c r="P59" s="50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outlineLevel="4" x14ac:dyDescent="0.25">
      <c r="A60" s="48" t="s">
        <v>93</v>
      </c>
      <c r="B60" s="49" t="s">
        <v>72</v>
      </c>
      <c r="C60" s="50"/>
      <c r="D60" s="50" t="s">
        <v>94</v>
      </c>
      <c r="E60" s="51" t="s">
        <v>42</v>
      </c>
      <c r="F60" s="52"/>
      <c r="G60" s="52"/>
      <c r="H60" s="53">
        <v>3</v>
      </c>
      <c r="I60" s="52"/>
      <c r="J60" s="53">
        <v>2</v>
      </c>
      <c r="K60" s="53">
        <v>3</v>
      </c>
      <c r="L60" s="53">
        <f>SUM($G$60:$K$60)</f>
        <v>8</v>
      </c>
      <c r="M60" s="55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55">
        <f>ROUND($L$60*$M$60,2)</f>
        <v>0</v>
      </c>
      <c r="O60" s="50" t="s">
        <v>74</v>
      </c>
      <c r="P60" s="50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ht="31.5" outlineLevel="4" x14ac:dyDescent="0.25">
      <c r="A61" s="48" t="s">
        <v>95</v>
      </c>
      <c r="B61" s="49" t="s">
        <v>96</v>
      </c>
      <c r="C61" s="50"/>
      <c r="D61" s="50"/>
      <c r="E61" s="51" t="s">
        <v>42</v>
      </c>
      <c r="F61" s="52"/>
      <c r="G61" s="52"/>
      <c r="H61" s="53">
        <v>3</v>
      </c>
      <c r="I61" s="52"/>
      <c r="J61" s="53">
        <v>3</v>
      </c>
      <c r="K61" s="53">
        <v>3</v>
      </c>
      <c r="L61" s="53">
        <f>SUM($G$61:$K$61)</f>
        <v>9</v>
      </c>
      <c r="M61" s="55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55">
        <f>ROUND($L$61*$M$61,2)</f>
        <v>0</v>
      </c>
      <c r="O61" s="50" t="s">
        <v>97</v>
      </c>
      <c r="P61" s="50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outlineLevel="4" x14ac:dyDescent="0.25">
      <c r="A62" s="43"/>
      <c r="B62" s="36" t="s">
        <v>159</v>
      </c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5"/>
      <c r="N62" s="46">
        <f>SUM($N$63:$N$69)</f>
        <v>0</v>
      </c>
      <c r="O62" s="40"/>
      <c r="P62" s="47"/>
    </row>
    <row r="63" spans="1:16" outlineLevel="4" x14ac:dyDescent="0.25">
      <c r="A63" s="48"/>
      <c r="B63" s="49" t="s">
        <v>152</v>
      </c>
      <c r="C63" s="50"/>
      <c r="D63" s="50"/>
      <c r="E63" s="51" t="s">
        <v>42</v>
      </c>
      <c r="F63" s="52"/>
      <c r="G63" s="53">
        <f>SUM(G71:G72)</f>
        <v>1</v>
      </c>
      <c r="H63" s="53">
        <f t="shared" ref="H63:K63" si="9">SUM(H71:H72)</f>
        <v>0</v>
      </c>
      <c r="I63" s="53">
        <f t="shared" si="9"/>
        <v>1</v>
      </c>
      <c r="J63" s="53">
        <f t="shared" si="9"/>
        <v>0</v>
      </c>
      <c r="K63" s="53">
        <f t="shared" si="9"/>
        <v>0</v>
      </c>
      <c r="L63" s="53">
        <f t="shared" ref="L63:L69" si="10">SUM(G63:K63)</f>
        <v>2</v>
      </c>
      <c r="M63" s="55">
        <f t="array" ref="M63">INDEX(Р[Цена за ед., руб],MATCH(1,IF(($B63=Р[Наименование])*($O63=Р[Примечание]),{1},($B63=Р[Наименование])*($O63=Р[Примечание])),0))</f>
        <v>0</v>
      </c>
      <c r="N63" s="55">
        <f t="shared" ref="N63:N69" si="11">ROUND(L63*M63,2)</f>
        <v>0</v>
      </c>
      <c r="O63" s="50"/>
      <c r="P63" s="50"/>
    </row>
    <row r="64" spans="1:16" outlineLevel="4" x14ac:dyDescent="0.25">
      <c r="A64" s="48"/>
      <c r="B64" s="49" t="s">
        <v>156</v>
      </c>
      <c r="C64" s="50"/>
      <c r="D64" s="50"/>
      <c r="E64" s="51" t="s">
        <v>42</v>
      </c>
      <c r="F64" s="52"/>
      <c r="G64" s="53">
        <f>G74</f>
        <v>1</v>
      </c>
      <c r="H64" s="53">
        <f t="shared" ref="H64:K64" si="12">H74</f>
        <v>1</v>
      </c>
      <c r="I64" s="53">
        <f t="shared" si="12"/>
        <v>1</v>
      </c>
      <c r="J64" s="53">
        <f t="shared" si="12"/>
        <v>1</v>
      </c>
      <c r="K64" s="53">
        <f t="shared" si="12"/>
        <v>1</v>
      </c>
      <c r="L64" s="53">
        <f t="shared" si="10"/>
        <v>5</v>
      </c>
      <c r="M64" s="55">
        <f t="array" ref="M64">INDEX(Р[Цена за ед., руб],MATCH(1,IF(($B64=Р[Наименование])*($O64=Р[Примечание]),{1},($B64=Р[Наименование])*($O64=Р[Примечание])),0))</f>
        <v>0</v>
      </c>
      <c r="N64" s="55">
        <f t="shared" si="11"/>
        <v>0</v>
      </c>
      <c r="O64" s="50"/>
      <c r="P64" s="50"/>
    </row>
    <row r="65" spans="1:16" outlineLevel="4" x14ac:dyDescent="0.25">
      <c r="A65" s="48"/>
      <c r="B65" s="49" t="s">
        <v>157</v>
      </c>
      <c r="C65" s="50"/>
      <c r="D65" s="50"/>
      <c r="E65" s="51" t="s">
        <v>42</v>
      </c>
      <c r="F65" s="52"/>
      <c r="G65" s="53">
        <f>G75</f>
        <v>1</v>
      </c>
      <c r="H65" s="53">
        <f t="shared" ref="H65:K65" si="13">H75</f>
        <v>1</v>
      </c>
      <c r="I65" s="53">
        <f t="shared" si="13"/>
        <v>1</v>
      </c>
      <c r="J65" s="53">
        <f t="shared" si="13"/>
        <v>1</v>
      </c>
      <c r="K65" s="53">
        <f t="shared" si="13"/>
        <v>1</v>
      </c>
      <c r="L65" s="53">
        <f t="shared" si="10"/>
        <v>5</v>
      </c>
      <c r="M65" s="55">
        <f t="array" ref="M65">INDEX(Р[Цена за ед., руб],MATCH(1,IF(($B65=Р[Наименование])*($O65=Р[Примечание]),{1},($B65=Р[Наименование])*($O65=Р[Примечание])),0))</f>
        <v>0</v>
      </c>
      <c r="N65" s="55">
        <f t="shared" si="11"/>
        <v>0</v>
      </c>
      <c r="O65" s="50"/>
      <c r="P65" s="50"/>
    </row>
    <row r="66" spans="1:16" outlineLevel="4" x14ac:dyDescent="0.25">
      <c r="A66" s="48"/>
      <c r="B66" s="49" t="s">
        <v>158</v>
      </c>
      <c r="C66" s="50"/>
      <c r="D66" s="50"/>
      <c r="E66" s="51" t="s">
        <v>42</v>
      </c>
      <c r="F66" s="52"/>
      <c r="G66" s="53">
        <f>G76</f>
        <v>1</v>
      </c>
      <c r="H66" s="53">
        <f t="shared" ref="H66:K66" si="14">H76</f>
        <v>1</v>
      </c>
      <c r="I66" s="53">
        <f t="shared" si="14"/>
        <v>1</v>
      </c>
      <c r="J66" s="53">
        <f t="shared" si="14"/>
        <v>1</v>
      </c>
      <c r="K66" s="53">
        <f t="shared" si="14"/>
        <v>1</v>
      </c>
      <c r="L66" s="53">
        <f t="shared" si="10"/>
        <v>5</v>
      </c>
      <c r="M66" s="55">
        <f t="array" ref="M66">INDEX(Р[Цена за ед., руб],MATCH(1,IF(($B66=Р[Наименование])*($O66=Р[Примечание]),{1},($B66=Р[Наименование])*($O66=Р[Примечание])),0))</f>
        <v>0</v>
      </c>
      <c r="N66" s="55">
        <f t="shared" si="11"/>
        <v>0</v>
      </c>
      <c r="O66" s="50"/>
      <c r="P66" s="50"/>
    </row>
    <row r="67" spans="1:16" outlineLevel="4" x14ac:dyDescent="0.25">
      <c r="A67" s="48"/>
      <c r="B67" s="49" t="s">
        <v>153</v>
      </c>
      <c r="C67" s="50"/>
      <c r="D67" s="50"/>
      <c r="E67" s="51" t="s">
        <v>42</v>
      </c>
      <c r="F67" s="52"/>
      <c r="G67" s="53">
        <f>SUM(G77:G79)</f>
        <v>2</v>
      </c>
      <c r="H67" s="53">
        <f t="shared" ref="H67:K67" si="15">SUM(H77:H79)</f>
        <v>5</v>
      </c>
      <c r="I67" s="53">
        <f t="shared" si="15"/>
        <v>4</v>
      </c>
      <c r="J67" s="53">
        <f t="shared" si="15"/>
        <v>5</v>
      </c>
      <c r="K67" s="53">
        <f t="shared" si="15"/>
        <v>5</v>
      </c>
      <c r="L67" s="53">
        <f t="shared" si="10"/>
        <v>21</v>
      </c>
      <c r="M67" s="55">
        <f t="array" ref="M67">INDEX(Р[Цена за ед., руб],MATCH(1,IF(($B67=Р[Наименование])*($O67=Р[Примечание]),{1},($B67=Р[Наименование])*($O67=Р[Примечание])),0))</f>
        <v>0</v>
      </c>
      <c r="N67" s="55">
        <f t="shared" si="11"/>
        <v>0</v>
      </c>
      <c r="O67" s="50"/>
      <c r="P67" s="50"/>
    </row>
    <row r="68" spans="1:16" outlineLevel="4" x14ac:dyDescent="0.25">
      <c r="A68" s="48"/>
      <c r="B68" s="49" t="s">
        <v>154</v>
      </c>
      <c r="C68" s="50"/>
      <c r="D68" s="50"/>
      <c r="E68" s="51" t="s">
        <v>42</v>
      </c>
      <c r="F68" s="52"/>
      <c r="G68" s="53">
        <f>SUM(G80:G81)</f>
        <v>2</v>
      </c>
      <c r="H68" s="53">
        <f t="shared" ref="H68:K68" si="16">SUM(H80:H81)</f>
        <v>1</v>
      </c>
      <c r="I68" s="53">
        <f t="shared" si="16"/>
        <v>2</v>
      </c>
      <c r="J68" s="53">
        <f t="shared" si="16"/>
        <v>1</v>
      </c>
      <c r="K68" s="53">
        <f t="shared" si="16"/>
        <v>1</v>
      </c>
      <c r="L68" s="53">
        <f t="shared" si="10"/>
        <v>7</v>
      </c>
      <c r="M68" s="55">
        <f t="array" ref="M68">INDEX(Р[Цена за ед., руб],MATCH(1,IF(($B68=Р[Наименование])*($O68=Р[Примечание]),{1},($B68=Р[Наименование])*($O68=Р[Примечание])),0))</f>
        <v>0</v>
      </c>
      <c r="N68" s="55">
        <f t="shared" si="11"/>
        <v>0</v>
      </c>
      <c r="O68" s="50"/>
      <c r="P68" s="50"/>
    </row>
    <row r="69" spans="1:16" outlineLevel="4" x14ac:dyDescent="0.25">
      <c r="A69" s="48"/>
      <c r="B69" s="49" t="s">
        <v>155</v>
      </c>
      <c r="C69" s="50"/>
      <c r="D69" s="50"/>
      <c r="E69" s="51" t="s">
        <v>42</v>
      </c>
      <c r="F69" s="52"/>
      <c r="G69" s="53">
        <f>G82</f>
        <v>1</v>
      </c>
      <c r="H69" s="53">
        <f t="shared" ref="H69:K69" si="17">H82</f>
        <v>1</v>
      </c>
      <c r="I69" s="53">
        <f t="shared" si="17"/>
        <v>1</v>
      </c>
      <c r="J69" s="53">
        <f t="shared" si="17"/>
        <v>1</v>
      </c>
      <c r="K69" s="53">
        <f t="shared" si="17"/>
        <v>1</v>
      </c>
      <c r="L69" s="53">
        <f t="shared" si="10"/>
        <v>5</v>
      </c>
      <c r="M69" s="55">
        <f t="array" ref="M69">INDEX(Р[Цена за ед., руб],MATCH(1,IF(($B69=Р[Наименование])*($O69=Р[Примечание]),{1},($B69=Р[Наименование])*($O69=Р[Примечание])),0))</f>
        <v>0</v>
      </c>
      <c r="N69" s="55">
        <f t="shared" si="11"/>
        <v>0</v>
      </c>
      <c r="O69" s="50"/>
      <c r="P69" s="50"/>
    </row>
    <row r="70" spans="1:16" outlineLevel="4" x14ac:dyDescent="0.25">
      <c r="A70" s="43"/>
      <c r="B70" s="36" t="s">
        <v>24</v>
      </c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5"/>
      <c r="N70" s="46">
        <f>SUM($N$71:$N$82)</f>
        <v>0</v>
      </c>
      <c r="O70" s="40"/>
      <c r="P70" s="47"/>
    </row>
    <row r="71" spans="1:16" outlineLevel="4" x14ac:dyDescent="0.25">
      <c r="A71" s="48" t="s">
        <v>25</v>
      </c>
      <c r="B71" s="49" t="s">
        <v>40</v>
      </c>
      <c r="C71" s="50"/>
      <c r="D71" s="50" t="s">
        <v>41</v>
      </c>
      <c r="E71" s="51" t="s">
        <v>42</v>
      </c>
      <c r="F71" s="52"/>
      <c r="G71" s="53">
        <v>1</v>
      </c>
      <c r="H71" s="52"/>
      <c r="I71" s="52"/>
      <c r="J71" s="52"/>
      <c r="K71" s="52"/>
      <c r="L71" s="53">
        <f>SUM($G$71:$K$71)</f>
        <v>1</v>
      </c>
      <c r="M71" s="55">
        <f t="array" ref="M71">INDEX(М[Цена за ед., руб],MATCH(1,IF(($B71=М[Наим.])*($C71=М[Артикул,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  <c r="N71" s="55">
        <f>ROUND($L$71*$M$71,2)</f>
        <v>0</v>
      </c>
      <c r="O71" s="50"/>
      <c r="P71" s="50">
        <f t="array" ref="P71">INDEX(М[Форма закупа],MATCH(1,IF(($B71=М[Наим.])*($C71=М[Артикул,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</row>
    <row r="72" spans="1:16" outlineLevel="4" x14ac:dyDescent="0.25">
      <c r="A72" s="48" t="s">
        <v>43</v>
      </c>
      <c r="B72" s="49" t="s">
        <v>40</v>
      </c>
      <c r="C72" s="50"/>
      <c r="D72" s="50" t="s">
        <v>46</v>
      </c>
      <c r="E72" s="51" t="s">
        <v>42</v>
      </c>
      <c r="F72" s="52"/>
      <c r="G72" s="52"/>
      <c r="H72" s="52"/>
      <c r="I72" s="53">
        <v>1</v>
      </c>
      <c r="J72" s="52"/>
      <c r="K72" s="52"/>
      <c r="L72" s="53">
        <f>SUM($G$72:$K$72)</f>
        <v>1</v>
      </c>
      <c r="M72" s="55">
        <f t="array" ref="M72">INDEX(М[Цена за ед., руб],MATCH(1,IF(($B72=М[Наим.])*($C72=М[Артикул,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  <c r="N72" s="55">
        <f>ROUND($L$72*$M$72,2)</f>
        <v>0</v>
      </c>
      <c r="O72" s="50"/>
      <c r="P72" s="50">
        <f t="array" ref="P72">INDEX(М[Форма закупа],MATCH(1,IF(($B72=М[Наим.])*($C72=М[Артикул,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</row>
    <row r="73" spans="1:16" outlineLevel="4" x14ac:dyDescent="0.25">
      <c r="A73" s="48" t="s">
        <v>45</v>
      </c>
      <c r="B73" s="49" t="s">
        <v>98</v>
      </c>
      <c r="C73" s="50"/>
      <c r="D73" s="50" t="s">
        <v>99</v>
      </c>
      <c r="E73" s="51" t="s">
        <v>42</v>
      </c>
      <c r="F73" s="52"/>
      <c r="G73" s="53">
        <v>1</v>
      </c>
      <c r="H73" s="53">
        <v>1</v>
      </c>
      <c r="I73" s="53">
        <v>1</v>
      </c>
      <c r="J73" s="53">
        <v>1</v>
      </c>
      <c r="K73" s="53">
        <v>1</v>
      </c>
      <c r="L73" s="53">
        <f>SUM($G$73:$K$73)</f>
        <v>5</v>
      </c>
      <c r="M73" s="55">
        <f t="array" ref="M73">INDEX(М[Цена за ед., руб],MATCH(1,IF(($B73=М[Наим.])*($C73=М[Артикул,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  <c r="N73" s="55">
        <f>ROUND($L$73*$M$73,2)</f>
        <v>0</v>
      </c>
      <c r="O73" s="50"/>
      <c r="P73" s="50">
        <f t="array" ref="P73">INDEX(М[Форма закупа],MATCH(1,IF(($B73=М[Наим.])*($C73=М[Артикул,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</row>
    <row r="74" spans="1:16" outlineLevel="4" x14ac:dyDescent="0.25">
      <c r="A74" s="48" t="s">
        <v>47</v>
      </c>
      <c r="B74" s="49" t="s">
        <v>100</v>
      </c>
      <c r="C74" s="50"/>
      <c r="D74" s="50" t="s">
        <v>101</v>
      </c>
      <c r="E74" s="51" t="s">
        <v>42</v>
      </c>
      <c r="F74" s="52"/>
      <c r="G74" s="53">
        <v>1</v>
      </c>
      <c r="H74" s="53">
        <v>1</v>
      </c>
      <c r="I74" s="53">
        <v>1</v>
      </c>
      <c r="J74" s="53">
        <v>1</v>
      </c>
      <c r="K74" s="53">
        <v>1</v>
      </c>
      <c r="L74" s="53">
        <f>SUM($G$74:$K$74)</f>
        <v>5</v>
      </c>
      <c r="M74" s="55">
        <f t="array" ref="M74">INDEX(М[Цена за ед., руб],MATCH(1,IF(($B74=М[Наим.])*($C74=М[Артикул,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  <c r="N74" s="55">
        <f>ROUND($L$74*$M$74,2)</f>
        <v>0</v>
      </c>
      <c r="O74" s="50"/>
      <c r="P74" s="50">
        <f t="array" ref="P74">INDEX(М[Форма закупа],MATCH(1,IF(($B74=М[Наим.])*($C74=М[Артикул,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</row>
    <row r="75" spans="1:16" outlineLevel="4" x14ac:dyDescent="0.25">
      <c r="A75" s="48" t="s">
        <v>50</v>
      </c>
      <c r="B75" s="49" t="s">
        <v>102</v>
      </c>
      <c r="C75" s="50"/>
      <c r="D75" s="50" t="s">
        <v>103</v>
      </c>
      <c r="E75" s="51" t="s">
        <v>42</v>
      </c>
      <c r="F75" s="52"/>
      <c r="G75" s="53">
        <v>1</v>
      </c>
      <c r="H75" s="53">
        <v>1</v>
      </c>
      <c r="I75" s="53">
        <v>1</v>
      </c>
      <c r="J75" s="53">
        <v>1</v>
      </c>
      <c r="K75" s="53">
        <v>1</v>
      </c>
      <c r="L75" s="53">
        <f>SUM($G$75:$K$75)</f>
        <v>5</v>
      </c>
      <c r="M75" s="55">
        <f t="array" ref="M75">INDEX(М[Цена за ед., руб],MATCH(1,IF(($B75=М[Наим.])*($C75=М[Артикул, марка, произв.])*($D75=М[Хар-ка])*($O75=М[Прим.]),{1},($B75=М[Наим.])*($C75=М[Артикул, марка, произв.])*($D75=М[Хар-ка])*($O75=М[Прим.])),0))</f>
        <v>0</v>
      </c>
      <c r="N75" s="55">
        <f>ROUND($L$75*$M$75,2)</f>
        <v>0</v>
      </c>
      <c r="O75" s="50"/>
      <c r="P75" s="50">
        <f t="array" ref="P75">INDEX(М[Форма закупа],MATCH(1,IF(($B75=М[Наим.])*($C75=М[Артикул, марка, произв.])*($D75=М[Хар-ка])*($O75=М[Прим.]),{1},($B75=М[Наим.])*($C75=М[Артикул, марка, произв.])*($D75=М[Хар-ка])*($O75=М[Прим.])),0))</f>
        <v>0</v>
      </c>
    </row>
    <row r="76" spans="1:16" ht="31.5" outlineLevel="4" x14ac:dyDescent="0.25">
      <c r="A76" s="48" t="s">
        <v>52</v>
      </c>
      <c r="B76" s="49" t="s">
        <v>104</v>
      </c>
      <c r="C76" s="50"/>
      <c r="D76" s="50" t="s">
        <v>105</v>
      </c>
      <c r="E76" s="51" t="s">
        <v>42</v>
      </c>
      <c r="F76" s="52"/>
      <c r="G76" s="53">
        <v>1</v>
      </c>
      <c r="H76" s="53">
        <v>1</v>
      </c>
      <c r="I76" s="53">
        <v>1</v>
      </c>
      <c r="J76" s="53">
        <v>1</v>
      </c>
      <c r="K76" s="53">
        <v>1</v>
      </c>
      <c r="L76" s="53">
        <f>SUM($G$76:$K$76)</f>
        <v>5</v>
      </c>
      <c r="M76" s="55">
        <f t="array" ref="M76">INDEX(М[Цена за ед., руб],MATCH(1,IF(($B76=М[Наим.])*($C76=М[Артикул,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  <c r="N76" s="55">
        <f>ROUND($L$76*$M$76,2)</f>
        <v>0</v>
      </c>
      <c r="O76" s="50"/>
      <c r="P76" s="50">
        <f t="array" ref="P76">INDEX(М[Форма закупа],MATCH(1,IF(($B76=М[Наим.])*($C76=М[Артикул,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</row>
    <row r="77" spans="1:16" outlineLevel="4" x14ac:dyDescent="0.25">
      <c r="A77" s="48" t="s">
        <v>54</v>
      </c>
      <c r="B77" s="49" t="s">
        <v>48</v>
      </c>
      <c r="C77" s="50"/>
      <c r="D77" s="50" t="s">
        <v>55</v>
      </c>
      <c r="E77" s="51" t="s">
        <v>42</v>
      </c>
      <c r="F77" s="52"/>
      <c r="G77" s="52"/>
      <c r="H77" s="53">
        <v>2</v>
      </c>
      <c r="I77" s="53">
        <v>2</v>
      </c>
      <c r="J77" s="53">
        <v>2</v>
      </c>
      <c r="K77" s="53">
        <v>1</v>
      </c>
      <c r="L77" s="53">
        <f>SUM($G$77:$K$77)</f>
        <v>7</v>
      </c>
      <c r="M77" s="55">
        <f t="array" ref="M77">INDEX(М[Цена за ед., руб],MATCH(1,IF(($B77=М[Наим.])*($C77=М[Артикул,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  <c r="N77" s="55">
        <f>ROUND($L$77*$M$77,2)</f>
        <v>0</v>
      </c>
      <c r="O77" s="50"/>
      <c r="P77" s="50">
        <f t="array" ref="P77">INDEX(М[Форма закупа],MATCH(1,IF(($B77=М[Наим.])*($C77=М[Артикул,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</row>
    <row r="78" spans="1:16" outlineLevel="4" x14ac:dyDescent="0.25">
      <c r="A78" s="48" t="s">
        <v>56</v>
      </c>
      <c r="B78" s="49" t="s">
        <v>48</v>
      </c>
      <c r="C78" s="50"/>
      <c r="D78" s="50" t="s">
        <v>62</v>
      </c>
      <c r="E78" s="51" t="s">
        <v>42</v>
      </c>
      <c r="F78" s="52"/>
      <c r="G78" s="53">
        <v>1</v>
      </c>
      <c r="H78" s="53">
        <v>1</v>
      </c>
      <c r="I78" s="52"/>
      <c r="J78" s="53">
        <v>1</v>
      </c>
      <c r="K78" s="53">
        <v>2</v>
      </c>
      <c r="L78" s="53">
        <f>SUM($G$78:$K$78)</f>
        <v>5</v>
      </c>
      <c r="M78" s="55">
        <f t="array" ref="M78">INDEX(М[Цена за ед., руб],MATCH(1,IF(($B78=М[Наим.])*($C78=М[Артикул,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  <c r="N78" s="55">
        <f>ROUND($L$78*$M$78,2)</f>
        <v>0</v>
      </c>
      <c r="O78" s="50"/>
      <c r="P78" s="50">
        <f t="array" ref="P78">INDEX(М[Форма закупа],MATCH(1,IF(($B78=М[Наим.])*($C78=М[Артикул,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</row>
    <row r="79" spans="1:16" outlineLevel="4" x14ac:dyDescent="0.25">
      <c r="A79" s="48" t="s">
        <v>58</v>
      </c>
      <c r="B79" s="49" t="s">
        <v>48</v>
      </c>
      <c r="C79" s="50"/>
      <c r="D79" s="50" t="s">
        <v>68</v>
      </c>
      <c r="E79" s="51" t="s">
        <v>42</v>
      </c>
      <c r="F79" s="52"/>
      <c r="G79" s="53">
        <v>1</v>
      </c>
      <c r="H79" s="53">
        <v>2</v>
      </c>
      <c r="I79" s="53">
        <v>2</v>
      </c>
      <c r="J79" s="53">
        <v>2</v>
      </c>
      <c r="K79" s="53">
        <v>2</v>
      </c>
      <c r="L79" s="53">
        <f>SUM($G$79:$K$79)</f>
        <v>9</v>
      </c>
      <c r="M79" s="55">
        <f t="array" ref="M79">INDEX(М[Цена за ед., руб],MATCH(1,IF(($B79=М[Наим.])*($C79=М[Артикул,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  <c r="N79" s="55">
        <f>ROUND($L$79*$M$79,2)</f>
        <v>0</v>
      </c>
      <c r="O79" s="50"/>
      <c r="P79" s="50">
        <f t="array" ref="P79">INDEX(М[Форма закупа],MATCH(1,IF(($B79=М[Наим.])*($C79=М[Артикул,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</row>
    <row r="80" spans="1:16" ht="31.5" outlineLevel="4" x14ac:dyDescent="0.25">
      <c r="A80" s="48" t="s">
        <v>60</v>
      </c>
      <c r="B80" s="49" t="s">
        <v>72</v>
      </c>
      <c r="C80" s="50"/>
      <c r="D80" s="50" t="s">
        <v>88</v>
      </c>
      <c r="E80" s="51" t="s">
        <v>42</v>
      </c>
      <c r="F80" s="52"/>
      <c r="G80" s="53">
        <v>1</v>
      </c>
      <c r="H80" s="53">
        <v>1</v>
      </c>
      <c r="I80" s="53">
        <v>2</v>
      </c>
      <c r="J80" s="53">
        <v>1</v>
      </c>
      <c r="K80" s="52"/>
      <c r="L80" s="53">
        <f>SUM($G$80:$K$80)</f>
        <v>5</v>
      </c>
      <c r="M80" s="55">
        <f t="array" ref="M80">INDEX(М[Цена за ед., руб],MATCH(1,IF(($B80=М[Наим.])*($C80=М[Артикул, марка, произв.])*($D80=М[Хар-ка])*($O80=М[Прим.]),{1},($B80=М[Наим.])*($C80=М[Артикул, марка, произв.])*($D80=М[Хар-ка])*($O80=М[Прим.])),0))</f>
        <v>0</v>
      </c>
      <c r="N80" s="55">
        <f>ROUND($L$80*$M$80,2)</f>
        <v>0</v>
      </c>
      <c r="O80" s="50"/>
      <c r="P80" s="50">
        <f t="array" ref="P80">INDEX(М[Форма закупа],MATCH(1,IF(($B80=М[Наим.])*($C80=М[Артикул, марка, произв.])*($D80=М[Хар-ка])*($O80=М[Прим.]),{1},($B80=М[Наим.])*($C80=М[Артикул, марка, произв.])*($D80=М[Хар-ка])*($O80=М[Прим.])),0))</f>
        <v>0</v>
      </c>
    </row>
    <row r="81" spans="1:16" outlineLevel="4" x14ac:dyDescent="0.25">
      <c r="A81" s="48" t="s">
        <v>14</v>
      </c>
      <c r="B81" s="49" t="s">
        <v>72</v>
      </c>
      <c r="C81" s="50"/>
      <c r="D81" s="50" t="s">
        <v>90</v>
      </c>
      <c r="E81" s="51" t="s">
        <v>42</v>
      </c>
      <c r="F81" s="52"/>
      <c r="G81" s="53">
        <v>1</v>
      </c>
      <c r="H81" s="52"/>
      <c r="I81" s="52"/>
      <c r="J81" s="52"/>
      <c r="K81" s="53">
        <v>1</v>
      </c>
      <c r="L81" s="53">
        <f>SUM($G$81:$K$81)</f>
        <v>2</v>
      </c>
      <c r="M81" s="55">
        <f t="array" ref="M81">INDEX(М[Цена за ед., руб],MATCH(1,IF(($B81=М[Наим.])*($C81=М[Артикул,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  <c r="N81" s="55">
        <f>ROUND($L$81*$M$81,2)</f>
        <v>0</v>
      </c>
      <c r="O81" s="50"/>
      <c r="P81" s="50">
        <f t="array" ref="P81">INDEX(М[Форма закупа],MATCH(1,IF(($B81=М[Наим.])*($C81=М[Артикул,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</row>
    <row r="82" spans="1:16" outlineLevel="4" x14ac:dyDescent="0.25">
      <c r="A82" s="48" t="s">
        <v>63</v>
      </c>
      <c r="B82" s="49" t="s">
        <v>96</v>
      </c>
      <c r="C82" s="50"/>
      <c r="D82" s="50"/>
      <c r="E82" s="51" t="s">
        <v>42</v>
      </c>
      <c r="F82" s="52"/>
      <c r="G82" s="53">
        <v>1</v>
      </c>
      <c r="H82" s="53">
        <v>1</v>
      </c>
      <c r="I82" s="53">
        <v>1</v>
      </c>
      <c r="J82" s="53">
        <v>1</v>
      </c>
      <c r="K82" s="53">
        <v>1</v>
      </c>
      <c r="L82" s="53">
        <f>SUM($G$82:$K$82)</f>
        <v>5</v>
      </c>
      <c r="M82" s="55">
        <f t="array" ref="M82">INDEX(М[Цена за ед., руб],MATCH(1,IF(($B82=М[Наим.])*($C82=М[Артикул,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  <c r="N82" s="55">
        <f>ROUND($L$82*$M$82,2)</f>
        <v>0</v>
      </c>
      <c r="O82" s="50"/>
      <c r="P82" s="50">
        <f t="array" ref="P82">INDEX(М[Форма закупа],MATCH(1,IF(($B82=М[Наим.])*($C82=М[Артикул,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</row>
    <row r="83" spans="1:16" outlineLevel="2" x14ac:dyDescent="0.25">
      <c r="A83" s="35" t="s">
        <v>106</v>
      </c>
      <c r="B83" s="36" t="s">
        <v>107</v>
      </c>
      <c r="C83" s="37"/>
      <c r="D83" s="37"/>
      <c r="E83" s="38"/>
      <c r="F83" s="39"/>
      <c r="G83" s="40"/>
      <c r="H83" s="40"/>
      <c r="I83" s="40"/>
      <c r="J83" s="40"/>
      <c r="K83" s="40"/>
      <c r="L83" s="40"/>
      <c r="M83" s="41"/>
      <c r="N83" s="41">
        <f>SUM($N$84)</f>
        <v>0</v>
      </c>
      <c r="O83" s="42"/>
      <c r="P83" s="42"/>
    </row>
    <row r="84" spans="1:16" outlineLevel="3" x14ac:dyDescent="0.25">
      <c r="A84" s="35" t="s">
        <v>108</v>
      </c>
      <c r="B84" s="36" t="s">
        <v>107</v>
      </c>
      <c r="C84" s="37"/>
      <c r="D84" s="37"/>
      <c r="E84" s="38"/>
      <c r="F84" s="39"/>
      <c r="G84" s="40"/>
      <c r="H84" s="40"/>
      <c r="I84" s="40"/>
      <c r="J84" s="40"/>
      <c r="K84" s="40"/>
      <c r="L84" s="40"/>
      <c r="M84" s="41"/>
      <c r="N84" s="41">
        <f>SUM($N$87,$N$85)</f>
        <v>0</v>
      </c>
      <c r="O84" s="42"/>
      <c r="P84" s="42"/>
    </row>
    <row r="85" spans="1:16" outlineLevel="4" x14ac:dyDescent="0.25">
      <c r="A85" s="43"/>
      <c r="B85" s="36" t="s">
        <v>21</v>
      </c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5"/>
      <c r="N85" s="46">
        <f>SUM($N$86)</f>
        <v>0</v>
      </c>
      <c r="O85" s="40"/>
      <c r="P85" s="47"/>
    </row>
    <row r="86" spans="1:16" outlineLevel="4" x14ac:dyDescent="0.25">
      <c r="A86" s="48"/>
      <c r="B86" s="49" t="s">
        <v>22</v>
      </c>
      <c r="C86" s="50"/>
      <c r="D86" s="50"/>
      <c r="E86" s="51" t="s">
        <v>23</v>
      </c>
      <c r="F86" s="52"/>
      <c r="G86" s="53">
        <f>G88</f>
        <v>75</v>
      </c>
      <c r="H86" s="53">
        <f t="shared" ref="H86:K86" si="18">H88</f>
        <v>207</v>
      </c>
      <c r="I86" s="53">
        <f t="shared" si="18"/>
        <v>200</v>
      </c>
      <c r="J86" s="53">
        <f t="shared" si="18"/>
        <v>335</v>
      </c>
      <c r="K86" s="53">
        <f t="shared" si="18"/>
        <v>247</v>
      </c>
      <c r="L86" s="54">
        <f>SUM($G$86:$K$86)</f>
        <v>1064</v>
      </c>
      <c r="M86" s="55">
        <f t="array" ref="M86">INDEX(Р[Цена за ед., руб],MATCH(1,IF(($B86=Р[Наименование])*($O86=Р[Примечание]),{1},($B86=Р[Наименование])*($O86=Р[Примечание])),0))</f>
        <v>0</v>
      </c>
      <c r="N86" s="55">
        <f>ROUND($L$86*$M$86,2)</f>
        <v>0</v>
      </c>
      <c r="O86" s="50"/>
      <c r="P86" s="50"/>
    </row>
    <row r="87" spans="1:16" outlineLevel="4" x14ac:dyDescent="0.25">
      <c r="A87" s="43"/>
      <c r="B87" s="36" t="s">
        <v>24</v>
      </c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5"/>
      <c r="N87" s="46">
        <f>SUM($N$88)</f>
        <v>0</v>
      </c>
      <c r="O87" s="40"/>
      <c r="P87" s="47"/>
    </row>
    <row r="88" spans="1:16" outlineLevel="4" x14ac:dyDescent="0.25">
      <c r="A88" s="48" t="s">
        <v>25</v>
      </c>
      <c r="B88" s="49" t="s">
        <v>26</v>
      </c>
      <c r="C88" s="50"/>
      <c r="D88" s="50" t="s">
        <v>27</v>
      </c>
      <c r="E88" s="51" t="s">
        <v>23</v>
      </c>
      <c r="F88" s="52"/>
      <c r="G88" s="53">
        <v>75</v>
      </c>
      <c r="H88" s="53">
        <v>207</v>
      </c>
      <c r="I88" s="53">
        <v>200</v>
      </c>
      <c r="J88" s="53">
        <v>335</v>
      </c>
      <c r="K88" s="53">
        <v>247</v>
      </c>
      <c r="L88" s="54">
        <f>SUM($G$88:$K$88)</f>
        <v>1064</v>
      </c>
      <c r="M88" s="55">
        <f t="array" ref="M88">INDEX(М[Цена за ед., руб],MATCH(1,IF(($B88=М[Наим.])*($C88=М[Артикул, марка, произв.])*($D88=М[Хар-ка])*($O88=М[Прим.]),{1},($B88=М[Наим.])*($C88=М[Артикул, марка, произв.])*($D88=М[Хар-ка])*($O88=М[Прим.])),0))</f>
        <v>0</v>
      </c>
      <c r="N88" s="55">
        <f>ROUND($L$88*$M$88,2)</f>
        <v>0</v>
      </c>
      <c r="O88" s="50"/>
      <c r="P88" s="50">
        <f t="array" ref="P88">INDEX(М[Форма закупа],MATCH(1,IF(($B88=М[Наим.])*($C88=М[Артикул, марка, произв.])*($D88=М[Хар-ка])*($O88=М[Прим.]),{1},($B88=М[Наим.])*($C88=М[Артикул, марка, произв.])*($D88=М[Хар-ка])*($O88=М[Прим.])),0))</f>
        <v>0</v>
      </c>
    </row>
    <row r="89" spans="1:16" outlineLevel="2" x14ac:dyDescent="0.25">
      <c r="A89" s="35" t="s">
        <v>109</v>
      </c>
      <c r="B89" s="36" t="s">
        <v>110</v>
      </c>
      <c r="C89" s="37"/>
      <c r="D89" s="37"/>
      <c r="E89" s="38"/>
      <c r="F89" s="39"/>
      <c r="G89" s="40"/>
      <c r="H89" s="40"/>
      <c r="I89" s="40"/>
      <c r="J89" s="40"/>
      <c r="K89" s="40"/>
      <c r="L89" s="40"/>
      <c r="M89" s="41"/>
      <c r="N89" s="41">
        <f>SUM($N$90)</f>
        <v>0</v>
      </c>
      <c r="O89" s="42"/>
      <c r="P89" s="42"/>
    </row>
    <row r="90" spans="1:16" outlineLevel="3" x14ac:dyDescent="0.25">
      <c r="A90" s="35" t="s">
        <v>111</v>
      </c>
      <c r="B90" s="36" t="s">
        <v>110</v>
      </c>
      <c r="C90" s="37"/>
      <c r="D90" s="37"/>
      <c r="E90" s="38"/>
      <c r="F90" s="39"/>
      <c r="G90" s="40"/>
      <c r="H90" s="40"/>
      <c r="I90" s="40"/>
      <c r="J90" s="40"/>
      <c r="K90" s="40"/>
      <c r="L90" s="40"/>
      <c r="M90" s="41"/>
      <c r="N90" s="41">
        <f>SUM($N$91)</f>
        <v>0</v>
      </c>
      <c r="O90" s="42"/>
      <c r="P90" s="42"/>
    </row>
    <row r="91" spans="1:16" outlineLevel="4" x14ac:dyDescent="0.25">
      <c r="A91" s="43"/>
      <c r="B91" s="36" t="s">
        <v>21</v>
      </c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5"/>
      <c r="N91" s="46">
        <f>SUM($N$92)</f>
        <v>0</v>
      </c>
      <c r="O91" s="40"/>
      <c r="P91" s="47"/>
    </row>
    <row r="92" spans="1:16" outlineLevel="4" x14ac:dyDescent="0.25">
      <c r="A92" s="48"/>
      <c r="B92" s="49" t="s">
        <v>112</v>
      </c>
      <c r="C92" s="50"/>
      <c r="D92" s="50"/>
      <c r="E92" s="51" t="s">
        <v>39</v>
      </c>
      <c r="F92" s="52"/>
      <c r="G92" s="53">
        <v>1</v>
      </c>
      <c r="H92" s="53">
        <v>1</v>
      </c>
      <c r="I92" s="53">
        <v>1</v>
      </c>
      <c r="J92" s="53">
        <v>1</v>
      </c>
      <c r="K92" s="53">
        <v>1</v>
      </c>
      <c r="L92" s="53">
        <f>SUM($G$92:$K$92)</f>
        <v>5</v>
      </c>
      <c r="M92" s="55">
        <f t="array" ref="M92">INDEX(Р[Цена за ед., руб],MATCH(1,IF(($B92=Р[Наименование])*($O92=Р[Примечание]),{1},($B92=Р[Наименование])*($O92=Р[Примечание])),0))</f>
        <v>0</v>
      </c>
      <c r="N92" s="55">
        <f>ROUND($L$92*$M$92,2)</f>
        <v>0</v>
      </c>
      <c r="O92" s="50"/>
      <c r="P92" s="50"/>
    </row>
    <row r="93" spans="1:16" x14ac:dyDescent="0.25">
      <c r="A93" s="59"/>
      <c r="B93" s="110" t="s">
        <v>113</v>
      </c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2"/>
      <c r="N93" s="60">
        <f>$N$10</f>
        <v>0</v>
      </c>
      <c r="O93" s="61"/>
      <c r="P93" s="61"/>
    </row>
    <row r="94" spans="1:16" x14ac:dyDescent="0.25">
      <c r="A94" s="59"/>
      <c r="B94" s="113" t="s">
        <v>114</v>
      </c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5"/>
      <c r="N94" s="60">
        <f>SUM($N$91,$N$85,$N$62,$N$29,$N$21,$N$17,$N$13)</f>
        <v>0</v>
      </c>
      <c r="O94" s="61"/>
      <c r="P94" s="61"/>
    </row>
    <row r="95" spans="1:16" x14ac:dyDescent="0.25">
      <c r="A95" s="59"/>
      <c r="B95" s="113" t="s">
        <v>115</v>
      </c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5"/>
      <c r="N95" s="60">
        <f>SUM($N$87,$N$70,$N$34,$N$25,$N$23,$N$19,$N$15)</f>
        <v>0</v>
      </c>
      <c r="O95" s="61"/>
      <c r="P95" s="61"/>
    </row>
    <row r="96" spans="1:16" x14ac:dyDescent="0.25">
      <c r="A96" s="59"/>
      <c r="B96" s="116" t="s">
        <v>160</v>
      </c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8"/>
      <c r="N96" s="75"/>
      <c r="O96" s="76" t="s">
        <v>161</v>
      </c>
      <c r="P96" s="61"/>
    </row>
    <row r="97" spans="1:18" x14ac:dyDescent="0.25">
      <c r="A97" s="62"/>
      <c r="B97" s="121" t="s">
        <v>116</v>
      </c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2"/>
      <c r="N97" s="122"/>
      <c r="O97" s="121"/>
      <c r="P97" s="62"/>
    </row>
    <row r="98" spans="1:18" x14ac:dyDescent="0.25"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20"/>
      <c r="N98" s="120"/>
      <c r="O98" s="119"/>
    </row>
    <row r="99" spans="1:18" x14ac:dyDescent="0.25">
      <c r="A99" s="67"/>
      <c r="B99" s="68" t="s">
        <v>141</v>
      </c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70"/>
      <c r="O99" s="69"/>
      <c r="P99" s="69"/>
      <c r="Q99" s="69"/>
      <c r="R99" s="69"/>
    </row>
    <row r="100" spans="1:18" ht="35.25" customHeight="1" x14ac:dyDescent="0.25">
      <c r="A100" s="67" t="s">
        <v>142</v>
      </c>
      <c r="B100" s="106" t="s">
        <v>143</v>
      </c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</row>
    <row r="101" spans="1:18" ht="55.5" customHeight="1" x14ac:dyDescent="0.25">
      <c r="A101" s="71" t="s">
        <v>142</v>
      </c>
      <c r="B101" s="107" t="s">
        <v>144</v>
      </c>
      <c r="C101" s="107"/>
      <c r="D101" s="10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</row>
    <row r="102" spans="1:18" x14ac:dyDescent="0.25">
      <c r="A102" s="67" t="s">
        <v>142</v>
      </c>
      <c r="B102" s="108" t="s">
        <v>145</v>
      </c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</row>
    <row r="103" spans="1:18" x14ac:dyDescent="0.25">
      <c r="A103" s="72" t="s">
        <v>142</v>
      </c>
      <c r="B103" s="109" t="s">
        <v>146</v>
      </c>
      <c r="C103" s="109"/>
      <c r="D103" s="109"/>
      <c r="E103" s="109"/>
      <c r="F103" s="109"/>
      <c r="G103" s="109"/>
      <c r="H103" s="109"/>
      <c r="I103" s="109"/>
      <c r="J103" s="109"/>
      <c r="K103" s="109"/>
      <c r="L103" s="69"/>
      <c r="M103" s="69"/>
      <c r="N103" s="70"/>
      <c r="O103" s="69"/>
      <c r="P103" s="69"/>
      <c r="Q103" s="69"/>
      <c r="R103" s="69"/>
    </row>
  </sheetData>
  <autoFilter ref="A8:R97" xr:uid="{00000000-0001-0000-0000-000000000000}"/>
  <mergeCells count="29">
    <mergeCell ref="B100:Q100"/>
    <mergeCell ref="B101:Q101"/>
    <mergeCell ref="B102:Q102"/>
    <mergeCell ref="B103:K103"/>
    <mergeCell ref="B4:J4"/>
    <mergeCell ref="B93:M93"/>
    <mergeCell ref="B94:M94"/>
    <mergeCell ref="B95:M95"/>
    <mergeCell ref="B96:M96"/>
    <mergeCell ref="B98:O98"/>
    <mergeCell ref="P7:P8"/>
    <mergeCell ref="B97:O97"/>
    <mergeCell ref="K7:K8"/>
    <mergeCell ref="L7:L8"/>
    <mergeCell ref="M7:M8"/>
    <mergeCell ref="N7:N8"/>
    <mergeCell ref="O7:O8"/>
    <mergeCell ref="B3:J3"/>
    <mergeCell ref="B5:J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P23"/>
  <sheetViews>
    <sheetView workbookViewId="0">
      <pane ySplit="3" topLeftCell="A4" activePane="bottomLeft" state="frozen"/>
      <selection pane="bottomLeft" activeCell="A20" sqref="A20:F20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9" t="s">
        <v>117</v>
      </c>
      <c r="B1" s="89"/>
      <c r="C1" s="89"/>
      <c r="D1" s="89"/>
      <c r="E1" s="89"/>
      <c r="F1" s="89"/>
    </row>
    <row r="3" spans="1:6" ht="11.1" customHeight="1" x14ac:dyDescent="0.2">
      <c r="A3" s="9" t="s">
        <v>2</v>
      </c>
      <c r="B3" s="2" t="s">
        <v>5</v>
      </c>
      <c r="C3" s="2" t="s">
        <v>9</v>
      </c>
      <c r="D3" s="16" t="s">
        <v>10</v>
      </c>
      <c r="E3" s="16" t="s">
        <v>11</v>
      </c>
      <c r="F3" s="10" t="s">
        <v>12</v>
      </c>
    </row>
    <row r="4" spans="1:6" ht="11.1" customHeight="1" x14ac:dyDescent="0.2">
      <c r="A4" s="7" t="s">
        <v>22</v>
      </c>
      <c r="B4" s="3" t="s">
        <v>23</v>
      </c>
      <c r="C4" s="4">
        <v>16476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28</v>
      </c>
      <c r="B5" s="3" t="s">
        <v>23</v>
      </c>
      <c r="C5" s="6">
        <v>294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32</v>
      </c>
      <c r="B6" s="3" t="s">
        <v>23</v>
      </c>
      <c r="C6" s="6">
        <v>25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7" t="s">
        <v>152</v>
      </c>
      <c r="B7" s="73" t="s">
        <v>42</v>
      </c>
      <c r="C7" s="6">
        <v>46</v>
      </c>
      <c r="D7" s="17"/>
      <c r="E7" s="17">
        <f>ROUND(Р[[#This Row],[Количество]]*Р[[#This Row],[Цена за ед., руб]],2)</f>
        <v>0</v>
      </c>
      <c r="F7" s="8"/>
    </row>
    <row r="8" spans="1:6" ht="11.1" customHeight="1" x14ac:dyDescent="0.2">
      <c r="A8" s="7" t="s">
        <v>153</v>
      </c>
      <c r="B8" s="73" t="s">
        <v>42</v>
      </c>
      <c r="C8" s="6">
        <v>353</v>
      </c>
      <c r="D8" s="17"/>
      <c r="E8" s="17">
        <f>ROUND(Р[[#This Row],[Количество]]*Р[[#This Row],[Цена за ед., руб]],2)</f>
        <v>0</v>
      </c>
      <c r="F8" s="8"/>
    </row>
    <row r="9" spans="1:6" ht="11.1" customHeight="1" x14ac:dyDescent="0.2">
      <c r="A9" s="7" t="s">
        <v>154</v>
      </c>
      <c r="B9" s="73" t="s">
        <v>42</v>
      </c>
      <c r="C9" s="6">
        <v>66</v>
      </c>
      <c r="D9" s="17"/>
      <c r="E9" s="17">
        <f>ROUND(Р[[#This Row],[Количество]]*Р[[#This Row],[Цена за ед., руб]],2)</f>
        <v>0</v>
      </c>
      <c r="F9" s="8"/>
    </row>
    <row r="10" spans="1:6" ht="11.1" customHeight="1" x14ac:dyDescent="0.2">
      <c r="A10" s="7" t="s">
        <v>155</v>
      </c>
      <c r="B10" s="73" t="s">
        <v>42</v>
      </c>
      <c r="C10" s="6">
        <v>14</v>
      </c>
      <c r="D10" s="17"/>
      <c r="E10" s="17">
        <f>ROUND(Р[[#This Row],[Количество]]*Р[[#This Row],[Цена за ед., руб]],2)</f>
        <v>0</v>
      </c>
      <c r="F10" s="8"/>
    </row>
    <row r="11" spans="1:6" ht="11.1" customHeight="1" x14ac:dyDescent="0.2">
      <c r="A11" s="7" t="s">
        <v>156</v>
      </c>
      <c r="B11" s="73" t="s">
        <v>42</v>
      </c>
      <c r="C11" s="6">
        <v>5</v>
      </c>
      <c r="D11" s="17"/>
      <c r="E11" s="17">
        <f>ROUND(Р[[#This Row],[Количество]]*Р[[#This Row],[Цена за ед., руб]],2)</f>
        <v>0</v>
      </c>
      <c r="F11" s="8"/>
    </row>
    <row r="12" spans="1:6" ht="11.1" customHeight="1" x14ac:dyDescent="0.2">
      <c r="A12" s="7" t="s">
        <v>157</v>
      </c>
      <c r="B12" s="73" t="s">
        <v>42</v>
      </c>
      <c r="C12" s="6">
        <v>5</v>
      </c>
      <c r="D12" s="17"/>
      <c r="E12" s="17">
        <f>ROUND(Р[[#This Row],[Количество]]*Р[[#This Row],[Цена за ед., руб]],2)</f>
        <v>0</v>
      </c>
      <c r="F12" s="8"/>
    </row>
    <row r="13" spans="1:6" ht="11.1" customHeight="1" x14ac:dyDescent="0.2">
      <c r="A13" s="7" t="s">
        <v>158</v>
      </c>
      <c r="B13" s="73" t="s">
        <v>42</v>
      </c>
      <c r="C13" s="6">
        <v>5</v>
      </c>
      <c r="D13" s="17"/>
      <c r="E13" s="17">
        <f>ROUND(Р[[#This Row],[Количество]]*Р[[#This Row],[Цена за ед., руб]],2)</f>
        <v>0</v>
      </c>
      <c r="F13" s="8"/>
    </row>
    <row r="14" spans="1:6" ht="11.1" customHeight="1" x14ac:dyDescent="0.2">
      <c r="A14" s="11" t="s">
        <v>112</v>
      </c>
      <c r="B14" s="12" t="s">
        <v>39</v>
      </c>
      <c r="C14" s="13">
        <v>5</v>
      </c>
      <c r="D14" s="17"/>
      <c r="E14" s="18">
        <f>ROUND(Р[[#This Row],[Количество]]*Р[[#This Row],[Цена за ед., руб]],2)</f>
        <v>0</v>
      </c>
      <c r="F14" s="15"/>
    </row>
    <row r="15" spans="1:6" ht="11.45" customHeight="1" x14ac:dyDescent="0.2">
      <c r="A15" s="11" t="s">
        <v>136</v>
      </c>
      <c r="B15" s="12"/>
      <c r="C15" s="14"/>
      <c r="D15" s="18"/>
      <c r="E15" s="18">
        <f>SUBTOTAL(109,Р[Сумма, руб])</f>
        <v>0</v>
      </c>
      <c r="F15" s="15"/>
    </row>
    <row r="16" spans="1:6" ht="11.45" customHeight="1" x14ac:dyDescent="0.2">
      <c r="D16" s="80" t="s">
        <v>162</v>
      </c>
      <c r="E16" s="81">
        <f>ЛСР!N94-Р[[#Totals],[Сумма, руб]]</f>
        <v>0</v>
      </c>
    </row>
    <row r="18" spans="1:16" ht="11.25" x14ac:dyDescent="0.2">
      <c r="A18" s="82" t="s">
        <v>141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4"/>
      <c r="N18" s="83"/>
      <c r="O18" s="83"/>
      <c r="P18" s="83"/>
    </row>
    <row r="19" spans="1:16" ht="26.25" customHeight="1" x14ac:dyDescent="0.2">
      <c r="A19" s="90" t="s">
        <v>143</v>
      </c>
      <c r="B19" s="90"/>
      <c r="C19" s="90"/>
      <c r="D19" s="90"/>
      <c r="E19" s="90"/>
      <c r="F19" s="90"/>
      <c r="G19" s="85"/>
      <c r="H19" s="85"/>
      <c r="I19" s="85"/>
      <c r="J19" s="85"/>
      <c r="K19" s="85"/>
      <c r="L19" s="85"/>
      <c r="M19" s="85"/>
      <c r="N19" s="85"/>
      <c r="O19" s="85"/>
      <c r="P19" s="85"/>
    </row>
    <row r="20" spans="1:16" ht="36.75" customHeight="1" x14ac:dyDescent="0.2">
      <c r="A20" s="91" t="s">
        <v>144</v>
      </c>
      <c r="B20" s="91"/>
      <c r="C20" s="91"/>
      <c r="D20" s="91"/>
      <c r="E20" s="91"/>
      <c r="F20" s="91"/>
      <c r="G20" s="86"/>
      <c r="H20" s="86"/>
      <c r="I20" s="86"/>
      <c r="J20" s="86"/>
      <c r="K20" s="86"/>
      <c r="L20" s="86"/>
      <c r="M20" s="86"/>
      <c r="N20" s="86"/>
      <c r="O20" s="86"/>
      <c r="P20" s="86"/>
    </row>
    <row r="21" spans="1:16" ht="11.25" x14ac:dyDescent="0.2">
      <c r="A21" s="92" t="s">
        <v>145</v>
      </c>
      <c r="B21" s="92"/>
      <c r="C21" s="92"/>
      <c r="D21" s="92"/>
      <c r="E21" s="92"/>
      <c r="F21" s="92"/>
      <c r="G21" s="87"/>
      <c r="H21" s="87"/>
      <c r="I21" s="87"/>
      <c r="J21" s="87"/>
      <c r="K21" s="87"/>
      <c r="L21" s="87"/>
      <c r="M21" s="87"/>
      <c r="N21" s="87"/>
      <c r="O21" s="87"/>
      <c r="P21" s="87"/>
    </row>
    <row r="22" spans="1:16" ht="11.25" x14ac:dyDescent="0.2">
      <c r="A22" s="93" t="s">
        <v>146</v>
      </c>
      <c r="B22" s="93"/>
      <c r="C22" s="93"/>
      <c r="D22" s="93"/>
      <c r="E22" s="93"/>
      <c r="F22" s="93"/>
      <c r="G22" s="88"/>
      <c r="H22" s="88"/>
      <c r="I22" s="88"/>
      <c r="J22" s="88"/>
      <c r="K22" s="83"/>
      <c r="L22" s="83"/>
      <c r="M22" s="84"/>
      <c r="N22" s="83"/>
      <c r="O22" s="83"/>
      <c r="P22" s="83"/>
    </row>
    <row r="23" spans="1:16" ht="11.25" x14ac:dyDescent="0.2"/>
  </sheetData>
  <mergeCells count="5">
    <mergeCell ref="A1:F1"/>
    <mergeCell ref="A19:F19"/>
    <mergeCell ref="A20:F20"/>
    <mergeCell ref="A21:F21"/>
    <mergeCell ref="A22:F22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P48"/>
  <sheetViews>
    <sheetView workbookViewId="0">
      <pane ySplit="3" topLeftCell="A4" activePane="bottomLeft" state="frozen"/>
      <selection pane="bottomLeft" activeCell="A43" sqref="A43:XFD47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9" t="s">
        <v>118</v>
      </c>
      <c r="B1" s="89"/>
      <c r="C1" s="89"/>
      <c r="D1" s="89"/>
      <c r="E1" s="89"/>
      <c r="F1" s="89"/>
      <c r="G1" s="89"/>
      <c r="H1" s="89"/>
    </row>
    <row r="2" spans="1:9" ht="11.1" customHeight="1" x14ac:dyDescent="0.2"/>
    <row r="3" spans="1:9" ht="23.1" customHeight="1" x14ac:dyDescent="0.2">
      <c r="A3" s="9" t="s">
        <v>119</v>
      </c>
      <c r="B3" s="19" t="s">
        <v>120</v>
      </c>
      <c r="C3" s="10" t="s">
        <v>121</v>
      </c>
      <c r="D3" s="2" t="s">
        <v>5</v>
      </c>
      <c r="E3" s="2" t="s">
        <v>9</v>
      </c>
      <c r="F3" s="16" t="s">
        <v>10</v>
      </c>
      <c r="G3" s="16" t="s">
        <v>11</v>
      </c>
      <c r="H3" s="2" t="s">
        <v>122</v>
      </c>
      <c r="I3" s="10" t="s">
        <v>123</v>
      </c>
    </row>
    <row r="4" spans="1:9" ht="11.1" customHeight="1" x14ac:dyDescent="0.2">
      <c r="A4" s="7" t="s">
        <v>40</v>
      </c>
      <c r="B4" s="5"/>
      <c r="C4" s="5" t="s">
        <v>41</v>
      </c>
      <c r="D4" s="3" t="s">
        <v>42</v>
      </c>
      <c r="E4" s="6">
        <v>15</v>
      </c>
      <c r="F4" s="17"/>
      <c r="G4" s="17">
        <f>ROUND(М[[#This Row],[Количество]]*М[[#This Row],[Цена за ед., руб]],2)</f>
        <v>0</v>
      </c>
      <c r="H4" s="5"/>
      <c r="I4" s="8"/>
    </row>
    <row r="5" spans="1:9" ht="11.1" customHeight="1" x14ac:dyDescent="0.2">
      <c r="A5" s="7" t="s">
        <v>40</v>
      </c>
      <c r="B5" s="5"/>
      <c r="C5" s="5" t="s">
        <v>44</v>
      </c>
      <c r="D5" s="3" t="s">
        <v>42</v>
      </c>
      <c r="E5" s="6">
        <v>2</v>
      </c>
      <c r="F5" s="17"/>
      <c r="G5" s="17">
        <f>ROUND(М[[#This Row],[Количество]]*М[[#This Row],[Цена за ед., руб]],2)</f>
        <v>0</v>
      </c>
      <c r="H5" s="5"/>
      <c r="I5" s="8"/>
    </row>
    <row r="6" spans="1:9" ht="11.1" customHeight="1" x14ac:dyDescent="0.2">
      <c r="A6" s="7" t="s">
        <v>40</v>
      </c>
      <c r="B6" s="5"/>
      <c r="C6" s="5" t="s">
        <v>46</v>
      </c>
      <c r="D6" s="3" t="s">
        <v>42</v>
      </c>
      <c r="E6" s="6">
        <v>29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11.1" customHeight="1" x14ac:dyDescent="0.2">
      <c r="A7" s="7" t="s">
        <v>98</v>
      </c>
      <c r="B7" s="5"/>
      <c r="C7" s="5" t="s">
        <v>99</v>
      </c>
      <c r="D7" s="3" t="s">
        <v>42</v>
      </c>
      <c r="E7" s="6">
        <v>5</v>
      </c>
      <c r="F7" s="17"/>
      <c r="G7" s="17">
        <f>ROUND(М[[#This Row],[Количество]]*М[[#This Row],[Цена за ед., руб]],2)</f>
        <v>0</v>
      </c>
      <c r="H7" s="5"/>
      <c r="I7" s="8"/>
    </row>
    <row r="8" spans="1:9" ht="11.1" customHeight="1" x14ac:dyDescent="0.2">
      <c r="A8" s="7" t="s">
        <v>100</v>
      </c>
      <c r="B8" s="5"/>
      <c r="C8" s="5" t="s">
        <v>101</v>
      </c>
      <c r="D8" s="3" t="s">
        <v>42</v>
      </c>
      <c r="E8" s="6">
        <v>5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11.1" customHeight="1" x14ac:dyDescent="0.2">
      <c r="A9" s="7" t="s">
        <v>26</v>
      </c>
      <c r="B9" s="5"/>
      <c r="C9" s="5" t="s">
        <v>27</v>
      </c>
      <c r="D9" s="3" t="s">
        <v>23</v>
      </c>
      <c r="E9" s="4">
        <v>16476</v>
      </c>
      <c r="F9" s="17"/>
      <c r="G9" s="17">
        <f>ROUND(М[[#This Row],[Количество]]*М[[#This Row],[Цена за ед., руб]],2)</f>
        <v>0</v>
      </c>
      <c r="H9" s="5"/>
      <c r="I9" s="8"/>
    </row>
    <row r="10" spans="1:9" ht="23.1" customHeight="1" x14ac:dyDescent="0.2">
      <c r="A10" s="7" t="s">
        <v>29</v>
      </c>
      <c r="B10" s="5"/>
      <c r="C10" s="5" t="s">
        <v>30</v>
      </c>
      <c r="D10" s="3" t="s">
        <v>31</v>
      </c>
      <c r="E10" s="6">
        <v>294</v>
      </c>
      <c r="F10" s="17"/>
      <c r="G10" s="17">
        <f>ROUND(М[[#This Row],[Количество]]*М[[#This Row],[Цена за ед., руб]],2)</f>
        <v>0</v>
      </c>
      <c r="H10" s="5"/>
      <c r="I10" s="8"/>
    </row>
    <row r="11" spans="1:9" ht="11.1" customHeight="1" x14ac:dyDescent="0.2">
      <c r="A11" s="7" t="s">
        <v>102</v>
      </c>
      <c r="B11" s="5"/>
      <c r="C11" s="5" t="s">
        <v>103</v>
      </c>
      <c r="D11" s="3" t="s">
        <v>42</v>
      </c>
      <c r="E11" s="6">
        <v>5</v>
      </c>
      <c r="F11" s="17"/>
      <c r="G11" s="17">
        <f>ROUND(М[[#This Row],[Количество]]*М[[#This Row],[Цена за ед., руб]],2)</f>
        <v>0</v>
      </c>
      <c r="H11" s="5"/>
      <c r="I11" s="8"/>
    </row>
    <row r="12" spans="1:9" ht="23.1" customHeight="1" x14ac:dyDescent="0.2">
      <c r="A12" s="7" t="s">
        <v>104</v>
      </c>
      <c r="B12" s="5"/>
      <c r="C12" s="5" t="s">
        <v>105</v>
      </c>
      <c r="D12" s="3" t="s">
        <v>42</v>
      </c>
      <c r="E12" s="6">
        <v>5</v>
      </c>
      <c r="F12" s="17"/>
      <c r="G12" s="17">
        <f>ROUND(М[[#This Row],[Количество]]*М[[#This Row],[Цена за ед., руб]],2)</f>
        <v>0</v>
      </c>
      <c r="H12" s="5"/>
      <c r="I12" s="8"/>
    </row>
    <row r="13" spans="1:9" ht="11.1" customHeight="1" x14ac:dyDescent="0.2">
      <c r="A13" s="7" t="s">
        <v>33</v>
      </c>
      <c r="B13" s="5"/>
      <c r="C13" s="5" t="s">
        <v>34</v>
      </c>
      <c r="D13" s="3" t="s">
        <v>31</v>
      </c>
      <c r="E13" s="6">
        <v>25</v>
      </c>
      <c r="F13" s="17"/>
      <c r="G13" s="17">
        <f>ROUND(М[[#This Row],[Количество]]*М[[#This Row],[Цена за ед., руб]],2)</f>
        <v>0</v>
      </c>
      <c r="H13" s="5"/>
      <c r="I13" s="8"/>
    </row>
    <row r="14" spans="1:9" ht="11.1" customHeight="1" x14ac:dyDescent="0.2">
      <c r="A14" s="7" t="s">
        <v>48</v>
      </c>
      <c r="B14" s="5"/>
      <c r="C14" s="5" t="s">
        <v>49</v>
      </c>
      <c r="D14" s="3" t="s">
        <v>42</v>
      </c>
      <c r="E14" s="6">
        <v>5</v>
      </c>
      <c r="F14" s="17"/>
      <c r="G14" s="17">
        <f>ROUND(М[[#This Row],[Количество]]*М[[#This Row],[Цена за ед., руб]],2)</f>
        <v>0</v>
      </c>
      <c r="H14" s="5"/>
      <c r="I14" s="8"/>
    </row>
    <row r="15" spans="1:9" ht="11.1" customHeight="1" x14ac:dyDescent="0.2">
      <c r="A15" s="7" t="s">
        <v>48</v>
      </c>
      <c r="B15" s="5"/>
      <c r="C15" s="5" t="s">
        <v>51</v>
      </c>
      <c r="D15" s="3" t="s">
        <v>42</v>
      </c>
      <c r="E15" s="6">
        <v>14</v>
      </c>
      <c r="F15" s="17"/>
      <c r="G15" s="17">
        <f>ROUND(М[[#This Row],[Количество]]*М[[#This Row],[Цена за ед., руб]],2)</f>
        <v>0</v>
      </c>
      <c r="H15" s="5"/>
      <c r="I15" s="8"/>
    </row>
    <row r="16" spans="1:9" ht="11.1" customHeight="1" x14ac:dyDescent="0.2">
      <c r="A16" s="7" t="s">
        <v>48</v>
      </c>
      <c r="B16" s="5"/>
      <c r="C16" s="5" t="s">
        <v>53</v>
      </c>
      <c r="D16" s="3" t="s">
        <v>42</v>
      </c>
      <c r="E16" s="6">
        <v>49</v>
      </c>
      <c r="F16" s="17"/>
      <c r="G16" s="17">
        <f>ROUND(М[[#This Row],[Количество]]*М[[#This Row],[Цена за ед., руб]],2)</f>
        <v>0</v>
      </c>
      <c r="H16" s="5"/>
      <c r="I16" s="8"/>
    </row>
    <row r="17" spans="1:9" ht="11.1" customHeight="1" x14ac:dyDescent="0.2">
      <c r="A17" s="7" t="s">
        <v>48</v>
      </c>
      <c r="B17" s="5"/>
      <c r="C17" s="5" t="s">
        <v>55</v>
      </c>
      <c r="D17" s="3" t="s">
        <v>42</v>
      </c>
      <c r="E17" s="6">
        <v>52</v>
      </c>
      <c r="F17" s="17"/>
      <c r="G17" s="17">
        <f>ROUND(М[[#This Row],[Количество]]*М[[#This Row],[Цена за ед., руб]],2)</f>
        <v>0</v>
      </c>
      <c r="H17" s="5"/>
      <c r="I17" s="8"/>
    </row>
    <row r="18" spans="1:9" ht="11.1" customHeight="1" x14ac:dyDescent="0.2">
      <c r="A18" s="7" t="s">
        <v>48</v>
      </c>
      <c r="B18" s="5"/>
      <c r="C18" s="5" t="s">
        <v>57</v>
      </c>
      <c r="D18" s="3" t="s">
        <v>42</v>
      </c>
      <c r="E18" s="6">
        <v>7</v>
      </c>
      <c r="F18" s="17"/>
      <c r="G18" s="17">
        <f>ROUND(М[[#This Row],[Количество]]*М[[#This Row],[Цена за ед., руб]],2)</f>
        <v>0</v>
      </c>
      <c r="H18" s="5"/>
      <c r="I18" s="8"/>
    </row>
    <row r="19" spans="1:9" ht="11.1" customHeight="1" x14ac:dyDescent="0.2">
      <c r="A19" s="7" t="s">
        <v>48</v>
      </c>
      <c r="B19" s="5"/>
      <c r="C19" s="5" t="s">
        <v>59</v>
      </c>
      <c r="D19" s="3" t="s">
        <v>42</v>
      </c>
      <c r="E19" s="6">
        <v>10</v>
      </c>
      <c r="F19" s="17"/>
      <c r="G19" s="17">
        <f>ROUND(М[[#This Row],[Количество]]*М[[#This Row],[Цена за ед., руб]],2)</f>
        <v>0</v>
      </c>
      <c r="H19" s="5"/>
      <c r="I19" s="8"/>
    </row>
    <row r="20" spans="1:9" ht="11.1" customHeight="1" x14ac:dyDescent="0.2">
      <c r="A20" s="7" t="s">
        <v>48</v>
      </c>
      <c r="B20" s="5"/>
      <c r="C20" s="5" t="s">
        <v>61</v>
      </c>
      <c r="D20" s="3" t="s">
        <v>42</v>
      </c>
      <c r="E20" s="6">
        <v>18</v>
      </c>
      <c r="F20" s="17"/>
      <c r="G20" s="17">
        <f>ROUND(М[[#This Row],[Количество]]*М[[#This Row],[Цена за ед., руб]],2)</f>
        <v>0</v>
      </c>
      <c r="H20" s="5"/>
      <c r="I20" s="8"/>
    </row>
    <row r="21" spans="1:9" ht="11.1" customHeight="1" x14ac:dyDescent="0.2">
      <c r="A21" s="7" t="s">
        <v>48</v>
      </c>
      <c r="B21" s="5"/>
      <c r="C21" s="5" t="s">
        <v>62</v>
      </c>
      <c r="D21" s="3" t="s">
        <v>42</v>
      </c>
      <c r="E21" s="6">
        <v>35</v>
      </c>
      <c r="F21" s="17"/>
      <c r="G21" s="17">
        <f>ROUND(М[[#This Row],[Количество]]*М[[#This Row],[Цена за ед., руб]],2)</f>
        <v>0</v>
      </c>
      <c r="H21" s="5"/>
      <c r="I21" s="8"/>
    </row>
    <row r="22" spans="1:9" ht="11.1" customHeight="1" x14ac:dyDescent="0.2">
      <c r="A22" s="7" t="s">
        <v>48</v>
      </c>
      <c r="B22" s="5"/>
      <c r="C22" s="5" t="s">
        <v>64</v>
      </c>
      <c r="D22" s="3" t="s">
        <v>42</v>
      </c>
      <c r="E22" s="6">
        <v>41</v>
      </c>
      <c r="F22" s="17"/>
      <c r="G22" s="17">
        <f>ROUND(М[[#This Row],[Количество]]*М[[#This Row],[Цена за ед., руб]],2)</f>
        <v>0</v>
      </c>
      <c r="H22" s="5"/>
      <c r="I22" s="8"/>
    </row>
    <row r="23" spans="1:9" ht="11.1" customHeight="1" x14ac:dyDescent="0.2">
      <c r="A23" s="7" t="s">
        <v>48</v>
      </c>
      <c r="B23" s="5"/>
      <c r="C23" s="5" t="s">
        <v>66</v>
      </c>
      <c r="D23" s="3" t="s">
        <v>42</v>
      </c>
      <c r="E23" s="6">
        <v>54</v>
      </c>
      <c r="F23" s="17"/>
      <c r="G23" s="17">
        <f>ROUND(М[[#This Row],[Количество]]*М[[#This Row],[Цена за ед., руб]],2)</f>
        <v>0</v>
      </c>
      <c r="H23" s="5"/>
      <c r="I23" s="8"/>
    </row>
    <row r="24" spans="1:9" ht="11.1" customHeight="1" x14ac:dyDescent="0.2">
      <c r="A24" s="7" t="s">
        <v>48</v>
      </c>
      <c r="B24" s="5"/>
      <c r="C24" s="5" t="s">
        <v>68</v>
      </c>
      <c r="D24" s="3" t="s">
        <v>42</v>
      </c>
      <c r="E24" s="6">
        <v>57</v>
      </c>
      <c r="F24" s="17"/>
      <c r="G24" s="17">
        <f>ROUND(М[[#This Row],[Количество]]*М[[#This Row],[Цена за ед., руб]],2)</f>
        <v>0</v>
      </c>
      <c r="H24" s="5"/>
      <c r="I24" s="8"/>
    </row>
    <row r="25" spans="1:9" ht="11.1" customHeight="1" x14ac:dyDescent="0.2">
      <c r="A25" s="7" t="s">
        <v>48</v>
      </c>
      <c r="B25" s="5"/>
      <c r="C25" s="5" t="s">
        <v>70</v>
      </c>
      <c r="D25" s="3" t="s">
        <v>42</v>
      </c>
      <c r="E25" s="6">
        <v>11</v>
      </c>
      <c r="F25" s="17"/>
      <c r="G25" s="17">
        <f>ROUND(М[[#This Row],[Количество]]*М[[#This Row],[Цена за ед., руб]],2)</f>
        <v>0</v>
      </c>
      <c r="H25" s="5"/>
      <c r="I25" s="8"/>
    </row>
    <row r="26" spans="1:9" ht="11.1" customHeight="1" x14ac:dyDescent="0.2">
      <c r="A26" s="7" t="s">
        <v>72</v>
      </c>
      <c r="B26" s="5"/>
      <c r="C26" s="5" t="s">
        <v>73</v>
      </c>
      <c r="D26" s="3" t="s">
        <v>42</v>
      </c>
      <c r="E26" s="6">
        <v>3</v>
      </c>
      <c r="F26" s="17"/>
      <c r="G26" s="17">
        <f>ROUND(М[[#This Row],[Количество]]*М[[#This Row],[Цена за ед., руб]],2)</f>
        <v>0</v>
      </c>
      <c r="H26" s="5" t="s">
        <v>74</v>
      </c>
      <c r="I26" s="8"/>
    </row>
    <row r="27" spans="1:9" ht="11.1" customHeight="1" x14ac:dyDescent="0.2">
      <c r="A27" s="7" t="s">
        <v>72</v>
      </c>
      <c r="B27" s="5"/>
      <c r="C27" s="5" t="s">
        <v>76</v>
      </c>
      <c r="D27" s="3" t="s">
        <v>42</v>
      </c>
      <c r="E27" s="6">
        <v>2</v>
      </c>
      <c r="F27" s="17"/>
      <c r="G27" s="17">
        <f>ROUND(М[[#This Row],[Количество]]*М[[#This Row],[Цена за ед., руб]],2)</f>
        <v>0</v>
      </c>
      <c r="H27" s="5" t="s">
        <v>74</v>
      </c>
      <c r="I27" s="8"/>
    </row>
    <row r="28" spans="1:9" ht="11.1" customHeight="1" x14ac:dyDescent="0.2">
      <c r="A28" s="7" t="s">
        <v>72</v>
      </c>
      <c r="B28" s="5"/>
      <c r="C28" s="5" t="s">
        <v>78</v>
      </c>
      <c r="D28" s="3" t="s">
        <v>42</v>
      </c>
      <c r="E28" s="6">
        <v>4</v>
      </c>
      <c r="F28" s="17"/>
      <c r="G28" s="17">
        <f>ROUND(М[[#This Row],[Количество]]*М[[#This Row],[Цена за ед., руб]],2)</f>
        <v>0</v>
      </c>
      <c r="H28" s="5" t="s">
        <v>74</v>
      </c>
      <c r="I28" s="8"/>
    </row>
    <row r="29" spans="1:9" ht="11.1" customHeight="1" x14ac:dyDescent="0.2">
      <c r="A29" s="7" t="s">
        <v>72</v>
      </c>
      <c r="B29" s="5"/>
      <c r="C29" s="5" t="s">
        <v>80</v>
      </c>
      <c r="D29" s="3" t="s">
        <v>42</v>
      </c>
      <c r="E29" s="6">
        <v>2</v>
      </c>
      <c r="F29" s="17"/>
      <c r="G29" s="17">
        <f>ROUND(М[[#This Row],[Количество]]*М[[#This Row],[Цена за ед., руб]],2)</f>
        <v>0</v>
      </c>
      <c r="H29" s="5" t="s">
        <v>74</v>
      </c>
      <c r="I29" s="8"/>
    </row>
    <row r="30" spans="1:9" ht="11.1" customHeight="1" x14ac:dyDescent="0.2">
      <c r="A30" s="7" t="s">
        <v>72</v>
      </c>
      <c r="B30" s="5"/>
      <c r="C30" s="5" t="s">
        <v>82</v>
      </c>
      <c r="D30" s="3" t="s">
        <v>42</v>
      </c>
      <c r="E30" s="6">
        <v>2</v>
      </c>
      <c r="F30" s="17"/>
      <c r="G30" s="17">
        <f>ROUND(М[[#This Row],[Количество]]*М[[#This Row],[Цена за ед., руб]],2)</f>
        <v>0</v>
      </c>
      <c r="H30" s="5" t="s">
        <v>74</v>
      </c>
      <c r="I30" s="8"/>
    </row>
    <row r="31" spans="1:9" ht="11.1" customHeight="1" x14ac:dyDescent="0.2">
      <c r="A31" s="7" t="s">
        <v>72</v>
      </c>
      <c r="B31" s="5"/>
      <c r="C31" s="5" t="s">
        <v>84</v>
      </c>
      <c r="D31" s="3" t="s">
        <v>42</v>
      </c>
      <c r="E31" s="6">
        <v>5</v>
      </c>
      <c r="F31" s="17"/>
      <c r="G31" s="17">
        <f>ROUND(М[[#This Row],[Количество]]*М[[#This Row],[Цена за ед., руб]],2)</f>
        <v>0</v>
      </c>
      <c r="H31" s="5" t="s">
        <v>74</v>
      </c>
      <c r="I31" s="8"/>
    </row>
    <row r="32" spans="1:9" ht="11.1" customHeight="1" x14ac:dyDescent="0.2">
      <c r="A32" s="7" t="s">
        <v>72</v>
      </c>
      <c r="B32" s="5"/>
      <c r="C32" s="5" t="s">
        <v>86</v>
      </c>
      <c r="D32" s="3" t="s">
        <v>42</v>
      </c>
      <c r="E32" s="6">
        <v>1</v>
      </c>
      <c r="F32" s="17"/>
      <c r="G32" s="17">
        <f>ROUND(М[[#This Row],[Количество]]*М[[#This Row],[Цена за ед., руб]],2)</f>
        <v>0</v>
      </c>
      <c r="H32" s="5" t="s">
        <v>74</v>
      </c>
      <c r="I32" s="8"/>
    </row>
    <row r="33" spans="1:16" ht="23.1" customHeight="1" x14ac:dyDescent="0.2">
      <c r="A33" s="7" t="s">
        <v>72</v>
      </c>
      <c r="B33" s="5"/>
      <c r="C33" s="5" t="s">
        <v>88</v>
      </c>
      <c r="D33" s="3" t="s">
        <v>42</v>
      </c>
      <c r="E33" s="6">
        <v>28</v>
      </c>
      <c r="F33" s="17"/>
      <c r="G33" s="17">
        <f>ROUND(М[[#This Row],[Количество]]*М[[#This Row],[Цена за ед., руб]],2)</f>
        <v>0</v>
      </c>
      <c r="H33" s="5"/>
      <c r="I33" s="8"/>
    </row>
    <row r="34" spans="1:16" ht="11.1" customHeight="1" x14ac:dyDescent="0.2">
      <c r="A34" s="7" t="s">
        <v>72</v>
      </c>
      <c r="B34" s="5"/>
      <c r="C34" s="5" t="s">
        <v>90</v>
      </c>
      <c r="D34" s="3" t="s">
        <v>42</v>
      </c>
      <c r="E34" s="6">
        <v>4</v>
      </c>
      <c r="F34" s="17"/>
      <c r="G34" s="17">
        <f>ROUND(М[[#This Row],[Количество]]*М[[#This Row],[Цена за ед., руб]],2)</f>
        <v>0</v>
      </c>
      <c r="H34" s="5"/>
      <c r="I34" s="8"/>
    </row>
    <row r="35" spans="1:16" ht="11.1" customHeight="1" x14ac:dyDescent="0.2">
      <c r="A35" s="7" t="s">
        <v>72</v>
      </c>
      <c r="B35" s="5"/>
      <c r="C35" s="5" t="s">
        <v>92</v>
      </c>
      <c r="D35" s="3" t="s">
        <v>42</v>
      </c>
      <c r="E35" s="6">
        <v>7</v>
      </c>
      <c r="F35" s="17"/>
      <c r="G35" s="17">
        <f>ROUND(М[[#This Row],[Количество]]*М[[#This Row],[Цена за ед., руб]],2)</f>
        <v>0</v>
      </c>
      <c r="H35" s="5"/>
      <c r="I35" s="8"/>
    </row>
    <row r="36" spans="1:16" ht="11.1" customHeight="1" x14ac:dyDescent="0.2">
      <c r="A36" s="7" t="s">
        <v>72</v>
      </c>
      <c r="B36" s="5"/>
      <c r="C36" s="5" t="s">
        <v>94</v>
      </c>
      <c r="D36" s="3" t="s">
        <v>42</v>
      </c>
      <c r="E36" s="6">
        <v>8</v>
      </c>
      <c r="F36" s="17"/>
      <c r="G36" s="17">
        <f>ROUND(М[[#This Row],[Количество]]*М[[#This Row],[Цена за ед., руб]],2)</f>
        <v>0</v>
      </c>
      <c r="H36" s="5" t="s">
        <v>74</v>
      </c>
      <c r="I36" s="8"/>
    </row>
    <row r="37" spans="1:16" ht="23.1" customHeight="1" x14ac:dyDescent="0.2">
      <c r="A37" s="7" t="s">
        <v>96</v>
      </c>
      <c r="B37" s="5"/>
      <c r="C37" s="5"/>
      <c r="D37" s="3" t="s">
        <v>42</v>
      </c>
      <c r="E37" s="6">
        <v>9</v>
      </c>
      <c r="F37" s="17"/>
      <c r="G37" s="17">
        <f>ROUND(М[[#This Row],[Количество]]*М[[#This Row],[Цена за ед., руб]],2)</f>
        <v>0</v>
      </c>
      <c r="H37" s="5" t="s">
        <v>97</v>
      </c>
      <c r="I37" s="8"/>
    </row>
    <row r="38" spans="1:16" ht="11.1" customHeight="1" x14ac:dyDescent="0.2">
      <c r="A38" s="11" t="s">
        <v>96</v>
      </c>
      <c r="B38" s="20"/>
      <c r="C38" s="20"/>
      <c r="D38" s="12" t="s">
        <v>42</v>
      </c>
      <c r="E38" s="13">
        <v>5</v>
      </c>
      <c r="F38" s="17"/>
      <c r="G38" s="18">
        <f>ROUND(М[[#This Row],[Количество]]*М[[#This Row],[Цена за ед., руб]],2)</f>
        <v>0</v>
      </c>
      <c r="H38" s="20"/>
      <c r="I38" s="15"/>
    </row>
    <row r="39" spans="1:16" ht="11.1" customHeight="1" x14ac:dyDescent="0.2">
      <c r="A39" s="11" t="s">
        <v>137</v>
      </c>
      <c r="B39" s="20"/>
      <c r="C39" s="20"/>
      <c r="D39" s="74" t="s">
        <v>35</v>
      </c>
      <c r="E39" s="79"/>
      <c r="F39" s="18"/>
      <c r="G39" s="18">
        <f ca="1">SUMIF(ЛСР!$B$7:$N$92,М[[#This Row],[Наим.]],ЛСР!$N$7:$N$92)</f>
        <v>0</v>
      </c>
      <c r="H39" s="20"/>
      <c r="I39" s="15"/>
    </row>
    <row r="40" spans="1:16" ht="11.45" customHeight="1" x14ac:dyDescent="0.2">
      <c r="A40" s="11" t="s">
        <v>136</v>
      </c>
      <c r="B40" s="20"/>
      <c r="C40" s="20"/>
      <c r="D40" s="12"/>
      <c r="E40" s="14"/>
      <c r="F40" s="18"/>
      <c r="G40" s="18">
        <f ca="1">SUBTOTAL(109,М[Сумма, руб])</f>
        <v>0</v>
      </c>
      <c r="H40" s="20"/>
      <c r="I40" s="15"/>
    </row>
    <row r="41" spans="1:16" ht="11.45" customHeight="1" x14ac:dyDescent="0.2">
      <c r="F41" s="80" t="s">
        <v>162</v>
      </c>
      <c r="G41" s="81">
        <f ca="1">ЛСР!N95-М[[#Totals],[Сумма, руб]]</f>
        <v>0</v>
      </c>
    </row>
    <row r="43" spans="1:16" ht="11.25" x14ac:dyDescent="0.2">
      <c r="A43" s="82" t="s">
        <v>141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4"/>
      <c r="N43" s="83"/>
      <c r="O43" s="83"/>
      <c r="P43" s="83"/>
    </row>
    <row r="44" spans="1:16" ht="26.25" customHeight="1" x14ac:dyDescent="0.2">
      <c r="A44" s="90" t="s">
        <v>143</v>
      </c>
      <c r="B44" s="90"/>
      <c r="C44" s="90"/>
      <c r="D44" s="90"/>
      <c r="E44" s="90"/>
      <c r="F44" s="90"/>
      <c r="G44" s="90"/>
      <c r="H44" s="90"/>
      <c r="I44" s="90"/>
      <c r="J44" s="85"/>
      <c r="K44" s="85"/>
      <c r="L44" s="85"/>
      <c r="M44" s="85"/>
      <c r="N44" s="85"/>
      <c r="O44" s="85"/>
      <c r="P44" s="85"/>
    </row>
    <row r="45" spans="1:16" ht="36.75" customHeight="1" x14ac:dyDescent="0.2">
      <c r="A45" s="91" t="s">
        <v>144</v>
      </c>
      <c r="B45" s="91"/>
      <c r="C45" s="91"/>
      <c r="D45" s="91"/>
      <c r="E45" s="91"/>
      <c r="F45" s="91"/>
      <c r="G45" s="91"/>
      <c r="H45" s="91"/>
      <c r="I45" s="91"/>
      <c r="J45" s="86"/>
      <c r="K45" s="86"/>
      <c r="L45" s="86"/>
      <c r="M45" s="86"/>
      <c r="N45" s="86"/>
      <c r="O45" s="86"/>
      <c r="P45" s="86"/>
    </row>
    <row r="46" spans="1:16" ht="11.25" x14ac:dyDescent="0.2">
      <c r="A46" s="92" t="s">
        <v>145</v>
      </c>
      <c r="B46" s="92"/>
      <c r="C46" s="92"/>
      <c r="D46" s="92"/>
      <c r="E46" s="92"/>
      <c r="F46" s="92"/>
      <c r="G46" s="92"/>
      <c r="H46" s="92"/>
      <c r="I46" s="92"/>
      <c r="J46" s="87"/>
      <c r="K46" s="87"/>
      <c r="L46" s="87"/>
      <c r="M46" s="87"/>
      <c r="N46" s="87"/>
      <c r="O46" s="87"/>
      <c r="P46" s="87"/>
    </row>
    <row r="47" spans="1:16" ht="11.25" x14ac:dyDescent="0.2">
      <c r="A47" s="93" t="s">
        <v>146</v>
      </c>
      <c r="B47" s="93"/>
      <c r="C47" s="93"/>
      <c r="D47" s="93"/>
      <c r="E47" s="93"/>
      <c r="F47" s="93"/>
      <c r="G47" s="93"/>
      <c r="H47" s="93"/>
      <c r="I47" s="93"/>
      <c r="J47" s="88"/>
      <c r="K47" s="83"/>
      <c r="L47" s="83"/>
      <c r="M47" s="84"/>
      <c r="N47" s="83"/>
      <c r="O47" s="83"/>
      <c r="P47" s="83"/>
    </row>
    <row r="48" spans="1:16" ht="11.25" x14ac:dyDescent="0.2">
      <c r="G48"/>
      <c r="H48"/>
      <c r="I48"/>
    </row>
  </sheetData>
  <mergeCells count="5">
    <mergeCell ref="A1:H1"/>
    <mergeCell ref="A44:I44"/>
    <mergeCell ref="A45:I45"/>
    <mergeCell ref="A46:I46"/>
    <mergeCell ref="A47:I47"/>
  </mergeCells>
  <dataValidations count="1">
    <dataValidation type="list" errorStyle="information" allowBlank="1" showInputMessage="1" showErrorMessage="1" sqref="I3:I39" xr:uid="{31CA9A96-FA9C-46DC-B747-7126995C4056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124</v>
      </c>
      <c r="B1" s="1" t="s">
        <v>125</v>
      </c>
    </row>
    <row r="2" spans="1:2" ht="11.1" customHeight="1" x14ac:dyDescent="0.2">
      <c r="A2" s="1" t="s">
        <v>126</v>
      </c>
      <c r="B2" s="1" t="s">
        <v>127</v>
      </c>
    </row>
    <row r="3" spans="1:2" ht="11.1" customHeight="1" x14ac:dyDescent="0.2">
      <c r="A3" s="1" t="s">
        <v>128</v>
      </c>
      <c r="B3" s="1" t="s">
        <v>129</v>
      </c>
    </row>
    <row r="4" spans="1:2" ht="11.1" customHeight="1" x14ac:dyDescent="0.2">
      <c r="A4" s="1" t="s">
        <v>130</v>
      </c>
      <c r="B4" s="1" t="s">
        <v>131</v>
      </c>
    </row>
    <row r="5" spans="1:2" ht="11.1" customHeight="1" x14ac:dyDescent="0.2">
      <c r="A5" s="1" t="s">
        <v>132</v>
      </c>
      <c r="B5" s="1" t="s">
        <v>133</v>
      </c>
    </row>
    <row r="6" spans="1:2" ht="11.1" customHeight="1" x14ac:dyDescent="0.2">
      <c r="A6" s="1" t="s">
        <v>134</v>
      </c>
      <c r="B6" s="1" t="s">
        <v>135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2026-09-10T08:22:41Z</dcterms:modified>
</cp:coreProperties>
</file>