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ЕКБ\Амундсена\11 Внутренние инженерные сети\11.10-11.14,11.16,11.17,11.20,11.21 Слаботочные сети\На отправку в тендер\"/>
    </mc:Choice>
  </mc:AlternateContent>
  <xr:revisionPtr revIDLastSave="0" documentId="13_ncr:1_{4E0A4955-192F-4C20-B022-3834BD3E924C}" xr6:coauthVersionLast="47" xr6:coauthVersionMax="47" xr10:uidLastSave="{00000000-0000-0000-0000-000000000000}"/>
  <bookViews>
    <workbookView xWindow="3510" yWindow="3330" windowWidth="29130" windowHeight="1827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ЛСР!$A$9:$L$97</definedName>
  </definedNames>
  <calcPr calcId="191029"/>
</workbook>
</file>

<file path=xl/calcChain.xml><?xml version="1.0" encoding="utf-8"?>
<calcChain xmlns="http://schemas.openxmlformats.org/spreadsheetml/2006/main">
  <c r="L26" i="1" l="1" a="1"/>
  <c r="L26" i="1" s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H26" i="1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G53" i="1"/>
  <c r="H53" i="1" s="1"/>
  <c r="G52" i="1"/>
  <c r="H52" i="1" s="1"/>
  <c r="G51" i="1"/>
  <c r="G50" i="1"/>
  <c r="H50" i="1" s="1"/>
  <c r="G49" i="1"/>
  <c r="H49" i="1" s="1"/>
  <c r="G48" i="1"/>
  <c r="H48" i="1" s="1"/>
  <c r="G47" i="1"/>
  <c r="H47" i="1" s="1"/>
  <c r="G46" i="1"/>
  <c r="H46" i="1" s="1"/>
  <c r="G45" i="1"/>
  <c r="G44" i="1"/>
  <c r="G43" i="1"/>
  <c r="H43" i="1" s="1"/>
  <c r="G42" i="1"/>
  <c r="H42" i="1" s="1"/>
  <c r="G41" i="1"/>
  <c r="H41" i="1" s="1"/>
  <c r="G40" i="1"/>
  <c r="H40" i="1" s="1"/>
  <c r="I53" i="1" a="1"/>
  <c r="I53" i="1" s="1"/>
  <c r="J53" i="1" s="1"/>
  <c r="I52" i="1" a="1"/>
  <c r="I52" i="1" s="1"/>
  <c r="J52" i="1" s="1"/>
  <c r="I51" i="1" a="1"/>
  <c r="I51" i="1" s="1"/>
  <c r="J51" i="1" s="1"/>
  <c r="H51" i="1"/>
  <c r="I50" i="1" a="1"/>
  <c r="I50" i="1" s="1"/>
  <c r="J50" i="1" s="1"/>
  <c r="I49" i="1" a="1"/>
  <c r="I49" i="1" s="1"/>
  <c r="J49" i="1" s="1"/>
  <c r="I48" i="1" a="1"/>
  <c r="I48" i="1" s="1"/>
  <c r="J48" i="1" s="1"/>
  <c r="I47" i="1" a="1"/>
  <c r="I47" i="1" s="1"/>
  <c r="J47" i="1" s="1"/>
  <c r="I46" i="1" a="1"/>
  <c r="I46" i="1" s="1"/>
  <c r="J46" i="1" s="1"/>
  <c r="I45" i="1" a="1"/>
  <c r="I45" i="1" s="1"/>
  <c r="J45" i="1" s="1"/>
  <c r="H45" i="1"/>
  <c r="I44" i="1" a="1"/>
  <c r="I44" i="1" s="1"/>
  <c r="J44" i="1" s="1"/>
  <c r="H44" i="1"/>
  <c r="I43" i="1" a="1"/>
  <c r="I43" i="1" s="1"/>
  <c r="J43" i="1" s="1"/>
  <c r="I42" i="1" a="1"/>
  <c r="I42" i="1" s="1"/>
  <c r="J42" i="1" s="1"/>
  <c r="I41" i="1" a="1"/>
  <c r="I41" i="1" s="1"/>
  <c r="J41" i="1" s="1"/>
  <c r="I40" i="1" a="1"/>
  <c r="I40" i="1" s="1"/>
  <c r="J40" i="1" s="1"/>
  <c r="I36" i="1" a="1"/>
  <c r="I36" i="1" s="1"/>
  <c r="J36" i="1" s="1"/>
  <c r="G36" i="1"/>
  <c r="H36" i="1" s="1"/>
  <c r="I31" i="1" a="1"/>
  <c r="I31" i="1" s="1"/>
  <c r="J31" i="1" s="1"/>
  <c r="I30" i="1" a="1"/>
  <c r="I30" i="1" s="1"/>
  <c r="J30" i="1" s="1"/>
  <c r="G31" i="1"/>
  <c r="H31" i="1" s="1"/>
  <c r="G30" i="1"/>
  <c r="H30" i="1" s="1"/>
  <c r="G84" i="1"/>
  <c r="H84" i="1" s="1"/>
  <c r="G22" i="1"/>
  <c r="H22" i="1" s="1"/>
  <c r="G15" i="1"/>
  <c r="H15" i="1" s="1"/>
  <c r="I15" i="1" a="1"/>
  <c r="I15" i="1" s="1"/>
  <c r="H17" i="1"/>
  <c r="L17" i="1" a="1"/>
  <c r="L17" i="1" s="1"/>
  <c r="I17" i="1" a="1"/>
  <c r="I17" i="1" s="1"/>
  <c r="J17" i="1" s="1"/>
  <c r="H18" i="1"/>
  <c r="L18" i="1" a="1"/>
  <c r="L18" i="1" s="1"/>
  <c r="I18" i="1" a="1"/>
  <c r="I18" i="1" s="1"/>
  <c r="J18" i="1" s="1"/>
  <c r="H19" i="1"/>
  <c r="L19" i="1" a="1"/>
  <c r="L19" i="1" s="1"/>
  <c r="I19" i="1" a="1"/>
  <c r="I19" i="1" s="1"/>
  <c r="H20" i="1"/>
  <c r="L20" i="1" a="1"/>
  <c r="L20" i="1" s="1"/>
  <c r="I20" i="1" a="1"/>
  <c r="I20" i="1" s="1"/>
  <c r="I22" i="1" a="1"/>
  <c r="I22" i="1" s="1"/>
  <c r="H24" i="1"/>
  <c r="L24" i="1" a="1"/>
  <c r="L24" i="1" s="1"/>
  <c r="I24" i="1" a="1"/>
  <c r="I24" i="1" s="1"/>
  <c r="J24" i="1" s="1"/>
  <c r="J23" i="1" s="1"/>
  <c r="H33" i="1"/>
  <c r="L33" i="1" a="1"/>
  <c r="L33" i="1" s="1"/>
  <c r="I33" i="1" a="1"/>
  <c r="I33" i="1" s="1"/>
  <c r="J33" i="1" s="1"/>
  <c r="H34" i="1"/>
  <c r="L34" i="1" a="1"/>
  <c r="L34" i="1" s="1"/>
  <c r="I34" i="1" a="1"/>
  <c r="I34" i="1" s="1"/>
  <c r="H38" i="1"/>
  <c r="L38" i="1" a="1"/>
  <c r="L38" i="1" s="1"/>
  <c r="I38" i="1" a="1"/>
  <c r="I38" i="1" s="1"/>
  <c r="H55" i="1"/>
  <c r="L55" i="1" a="1"/>
  <c r="L55" i="1" s="1"/>
  <c r="I55" i="1" a="1"/>
  <c r="I55" i="1" s="1"/>
  <c r="J55" i="1" s="1"/>
  <c r="H56" i="1"/>
  <c r="L56" i="1" a="1"/>
  <c r="L56" i="1" s="1"/>
  <c r="I56" i="1" a="1"/>
  <c r="I56" i="1" s="1"/>
  <c r="H57" i="1"/>
  <c r="L57" i="1" a="1"/>
  <c r="L57" i="1" s="1"/>
  <c r="I57" i="1" a="1"/>
  <c r="I57" i="1" s="1"/>
  <c r="H58" i="1"/>
  <c r="L58" i="1" a="1"/>
  <c r="L58" i="1" s="1"/>
  <c r="I58" i="1" a="1"/>
  <c r="I58" i="1" s="1"/>
  <c r="H59" i="1"/>
  <c r="L59" i="1" a="1"/>
  <c r="L59" i="1" s="1"/>
  <c r="I59" i="1" a="1"/>
  <c r="I59" i="1" s="1"/>
  <c r="H60" i="1"/>
  <c r="L60" i="1" a="1"/>
  <c r="L60" i="1" s="1"/>
  <c r="I60" i="1" a="1"/>
  <c r="I60" i="1" s="1"/>
  <c r="H61" i="1"/>
  <c r="L61" i="1" a="1"/>
  <c r="L61" i="1" s="1"/>
  <c r="I61" i="1" a="1"/>
  <c r="I61" i="1" s="1"/>
  <c r="H62" i="1"/>
  <c r="L62" i="1" a="1"/>
  <c r="L62" i="1" s="1"/>
  <c r="I62" i="1" a="1"/>
  <c r="I62" i="1" s="1"/>
  <c r="H63" i="1"/>
  <c r="L63" i="1" a="1"/>
  <c r="L63" i="1" s="1"/>
  <c r="I63" i="1" a="1"/>
  <c r="I63" i="1" s="1"/>
  <c r="H64" i="1"/>
  <c r="L64" i="1" a="1"/>
  <c r="L64" i="1" s="1"/>
  <c r="I64" i="1" a="1"/>
  <c r="I64" i="1" s="1"/>
  <c r="H65" i="1"/>
  <c r="L65" i="1" a="1"/>
  <c r="L65" i="1" s="1"/>
  <c r="I65" i="1" a="1"/>
  <c r="I65" i="1" s="1"/>
  <c r="H66" i="1"/>
  <c r="L66" i="1" a="1"/>
  <c r="L66" i="1" s="1"/>
  <c r="I66" i="1" a="1"/>
  <c r="I66" i="1" s="1"/>
  <c r="H67" i="1"/>
  <c r="L67" i="1" a="1"/>
  <c r="L67" i="1" s="1"/>
  <c r="I67" i="1" a="1"/>
  <c r="I67" i="1" s="1"/>
  <c r="H68" i="1"/>
  <c r="L68" i="1" a="1"/>
  <c r="L68" i="1" s="1"/>
  <c r="I68" i="1" a="1"/>
  <c r="I68" i="1" s="1"/>
  <c r="H69" i="1"/>
  <c r="L69" i="1" a="1"/>
  <c r="L69" i="1" s="1"/>
  <c r="I69" i="1" a="1"/>
  <c r="I69" i="1" s="1"/>
  <c r="J69" i="1" s="1"/>
  <c r="H70" i="1"/>
  <c r="L70" i="1" a="1"/>
  <c r="L70" i="1" s="1"/>
  <c r="I70" i="1" a="1"/>
  <c r="I70" i="1" s="1"/>
  <c r="H71" i="1"/>
  <c r="L71" i="1" a="1"/>
  <c r="L71" i="1" s="1"/>
  <c r="I71" i="1" a="1"/>
  <c r="I71" i="1" s="1"/>
  <c r="H72" i="1"/>
  <c r="L72" i="1" a="1"/>
  <c r="L72" i="1" s="1"/>
  <c r="I72" i="1" a="1"/>
  <c r="I72" i="1" s="1"/>
  <c r="H73" i="1"/>
  <c r="L73" i="1" a="1"/>
  <c r="L73" i="1" s="1"/>
  <c r="I73" i="1" a="1"/>
  <c r="I73" i="1" s="1"/>
  <c r="H74" i="1"/>
  <c r="L74" i="1" a="1"/>
  <c r="L74" i="1" s="1"/>
  <c r="I74" i="1" a="1"/>
  <c r="I74" i="1" s="1"/>
  <c r="H75" i="1"/>
  <c r="L75" i="1" a="1"/>
  <c r="L75" i="1" s="1"/>
  <c r="I75" i="1" a="1"/>
  <c r="I75" i="1" s="1"/>
  <c r="J75" i="1" s="1"/>
  <c r="H76" i="1"/>
  <c r="L76" i="1" a="1"/>
  <c r="L76" i="1" s="1"/>
  <c r="I76" i="1" a="1"/>
  <c r="I76" i="1" s="1"/>
  <c r="H77" i="1"/>
  <c r="L77" i="1" a="1"/>
  <c r="L77" i="1" s="1"/>
  <c r="I77" i="1" a="1"/>
  <c r="I77" i="1" s="1"/>
  <c r="H78" i="1"/>
  <c r="L78" i="1" a="1"/>
  <c r="L78" i="1" s="1"/>
  <c r="I78" i="1" a="1"/>
  <c r="I78" i="1" s="1"/>
  <c r="H79" i="1"/>
  <c r="L79" i="1" a="1"/>
  <c r="L79" i="1" s="1"/>
  <c r="I79" i="1" a="1"/>
  <c r="I79" i="1" s="1"/>
  <c r="H80" i="1"/>
  <c r="L80" i="1" a="1"/>
  <c r="L80" i="1" s="1"/>
  <c r="I80" i="1" a="1"/>
  <c r="I80" i="1" s="1"/>
  <c r="J80" i="1" s="1"/>
  <c r="I84" i="1" a="1"/>
  <c r="I84" i="1" s="1"/>
  <c r="H86" i="1"/>
  <c r="L86" i="1" a="1"/>
  <c r="L86" i="1" s="1"/>
  <c r="I86" i="1" a="1"/>
  <c r="I86" i="1" s="1"/>
  <c r="J86" i="1" s="1"/>
  <c r="H87" i="1"/>
  <c r="L87" i="1" a="1"/>
  <c r="L87" i="1" s="1"/>
  <c r="I87" i="1" a="1"/>
  <c r="I87" i="1" s="1"/>
  <c r="H88" i="1"/>
  <c r="L88" i="1" a="1"/>
  <c r="L88" i="1" s="1"/>
  <c r="I88" i="1" a="1"/>
  <c r="I88" i="1" s="1"/>
  <c r="H92" i="1"/>
  <c r="I92" i="1" a="1"/>
  <c r="I92" i="1" s="1"/>
  <c r="J92" i="1" s="1"/>
  <c r="J91" i="1" s="1"/>
  <c r="E20" i="2"/>
  <c r="E5" i="2"/>
  <c r="E4" i="2"/>
  <c r="E21" i="2" s="1"/>
  <c r="J20" i="1" l="1"/>
  <c r="J56" i="1"/>
  <c r="J35" i="1"/>
  <c r="J34" i="1"/>
  <c r="J32" i="1" s="1"/>
  <c r="J58" i="1"/>
  <c r="J64" i="1"/>
  <c r="J70" i="1"/>
  <c r="J15" i="1"/>
  <c r="J14" i="1" s="1"/>
  <c r="J84" i="1"/>
  <c r="J83" i="1" s="1"/>
  <c r="J22" i="1"/>
  <c r="J21" i="1" s="1"/>
  <c r="J71" i="1"/>
  <c r="J59" i="1"/>
  <c r="J60" i="1"/>
  <c r="J65" i="1"/>
  <c r="J74" i="1"/>
  <c r="J88" i="1"/>
  <c r="J62" i="1"/>
  <c r="J90" i="1"/>
  <c r="J89" i="1" s="1"/>
  <c r="J38" i="1"/>
  <c r="J37" i="1" s="1"/>
  <c r="J61" i="1"/>
  <c r="J63" i="1"/>
  <c r="J66" i="1"/>
  <c r="J76" i="1"/>
  <c r="J77" i="1"/>
  <c r="J78" i="1"/>
  <c r="J19" i="1"/>
  <c r="J26" i="1" s="1"/>
  <c r="J57" i="1"/>
  <c r="J67" i="1"/>
  <c r="J68" i="1"/>
  <c r="J72" i="1"/>
  <c r="J73" i="1"/>
  <c r="J79" i="1"/>
  <c r="J87" i="1"/>
  <c r="J25" i="1" l="1"/>
  <c r="G36" i="3"/>
  <c r="G37" i="3" s="1"/>
  <c r="J16" i="1"/>
  <c r="J13" i="1" s="1"/>
  <c r="J12" i="1" s="1"/>
  <c r="J39" i="1"/>
  <c r="J29" i="1"/>
  <c r="J85" i="1"/>
  <c r="J82" i="1" s="1"/>
  <c r="J81" i="1" s="1"/>
  <c r="J54" i="1"/>
  <c r="J94" i="1" l="1"/>
  <c r="E22" i="2" s="1"/>
  <c r="J28" i="1"/>
  <c r="J27" i="1" s="1"/>
  <c r="J11" i="1" s="1"/>
  <c r="J93" i="1" s="1"/>
  <c r="J95" i="1"/>
  <c r="G38" i="3" s="1"/>
</calcChain>
</file>

<file path=xl/sharedStrings.xml><?xml version="1.0" encoding="utf-8"?>
<sst xmlns="http://schemas.openxmlformats.org/spreadsheetml/2006/main" count="470" uniqueCount="172">
  <si>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6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</si>
  <si>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</si>
  <si>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</si>
  <si>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</si>
  <si>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</si>
  <si>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</si>
  <si>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</si>
  <si>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</si>
  <si>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</si>
  <si>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</si>
  <si>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</si>
  <si>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</si>
  <si>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</si>
  <si>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</si>
  <si>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11.10</t>
  </si>
  <si>
    <t>Устройство системы пожарной сигнализации и системы оповещения и управления эвакуацией людей при пожаре</t>
  </si>
  <si>
    <t>11.10.01</t>
  </si>
  <si>
    <t>Прокладка КПП и КНС (горизонтальные КЛ)</t>
  </si>
  <si>
    <t>11.10.01.00</t>
  </si>
  <si>
    <t>Работы:</t>
  </si>
  <si>
    <t>Прокладка кабеля для систем охранно-пожарной сигнализации</t>
  </si>
  <si>
    <t>м</t>
  </si>
  <si>
    <t>Материалы:</t>
  </si>
  <si>
    <t>1</t>
  </si>
  <si>
    <t>Кабель</t>
  </si>
  <si>
    <t>КПСнг(А)-FRLS 1х2х1,0</t>
  </si>
  <si>
    <t>ОКЛ</t>
  </si>
  <si>
    <t>2</t>
  </si>
  <si>
    <t>КПСнг(А)-FRLS 1х2х0,5</t>
  </si>
  <si>
    <t>3</t>
  </si>
  <si>
    <t>КПСнг(А)-FRLS 2х2х0,5</t>
  </si>
  <si>
    <t>4</t>
  </si>
  <si>
    <t>КПСнг(А)-FRLS 1х2х1,5</t>
  </si>
  <si>
    <t>Прокладка трубы гофрированной до 32 мм</t>
  </si>
  <si>
    <t>Труба электромонтажная</t>
  </si>
  <si>
    <t>ПВХ гофр. легкая с протяжкой 20мм</t>
  </si>
  <si>
    <t>пог. м</t>
  </si>
  <si>
    <t>%</t>
  </si>
  <si>
    <t>11.10.02</t>
  </si>
  <si>
    <t>Установка оборудования</t>
  </si>
  <si>
    <t>11.10.02.00</t>
  </si>
  <si>
    <t>компл.</t>
  </si>
  <si>
    <t>Коробка распределительная</t>
  </si>
  <si>
    <t>открытой установки КМОМГ (8к х 10мм) 150х150х60 IP66</t>
  </si>
  <si>
    <t>шт</t>
  </si>
  <si>
    <t>(либо аналог)</t>
  </si>
  <si>
    <t>Извещатель</t>
  </si>
  <si>
    <t>пожарный ручной адресный с изолятором красный</t>
  </si>
  <si>
    <t>ИП 513-11ИКЗ-А-R3 (либо аналог)</t>
  </si>
  <si>
    <t>Устройство дистанционного пуска</t>
  </si>
  <si>
    <t>УДП 513-11 ИКЗ-R3 "Пуск дымоудаления" (либо аналог)</t>
  </si>
  <si>
    <t>Фильтр оконечный для трансляционной линии</t>
  </si>
  <si>
    <t>Sonar SFT-2300-M (либо аналог)</t>
  </si>
  <si>
    <t>Громкоговоритель (шт.)</t>
  </si>
  <si>
    <t>настенный 10Вт 100В</t>
  </si>
  <si>
    <t>Громкоговоритель трансляционный настенный SW-10 (либо аналог)</t>
  </si>
  <si>
    <t>Модуль релейный (шт.)</t>
  </si>
  <si>
    <t>РМ-1-R3</t>
  </si>
  <si>
    <t>5</t>
  </si>
  <si>
    <t>РМ-4-R3</t>
  </si>
  <si>
    <t>6</t>
  </si>
  <si>
    <t>Метка адресная (шт.)</t>
  </si>
  <si>
    <t>АМ-1-R3</t>
  </si>
  <si>
    <t>7</t>
  </si>
  <si>
    <t>АМ-4-R3</t>
  </si>
  <si>
    <t>8</t>
  </si>
  <si>
    <t>открытой установки КМОПГ (2к х 2,5мм) 100х100х50 IP54</t>
  </si>
  <si>
    <t>9</t>
  </si>
  <si>
    <t>Шкаф управления пожарный</t>
  </si>
  <si>
    <t>11кВт 380В</t>
  </si>
  <si>
    <t>ШУН/В-11-03-R3 (либо аналог)</t>
  </si>
  <si>
    <t>10</t>
  </si>
  <si>
    <t>ШУН/В-22-03-УПП-R3</t>
  </si>
  <si>
    <t>ШУН/В-22-03-УПП-R3 (либо аналог)</t>
  </si>
  <si>
    <t>ШУН/В-15-03-УПП-R3</t>
  </si>
  <si>
    <t>ШУН/В-15-03-УПП-R3 (либо аналог)</t>
  </si>
  <si>
    <t>12</t>
  </si>
  <si>
    <t>7,5кВт 380В</t>
  </si>
  <si>
    <t>ШУН/В-7,5-03-R3 (либо аналог)</t>
  </si>
  <si>
    <t>13</t>
  </si>
  <si>
    <t>Оповещатель охранно-пожарный</t>
  </si>
  <si>
    <t>световой адресный "Стрелка вправо"</t>
  </si>
  <si>
    <t>14</t>
  </si>
  <si>
    <t>световой адресный "Стрелка влево"</t>
  </si>
  <si>
    <t>15</t>
  </si>
  <si>
    <t>световой адресный "Выход"</t>
  </si>
  <si>
    <t>16</t>
  </si>
  <si>
    <t>Аккумулятор</t>
  </si>
  <si>
    <t>12В 18Ач</t>
  </si>
  <si>
    <t>17</t>
  </si>
  <si>
    <t>12В 40Ач</t>
  </si>
  <si>
    <t>18</t>
  </si>
  <si>
    <t>19</t>
  </si>
  <si>
    <t>пожарный дымовой адресно-аналоговый</t>
  </si>
  <si>
    <t>ИП 212-64-R3 W1.02 (либо аналог)</t>
  </si>
  <si>
    <t>20</t>
  </si>
  <si>
    <t>охранный магнитоуправляемый адресный</t>
  </si>
  <si>
    <t>ИО 102-26 исп.00 "Аякс" (либо аналог)</t>
  </si>
  <si>
    <t>21</t>
  </si>
  <si>
    <t>Прибор приемно-контрольный охранно-пожарный</t>
  </si>
  <si>
    <t>R3-Рубеж-2ОП</t>
  </si>
  <si>
    <t>22</t>
  </si>
  <si>
    <t>Модуль дымоудаления</t>
  </si>
  <si>
    <t>24Вт 230В</t>
  </si>
  <si>
    <t>МДУ-1С-R3 (либо аналог)</t>
  </si>
  <si>
    <t>23</t>
  </si>
  <si>
    <t>Изолятор шлейфа</t>
  </si>
  <si>
    <t>24</t>
  </si>
  <si>
    <t>Источник бесперебойного электропитания</t>
  </si>
  <si>
    <t>ИВЭПР 12/2 RS-R3 2х17 БР</t>
  </si>
  <si>
    <t>25</t>
  </si>
  <si>
    <t>ИВЭПР 12/2 RS-R3 2х40 БР</t>
  </si>
  <si>
    <t>26</t>
  </si>
  <si>
    <t>Шкаф монтажный</t>
  </si>
  <si>
    <t>настенный 8U SONAR RACK SPM Ш-15-0925</t>
  </si>
  <si>
    <t>Стойка СОУЭ заводской сборки SONAR RACK SPM 8U Ш-15-0925 (либо аналог)</t>
  </si>
  <si>
    <t>11.10.03</t>
  </si>
  <si>
    <t>Прокладка КПП и КНС (вертикальные КЛ)</t>
  </si>
  <si>
    <t>11.10.03.00</t>
  </si>
  <si>
    <t>11.10.04</t>
  </si>
  <si>
    <t>ПНР</t>
  </si>
  <si>
    <t>11.10.04.00</t>
  </si>
  <si>
    <t>Пусконаладочные работы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</si>
  <si>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</si>
  <si>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</si>
  <si>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</si>
  <si>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</si>
  <si>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</si>
  <si>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</si>
  <si>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</si>
  <si>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</si>
  <si>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</si>
  <si>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</si>
  <si>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</si>
  <si>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</si>
  <si>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</si>
  <si>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Екатеринбург.06.11.10 Секция 4(паркинг)_Устройство системы пожарной сигнализации и системы оповещения и управления эвакуацией людей при</t>
  </si>
  <si>
    <t>9be5fe30-a13a-11f1-9619-cc5d3c3b48f3</t>
  </si>
  <si>
    <t>Итог</t>
  </si>
  <si>
    <t>Паркинг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</si>
  <si>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</si>
  <si>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</si>
  <si>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</si>
  <si>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</si>
  <si>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</si>
  <si>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</si>
  <si>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ПОДРЯДЧИК:</t>
  </si>
  <si>
    <t>ЗАКАЗЧИК:</t>
  </si>
  <si>
    <t>ТЕХНИЧЕСКИЙ ЗАКАЗЧИК:</t>
  </si>
  <si>
    <t>Устройство системы ПС и СОУЭ</t>
  </si>
  <si>
    <t>в тч НДС ____%</t>
  </si>
  <si>
    <t>указать %</t>
  </si>
  <si>
    <t>Работы (1 этаж):</t>
  </si>
  <si>
    <t>Работы (типовой этаж, кровля паркинга):</t>
  </si>
  <si>
    <t>Монтаж коробки распределительной</t>
  </si>
  <si>
    <t>Монтаж извещателя</t>
  </si>
  <si>
    <t>Монтаж устройства дистанционного пуска</t>
  </si>
  <si>
    <t>Монтаж фильтра</t>
  </si>
  <si>
    <t>Монтаж громкоговорителя</t>
  </si>
  <si>
    <t>Монтаж модуля релейного</t>
  </si>
  <si>
    <t>Монтаж метки адресной</t>
  </si>
  <si>
    <t>Монтаж шкафа</t>
  </si>
  <si>
    <t>Монтаж оповещателя</t>
  </si>
  <si>
    <t>Монтаж аккумулятора</t>
  </si>
  <si>
    <t>Монтаж ППК</t>
  </si>
  <si>
    <t>Монтаж модуля дымоудаления</t>
  </si>
  <si>
    <t>Монтаж изолятора шлейфа</t>
  </si>
  <si>
    <t>Монтаж источника бесперебойного электропитания</t>
  </si>
  <si>
    <t>Проверка:</t>
  </si>
  <si>
    <t>Прочие материалы</t>
  </si>
  <si>
    <t>Работы (цокольный этаж:-1,-2):</t>
  </si>
  <si>
    <t>Локальный сметный расчет (ЛСР) №8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</si>
</sst>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12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2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5" fillId="0" borderId="0" xfId="0" applyFont="1"/>
    <xf numFmtId="4" fontId="3" fillId="0" borderId="0" xfId="0" applyNumberFormat="1" applyFont="1"/>
    <xf numFmtId="4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/>
    </xf>
    <xf numFmtId="0" fontId="3" fillId="0" borderId="0" xfId="1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1" applyFont="1" applyAlignment="1">
      <alignment vertical="top" wrapText="1"/>
    </xf>
    <xf numFmtId="0" fontId="3" fillId="0" borderId="0" xfId="0" applyFont="1" applyAlignment="1">
      <alignment vertical="top" wrapText="1"/>
    </xf>
    <xf numFmtId="0" fontId="6" fillId="0" borderId="0" xfId="0" applyFont="1" applyAlignment="1">
      <alignment vertical="center"/>
    </xf>
    <xf numFmtId="4" fontId="5" fillId="0" borderId="0" xfId="0" applyNumberFormat="1" applyFont="1"/>
    <xf numFmtId="0" fontId="3" fillId="0" borderId="0" xfId="0" applyFont="1" applyAlignment="1">
      <alignment horizontal="left"/>
    </xf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right" vertical="center"/>
    </xf>
    <xf numFmtId="4" fontId="3" fillId="2" borderId="5" xfId="0" applyNumberFormat="1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left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right" vertical="center"/>
    </xf>
    <xf numFmtId="4" fontId="3" fillId="3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right" vertical="center"/>
    </xf>
    <xf numFmtId="4" fontId="3" fillId="4" borderId="5" xfId="0" applyNumberFormat="1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/>
    </xf>
    <xf numFmtId="0" fontId="3" fillId="4" borderId="5" xfId="0" applyFont="1" applyFill="1" applyBorder="1" applyAlignment="1">
      <alignment horizontal="center" vertical="center"/>
    </xf>
    <xf numFmtId="4" fontId="3" fillId="4" borderId="5" xfId="0" applyNumberFormat="1" applyFont="1" applyFill="1" applyBorder="1" applyAlignment="1">
      <alignment horizontal="center" vertical="center"/>
    </xf>
    <xf numFmtId="4" fontId="5" fillId="4" borderId="0" xfId="0" applyNumberFormat="1" applyFont="1" applyFill="1" applyAlignment="1">
      <alignment horizontal="right" vertical="center"/>
    </xf>
    <xf numFmtId="0" fontId="3" fillId="4" borderId="5" xfId="0" applyFont="1" applyFill="1" applyBorder="1" applyAlignment="1">
      <alignment horizontal="right"/>
    </xf>
    <xf numFmtId="0" fontId="3" fillId="5" borderId="5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right" vertical="center"/>
    </xf>
    <xf numFmtId="3" fontId="3" fillId="5" borderId="5" xfId="0" applyNumberFormat="1" applyFont="1" applyFill="1" applyBorder="1" applyAlignment="1">
      <alignment horizontal="right" vertical="center"/>
    </xf>
    <xf numFmtId="4" fontId="3" fillId="5" borderId="5" xfId="0" applyNumberFormat="1" applyFont="1" applyFill="1" applyBorder="1" applyAlignment="1">
      <alignment horizontal="right" vertical="center"/>
    </xf>
    <xf numFmtId="1" fontId="3" fillId="5" borderId="5" xfId="0" applyNumberFormat="1" applyFont="1" applyFill="1" applyBorder="1" applyAlignment="1">
      <alignment horizontal="right" vertical="center"/>
    </xf>
    <xf numFmtId="0" fontId="3" fillId="6" borderId="5" xfId="0" applyFont="1" applyFill="1" applyBorder="1" applyAlignment="1">
      <alignment horizontal="left"/>
    </xf>
    <xf numFmtId="4" fontId="5" fillId="6" borderId="5" xfId="0" applyNumberFormat="1" applyFont="1" applyFill="1" applyBorder="1" applyAlignment="1">
      <alignment horizontal="right" vertical="center"/>
    </xf>
    <xf numFmtId="0" fontId="3" fillId="6" borderId="5" xfId="0" applyFont="1" applyFill="1" applyBorder="1" applyAlignment="1">
      <alignment horizontal="right"/>
    </xf>
    <xf numFmtId="0" fontId="3" fillId="7" borderId="5" xfId="0" applyFont="1" applyFill="1" applyBorder="1" applyAlignment="1">
      <alignment horizontal="left"/>
    </xf>
    <xf numFmtId="4" fontId="5" fillId="6" borderId="7" xfId="0" applyNumberFormat="1" applyFont="1" applyFill="1" applyBorder="1" applyAlignment="1">
      <alignment horizontal="right" vertical="center"/>
    </xf>
    <xf numFmtId="49" fontId="3" fillId="0" borderId="0" xfId="0" applyNumberFormat="1" applyFont="1"/>
    <xf numFmtId="0" fontId="5" fillId="0" borderId="0" xfId="0" applyFont="1" applyAlignment="1">
      <alignment wrapText="1"/>
    </xf>
    <xf numFmtId="0" fontId="8" fillId="6" borderId="7" xfId="0" applyFont="1" applyFill="1" applyBorder="1" applyAlignment="1">
      <alignment horizontal="center"/>
    </xf>
    <xf numFmtId="0" fontId="9" fillId="0" borderId="0" xfId="0" applyFont="1" applyAlignment="1">
      <alignment horizontal="right"/>
    </xf>
    <xf numFmtId="4" fontId="0" fillId="0" borderId="0" xfId="0" applyNumberFormat="1" applyAlignment="1">
      <alignment horizontal="left"/>
    </xf>
    <xf numFmtId="1" fontId="8" fillId="8" borderId="5" xfId="0" applyNumberFormat="1" applyFont="1" applyFill="1" applyBorder="1" applyAlignment="1">
      <alignment horizontal="right" vertical="center"/>
    </xf>
    <xf numFmtId="4" fontId="8" fillId="5" borderId="5" xfId="0" applyNumberFormat="1" applyFont="1" applyFill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1" fontId="0" fillId="8" borderId="5" xfId="0" applyNumberFormat="1" applyFill="1" applyBorder="1" applyAlignment="1">
      <alignment horizontal="right"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wrapText="1"/>
    </xf>
    <xf numFmtId="0" fontId="11" fillId="0" borderId="0" xfId="0" applyFont="1"/>
    <xf numFmtId="0" fontId="12" fillId="0" borderId="0" xfId="0" applyFont="1"/>
    <xf numFmtId="4" fontId="11" fillId="0" borderId="0" xfId="0" applyNumberFormat="1" applyFont="1"/>
    <xf numFmtId="4" fontId="11" fillId="0" borderId="0" xfId="0" applyNumberFormat="1" applyFont="1" applyAlignment="1">
      <alignment wrapText="1"/>
    </xf>
    <xf numFmtId="0" fontId="11" fillId="0" borderId="0" xfId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6" borderId="9" xfId="0" applyFont="1" applyFill="1" applyBorder="1" applyAlignment="1">
      <alignment horizontal="right"/>
    </xf>
    <xf numFmtId="0" fontId="7" fillId="6" borderId="6" xfId="0" applyFont="1" applyFill="1" applyBorder="1" applyAlignment="1">
      <alignment horizontal="right"/>
    </xf>
    <xf numFmtId="0" fontId="7" fillId="6" borderId="7" xfId="0" applyFont="1" applyFill="1" applyBorder="1" applyAlignment="1">
      <alignment horizontal="right"/>
    </xf>
    <xf numFmtId="0" fontId="5" fillId="6" borderId="9" xfId="0" applyFont="1" applyFill="1" applyBorder="1" applyAlignment="1">
      <alignment horizontal="right"/>
    </xf>
    <xf numFmtId="0" fontId="5" fillId="6" borderId="6" xfId="0" applyFont="1" applyFill="1" applyBorder="1" applyAlignment="1">
      <alignment horizontal="right"/>
    </xf>
    <xf numFmtId="0" fontId="5" fillId="6" borderId="7" xfId="0" applyFont="1" applyFill="1" applyBorder="1" applyAlignment="1">
      <alignment horizontal="right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0" xfId="1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4" fontId="7" fillId="6" borderId="9" xfId="0" applyNumberFormat="1" applyFont="1" applyFill="1" applyBorder="1" applyAlignment="1">
      <alignment horizontal="right"/>
    </xf>
    <xf numFmtId="4" fontId="7" fillId="6" borderId="6" xfId="0" applyNumberFormat="1" applyFont="1" applyFill="1" applyBorder="1" applyAlignment="1">
      <alignment horizontal="right"/>
    </xf>
    <xf numFmtId="4" fontId="7" fillId="6" borderId="7" xfId="0" applyNumberFormat="1" applyFont="1" applyFill="1" applyBorder="1" applyAlignment="1">
      <alignment horizontal="right"/>
    </xf>
    <xf numFmtId="0" fontId="5" fillId="7" borderId="7" xfId="0" applyFont="1" applyFill="1" applyBorder="1" applyAlignment="1">
      <alignment horizontal="center" vertical="center" wrapText="1"/>
    </xf>
    <xf numFmtId="4" fontId="5" fillId="7" borderId="7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top" wrapText="1"/>
    </xf>
    <xf numFmtId="4" fontId="5" fillId="0" borderId="8" xfId="0" applyNumberFormat="1" applyFont="1" applyBorder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1" fillId="0" borderId="0" xfId="1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3 2 2" xfId="1" xr:uid="{34397A7C-6483-4663-84FD-DE83E06F3E9F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E6EF97-8AA5-44DB-954A-F4C66FC8B418}" name="Р" displayName="Р" ref="A3:F21" totalsRowCount="1" headerRowDxfId="37" headerRowBorderDxfId="36" tableBorderDxfId="35" totalsRowBorderDxfId="34">
  <autoFilter ref="A3:F20" xr:uid="{1BE6EF97-8AA5-44DB-954A-F4C66FC8B418}"/>
  <tableColumns count="6">
    <tableColumn id="1" xr3:uid="{F97BA941-F466-4D13-BAD6-0734D0854BB0}" name="Наименование" totalsRowLabel="Итог" dataDxfId="33" totalsRowDxfId="32"/>
    <tableColumn id="2" xr3:uid="{A757B5F8-191D-47DA-BA3B-83143FA43981}" name="Ед. изм." dataDxfId="31" totalsRowDxfId="30"/>
    <tableColumn id="3" xr3:uid="{269B38F2-AAAB-452F-86E8-8952A2953238}" name="Количество" dataDxfId="29" totalsRowDxfId="28"/>
    <tableColumn id="4" xr3:uid="{9F995B75-2968-4A82-8D57-4A711BF6A325}" name="Цена за ед., руб" dataDxfId="27" totalsRowDxfId="26"/>
    <tableColumn id="5" xr3:uid="{18F3D33A-E5EA-4265-9307-4853D2CEA669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2AF74428-11F0-4A4E-BC5E-0C318063D2AF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F158B0-72F0-4C21-AD94-4D32F0835766}" name="М" displayName="М" ref="A3:I37" totalsRowCount="1" headerRowDxfId="21" headerRowBorderDxfId="20" tableBorderDxfId="19" totalsRowBorderDxfId="18">
  <autoFilter ref="A3:I36" xr:uid="{9BF158B0-72F0-4C21-AD94-4D32F0835766}"/>
  <tableColumns count="9">
    <tableColumn id="1" xr3:uid="{A92DAC8A-1B3F-4C21-B4B0-374A5934C1B4}" name="Наим." totalsRowLabel="Итог" dataDxfId="17" totalsRowDxfId="16"/>
    <tableColumn id="2" xr3:uid="{8AB755FD-A014-49E5-80FF-649301D482DB}" name="Артикул, марка, произв." dataDxfId="15" totalsRowDxfId="14"/>
    <tableColumn id="3" xr3:uid="{944DD934-016B-43C8-980F-EEC8834DA085}" name="Хар-ка" dataDxfId="13" totalsRowDxfId="12"/>
    <tableColumn id="4" xr3:uid="{0B8DF144-45CC-47EE-9981-1E27B1CB4C1D}" name="Ед. изм." dataDxfId="11" totalsRowDxfId="10"/>
    <tableColumn id="5" xr3:uid="{AFC12020-DE42-4B1E-A2A0-15929D72CF86}" name="Количество" dataDxfId="9" totalsRowDxfId="8"/>
    <tableColumn id="6" xr3:uid="{68E0512A-9ADD-4DC5-A1C7-2CC3C6983F2E}" name="Цена за ед., руб" dataDxfId="7" totalsRowDxfId="6"/>
    <tableColumn id="7" xr3:uid="{0E2E779E-4377-43A9-BBC7-B332E28CBD7D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CBEFD70F-7CC3-43E2-9268-506366190B14}" name="Прим." dataDxfId="3" totalsRowDxfId="2"/>
    <tableColumn id="9" xr3:uid="{2EC94792-E57B-42EC-AB36-1F0B2E0E97A0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L103"/>
  <sheetViews>
    <sheetView tabSelected="1" zoomScale="70" zoomScaleNormal="70" workbookViewId="0">
      <pane ySplit="9" topLeftCell="A10" activePane="bottomLeft" state="frozen"/>
      <selection pane="bottomLeft" activeCell="B5" sqref="B5:J5"/>
    </sheetView>
  </sheetViews>
  <sheetFormatPr defaultColWidth="10.5" defaultRowHeight="15.75" outlineLevelRow="4" x14ac:dyDescent="0.25"/>
  <cols>
    <col min="1" max="1" width="14" style="34" bestFit="1" customWidth="1"/>
    <col min="2" max="2" width="100.5" style="34" customWidth="1"/>
    <col min="3" max="3" width="15" style="34" bestFit="1" customWidth="1"/>
    <col min="4" max="4" width="43.5" style="34" bestFit="1" customWidth="1"/>
    <col min="5" max="5" width="10.5" style="34" bestFit="1" customWidth="1"/>
    <col min="6" max="6" width="9" style="34" bestFit="1" customWidth="1"/>
    <col min="7" max="7" width="10.6640625" style="34" bestFit="1" customWidth="1"/>
    <col min="8" max="8" width="15.83203125" style="34" bestFit="1" customWidth="1"/>
    <col min="9" max="9" width="15.1640625" style="34" bestFit="1" customWidth="1"/>
    <col min="10" max="10" width="14.83203125" style="34" bestFit="1" customWidth="1"/>
    <col min="11" max="11" width="82.6640625" style="34" bestFit="1" customWidth="1"/>
    <col min="12" max="12" width="23" style="34" bestFit="1" customWidth="1"/>
    <col min="13" max="16384" width="10.5" style="21"/>
  </cols>
  <sheetData>
    <row r="2" spans="1:12" x14ac:dyDescent="0.25">
      <c r="A2" s="73"/>
      <c r="B2" s="74" t="s">
        <v>146</v>
      </c>
      <c r="C2" s="21"/>
      <c r="D2" s="74" t="s">
        <v>147</v>
      </c>
      <c r="E2" s="21"/>
      <c r="F2" s="21"/>
      <c r="G2" s="21"/>
      <c r="H2" s="21"/>
      <c r="I2" s="33"/>
      <c r="J2" s="24" t="s">
        <v>148</v>
      </c>
      <c r="K2" s="25"/>
      <c r="L2" s="23"/>
    </row>
    <row r="4" spans="1:12" x14ac:dyDescent="0.25">
      <c r="B4" s="100" t="s">
        <v>171</v>
      </c>
      <c r="C4" s="100"/>
      <c r="D4" s="100"/>
      <c r="E4" s="100"/>
      <c r="F4" s="100"/>
      <c r="G4" s="100"/>
      <c r="H4" s="100"/>
      <c r="I4" s="100"/>
      <c r="J4" s="100"/>
    </row>
    <row r="5" spans="1:12" x14ac:dyDescent="0.25">
      <c r="B5" s="100" t="s">
        <v>149</v>
      </c>
      <c r="C5" s="100"/>
      <c r="D5" s="100"/>
      <c r="E5" s="100"/>
      <c r="F5" s="100"/>
      <c r="G5" s="100"/>
      <c r="H5" s="100"/>
      <c r="I5" s="100"/>
      <c r="J5" s="100"/>
    </row>
    <row r="6" spans="1:12" ht="38.25" customHeight="1" x14ac:dyDescent="0.25">
      <c r="B6" s="101" t="s">
        <v>0</v>
      </c>
      <c r="C6" s="101"/>
      <c r="D6" s="101"/>
      <c r="E6" s="101"/>
      <c r="F6" s="101"/>
      <c r="G6" s="101"/>
      <c r="H6" s="101"/>
      <c r="I6" s="101"/>
      <c r="J6" s="101"/>
    </row>
    <row r="8" spans="1:12" x14ac:dyDescent="0.25">
      <c r="A8" s="90" t="s">
        <v>1</v>
      </c>
      <c r="B8" s="90" t="s">
        <v>2</v>
      </c>
      <c r="C8" s="104" t="s">
        <v>3</v>
      </c>
      <c r="D8" s="106" t="s">
        <v>4</v>
      </c>
      <c r="E8" s="90" t="s">
        <v>5</v>
      </c>
      <c r="F8" s="92" t="s">
        <v>6</v>
      </c>
      <c r="G8" s="102" t="s">
        <v>139</v>
      </c>
      <c r="H8" s="90" t="s">
        <v>7</v>
      </c>
      <c r="I8" s="92" t="s">
        <v>8</v>
      </c>
      <c r="J8" s="92" t="s">
        <v>9</v>
      </c>
      <c r="K8" s="90" t="s">
        <v>10</v>
      </c>
      <c r="L8" s="92" t="s">
        <v>11</v>
      </c>
    </row>
    <row r="9" spans="1:12" x14ac:dyDescent="0.25">
      <c r="A9" s="91"/>
      <c r="B9" s="91"/>
      <c r="C9" s="105"/>
      <c r="D9" s="107"/>
      <c r="E9" s="91"/>
      <c r="F9" s="93"/>
      <c r="G9" s="103"/>
      <c r="H9" s="91"/>
      <c r="I9" s="93"/>
      <c r="J9" s="93"/>
      <c r="K9" s="91"/>
      <c r="L9" s="93"/>
    </row>
    <row r="10" spans="1:12" x14ac:dyDescent="0.25">
      <c r="A10" s="35" t="s">
        <v>12</v>
      </c>
      <c r="B10" s="36" t="s">
        <v>13</v>
      </c>
      <c r="C10" s="37"/>
      <c r="D10" s="37"/>
      <c r="E10" s="38"/>
      <c r="F10" s="39"/>
      <c r="G10" s="39"/>
      <c r="H10" s="39"/>
      <c r="I10" s="40"/>
      <c r="J10" s="40"/>
      <c r="K10" s="37"/>
      <c r="L10" s="37"/>
    </row>
    <row r="11" spans="1:12" ht="31.5" outlineLevel="1" x14ac:dyDescent="0.25">
      <c r="A11" s="41" t="s">
        <v>14</v>
      </c>
      <c r="B11" s="42" t="s">
        <v>15</v>
      </c>
      <c r="C11" s="43"/>
      <c r="D11" s="43"/>
      <c r="E11" s="44"/>
      <c r="F11" s="45"/>
      <c r="G11" s="45"/>
      <c r="H11" s="45"/>
      <c r="I11" s="46"/>
      <c r="J11" s="46">
        <f>SUM($J$89,$J$81,$J$27,$J$12)</f>
        <v>0</v>
      </c>
      <c r="K11" s="43"/>
      <c r="L11" s="43"/>
    </row>
    <row r="12" spans="1:12" outlineLevel="2" x14ac:dyDescent="0.25">
      <c r="A12" s="47" t="s">
        <v>16</v>
      </c>
      <c r="B12" s="48" t="s">
        <v>17</v>
      </c>
      <c r="C12" s="49"/>
      <c r="D12" s="49"/>
      <c r="E12" s="50"/>
      <c r="F12" s="51"/>
      <c r="G12" s="52"/>
      <c r="H12" s="52"/>
      <c r="I12" s="53"/>
      <c r="J12" s="53">
        <f>SUM($J$13)</f>
        <v>0</v>
      </c>
      <c r="K12" s="54"/>
      <c r="L12" s="54"/>
    </row>
    <row r="13" spans="1:12" outlineLevel="3" x14ac:dyDescent="0.25">
      <c r="A13" s="47" t="s">
        <v>18</v>
      </c>
      <c r="B13" s="48" t="s">
        <v>17</v>
      </c>
      <c r="C13" s="49"/>
      <c r="D13" s="49"/>
      <c r="E13" s="50"/>
      <c r="F13" s="51"/>
      <c r="G13" s="52"/>
      <c r="H13" s="52"/>
      <c r="I13" s="53"/>
      <c r="J13" s="53">
        <f>SUM($J$25,$J$23,$J$21,$J$16,$J$14)</f>
        <v>0</v>
      </c>
      <c r="K13" s="54"/>
      <c r="L13" s="54"/>
    </row>
    <row r="14" spans="1:12" outlineLevel="4" x14ac:dyDescent="0.25">
      <c r="A14" s="55"/>
      <c r="B14" s="48" t="s">
        <v>19</v>
      </c>
      <c r="C14" s="56"/>
      <c r="D14" s="56"/>
      <c r="E14" s="56"/>
      <c r="F14" s="56"/>
      <c r="G14" s="56"/>
      <c r="H14" s="56"/>
      <c r="I14" s="57"/>
      <c r="J14" s="58">
        <f>SUM($J$15)</f>
        <v>0</v>
      </c>
      <c r="K14" s="52"/>
      <c r="L14" s="59"/>
    </row>
    <row r="15" spans="1:12" outlineLevel="4" x14ac:dyDescent="0.25">
      <c r="A15" s="60"/>
      <c r="B15" s="61" t="s">
        <v>20</v>
      </c>
      <c r="C15" s="62"/>
      <c r="D15" s="62"/>
      <c r="E15" s="63" t="s">
        <v>21</v>
      </c>
      <c r="F15" s="64"/>
      <c r="G15" s="65">
        <f>SUM(G17:G20)</f>
        <v>8890</v>
      </c>
      <c r="H15" s="65">
        <f>SUM($G$15:$G$15)</f>
        <v>8890</v>
      </c>
      <c r="I15" s="66">
        <f t="array" ref="I15">INDEX(Р[Цена за ед., руб],MATCH(1,IF(($B15=Р[Наименование])*($K15=Р[Примечание]),{1},($B15=Р[Наименование])*($K15=Р[Примечание])),0))</f>
        <v>0</v>
      </c>
      <c r="J15" s="66">
        <f>ROUND($H$15*$I$15,2)</f>
        <v>0</v>
      </c>
      <c r="K15" s="62"/>
      <c r="L15" s="62"/>
    </row>
    <row r="16" spans="1:12" outlineLevel="4" x14ac:dyDescent="0.25">
      <c r="A16" s="55"/>
      <c r="B16" s="48" t="s">
        <v>22</v>
      </c>
      <c r="C16" s="56"/>
      <c r="D16" s="56"/>
      <c r="E16" s="56"/>
      <c r="F16" s="56"/>
      <c r="G16" s="56"/>
      <c r="H16" s="56"/>
      <c r="I16" s="57"/>
      <c r="J16" s="58">
        <f>SUM($J$17:$J$20)</f>
        <v>0</v>
      </c>
      <c r="K16" s="52"/>
      <c r="L16" s="59"/>
    </row>
    <row r="17" spans="1:12" outlineLevel="4" x14ac:dyDescent="0.25">
      <c r="A17" s="60" t="s">
        <v>23</v>
      </c>
      <c r="B17" s="61" t="s">
        <v>24</v>
      </c>
      <c r="C17" s="62"/>
      <c r="D17" s="62" t="s">
        <v>25</v>
      </c>
      <c r="E17" s="63" t="s">
        <v>21</v>
      </c>
      <c r="F17" s="64"/>
      <c r="G17" s="65">
        <v>3322</v>
      </c>
      <c r="H17" s="65">
        <f>SUM($G$17:$G$17)</f>
        <v>3322</v>
      </c>
      <c r="I17" s="66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66">
        <f>ROUND($H$17*$I$17,2)</f>
        <v>0</v>
      </c>
      <c r="K17" s="62" t="s">
        <v>26</v>
      </c>
      <c r="L17" s="62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</row>
    <row r="18" spans="1:12" outlineLevel="4" x14ac:dyDescent="0.25">
      <c r="A18" s="60" t="s">
        <v>27</v>
      </c>
      <c r="B18" s="61" t="s">
        <v>24</v>
      </c>
      <c r="C18" s="62"/>
      <c r="D18" s="62" t="s">
        <v>28</v>
      </c>
      <c r="E18" s="63" t="s">
        <v>21</v>
      </c>
      <c r="F18" s="64"/>
      <c r="G18" s="65">
        <v>2716</v>
      </c>
      <c r="H18" s="65">
        <f>SUM($G$18:$G$18)</f>
        <v>2716</v>
      </c>
      <c r="I18" s="66">
        <f t="array" ref="I18">INDEX(М[Цена за ед., руб],MATCH(1,IF(($B18=М[Наим.])*($C18=М[Артикул,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  <c r="J18" s="66">
        <f>ROUND($H$18*$I$18,2)</f>
        <v>0</v>
      </c>
      <c r="K18" s="62" t="s">
        <v>26</v>
      </c>
      <c r="L18" s="62">
        <f t="array" ref="L18">INDEX(М[Форма закупа],MATCH(1,IF(($B18=М[Наим.])*($C18=М[Артикул,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</row>
    <row r="19" spans="1:12" outlineLevel="4" x14ac:dyDescent="0.25">
      <c r="A19" s="60" t="s">
        <v>29</v>
      </c>
      <c r="B19" s="61" t="s">
        <v>24</v>
      </c>
      <c r="C19" s="62"/>
      <c r="D19" s="62" t="s">
        <v>30</v>
      </c>
      <c r="E19" s="63" t="s">
        <v>21</v>
      </c>
      <c r="F19" s="64"/>
      <c r="G19" s="67">
        <v>786</v>
      </c>
      <c r="H19" s="67">
        <f>SUM($G$19:$G$19)</f>
        <v>786</v>
      </c>
      <c r="I19" s="66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66">
        <f>ROUND($H$19*$I$19,2)</f>
        <v>0</v>
      </c>
      <c r="K19" s="62" t="s">
        <v>26</v>
      </c>
      <c r="L19" s="62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</row>
    <row r="20" spans="1:12" outlineLevel="4" x14ac:dyDescent="0.25">
      <c r="A20" s="60" t="s">
        <v>31</v>
      </c>
      <c r="B20" s="61" t="s">
        <v>24</v>
      </c>
      <c r="C20" s="62"/>
      <c r="D20" s="62" t="s">
        <v>32</v>
      </c>
      <c r="E20" s="63" t="s">
        <v>21</v>
      </c>
      <c r="F20" s="64"/>
      <c r="G20" s="65">
        <v>2066</v>
      </c>
      <c r="H20" s="65">
        <f>SUM($G$20:$G$20)</f>
        <v>2066</v>
      </c>
      <c r="I20" s="66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66">
        <f>ROUND($H$20*$I$20,2)</f>
        <v>0</v>
      </c>
      <c r="K20" s="62" t="s">
        <v>26</v>
      </c>
      <c r="L20" s="62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</row>
    <row r="21" spans="1:12" outlineLevel="4" x14ac:dyDescent="0.25">
      <c r="A21" s="55"/>
      <c r="B21" s="48" t="s">
        <v>19</v>
      </c>
      <c r="C21" s="56"/>
      <c r="D21" s="56"/>
      <c r="E21" s="56"/>
      <c r="F21" s="56"/>
      <c r="G21" s="56"/>
      <c r="H21" s="56"/>
      <c r="I21" s="57"/>
      <c r="J21" s="58">
        <f>SUM($J$22)</f>
        <v>0</v>
      </c>
      <c r="K21" s="52"/>
      <c r="L21" s="59"/>
    </row>
    <row r="22" spans="1:12" outlineLevel="4" x14ac:dyDescent="0.25">
      <c r="A22" s="60"/>
      <c r="B22" s="61" t="s">
        <v>33</v>
      </c>
      <c r="C22" s="62"/>
      <c r="D22" s="62"/>
      <c r="E22" s="63" t="s">
        <v>21</v>
      </c>
      <c r="F22" s="64"/>
      <c r="G22" s="65">
        <f>G24</f>
        <v>8571</v>
      </c>
      <c r="H22" s="65">
        <f>SUM($G$22:$G$22)</f>
        <v>8571</v>
      </c>
      <c r="I22" s="66">
        <f t="array" ref="I22">INDEX(Р[Цена за ед., руб],MATCH(1,IF(($B22=Р[Наименование])*($K22=Р[Примечание]),{1},($B22=Р[Наименование])*($K22=Р[Примечание])),0))</f>
        <v>0</v>
      </c>
      <c r="J22" s="66">
        <f>ROUND($H$22*$I$22,2)</f>
        <v>0</v>
      </c>
      <c r="K22" s="62"/>
      <c r="L22" s="62"/>
    </row>
    <row r="23" spans="1:12" outlineLevel="4" x14ac:dyDescent="0.25">
      <c r="A23" s="55"/>
      <c r="B23" s="48" t="s">
        <v>22</v>
      </c>
      <c r="C23" s="56"/>
      <c r="D23" s="56"/>
      <c r="E23" s="56"/>
      <c r="F23" s="56"/>
      <c r="G23" s="56"/>
      <c r="H23" s="56"/>
      <c r="I23" s="57"/>
      <c r="J23" s="58">
        <f>SUM($J$24)</f>
        <v>0</v>
      </c>
      <c r="K23" s="52"/>
      <c r="L23" s="59"/>
    </row>
    <row r="24" spans="1:12" ht="31.5" outlineLevel="4" x14ac:dyDescent="0.25">
      <c r="A24" s="60" t="s">
        <v>23</v>
      </c>
      <c r="B24" s="61" t="s">
        <v>34</v>
      </c>
      <c r="C24" s="62"/>
      <c r="D24" s="62" t="s">
        <v>35</v>
      </c>
      <c r="E24" s="63" t="s">
        <v>36</v>
      </c>
      <c r="F24" s="64"/>
      <c r="G24" s="65">
        <v>8571</v>
      </c>
      <c r="H24" s="65">
        <f>SUM($G$24:$G$24)</f>
        <v>8571</v>
      </c>
      <c r="I24" s="66">
        <f t="array" ref="I24">INDEX(М[Цена за ед., руб],MATCH(1,IF(($B24=М[Наим.])*($C24=М[Артикул,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  <c r="J24" s="66">
        <f>ROUND($H$24*$I$24,2)</f>
        <v>0</v>
      </c>
      <c r="K24" s="62" t="s">
        <v>26</v>
      </c>
      <c r="L24" s="62">
        <f t="array" ref="L24">INDEX(М[Форма закупа],MATCH(1,IF(($B24=М[Наим.])*($C24=М[Артикул,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</row>
    <row r="25" spans="1:12" outlineLevel="4" x14ac:dyDescent="0.25">
      <c r="A25" s="55"/>
      <c r="B25" s="48" t="s">
        <v>22</v>
      </c>
      <c r="C25" s="56"/>
      <c r="D25" s="56"/>
      <c r="E25" s="56"/>
      <c r="F25" s="56"/>
      <c r="G25" s="56"/>
      <c r="H25" s="56"/>
      <c r="I25" s="57"/>
      <c r="J25" s="58">
        <f>SUM($J$26)</f>
        <v>0</v>
      </c>
      <c r="K25" s="52"/>
      <c r="L25" s="59"/>
    </row>
    <row r="26" spans="1:12" outlineLevel="4" x14ac:dyDescent="0.25">
      <c r="A26" s="60" t="s">
        <v>23</v>
      </c>
      <c r="B26" s="61" t="s">
        <v>169</v>
      </c>
      <c r="C26" s="62"/>
      <c r="D26" s="62"/>
      <c r="E26" s="63" t="s">
        <v>37</v>
      </c>
      <c r="F26" s="64"/>
      <c r="G26" s="64"/>
      <c r="H26" s="78">
        <f>Материалы!E36</f>
        <v>0</v>
      </c>
      <c r="I26" s="79"/>
      <c r="J26" s="79">
        <f>ROUND(SUM(J17:J20,J24),3)</f>
        <v>0</v>
      </c>
      <c r="K26" s="62"/>
      <c r="L26" s="62">
        <f t="array" ref="L26">INDEX(М[Форма закупа],MATCH(1,IF(($B26=М[Наим.])*($C26=М[Артикул,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</row>
    <row r="27" spans="1:12" outlineLevel="2" x14ac:dyDescent="0.25">
      <c r="A27" s="47" t="s">
        <v>38</v>
      </c>
      <c r="B27" s="48" t="s">
        <v>39</v>
      </c>
      <c r="C27" s="49"/>
      <c r="D27" s="49"/>
      <c r="E27" s="50"/>
      <c r="F27" s="51"/>
      <c r="G27" s="52"/>
      <c r="H27" s="52"/>
      <c r="I27" s="53"/>
      <c r="J27" s="53">
        <f>SUM($J$28)</f>
        <v>0</v>
      </c>
      <c r="K27" s="54"/>
      <c r="L27" s="54"/>
    </row>
    <row r="28" spans="1:12" outlineLevel="3" x14ac:dyDescent="0.25">
      <c r="A28" s="47" t="s">
        <v>40</v>
      </c>
      <c r="B28" s="48" t="s">
        <v>39</v>
      </c>
      <c r="C28" s="49"/>
      <c r="D28" s="49"/>
      <c r="E28" s="50"/>
      <c r="F28" s="51"/>
      <c r="G28" s="52"/>
      <c r="H28" s="52"/>
      <c r="I28" s="53"/>
      <c r="J28" s="53">
        <f>SUM($J$54,$J$39,$J$37,$J$35,$J$32,$J$29)</f>
        <v>0</v>
      </c>
      <c r="K28" s="54"/>
      <c r="L28" s="54"/>
    </row>
    <row r="29" spans="1:12" outlineLevel="4" x14ac:dyDescent="0.25">
      <c r="A29" s="55"/>
      <c r="B29" s="48" t="s">
        <v>153</v>
      </c>
      <c r="C29" s="56"/>
      <c r="D29" s="56"/>
      <c r="E29" s="56"/>
      <c r="F29" s="56"/>
      <c r="G29" s="56"/>
      <c r="H29" s="56"/>
      <c r="I29" s="57"/>
      <c r="J29" s="58">
        <f>SUM($J$30:$J$31)</f>
        <v>0</v>
      </c>
      <c r="K29" s="52"/>
      <c r="L29" s="59"/>
    </row>
    <row r="30" spans="1:12" outlineLevel="4" x14ac:dyDescent="0.25">
      <c r="A30" s="60"/>
      <c r="B30" s="61" t="s">
        <v>154</v>
      </c>
      <c r="C30" s="62"/>
      <c r="D30" s="62"/>
      <c r="E30" s="63" t="s">
        <v>44</v>
      </c>
      <c r="F30" s="64"/>
      <c r="G30" s="67">
        <f>G33</f>
        <v>7</v>
      </c>
      <c r="H30" s="67">
        <f>SUM(G30:G30)</f>
        <v>7</v>
      </c>
      <c r="I30" s="66">
        <f t="array" ref="I30">INDEX(Р[Цена за ед., руб],MATCH(1,IF(($B30=Р[Наименование])*($K30=Р[Примечание]),{1},($B30=Р[Наименование])*($K30=Р[Примечание])),0))</f>
        <v>0</v>
      </c>
      <c r="J30" s="66">
        <f>ROUND(H30*I30,2)</f>
        <v>0</v>
      </c>
      <c r="K30" s="62"/>
      <c r="L30" s="62"/>
    </row>
    <row r="31" spans="1:12" outlineLevel="4" x14ac:dyDescent="0.25">
      <c r="A31" s="60"/>
      <c r="B31" s="61" t="s">
        <v>155</v>
      </c>
      <c r="C31" s="62"/>
      <c r="D31" s="62"/>
      <c r="E31" s="63" t="s">
        <v>44</v>
      </c>
      <c r="F31" s="64"/>
      <c r="G31" s="67">
        <f>G34</f>
        <v>1</v>
      </c>
      <c r="H31" s="67">
        <f>SUM(G31:G31)</f>
        <v>1</v>
      </c>
      <c r="I31" s="66">
        <f t="array" ref="I31">INDEX(Р[Цена за ед., руб],MATCH(1,IF(($B31=Р[Наименование])*($K31=Р[Примечание]),{1},($B31=Р[Наименование])*($K31=Р[Примечание])),0))</f>
        <v>0</v>
      </c>
      <c r="J31" s="66">
        <f>ROUND(H31*I31,2)</f>
        <v>0</v>
      </c>
      <c r="K31" s="62"/>
      <c r="L31" s="62"/>
    </row>
    <row r="32" spans="1:12" outlineLevel="4" x14ac:dyDescent="0.25">
      <c r="A32" s="55"/>
      <c r="B32" s="48" t="s">
        <v>22</v>
      </c>
      <c r="C32" s="56"/>
      <c r="D32" s="56"/>
      <c r="E32" s="56"/>
      <c r="F32" s="56"/>
      <c r="G32" s="56"/>
      <c r="H32" s="56"/>
      <c r="I32" s="57"/>
      <c r="J32" s="58">
        <f>SUM($J$33:$J$34)</f>
        <v>0</v>
      </c>
      <c r="K32" s="52"/>
      <c r="L32" s="59"/>
    </row>
    <row r="33" spans="1:12" ht="31.5" outlineLevel="4" x14ac:dyDescent="0.25">
      <c r="A33" s="60" t="s">
        <v>23</v>
      </c>
      <c r="B33" s="61" t="s">
        <v>42</v>
      </c>
      <c r="C33" s="62"/>
      <c r="D33" s="62" t="s">
        <v>43</v>
      </c>
      <c r="E33" s="63" t="s">
        <v>44</v>
      </c>
      <c r="F33" s="64"/>
      <c r="G33" s="67">
        <v>7</v>
      </c>
      <c r="H33" s="67">
        <f>SUM($G$33:$G$33)</f>
        <v>7</v>
      </c>
      <c r="I33" s="66">
        <f t="array" ref="I33">INDEX(М[Цена за ед., руб],MATCH(1,IF(($B33=М[Наим.])*($C33=М[Артикул, марка, произв.])*($D33=М[Хар-ка])*($K33=М[Прим.]),{1},($B33=М[Наим.])*($C33=М[Артикул, марка, произв.])*($D33=М[Хар-ка])*($K33=М[Прим.])),0))</f>
        <v>0</v>
      </c>
      <c r="J33" s="66">
        <f>ROUND($H$33*$I$33,2)</f>
        <v>0</v>
      </c>
      <c r="K33" s="62" t="s">
        <v>45</v>
      </c>
      <c r="L33" s="62">
        <f t="array" ref="L33">INDEX(М[Форма закупа],MATCH(1,IF(($B33=М[Наим.])*($C33=М[Артикул, марка, произв.])*($D33=М[Хар-ка])*($K33=М[Прим.]),{1},($B33=М[Наим.])*($C33=М[Артикул, марка, произв.])*($D33=М[Хар-ка])*($K33=М[Прим.])),0))</f>
        <v>0</v>
      </c>
    </row>
    <row r="34" spans="1:12" ht="31.5" outlineLevel="4" x14ac:dyDescent="0.25">
      <c r="A34" s="60" t="s">
        <v>27</v>
      </c>
      <c r="B34" s="61" t="s">
        <v>46</v>
      </c>
      <c r="C34" s="62"/>
      <c r="D34" s="62" t="s">
        <v>47</v>
      </c>
      <c r="E34" s="63" t="s">
        <v>44</v>
      </c>
      <c r="F34" s="64"/>
      <c r="G34" s="67">
        <v>1</v>
      </c>
      <c r="H34" s="67">
        <f>SUM($G$34:$G$34)</f>
        <v>1</v>
      </c>
      <c r="I34" s="66">
        <f t="array" ref="I34">INDEX(М[Цена за ед., руб],MATCH(1,IF(($B34=М[Наим.])*($C34=М[Артикул, марка, произв.])*($D34=М[Хар-ка])*($K34=М[Прим.]),{1},($B34=М[Наим.])*($C34=М[Артикул, марка, произв.])*($D34=М[Хар-ка])*($K34=М[Прим.])),0))</f>
        <v>0</v>
      </c>
      <c r="J34" s="66">
        <f>ROUND($H$34*$I$34,2)</f>
        <v>0</v>
      </c>
      <c r="K34" s="62" t="s">
        <v>48</v>
      </c>
      <c r="L34" s="62">
        <f t="array" ref="L34">INDEX(М[Форма закупа],MATCH(1,IF(($B34=М[Наим.])*($C34=М[Артикул, марка, произв.])*($D34=М[Хар-ка])*($K34=М[Прим.]),{1},($B34=М[Наим.])*($C34=М[Артикул, марка, произв.])*($D34=М[Хар-ка])*($K34=М[Прим.])),0))</f>
        <v>0</v>
      </c>
    </row>
    <row r="35" spans="1:12" outlineLevel="4" x14ac:dyDescent="0.25">
      <c r="A35" s="55"/>
      <c r="B35" s="48" t="s">
        <v>152</v>
      </c>
      <c r="C35" s="56"/>
      <c r="D35" s="56"/>
      <c r="E35" s="56"/>
      <c r="F35" s="56"/>
      <c r="G35" s="56"/>
      <c r="H35" s="56"/>
      <c r="I35" s="57"/>
      <c r="J35" s="58">
        <f>SUM($J$36:$J$36)</f>
        <v>0</v>
      </c>
      <c r="K35" s="52"/>
      <c r="L35" s="59"/>
    </row>
    <row r="36" spans="1:12" outlineLevel="4" x14ac:dyDescent="0.25">
      <c r="A36" s="60"/>
      <c r="B36" s="61" t="s">
        <v>155</v>
      </c>
      <c r="C36" s="62"/>
      <c r="D36" s="62"/>
      <c r="E36" s="63" t="s">
        <v>44</v>
      </c>
      <c r="F36" s="64"/>
      <c r="G36" s="67">
        <f>G38</f>
        <v>1</v>
      </c>
      <c r="H36" s="67">
        <f>SUM(G36:G36)</f>
        <v>1</v>
      </c>
      <c r="I36" s="66">
        <f t="array" ref="I36">INDEX(Р[Цена за ед., руб],MATCH(1,IF(($B36=Р[Наименование])*($K36=Р[Примечание]),{1},($B36=Р[Наименование])*($K36=Р[Примечание])),0))</f>
        <v>0</v>
      </c>
      <c r="J36" s="66">
        <f>ROUND(H36*I36,2)</f>
        <v>0</v>
      </c>
      <c r="K36" s="62"/>
      <c r="L36" s="62"/>
    </row>
    <row r="37" spans="1:12" outlineLevel="4" x14ac:dyDescent="0.25">
      <c r="A37" s="55"/>
      <c r="B37" s="48" t="s">
        <v>22</v>
      </c>
      <c r="C37" s="56"/>
      <c r="D37" s="56"/>
      <c r="E37" s="56"/>
      <c r="F37" s="56"/>
      <c r="G37" s="56"/>
      <c r="H37" s="56"/>
      <c r="I37" s="57"/>
      <c r="J37" s="58">
        <f>SUM($J$38)</f>
        <v>0</v>
      </c>
      <c r="K37" s="52"/>
      <c r="L37" s="59"/>
    </row>
    <row r="38" spans="1:12" ht="31.5" outlineLevel="4" x14ac:dyDescent="0.25">
      <c r="A38" s="60" t="s">
        <v>23</v>
      </c>
      <c r="B38" s="61" t="s">
        <v>46</v>
      </c>
      <c r="C38" s="62"/>
      <c r="D38" s="62" t="s">
        <v>47</v>
      </c>
      <c r="E38" s="63" t="s">
        <v>44</v>
      </c>
      <c r="F38" s="64"/>
      <c r="G38" s="67">
        <v>1</v>
      </c>
      <c r="H38" s="67">
        <f>SUM($G$38:$G$38)</f>
        <v>1</v>
      </c>
      <c r="I38" s="66">
        <f t="array" ref="I38">INDEX(М[Цена за ед., руб],MATCH(1,IF(($B38=М[Наим.])*($C38=М[Артикул, марка, произв.])*($D38=М[Хар-ка])*($K38=М[Прим.]),{1},($B38=М[Наим.])*($C38=М[Артикул, марка, произв.])*($D38=М[Хар-ка])*($K38=М[Прим.])),0))</f>
        <v>0</v>
      </c>
      <c r="J38" s="66">
        <f>ROUND($H$38*$I$38,2)</f>
        <v>0</v>
      </c>
      <c r="K38" s="62" t="s">
        <v>48</v>
      </c>
      <c r="L38" s="62">
        <f t="array" ref="L38">INDEX(М[Форма закупа],MATCH(1,IF(($B38=М[Наим.])*($C38=М[Артикул, марка, произв.])*($D38=М[Хар-ка])*($K38=М[Прим.]),{1},($B38=М[Наим.])*($C38=М[Артикул, марка, произв.])*($D38=М[Хар-ка])*($K38=М[Прим.])),0))</f>
        <v>0</v>
      </c>
    </row>
    <row r="39" spans="1:12" outlineLevel="4" x14ac:dyDescent="0.25">
      <c r="A39" s="55"/>
      <c r="B39" s="48" t="s">
        <v>170</v>
      </c>
      <c r="C39" s="56"/>
      <c r="D39" s="56"/>
      <c r="E39" s="56"/>
      <c r="F39" s="56"/>
      <c r="G39" s="56"/>
      <c r="H39" s="56"/>
      <c r="I39" s="57"/>
      <c r="J39" s="58">
        <f>SUM($J$40:$J$53)</f>
        <v>0</v>
      </c>
      <c r="K39" s="52"/>
      <c r="L39" s="59"/>
    </row>
    <row r="40" spans="1:12" outlineLevel="4" x14ac:dyDescent="0.25">
      <c r="A40" s="60"/>
      <c r="B40" s="61" t="s">
        <v>156</v>
      </c>
      <c r="C40" s="62"/>
      <c r="D40" s="62"/>
      <c r="E40" s="63" t="s">
        <v>44</v>
      </c>
      <c r="F40" s="64"/>
      <c r="G40" s="67">
        <f>G55</f>
        <v>49</v>
      </c>
      <c r="H40" s="67">
        <f t="shared" ref="H40:H53" si="0">SUM(G40:G40)</f>
        <v>49</v>
      </c>
      <c r="I40" s="66">
        <f t="array" ref="I40">INDEX(Р[Цена за ед., руб],MATCH(1,IF(($B40=Р[Наименование])*($K40=Р[Примечание]),{1},($B40=Р[Наименование])*($K40=Р[Примечание])),0))</f>
        <v>0</v>
      </c>
      <c r="J40" s="66">
        <f t="shared" ref="J40:J53" si="1">ROUND(H40*I40,2)</f>
        <v>0</v>
      </c>
      <c r="K40" s="62"/>
      <c r="L40" s="62"/>
    </row>
    <row r="41" spans="1:12" outlineLevel="4" x14ac:dyDescent="0.25">
      <c r="A41" s="60"/>
      <c r="B41" s="61" t="s">
        <v>157</v>
      </c>
      <c r="C41" s="62"/>
      <c r="D41" s="62"/>
      <c r="E41" s="63" t="s">
        <v>44</v>
      </c>
      <c r="F41" s="64"/>
      <c r="G41" s="67">
        <f>G56</f>
        <v>8</v>
      </c>
      <c r="H41" s="67">
        <f t="shared" si="0"/>
        <v>8</v>
      </c>
      <c r="I41" s="66">
        <f t="array" ref="I41">INDEX(Р[Цена за ед., руб],MATCH(1,IF(($B41=Р[Наименование])*($K41=Р[Примечание]),{1},($B41=Р[Наименование])*($K41=Р[Примечание])),0))</f>
        <v>0</v>
      </c>
      <c r="J41" s="66">
        <f t="shared" si="1"/>
        <v>0</v>
      </c>
      <c r="K41" s="62"/>
      <c r="L41" s="62"/>
    </row>
    <row r="42" spans="1:12" outlineLevel="4" x14ac:dyDescent="0.25">
      <c r="A42" s="60"/>
      <c r="B42" s="61" t="s">
        <v>158</v>
      </c>
      <c r="C42" s="62"/>
      <c r="D42" s="62"/>
      <c r="E42" s="63" t="s">
        <v>44</v>
      </c>
      <c r="F42" s="64"/>
      <c r="G42" s="67">
        <f>G57</f>
        <v>108</v>
      </c>
      <c r="H42" s="67">
        <f t="shared" si="0"/>
        <v>108</v>
      </c>
      <c r="I42" s="66">
        <f t="array" ref="I42">INDEX(Р[Цена за ед., руб],MATCH(1,IF(($B42=Р[Наименование])*($K42=Р[Примечание]),{1},($B42=Р[Наименование])*($K42=Р[Примечание])),0))</f>
        <v>0</v>
      </c>
      <c r="J42" s="66">
        <f t="shared" si="1"/>
        <v>0</v>
      </c>
      <c r="K42" s="62"/>
      <c r="L42" s="62"/>
    </row>
    <row r="43" spans="1:12" outlineLevel="4" x14ac:dyDescent="0.25">
      <c r="A43" s="60"/>
      <c r="B43" s="61" t="s">
        <v>159</v>
      </c>
      <c r="C43" s="62"/>
      <c r="D43" s="62"/>
      <c r="E43" s="63" t="s">
        <v>44</v>
      </c>
      <c r="F43" s="64"/>
      <c r="G43" s="67">
        <f>G58+G59</f>
        <v>17</v>
      </c>
      <c r="H43" s="67">
        <f t="shared" si="0"/>
        <v>17</v>
      </c>
      <c r="I43" s="66">
        <f t="array" ref="I43">INDEX(Р[Цена за ед., руб],MATCH(1,IF(($B43=Р[Наименование])*($K43=Р[Примечание]),{1},($B43=Р[Наименование])*($K43=Р[Примечание])),0))</f>
        <v>0</v>
      </c>
      <c r="J43" s="66">
        <f t="shared" si="1"/>
        <v>0</v>
      </c>
      <c r="K43" s="62"/>
      <c r="L43" s="62"/>
    </row>
    <row r="44" spans="1:12" outlineLevel="4" x14ac:dyDescent="0.25">
      <c r="A44" s="60"/>
      <c r="B44" s="61" t="s">
        <v>160</v>
      </c>
      <c r="C44" s="62"/>
      <c r="D44" s="62"/>
      <c r="E44" s="63" t="s">
        <v>44</v>
      </c>
      <c r="F44" s="64"/>
      <c r="G44" s="67">
        <f>G60+G61</f>
        <v>105</v>
      </c>
      <c r="H44" s="67">
        <f t="shared" si="0"/>
        <v>105</v>
      </c>
      <c r="I44" s="66">
        <f t="array" ref="I44">INDEX(Р[Цена за ед., руб],MATCH(1,IF(($B44=Р[Наименование])*($K44=Р[Примечание]),{1},($B44=Р[Наименование])*($K44=Р[Примечание])),0))</f>
        <v>0</v>
      </c>
      <c r="J44" s="66">
        <f t="shared" si="1"/>
        <v>0</v>
      </c>
      <c r="K44" s="62"/>
      <c r="L44" s="62"/>
    </row>
    <row r="45" spans="1:12" outlineLevel="4" x14ac:dyDescent="0.25">
      <c r="A45" s="60"/>
      <c r="B45" s="61" t="s">
        <v>154</v>
      </c>
      <c r="C45" s="62"/>
      <c r="D45" s="62"/>
      <c r="E45" s="63" t="s">
        <v>44</v>
      </c>
      <c r="F45" s="64"/>
      <c r="G45" s="67">
        <f>G62</f>
        <v>83</v>
      </c>
      <c r="H45" s="67">
        <f t="shared" si="0"/>
        <v>83</v>
      </c>
      <c r="I45" s="66">
        <f t="array" ref="I45">INDEX(Р[Цена за ед., руб],MATCH(1,IF(($B45=Р[Наименование])*($K45=Р[Примечание]),{1},($B45=Р[Наименование])*($K45=Р[Примечание])),0))</f>
        <v>0</v>
      </c>
      <c r="J45" s="66">
        <f t="shared" si="1"/>
        <v>0</v>
      </c>
      <c r="K45" s="62"/>
      <c r="L45" s="62"/>
    </row>
    <row r="46" spans="1:12" outlineLevel="4" x14ac:dyDescent="0.25">
      <c r="A46" s="60"/>
      <c r="B46" s="61" t="s">
        <v>161</v>
      </c>
      <c r="C46" s="62"/>
      <c r="D46" s="62"/>
      <c r="E46" s="63" t="s">
        <v>44</v>
      </c>
      <c r="F46" s="64"/>
      <c r="G46" s="67">
        <f>G63+G64+G65+G66+G80</f>
        <v>7</v>
      </c>
      <c r="H46" s="67">
        <f t="shared" si="0"/>
        <v>7</v>
      </c>
      <c r="I46" s="66">
        <f t="array" ref="I46">INDEX(Р[Цена за ед., руб],MATCH(1,IF(($B46=Р[Наименование])*($K46=Р[Примечание]),{1},($B46=Р[Наименование])*($K46=Р[Примечание])),0))</f>
        <v>0</v>
      </c>
      <c r="J46" s="66">
        <f t="shared" si="1"/>
        <v>0</v>
      </c>
      <c r="K46" s="62"/>
      <c r="L46" s="62"/>
    </row>
    <row r="47" spans="1:12" outlineLevel="4" x14ac:dyDescent="0.25">
      <c r="A47" s="60"/>
      <c r="B47" s="61" t="s">
        <v>162</v>
      </c>
      <c r="C47" s="62"/>
      <c r="D47" s="62"/>
      <c r="E47" s="63" t="s">
        <v>44</v>
      </c>
      <c r="F47" s="64"/>
      <c r="G47" s="67">
        <f>G67+G68+G69</f>
        <v>79</v>
      </c>
      <c r="H47" s="67">
        <f t="shared" si="0"/>
        <v>79</v>
      </c>
      <c r="I47" s="66">
        <f t="array" ref="I47">INDEX(Р[Цена за ед., руб],MATCH(1,IF(($B47=Р[Наименование])*($K47=Р[Примечание]),{1},($B47=Р[Наименование])*($K47=Р[Примечание])),0))</f>
        <v>0</v>
      </c>
      <c r="J47" s="66">
        <f t="shared" si="1"/>
        <v>0</v>
      </c>
      <c r="K47" s="62"/>
      <c r="L47" s="62"/>
    </row>
    <row r="48" spans="1:12" outlineLevel="4" x14ac:dyDescent="0.25">
      <c r="A48" s="60"/>
      <c r="B48" s="61" t="s">
        <v>163</v>
      </c>
      <c r="C48" s="62"/>
      <c r="D48" s="62"/>
      <c r="E48" s="63" t="s">
        <v>44</v>
      </c>
      <c r="F48" s="64"/>
      <c r="G48" s="67">
        <f>G70+G71</f>
        <v>4</v>
      </c>
      <c r="H48" s="67">
        <f t="shared" si="0"/>
        <v>4</v>
      </c>
      <c r="I48" s="66">
        <f t="array" ref="I48">INDEX(Р[Цена за ед., руб],MATCH(1,IF(($B48=Р[Наименование])*($K48=Р[Примечание]),{1},($B48=Р[Наименование])*($K48=Р[Примечание])),0))</f>
        <v>0</v>
      </c>
      <c r="J48" s="66">
        <f t="shared" si="1"/>
        <v>0</v>
      </c>
      <c r="K48" s="62"/>
      <c r="L48" s="62"/>
    </row>
    <row r="49" spans="1:12" outlineLevel="4" x14ac:dyDescent="0.25">
      <c r="A49" s="60"/>
      <c r="B49" s="61" t="s">
        <v>155</v>
      </c>
      <c r="C49" s="62"/>
      <c r="D49" s="62"/>
      <c r="E49" s="63" t="s">
        <v>44</v>
      </c>
      <c r="F49" s="64"/>
      <c r="G49" s="67">
        <f>G72+G73+G74</f>
        <v>319</v>
      </c>
      <c r="H49" s="67">
        <f t="shared" si="0"/>
        <v>319</v>
      </c>
      <c r="I49" s="66">
        <f t="array" ref="I49">INDEX(Р[Цена за ед., руб],MATCH(1,IF(($B49=Р[Наименование])*($K49=Р[Примечание]),{1},($B49=Р[Наименование])*($K49=Р[Примечание])),0))</f>
        <v>0</v>
      </c>
      <c r="J49" s="66">
        <f t="shared" si="1"/>
        <v>0</v>
      </c>
      <c r="K49" s="62"/>
      <c r="L49" s="62"/>
    </row>
    <row r="50" spans="1:12" outlineLevel="4" x14ac:dyDescent="0.25">
      <c r="A50" s="60"/>
      <c r="B50" s="61" t="s">
        <v>164</v>
      </c>
      <c r="C50" s="62"/>
      <c r="D50" s="62"/>
      <c r="E50" s="63" t="s">
        <v>44</v>
      </c>
      <c r="F50" s="64"/>
      <c r="G50" s="67">
        <f>G75</f>
        <v>2</v>
      </c>
      <c r="H50" s="67">
        <f t="shared" si="0"/>
        <v>2</v>
      </c>
      <c r="I50" s="66">
        <f t="array" ref="I50">INDEX(Р[Цена за ед., руб],MATCH(1,IF(($B50=Р[Наименование])*($K50=Р[Примечание]),{1},($B50=Р[Наименование])*($K50=Р[Примечание])),0))</f>
        <v>0</v>
      </c>
      <c r="J50" s="66">
        <f t="shared" si="1"/>
        <v>0</v>
      </c>
      <c r="K50" s="62"/>
      <c r="L50" s="62"/>
    </row>
    <row r="51" spans="1:12" outlineLevel="4" x14ac:dyDescent="0.25">
      <c r="A51" s="60"/>
      <c r="B51" s="61" t="s">
        <v>165</v>
      </c>
      <c r="C51" s="62"/>
      <c r="D51" s="62"/>
      <c r="E51" s="63" t="s">
        <v>44</v>
      </c>
      <c r="F51" s="64"/>
      <c r="G51" s="67">
        <f>G76</f>
        <v>68</v>
      </c>
      <c r="H51" s="67">
        <f t="shared" si="0"/>
        <v>68</v>
      </c>
      <c r="I51" s="66">
        <f t="array" ref="I51">INDEX(Р[Цена за ед., руб],MATCH(1,IF(($B51=Р[Наименование])*($K51=Р[Примечание]),{1},($B51=Р[Наименование])*($K51=Р[Примечание])),0))</f>
        <v>0</v>
      </c>
      <c r="J51" s="66">
        <f t="shared" si="1"/>
        <v>0</v>
      </c>
      <c r="K51" s="62"/>
      <c r="L51" s="62"/>
    </row>
    <row r="52" spans="1:12" outlineLevel="4" x14ac:dyDescent="0.25">
      <c r="A52" s="60"/>
      <c r="B52" s="61" t="s">
        <v>166</v>
      </c>
      <c r="C52" s="62"/>
      <c r="D52" s="62"/>
      <c r="E52" s="63" t="s">
        <v>44</v>
      </c>
      <c r="F52" s="64"/>
      <c r="G52" s="67">
        <f>G77</f>
        <v>37</v>
      </c>
      <c r="H52" s="67">
        <f t="shared" si="0"/>
        <v>37</v>
      </c>
      <c r="I52" s="66">
        <f t="array" ref="I52">INDEX(Р[Цена за ед., руб],MATCH(1,IF(($B52=Р[Наименование])*($K52=Р[Примечание]),{1},($B52=Р[Наименование])*($K52=Р[Примечание])),0))</f>
        <v>0</v>
      </c>
      <c r="J52" s="66">
        <f t="shared" si="1"/>
        <v>0</v>
      </c>
      <c r="K52" s="62"/>
      <c r="L52" s="62"/>
    </row>
    <row r="53" spans="1:12" outlineLevel="4" x14ac:dyDescent="0.25">
      <c r="A53" s="60"/>
      <c r="B53" s="61" t="s">
        <v>167</v>
      </c>
      <c r="C53" s="62"/>
      <c r="D53" s="62"/>
      <c r="E53" s="63" t="s">
        <v>44</v>
      </c>
      <c r="F53" s="64"/>
      <c r="G53" s="67">
        <f>G78+G79</f>
        <v>2</v>
      </c>
      <c r="H53" s="67">
        <f t="shared" si="0"/>
        <v>2</v>
      </c>
      <c r="I53" s="66">
        <f t="array" ref="I53">INDEX(Р[Цена за ед., руб],MATCH(1,IF(($B53=Р[Наименование])*($K53=Р[Примечание]),{1},($B53=Р[Наименование])*($K53=Р[Примечание])),0))</f>
        <v>0</v>
      </c>
      <c r="J53" s="66">
        <f t="shared" si="1"/>
        <v>0</v>
      </c>
      <c r="K53" s="62"/>
      <c r="L53" s="62"/>
    </row>
    <row r="54" spans="1:12" outlineLevel="4" x14ac:dyDescent="0.25">
      <c r="A54" s="55"/>
      <c r="B54" s="48" t="s">
        <v>22</v>
      </c>
      <c r="C54" s="56"/>
      <c r="D54" s="56"/>
      <c r="E54" s="56"/>
      <c r="F54" s="56"/>
      <c r="G54" s="56"/>
      <c r="H54" s="56"/>
      <c r="I54" s="57"/>
      <c r="J54" s="58">
        <f>SUM($J$55:$J$80)</f>
        <v>0</v>
      </c>
      <c r="K54" s="52"/>
      <c r="L54" s="59"/>
    </row>
    <row r="55" spans="1:12" outlineLevel="4" x14ac:dyDescent="0.25">
      <c r="A55" s="60" t="s">
        <v>23</v>
      </c>
      <c r="B55" s="61" t="s">
        <v>49</v>
      </c>
      <c r="C55" s="62"/>
      <c r="D55" s="62"/>
      <c r="E55" s="63" t="s">
        <v>44</v>
      </c>
      <c r="F55" s="64"/>
      <c r="G55" s="67">
        <v>49</v>
      </c>
      <c r="H55" s="67">
        <f>SUM($G$55:$G$55)</f>
        <v>49</v>
      </c>
      <c r="I55" s="66">
        <f t="array" ref="I55">INDEX(М[Цена за ед., руб],MATCH(1,IF(($B55=М[Наим.])*($C55=М[Артикул,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  <c r="J55" s="66">
        <f>ROUND($H$55*$I$55,2)</f>
        <v>0</v>
      </c>
      <c r="K55" s="62" t="s">
        <v>50</v>
      </c>
      <c r="L55" s="62">
        <f t="array" ref="L55">INDEX(М[Форма закупа],MATCH(1,IF(($B55=М[Наим.])*($C55=М[Артикул,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</row>
    <row r="56" spans="1:12" outlineLevel="4" x14ac:dyDescent="0.25">
      <c r="A56" s="60" t="s">
        <v>27</v>
      </c>
      <c r="B56" s="61" t="s">
        <v>51</v>
      </c>
      <c r="C56" s="62"/>
      <c r="D56" s="62"/>
      <c r="E56" s="63" t="s">
        <v>44</v>
      </c>
      <c r="F56" s="64"/>
      <c r="G56" s="67">
        <v>8</v>
      </c>
      <c r="H56" s="67">
        <f>SUM($G$56:$G$56)</f>
        <v>8</v>
      </c>
      <c r="I56" s="66">
        <f t="array" ref="I56">INDEX(М[Цена за ед., руб],MATCH(1,IF(($B56=М[Наим.])*($C56=М[Артикул,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  <c r="J56" s="66">
        <f>ROUND($H$56*$I$56,2)</f>
        <v>0</v>
      </c>
      <c r="K56" s="62" t="s">
        <v>52</v>
      </c>
      <c r="L56" s="62">
        <f t="array" ref="L56">INDEX(М[Форма закупа],MATCH(1,IF(($B56=М[Наим.])*($C56=М[Артикул,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</row>
    <row r="57" spans="1:12" ht="31.5" outlineLevel="4" x14ac:dyDescent="0.25">
      <c r="A57" s="60" t="s">
        <v>29</v>
      </c>
      <c r="B57" s="61" t="s">
        <v>53</v>
      </c>
      <c r="C57" s="62"/>
      <c r="D57" s="62" t="s">
        <v>54</v>
      </c>
      <c r="E57" s="63" t="s">
        <v>44</v>
      </c>
      <c r="F57" s="64"/>
      <c r="G57" s="67">
        <v>108</v>
      </c>
      <c r="H57" s="67">
        <f>SUM($G$57:$G$57)</f>
        <v>108</v>
      </c>
      <c r="I57" s="66">
        <f t="array" ref="I57">INDEX(М[Цена за ед., руб],MATCH(1,IF(($B57=М[Наим.])*($C57=М[Артикул,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  <c r="J57" s="66">
        <f>ROUND($H$57*$I$57,2)</f>
        <v>0</v>
      </c>
      <c r="K57" s="62" t="s">
        <v>55</v>
      </c>
      <c r="L57" s="62">
        <f t="array" ref="L57">INDEX(М[Форма закупа],MATCH(1,IF(($B57=М[Наим.])*($C57=М[Артикул,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</row>
    <row r="58" spans="1:12" outlineLevel="4" x14ac:dyDescent="0.25">
      <c r="A58" s="60" t="s">
        <v>31</v>
      </c>
      <c r="B58" s="61" t="s">
        <v>56</v>
      </c>
      <c r="C58" s="62"/>
      <c r="D58" s="62" t="s">
        <v>57</v>
      </c>
      <c r="E58" s="63" t="s">
        <v>44</v>
      </c>
      <c r="F58" s="64"/>
      <c r="G58" s="67">
        <v>15</v>
      </c>
      <c r="H58" s="67">
        <f>SUM($G$58:$G$58)</f>
        <v>15</v>
      </c>
      <c r="I58" s="66">
        <f t="array" ref="I58">INDEX(М[Цена за ед., руб],MATCH(1,IF(($B58=М[Наим.])*($C58=М[Артикул,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  <c r="J58" s="66">
        <f>ROUND($H$58*$I$58,2)</f>
        <v>0</v>
      </c>
      <c r="K58" s="62"/>
      <c r="L58" s="62">
        <f t="array" ref="L58">INDEX(М[Форма закупа],MATCH(1,IF(($B58=М[Наим.])*($C58=М[Артикул,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</row>
    <row r="59" spans="1:12" outlineLevel="4" x14ac:dyDescent="0.25">
      <c r="A59" s="60" t="s">
        <v>58</v>
      </c>
      <c r="B59" s="61" t="s">
        <v>56</v>
      </c>
      <c r="C59" s="62"/>
      <c r="D59" s="62" t="s">
        <v>59</v>
      </c>
      <c r="E59" s="63" t="s">
        <v>44</v>
      </c>
      <c r="F59" s="64"/>
      <c r="G59" s="67">
        <v>2</v>
      </c>
      <c r="H59" s="67">
        <f>SUM($G$59:$G$59)</f>
        <v>2</v>
      </c>
      <c r="I59" s="66">
        <f t="array" ref="I59">INDEX(М[Цена за ед., руб],MATCH(1,IF(($B59=М[Наим.])*($C59=М[Артикул,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  <c r="J59" s="66">
        <f>ROUND($H$59*$I$59,2)</f>
        <v>0</v>
      </c>
      <c r="K59" s="62"/>
      <c r="L59" s="62">
        <f t="array" ref="L59">INDEX(М[Форма закупа],MATCH(1,IF(($B59=М[Наим.])*($C59=М[Артикул,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</row>
    <row r="60" spans="1:12" outlineLevel="4" x14ac:dyDescent="0.25">
      <c r="A60" s="60" t="s">
        <v>60</v>
      </c>
      <c r="B60" s="61" t="s">
        <v>61</v>
      </c>
      <c r="C60" s="62"/>
      <c r="D60" s="62" t="s">
        <v>62</v>
      </c>
      <c r="E60" s="63" t="s">
        <v>44</v>
      </c>
      <c r="F60" s="64"/>
      <c r="G60" s="67">
        <v>97</v>
      </c>
      <c r="H60" s="67">
        <f>SUM($G$60:$G$60)</f>
        <v>97</v>
      </c>
      <c r="I60" s="66">
        <f t="array" ref="I60">INDEX(М[Цена за ед., руб],MATCH(1,IF(($B60=М[Наим.])*($C60=М[Артикул, марка, произв.])*($D60=М[Хар-ка])*($K60=М[Прим.]),{1},($B60=М[Наим.])*($C60=М[Артикул, марка, произв.])*($D60=М[Хар-ка])*($K60=М[Прим.])),0))</f>
        <v>0</v>
      </c>
      <c r="J60" s="66">
        <f>ROUND($H$60*$I$60,2)</f>
        <v>0</v>
      </c>
      <c r="K60" s="62"/>
      <c r="L60" s="62">
        <f t="array" ref="L60">INDEX(М[Форма закупа],MATCH(1,IF(($B60=М[Наим.])*($C60=М[Артикул, марка, произв.])*($D60=М[Хар-ка])*($K60=М[Прим.]),{1},($B60=М[Наим.])*($C60=М[Артикул, марка, произв.])*($D60=М[Хар-ка])*($K60=М[Прим.])),0))</f>
        <v>0</v>
      </c>
    </row>
    <row r="61" spans="1:12" outlineLevel="4" x14ac:dyDescent="0.25">
      <c r="A61" s="60" t="s">
        <v>63</v>
      </c>
      <c r="B61" s="61" t="s">
        <v>61</v>
      </c>
      <c r="C61" s="62"/>
      <c r="D61" s="62" t="s">
        <v>64</v>
      </c>
      <c r="E61" s="63" t="s">
        <v>44</v>
      </c>
      <c r="F61" s="64"/>
      <c r="G61" s="67">
        <v>8</v>
      </c>
      <c r="H61" s="67">
        <f>SUM($G$61:$G$61)</f>
        <v>8</v>
      </c>
      <c r="I61" s="66">
        <f t="array" ref="I61">INDEX(М[Цена за ед., руб],MATCH(1,IF(($B61=М[Наим.])*($C61=М[Артикул, марка, произв.])*($D61=М[Хар-ка])*($K61=М[Прим.]),{1},($B61=М[Наим.])*($C61=М[Артикул, марка, произв.])*($D61=М[Хар-ка])*($K61=М[Прим.])),0))</f>
        <v>0</v>
      </c>
      <c r="J61" s="66">
        <f>ROUND($H$61*$I$61,2)</f>
        <v>0</v>
      </c>
      <c r="K61" s="62"/>
      <c r="L61" s="62">
        <f t="array" ref="L61">INDEX(М[Форма закупа],MATCH(1,IF(($B61=М[Наим.])*($C61=М[Артикул, марка, произв.])*($D61=М[Хар-ка])*($K61=М[Прим.]),{1},($B61=М[Наим.])*($C61=М[Артикул, марка, произв.])*($D61=М[Хар-ка])*($K61=М[Прим.])),0))</f>
        <v>0</v>
      </c>
    </row>
    <row r="62" spans="1:12" ht="31.5" outlineLevel="4" x14ac:dyDescent="0.25">
      <c r="A62" s="60" t="s">
        <v>65</v>
      </c>
      <c r="B62" s="61" t="s">
        <v>42</v>
      </c>
      <c r="C62" s="62"/>
      <c r="D62" s="62" t="s">
        <v>66</v>
      </c>
      <c r="E62" s="63" t="s">
        <v>44</v>
      </c>
      <c r="F62" s="64"/>
      <c r="G62" s="67">
        <v>83</v>
      </c>
      <c r="H62" s="67">
        <f>SUM($G$62:$G$62)</f>
        <v>83</v>
      </c>
      <c r="I62" s="66">
        <f t="array" ref="I62">INDEX(М[Цена за ед., руб],MATCH(1,IF(($B62=М[Наим.])*($C62=М[Артикул, марка, произв.])*($D62=М[Хар-ка])*($K62=М[Прим.]),{1},($B62=М[Наим.])*($C62=М[Артикул, марка, произв.])*($D62=М[Хар-ка])*($K62=М[Прим.])),0))</f>
        <v>0</v>
      </c>
      <c r="J62" s="66">
        <f>ROUND($H$62*$I$62,2)</f>
        <v>0</v>
      </c>
      <c r="K62" s="62" t="s">
        <v>45</v>
      </c>
      <c r="L62" s="62">
        <f t="array" ref="L62">INDEX(М[Форма закупа],MATCH(1,IF(($B62=М[Наим.])*($C62=М[Артикул, марка, произв.])*($D62=М[Хар-ка])*($K62=М[Прим.]),{1},($B62=М[Наим.])*($C62=М[Артикул, марка, произв.])*($D62=М[Хар-ка])*($K62=М[Прим.])),0))</f>
        <v>0</v>
      </c>
    </row>
    <row r="63" spans="1:12" outlineLevel="4" x14ac:dyDescent="0.25">
      <c r="A63" s="60" t="s">
        <v>67</v>
      </c>
      <c r="B63" s="61" t="s">
        <v>68</v>
      </c>
      <c r="C63" s="62"/>
      <c r="D63" s="62" t="s">
        <v>69</v>
      </c>
      <c r="E63" s="63" t="s">
        <v>44</v>
      </c>
      <c r="F63" s="64"/>
      <c r="G63" s="67">
        <v>1</v>
      </c>
      <c r="H63" s="67">
        <f>SUM($G$63:$G$63)</f>
        <v>1</v>
      </c>
      <c r="I63" s="66">
        <f t="array" ref="I63">INDEX(М[Цена за ед., руб],MATCH(1,IF(($B63=М[Наим.])*($C63=М[Артикул,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  <c r="J63" s="66">
        <f>ROUND($H$63*$I$63,2)</f>
        <v>0</v>
      </c>
      <c r="K63" s="62" t="s">
        <v>70</v>
      </c>
      <c r="L63" s="62">
        <f t="array" ref="L63">INDEX(М[Форма закупа],MATCH(1,IF(($B63=М[Наим.])*($C63=М[Артикул,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</row>
    <row r="64" spans="1:12" outlineLevel="4" x14ac:dyDescent="0.25">
      <c r="A64" s="60" t="s">
        <v>71</v>
      </c>
      <c r="B64" s="61" t="s">
        <v>68</v>
      </c>
      <c r="C64" s="62"/>
      <c r="D64" s="62" t="s">
        <v>72</v>
      </c>
      <c r="E64" s="63" t="s">
        <v>44</v>
      </c>
      <c r="F64" s="64"/>
      <c r="G64" s="67">
        <v>1</v>
      </c>
      <c r="H64" s="67">
        <f>SUM($G$64:$G$64)</f>
        <v>1</v>
      </c>
      <c r="I64" s="66">
        <f t="array" ref="I64">INDEX(М[Цена за ед., руб],MATCH(1,IF(($B64=М[Наим.])*($C64=М[Артикул, марка, произв.])*($D64=М[Хар-ка])*($K64=М[Прим.]),{1},($B64=М[Наим.])*($C64=М[Артикул, марка, произв.])*($D64=М[Хар-ка])*($K64=М[Прим.])),0))</f>
        <v>0</v>
      </c>
      <c r="J64" s="66">
        <f>ROUND($H$64*$I$64,2)</f>
        <v>0</v>
      </c>
      <c r="K64" s="62" t="s">
        <v>73</v>
      </c>
      <c r="L64" s="62">
        <f t="array" ref="L64">INDEX(М[Форма закупа],MATCH(1,IF(($B64=М[Наим.])*($C64=М[Артикул, марка, произв.])*($D64=М[Хар-ка])*($K64=М[Прим.]),{1},($B64=М[Наим.])*($C64=М[Артикул, марка, произв.])*($D64=М[Хар-ка])*($K64=М[Прим.])),0))</f>
        <v>0</v>
      </c>
    </row>
    <row r="65" spans="1:12" outlineLevel="4" x14ac:dyDescent="0.25">
      <c r="A65" s="60" t="s">
        <v>12</v>
      </c>
      <c r="B65" s="61" t="s">
        <v>68</v>
      </c>
      <c r="C65" s="62"/>
      <c r="D65" s="62" t="s">
        <v>74</v>
      </c>
      <c r="E65" s="63" t="s">
        <v>44</v>
      </c>
      <c r="F65" s="64"/>
      <c r="G65" s="67">
        <v>3</v>
      </c>
      <c r="H65" s="67">
        <f>SUM($G$65:$G$65)</f>
        <v>3</v>
      </c>
      <c r="I65" s="66">
        <f t="array" ref="I65">INDEX(М[Цена за ед., руб],MATCH(1,IF(($B65=М[Наим.])*($C65=М[Артикул,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  <c r="J65" s="66">
        <f>ROUND($H$65*$I$65,2)</f>
        <v>0</v>
      </c>
      <c r="K65" s="62" t="s">
        <v>75</v>
      </c>
      <c r="L65" s="62">
        <f t="array" ref="L65">INDEX(М[Форма закупа],MATCH(1,IF(($B65=М[Наим.])*($C65=М[Артикул,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</row>
    <row r="66" spans="1:12" outlineLevel="4" x14ac:dyDescent="0.25">
      <c r="A66" s="60" t="s">
        <v>76</v>
      </c>
      <c r="B66" s="61" t="s">
        <v>68</v>
      </c>
      <c r="C66" s="62"/>
      <c r="D66" s="62" t="s">
        <v>77</v>
      </c>
      <c r="E66" s="63" t="s">
        <v>44</v>
      </c>
      <c r="F66" s="64"/>
      <c r="G66" s="67">
        <v>1</v>
      </c>
      <c r="H66" s="67">
        <f>SUM($G$66:$G$66)</f>
        <v>1</v>
      </c>
      <c r="I66" s="66">
        <f t="array" ref="I66">INDEX(М[Цена за ед., руб],MATCH(1,IF(($B66=М[Наим.])*($C66=М[Артикул, марка, произв.])*($D66=М[Хар-ка])*($K66=М[Прим.]),{1},($B66=М[Наим.])*($C66=М[Артикул, марка, произв.])*($D66=М[Хар-ка])*($K66=М[Прим.])),0))</f>
        <v>0</v>
      </c>
      <c r="J66" s="66">
        <f>ROUND($H$66*$I$66,2)</f>
        <v>0</v>
      </c>
      <c r="K66" s="62" t="s">
        <v>78</v>
      </c>
      <c r="L66" s="62">
        <f t="array" ref="L66">INDEX(М[Форма закупа],MATCH(1,IF(($B66=М[Наим.])*($C66=М[Артикул, марка, произв.])*($D66=М[Хар-ка])*($K66=М[Прим.]),{1},($B66=М[Наим.])*($C66=М[Артикул, марка, произв.])*($D66=М[Хар-ка])*($K66=М[Прим.])),0))</f>
        <v>0</v>
      </c>
    </row>
    <row r="67" spans="1:12" ht="31.5" outlineLevel="4" x14ac:dyDescent="0.25">
      <c r="A67" s="60" t="s">
        <v>79</v>
      </c>
      <c r="B67" s="61" t="s">
        <v>80</v>
      </c>
      <c r="C67" s="62"/>
      <c r="D67" s="62" t="s">
        <v>81</v>
      </c>
      <c r="E67" s="63" t="s">
        <v>44</v>
      </c>
      <c r="F67" s="64"/>
      <c r="G67" s="67">
        <v>29</v>
      </c>
      <c r="H67" s="67">
        <f>SUM($G$67:$G$67)</f>
        <v>29</v>
      </c>
      <c r="I67" s="66">
        <f t="array" ref="I67">INDEX(М[Цена за ед., руб],MATCH(1,IF(($B67=М[Наим.])*($C67=М[Артикул, марка, произв.])*($D67=М[Хар-ка])*($K67=М[Прим.]),{1},($B67=М[Наим.])*($C67=М[Артикул, марка, произв.])*($D67=М[Хар-ка])*($K67=М[Прим.])),0))</f>
        <v>0</v>
      </c>
      <c r="J67" s="66">
        <f>ROUND($H$67*$I$67,2)</f>
        <v>0</v>
      </c>
      <c r="K67" s="62"/>
      <c r="L67" s="62">
        <f t="array" ref="L67">INDEX(М[Форма закупа],MATCH(1,IF(($B67=М[Наим.])*($C67=М[Артикул, марка, произв.])*($D67=М[Хар-ка])*($K67=М[Прим.]),{1},($B67=М[Наим.])*($C67=М[Артикул, марка, произв.])*($D67=М[Хар-ка])*($K67=М[Прим.])),0))</f>
        <v>0</v>
      </c>
    </row>
    <row r="68" spans="1:12" ht="31.5" outlineLevel="4" x14ac:dyDescent="0.25">
      <c r="A68" s="60" t="s">
        <v>82</v>
      </c>
      <c r="B68" s="61" t="s">
        <v>80</v>
      </c>
      <c r="C68" s="62"/>
      <c r="D68" s="62" t="s">
        <v>83</v>
      </c>
      <c r="E68" s="63" t="s">
        <v>44</v>
      </c>
      <c r="F68" s="64"/>
      <c r="G68" s="67">
        <v>37</v>
      </c>
      <c r="H68" s="67">
        <f>SUM($G$68:$G$68)</f>
        <v>37</v>
      </c>
      <c r="I68" s="66">
        <f t="array" ref="I68">INDEX(М[Цена за ед., руб],MATCH(1,IF(($B68=М[Наим.])*($C68=М[Артикул, марка, произв.])*($D68=М[Хар-ка])*($K68=М[Прим.]),{1},($B68=М[Наим.])*($C68=М[Артикул, марка, произв.])*($D68=М[Хар-ка])*($K68=М[Прим.])),0))</f>
        <v>0</v>
      </c>
      <c r="J68" s="66">
        <f>ROUND($H$68*$I$68,2)</f>
        <v>0</v>
      </c>
      <c r="K68" s="62"/>
      <c r="L68" s="62">
        <f t="array" ref="L68">INDEX(М[Форма закупа],MATCH(1,IF(($B68=М[Наим.])*($C68=М[Артикул, марка, произв.])*($D68=М[Хар-ка])*($K68=М[Прим.]),{1},($B68=М[Наим.])*($C68=М[Артикул, марка, произв.])*($D68=М[Хар-ка])*($K68=М[Прим.])),0))</f>
        <v>0</v>
      </c>
    </row>
    <row r="69" spans="1:12" outlineLevel="4" x14ac:dyDescent="0.25">
      <c r="A69" s="60" t="s">
        <v>84</v>
      </c>
      <c r="B69" s="61" t="s">
        <v>80</v>
      </c>
      <c r="C69" s="62"/>
      <c r="D69" s="62" t="s">
        <v>85</v>
      </c>
      <c r="E69" s="63" t="s">
        <v>44</v>
      </c>
      <c r="F69" s="64"/>
      <c r="G69" s="67">
        <v>13</v>
      </c>
      <c r="H69" s="67">
        <f>SUM($G$69:$G$69)</f>
        <v>13</v>
      </c>
      <c r="I69" s="66">
        <f t="array" ref="I69">INDEX(М[Цена за ед., руб],MATCH(1,IF(($B69=М[Наим.])*($C69=М[Артикул,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  <c r="J69" s="66">
        <f>ROUND($H$69*$I$69,2)</f>
        <v>0</v>
      </c>
      <c r="K69" s="62"/>
      <c r="L69" s="62">
        <f t="array" ref="L69">INDEX(М[Форма закупа],MATCH(1,IF(($B69=М[Наим.])*($C69=М[Артикул,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</row>
    <row r="70" spans="1:12" outlineLevel="4" x14ac:dyDescent="0.25">
      <c r="A70" s="60" t="s">
        <v>86</v>
      </c>
      <c r="B70" s="61" t="s">
        <v>87</v>
      </c>
      <c r="C70" s="62"/>
      <c r="D70" s="62" t="s">
        <v>88</v>
      </c>
      <c r="E70" s="63" t="s">
        <v>44</v>
      </c>
      <c r="F70" s="64"/>
      <c r="G70" s="67">
        <v>2</v>
      </c>
      <c r="H70" s="67">
        <f>SUM($G$70:$G$70)</f>
        <v>2</v>
      </c>
      <c r="I70" s="66">
        <f t="array" ref="I70">INDEX(М[Цена за ед., руб],MATCH(1,IF(($B70=М[Наим.])*($C70=М[Артикул, марка, произв.])*($D70=М[Хар-ка])*($K70=М[Прим.]),{1},($B70=М[Наим.])*($C70=М[Артикул, марка, произв.])*($D70=М[Хар-ка])*($K70=М[Прим.])),0))</f>
        <v>0</v>
      </c>
      <c r="J70" s="66">
        <f>ROUND($H$70*$I$70,2)</f>
        <v>0</v>
      </c>
      <c r="K70" s="62"/>
      <c r="L70" s="62">
        <f t="array" ref="L70">INDEX(М[Форма закупа],MATCH(1,IF(($B70=М[Наим.])*($C70=М[Артикул, марка, произв.])*($D70=М[Хар-ка])*($K70=М[Прим.]),{1},($B70=М[Наим.])*($C70=М[Артикул, марка, произв.])*($D70=М[Хар-ка])*($K70=М[Прим.])),0))</f>
        <v>0</v>
      </c>
    </row>
    <row r="71" spans="1:12" outlineLevel="4" x14ac:dyDescent="0.25">
      <c r="A71" s="60" t="s">
        <v>89</v>
      </c>
      <c r="B71" s="61" t="s">
        <v>87</v>
      </c>
      <c r="C71" s="62"/>
      <c r="D71" s="62" t="s">
        <v>90</v>
      </c>
      <c r="E71" s="63" t="s">
        <v>44</v>
      </c>
      <c r="F71" s="64"/>
      <c r="G71" s="67">
        <v>2</v>
      </c>
      <c r="H71" s="67">
        <f>SUM($G$71:$G$71)</f>
        <v>2</v>
      </c>
      <c r="I71" s="66">
        <f t="array" ref="I71">INDEX(М[Цена за ед., руб],MATCH(1,IF(($B71=М[Наим.])*($C71=М[Артикул, марка, произв.])*($D71=М[Хар-ка])*($K71=М[Прим.]),{1},($B71=М[Наим.])*($C71=М[Артикул, марка, произв.])*($D71=М[Хар-ка])*($K71=М[Прим.])),0))</f>
        <v>0</v>
      </c>
      <c r="J71" s="66">
        <f>ROUND($H$71*$I$71,2)</f>
        <v>0</v>
      </c>
      <c r="K71" s="62"/>
      <c r="L71" s="62">
        <f t="array" ref="L71">INDEX(М[Форма закупа],MATCH(1,IF(($B71=М[Наим.])*($C71=М[Артикул, марка, произв.])*($D71=М[Хар-ка])*($K71=М[Прим.]),{1},($B71=М[Наим.])*($C71=М[Артикул, марка, произв.])*($D71=М[Хар-ка])*($K71=М[Прим.])),0))</f>
        <v>0</v>
      </c>
    </row>
    <row r="72" spans="1:12" ht="31.5" outlineLevel="4" x14ac:dyDescent="0.25">
      <c r="A72" s="60" t="s">
        <v>91</v>
      </c>
      <c r="B72" s="61" t="s">
        <v>46</v>
      </c>
      <c r="C72" s="62"/>
      <c r="D72" s="62" t="s">
        <v>47</v>
      </c>
      <c r="E72" s="63" t="s">
        <v>44</v>
      </c>
      <c r="F72" s="64"/>
      <c r="G72" s="67">
        <v>19</v>
      </c>
      <c r="H72" s="67">
        <f>SUM($G$72:$G$72)</f>
        <v>19</v>
      </c>
      <c r="I72" s="66">
        <f t="array" ref="I72">INDEX(М[Цена за ед., руб],MATCH(1,IF(($B72=М[Наим.])*($C72=М[Артикул, марка, произв.])*($D72=М[Хар-ка])*($K72=М[Прим.]),{1},($B72=М[Наим.])*($C72=М[Артикул, марка, произв.])*($D72=М[Хар-ка])*($K72=М[Прим.])),0))</f>
        <v>0</v>
      </c>
      <c r="J72" s="66">
        <f>ROUND($H$72*$I$72,2)</f>
        <v>0</v>
      </c>
      <c r="K72" s="62" t="s">
        <v>48</v>
      </c>
      <c r="L72" s="62">
        <f t="array" ref="L72">INDEX(М[Форма закупа],MATCH(1,IF(($B72=М[Наим.])*($C72=М[Артикул, марка, произв.])*($D72=М[Хар-ка])*($K72=М[Прим.]),{1},($B72=М[Наим.])*($C72=М[Артикул, марка, произв.])*($D72=М[Хар-ка])*($K72=М[Прим.])),0))</f>
        <v>0</v>
      </c>
    </row>
    <row r="73" spans="1:12" ht="31.5" outlineLevel="4" x14ac:dyDescent="0.25">
      <c r="A73" s="60" t="s">
        <v>92</v>
      </c>
      <c r="B73" s="61" t="s">
        <v>46</v>
      </c>
      <c r="C73" s="62"/>
      <c r="D73" s="62" t="s">
        <v>93</v>
      </c>
      <c r="E73" s="63" t="s">
        <v>44</v>
      </c>
      <c r="F73" s="64"/>
      <c r="G73" s="67">
        <v>271</v>
      </c>
      <c r="H73" s="67">
        <f>SUM($G$73:$G$73)</f>
        <v>271</v>
      </c>
      <c r="I73" s="66">
        <f t="array" ref="I73">INDEX(М[Цена за ед., руб],MATCH(1,IF(($B73=М[Наим.])*($C73=М[Артикул,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  <c r="J73" s="66">
        <f>ROUND($H$73*$I$73,2)</f>
        <v>0</v>
      </c>
      <c r="K73" s="62" t="s">
        <v>94</v>
      </c>
      <c r="L73" s="62">
        <f t="array" ref="L73">INDEX(М[Форма закупа],MATCH(1,IF(($B73=М[Наим.])*($C73=М[Артикул,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</row>
    <row r="74" spans="1:12" ht="31.5" outlineLevel="4" x14ac:dyDescent="0.25">
      <c r="A74" s="60" t="s">
        <v>95</v>
      </c>
      <c r="B74" s="61" t="s">
        <v>46</v>
      </c>
      <c r="C74" s="62"/>
      <c r="D74" s="62" t="s">
        <v>96</v>
      </c>
      <c r="E74" s="63" t="s">
        <v>44</v>
      </c>
      <c r="F74" s="64"/>
      <c r="G74" s="67">
        <v>29</v>
      </c>
      <c r="H74" s="67">
        <f>SUM($G$74:$G$74)</f>
        <v>29</v>
      </c>
      <c r="I74" s="66">
        <f t="array" ref="I74">INDEX(М[Цена за ед., руб],MATCH(1,IF(($B74=М[Наим.])*($C74=М[Артикул, марка, произв.])*($D74=М[Хар-ка])*($K74=М[Прим.]),{1},($B74=М[Наим.])*($C74=М[Артикул, марка, произв.])*($D74=М[Хар-ка])*($K74=М[Прим.])),0))</f>
        <v>0</v>
      </c>
      <c r="J74" s="66">
        <f>ROUND($H$74*$I$74,2)</f>
        <v>0</v>
      </c>
      <c r="K74" s="62" t="s">
        <v>97</v>
      </c>
      <c r="L74" s="62">
        <f t="array" ref="L74">INDEX(М[Форма закупа],MATCH(1,IF(($B74=М[Наим.])*($C74=М[Артикул, марка, произв.])*($D74=М[Хар-ка])*($K74=М[Прим.]),{1},($B74=М[Наим.])*($C74=М[Артикул, марка, произв.])*($D74=М[Хар-ка])*($K74=М[Прим.])),0))</f>
        <v>0</v>
      </c>
    </row>
    <row r="75" spans="1:12" outlineLevel="4" x14ac:dyDescent="0.25">
      <c r="A75" s="60" t="s">
        <v>98</v>
      </c>
      <c r="B75" s="61" t="s">
        <v>99</v>
      </c>
      <c r="C75" s="62"/>
      <c r="D75" s="62" t="s">
        <v>100</v>
      </c>
      <c r="E75" s="63" t="s">
        <v>44</v>
      </c>
      <c r="F75" s="64"/>
      <c r="G75" s="67">
        <v>2</v>
      </c>
      <c r="H75" s="67">
        <f>SUM($G$75:$G$75)</f>
        <v>2</v>
      </c>
      <c r="I75" s="66">
        <f t="array" ref="I75">INDEX(М[Цена за ед., руб],MATCH(1,IF(($B75=М[Наим.])*($C75=М[Артикул, марка, произв.])*($D75=М[Хар-ка])*($K75=М[Прим.]),{1},($B75=М[Наим.])*($C75=М[Артикул, марка, произв.])*($D75=М[Хар-ка])*($K75=М[Прим.])),0))</f>
        <v>0</v>
      </c>
      <c r="J75" s="66">
        <f>ROUND($H$75*$I$75,2)</f>
        <v>0</v>
      </c>
      <c r="K75" s="62" t="s">
        <v>45</v>
      </c>
      <c r="L75" s="62">
        <f t="array" ref="L75">INDEX(М[Форма закупа],MATCH(1,IF(($B75=М[Наим.])*($C75=М[Артикул, марка, произв.])*($D75=М[Хар-ка])*($K75=М[Прим.]),{1},($B75=М[Наим.])*($C75=М[Артикул, марка, произв.])*($D75=М[Хар-ка])*($K75=М[Прим.])),0))</f>
        <v>0</v>
      </c>
    </row>
    <row r="76" spans="1:12" outlineLevel="4" x14ac:dyDescent="0.25">
      <c r="A76" s="60" t="s">
        <v>101</v>
      </c>
      <c r="B76" s="61" t="s">
        <v>102</v>
      </c>
      <c r="C76" s="62"/>
      <c r="D76" s="62" t="s">
        <v>103</v>
      </c>
      <c r="E76" s="63" t="s">
        <v>44</v>
      </c>
      <c r="F76" s="64"/>
      <c r="G76" s="67">
        <v>68</v>
      </c>
      <c r="H76" s="67">
        <f>SUM($G$76:$G$76)</f>
        <v>68</v>
      </c>
      <c r="I76" s="66">
        <f t="array" ref="I76">INDEX(М[Цена за ед., руб],MATCH(1,IF(($B76=М[Наим.])*($C76=М[Артикул, марка, произв.])*($D76=М[Хар-ка])*($K76=М[Прим.]),{1},($B76=М[Наим.])*($C76=М[Артикул, марка, произв.])*($D76=М[Хар-ка])*($K76=М[Прим.])),0))</f>
        <v>0</v>
      </c>
      <c r="J76" s="66">
        <f>ROUND($H$76*$I$76,2)</f>
        <v>0</v>
      </c>
      <c r="K76" s="62" t="s">
        <v>104</v>
      </c>
      <c r="L76" s="62">
        <f t="array" ref="L76">INDEX(М[Форма закупа],MATCH(1,IF(($B76=М[Наим.])*($C76=М[Артикул, марка, произв.])*($D76=М[Хар-ка])*($K76=М[Прим.]),{1},($B76=М[Наим.])*($C76=М[Артикул, марка, произв.])*($D76=М[Хар-ка])*($K76=М[Прим.])),0))</f>
        <v>0</v>
      </c>
    </row>
    <row r="77" spans="1:12" outlineLevel="4" x14ac:dyDescent="0.25">
      <c r="A77" s="60" t="s">
        <v>105</v>
      </c>
      <c r="B77" s="61" t="s">
        <v>106</v>
      </c>
      <c r="C77" s="62"/>
      <c r="D77" s="62"/>
      <c r="E77" s="63" t="s">
        <v>44</v>
      </c>
      <c r="F77" s="64"/>
      <c r="G77" s="67">
        <v>37</v>
      </c>
      <c r="H77" s="67">
        <f>SUM($G$77:$G$77)</f>
        <v>37</v>
      </c>
      <c r="I77" s="66">
        <f t="array" ref="I77">INDEX(М[Цена за ед., руб],MATCH(1,IF(($B77=М[Наим.])*($C77=М[Артикул,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  <c r="J77" s="66">
        <f>ROUND($H$77*$I$77,2)</f>
        <v>0</v>
      </c>
      <c r="K77" s="62"/>
      <c r="L77" s="62">
        <f t="array" ref="L77">INDEX(М[Форма закупа],MATCH(1,IF(($B77=М[Наим.])*($C77=М[Артикул,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</row>
    <row r="78" spans="1:12" outlineLevel="4" x14ac:dyDescent="0.25">
      <c r="A78" s="60" t="s">
        <v>107</v>
      </c>
      <c r="B78" s="61" t="s">
        <v>108</v>
      </c>
      <c r="C78" s="62"/>
      <c r="D78" s="62" t="s">
        <v>109</v>
      </c>
      <c r="E78" s="63" t="s">
        <v>44</v>
      </c>
      <c r="F78" s="64"/>
      <c r="G78" s="67">
        <v>1</v>
      </c>
      <c r="H78" s="67">
        <f>SUM($G$78:$G$78)</f>
        <v>1</v>
      </c>
      <c r="I78" s="66">
        <f t="array" ref="I78">INDEX(М[Цена за ед., руб],MATCH(1,IF(($B78=М[Наим.])*($C78=М[Артикул,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  <c r="J78" s="66">
        <f>ROUND($H$78*$I$78,2)</f>
        <v>0</v>
      </c>
      <c r="K78" s="62" t="s">
        <v>45</v>
      </c>
      <c r="L78" s="62">
        <f t="array" ref="L78">INDEX(М[Форма закупа],MATCH(1,IF(($B78=М[Наим.])*($C78=М[Артикул,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</row>
    <row r="79" spans="1:12" outlineLevel="4" x14ac:dyDescent="0.25">
      <c r="A79" s="60" t="s">
        <v>110</v>
      </c>
      <c r="B79" s="61" t="s">
        <v>108</v>
      </c>
      <c r="C79" s="62"/>
      <c r="D79" s="62" t="s">
        <v>111</v>
      </c>
      <c r="E79" s="63" t="s">
        <v>44</v>
      </c>
      <c r="F79" s="64"/>
      <c r="G79" s="67">
        <v>1</v>
      </c>
      <c r="H79" s="67">
        <f>SUM($G$79:$G$79)</f>
        <v>1</v>
      </c>
      <c r="I79" s="66">
        <f t="array" ref="I79">INDEX(М[Цена за ед., руб],MATCH(1,IF(($B79=М[Наим.])*($C79=М[Артикул, марка, произв.])*($D79=М[Хар-ка])*($K79=М[Прим.]),{1},($B79=М[Наим.])*($C79=М[Артикул, марка, произв.])*($D79=М[Хар-ка])*($K79=М[Прим.])),0))</f>
        <v>0</v>
      </c>
      <c r="J79" s="66">
        <f>ROUND($H$79*$I$79,2)</f>
        <v>0</v>
      </c>
      <c r="K79" s="62" t="s">
        <v>45</v>
      </c>
      <c r="L79" s="62">
        <f t="array" ref="L79">INDEX(М[Форма закупа],MATCH(1,IF(($B79=М[Наим.])*($C79=М[Артикул, марка, произв.])*($D79=М[Хар-ка])*($K79=М[Прим.]),{1},($B79=М[Наим.])*($C79=М[Артикул, марка, произв.])*($D79=М[Хар-ка])*($K79=М[Прим.])),0))</f>
        <v>0</v>
      </c>
    </row>
    <row r="80" spans="1:12" ht="31.5" outlineLevel="4" x14ac:dyDescent="0.25">
      <c r="A80" s="60" t="s">
        <v>112</v>
      </c>
      <c r="B80" s="61" t="s">
        <v>113</v>
      </c>
      <c r="C80" s="62"/>
      <c r="D80" s="62" t="s">
        <v>114</v>
      </c>
      <c r="E80" s="63" t="s">
        <v>44</v>
      </c>
      <c r="F80" s="64"/>
      <c r="G80" s="67">
        <v>1</v>
      </c>
      <c r="H80" s="67">
        <f>SUM($G$80:$G$80)</f>
        <v>1</v>
      </c>
      <c r="I80" s="66">
        <f t="array" ref="I80">INDEX(М[Цена за ед., руб],MATCH(1,IF(($B80=М[Наим.])*($C80=М[Артикул, марка, произв.])*($D80=М[Хар-ка])*($K80=М[Прим.]),{1},($B80=М[Наим.])*($C80=М[Артикул, марка, произв.])*($D80=М[Хар-ка])*($K80=М[Прим.])),0))</f>
        <v>0</v>
      </c>
      <c r="J80" s="66">
        <f>ROUND($H$80*$I$80,2)</f>
        <v>0</v>
      </c>
      <c r="K80" s="62" t="s">
        <v>115</v>
      </c>
      <c r="L80" s="62">
        <f t="array" ref="L80">INDEX(М[Форма закупа],MATCH(1,IF(($B80=М[Наим.])*($C80=М[Артикул, марка, произв.])*($D80=М[Хар-ка])*($K80=М[Прим.]),{1},($B80=М[Наим.])*($C80=М[Артикул, марка, произв.])*($D80=М[Хар-ка])*($K80=М[Прим.])),0))</f>
        <v>0</v>
      </c>
    </row>
    <row r="81" spans="1:12" outlineLevel="2" x14ac:dyDescent="0.25">
      <c r="A81" s="47" t="s">
        <v>116</v>
      </c>
      <c r="B81" s="48" t="s">
        <v>117</v>
      </c>
      <c r="C81" s="49"/>
      <c r="D81" s="49"/>
      <c r="E81" s="50"/>
      <c r="F81" s="51"/>
      <c r="G81" s="52"/>
      <c r="H81" s="52"/>
      <c r="I81" s="53"/>
      <c r="J81" s="53">
        <f>SUM($J$82)</f>
        <v>0</v>
      </c>
      <c r="K81" s="54"/>
      <c r="L81" s="54"/>
    </row>
    <row r="82" spans="1:12" outlineLevel="3" x14ac:dyDescent="0.25">
      <c r="A82" s="47" t="s">
        <v>118</v>
      </c>
      <c r="B82" s="48" t="s">
        <v>117</v>
      </c>
      <c r="C82" s="49"/>
      <c r="D82" s="49"/>
      <c r="E82" s="50"/>
      <c r="F82" s="51"/>
      <c r="G82" s="52"/>
      <c r="H82" s="52"/>
      <c r="I82" s="53"/>
      <c r="J82" s="53">
        <f>SUM($J$85,$J$83)</f>
        <v>0</v>
      </c>
      <c r="K82" s="54"/>
      <c r="L82" s="54"/>
    </row>
    <row r="83" spans="1:12" outlineLevel="4" x14ac:dyDescent="0.25">
      <c r="A83" s="55"/>
      <c r="B83" s="48" t="s">
        <v>19</v>
      </c>
      <c r="C83" s="56"/>
      <c r="D83" s="56"/>
      <c r="E83" s="56"/>
      <c r="F83" s="56"/>
      <c r="G83" s="56"/>
      <c r="H83" s="56"/>
      <c r="I83" s="57"/>
      <c r="J83" s="58">
        <f>SUM($J$84)</f>
        <v>0</v>
      </c>
      <c r="K83" s="52"/>
      <c r="L83" s="59"/>
    </row>
    <row r="84" spans="1:12" outlineLevel="4" x14ac:dyDescent="0.25">
      <c r="A84" s="60"/>
      <c r="B84" s="61" t="s">
        <v>20</v>
      </c>
      <c r="C84" s="62"/>
      <c r="D84" s="62"/>
      <c r="E84" s="63" t="s">
        <v>21</v>
      </c>
      <c r="F84" s="64"/>
      <c r="G84" s="67">
        <f>SUM(G86:G88)</f>
        <v>77</v>
      </c>
      <c r="H84" s="67">
        <f>SUM($G$84:$G$84)</f>
        <v>77</v>
      </c>
      <c r="I84" s="66">
        <f t="array" ref="I84">INDEX(Р[Цена за ед., руб],MATCH(1,IF(($B84=Р[Наименование])*($K84=Р[Примечание]),{1},($B84=Р[Наименование])*($K84=Р[Примечание])),0))</f>
        <v>0</v>
      </c>
      <c r="J84" s="66">
        <f>ROUND($H$84*$I$84,2)</f>
        <v>0</v>
      </c>
      <c r="K84" s="62"/>
      <c r="L84" s="62"/>
    </row>
    <row r="85" spans="1:12" outlineLevel="4" x14ac:dyDescent="0.25">
      <c r="A85" s="55"/>
      <c r="B85" s="48" t="s">
        <v>22</v>
      </c>
      <c r="C85" s="56"/>
      <c r="D85" s="56"/>
      <c r="E85" s="56"/>
      <c r="F85" s="56"/>
      <c r="G85" s="56"/>
      <c r="H85" s="56"/>
      <c r="I85" s="57"/>
      <c r="J85" s="58">
        <f>SUM($J$86:$J$88)</f>
        <v>0</v>
      </c>
      <c r="K85" s="52"/>
      <c r="L85" s="59"/>
    </row>
    <row r="86" spans="1:12" outlineLevel="4" x14ac:dyDescent="0.25">
      <c r="A86" s="60" t="s">
        <v>23</v>
      </c>
      <c r="B86" s="61" t="s">
        <v>24</v>
      </c>
      <c r="C86" s="62"/>
      <c r="D86" s="62" t="s">
        <v>25</v>
      </c>
      <c r="E86" s="63" t="s">
        <v>21</v>
      </c>
      <c r="F86" s="64"/>
      <c r="G86" s="67">
        <v>22</v>
      </c>
      <c r="H86" s="67">
        <f>SUM($G$86:$G$86)</f>
        <v>22</v>
      </c>
      <c r="I86" s="66">
        <f t="array" ref="I86">INDEX(М[Цена за ед., руб],MATCH(1,IF(($B86=М[Наим.])*($C86=М[Артикул, марка, произв.])*($D86=М[Хар-ка])*($K86=М[Прим.]),{1},($B86=М[Наим.])*($C86=М[Артикул, марка, произв.])*($D86=М[Хар-ка])*($K86=М[Прим.])),0))</f>
        <v>0</v>
      </c>
      <c r="J86" s="66">
        <f>ROUND($H$86*$I$86,2)</f>
        <v>0</v>
      </c>
      <c r="K86" s="62" t="s">
        <v>26</v>
      </c>
      <c r="L86" s="62">
        <f t="array" ref="L86">INDEX(М[Форма закупа],MATCH(1,IF(($B86=М[Наим.])*($C86=М[Артикул, марка, произв.])*($D86=М[Хар-ка])*($K86=М[Прим.]),{1},($B86=М[Наим.])*($C86=М[Артикул, марка, произв.])*($D86=М[Хар-ка])*($K86=М[Прим.])),0))</f>
        <v>0</v>
      </c>
    </row>
    <row r="87" spans="1:12" outlineLevel="4" x14ac:dyDescent="0.25">
      <c r="A87" s="60" t="s">
        <v>27</v>
      </c>
      <c r="B87" s="61" t="s">
        <v>24</v>
      </c>
      <c r="C87" s="62"/>
      <c r="D87" s="62" t="s">
        <v>30</v>
      </c>
      <c r="E87" s="63" t="s">
        <v>21</v>
      </c>
      <c r="F87" s="64"/>
      <c r="G87" s="67">
        <v>33</v>
      </c>
      <c r="H87" s="67">
        <f>SUM($G$87:$G$87)</f>
        <v>33</v>
      </c>
      <c r="I87" s="66">
        <f t="array" ref="I87">INDEX(М[Цена за ед., руб],MATCH(1,IF(($B87=М[Наим.])*($C87=М[Артикул, марка, произв.])*($D87=М[Хар-ка])*($K87=М[Прим.]),{1},($B87=М[Наим.])*($C87=М[Артикул, марка, произв.])*($D87=М[Хар-ка])*($K87=М[Прим.])),0))</f>
        <v>0</v>
      </c>
      <c r="J87" s="66">
        <f>ROUND($H$87*$I$87,2)</f>
        <v>0</v>
      </c>
      <c r="K87" s="62" t="s">
        <v>26</v>
      </c>
      <c r="L87" s="62">
        <f t="array" ref="L87">INDEX(М[Форма закупа],MATCH(1,IF(($B87=М[Наим.])*($C87=М[Артикул, марка, произв.])*($D87=М[Хар-ка])*($K87=М[Прим.]),{1},($B87=М[Наим.])*($C87=М[Артикул, марка, произв.])*($D87=М[Хар-ка])*($K87=М[Прим.])),0))</f>
        <v>0</v>
      </c>
    </row>
    <row r="88" spans="1:12" outlineLevel="4" x14ac:dyDescent="0.25">
      <c r="A88" s="60" t="s">
        <v>29</v>
      </c>
      <c r="B88" s="61" t="s">
        <v>24</v>
      </c>
      <c r="C88" s="62"/>
      <c r="D88" s="62" t="s">
        <v>32</v>
      </c>
      <c r="E88" s="63" t="s">
        <v>21</v>
      </c>
      <c r="F88" s="64"/>
      <c r="G88" s="67">
        <v>22</v>
      </c>
      <c r="H88" s="67">
        <f>SUM($G$88:$G$88)</f>
        <v>22</v>
      </c>
      <c r="I88" s="66">
        <f t="array" ref="I88">INDEX(М[Цена за ед., руб],MATCH(1,IF(($B88=М[Наим.])*($C88=М[Артикул, марка, произв.])*($D88=М[Хар-ка])*($K88=М[Прим.]),{1},($B88=М[Наим.])*($C88=М[Артикул, марка, произв.])*($D88=М[Хар-ка])*($K88=М[Прим.])),0))</f>
        <v>0</v>
      </c>
      <c r="J88" s="66">
        <f>ROUND($H$88*$I$88,2)</f>
        <v>0</v>
      </c>
      <c r="K88" s="62" t="s">
        <v>26</v>
      </c>
      <c r="L88" s="62">
        <f t="array" ref="L88">INDEX(М[Форма закупа],MATCH(1,IF(($B88=М[Наим.])*($C88=М[Артикул, марка, произв.])*($D88=М[Хар-ка])*($K88=М[Прим.]),{1},($B88=М[Наим.])*($C88=М[Артикул, марка, произв.])*($D88=М[Хар-ка])*($K88=М[Прим.])),0))</f>
        <v>0</v>
      </c>
    </row>
    <row r="89" spans="1:12" outlineLevel="2" x14ac:dyDescent="0.25">
      <c r="A89" s="47" t="s">
        <v>119</v>
      </c>
      <c r="B89" s="48" t="s">
        <v>120</v>
      </c>
      <c r="C89" s="49"/>
      <c r="D89" s="49"/>
      <c r="E89" s="50"/>
      <c r="F89" s="51"/>
      <c r="G89" s="52"/>
      <c r="H89" s="52"/>
      <c r="I89" s="53"/>
      <c r="J89" s="53">
        <f>SUM($J$90)</f>
        <v>0</v>
      </c>
      <c r="K89" s="54"/>
      <c r="L89" s="54"/>
    </row>
    <row r="90" spans="1:12" outlineLevel="3" x14ac:dyDescent="0.25">
      <c r="A90" s="47" t="s">
        <v>121</v>
      </c>
      <c r="B90" s="48" t="s">
        <v>120</v>
      </c>
      <c r="C90" s="49"/>
      <c r="D90" s="49"/>
      <c r="E90" s="50"/>
      <c r="F90" s="51"/>
      <c r="G90" s="52"/>
      <c r="H90" s="52"/>
      <c r="I90" s="53"/>
      <c r="J90" s="53">
        <f>SUM($J$91)</f>
        <v>0</v>
      </c>
      <c r="K90" s="54"/>
      <c r="L90" s="54"/>
    </row>
    <row r="91" spans="1:12" outlineLevel="4" x14ac:dyDescent="0.25">
      <c r="A91" s="55"/>
      <c r="B91" s="48" t="s">
        <v>19</v>
      </c>
      <c r="C91" s="56"/>
      <c r="D91" s="56"/>
      <c r="E91" s="56"/>
      <c r="F91" s="56"/>
      <c r="G91" s="56"/>
      <c r="H91" s="56"/>
      <c r="I91" s="57"/>
      <c r="J91" s="58">
        <f>SUM($J$92)</f>
        <v>0</v>
      </c>
      <c r="K91" s="52"/>
      <c r="L91" s="59"/>
    </row>
    <row r="92" spans="1:12" outlineLevel="4" x14ac:dyDescent="0.25">
      <c r="A92" s="60"/>
      <c r="B92" s="61" t="s">
        <v>122</v>
      </c>
      <c r="C92" s="62"/>
      <c r="D92" s="62"/>
      <c r="E92" s="63" t="s">
        <v>41</v>
      </c>
      <c r="F92" s="64"/>
      <c r="G92" s="67">
        <v>1</v>
      </c>
      <c r="H92" s="67">
        <f>SUM($G$92:$G$92)</f>
        <v>1</v>
      </c>
      <c r="I92" s="66">
        <f t="array" ref="I92">INDEX(Р[Цена за ед., руб],MATCH(1,IF(($B92=Р[Наименование])*($K92=Р[Примечание]),{1},($B92=Р[Наименование])*($K92=Р[Примечание])),0))</f>
        <v>0</v>
      </c>
      <c r="J92" s="66">
        <f>ROUND($H$92*$I$92,2)</f>
        <v>0</v>
      </c>
      <c r="K92" s="62"/>
      <c r="L92" s="62"/>
    </row>
    <row r="93" spans="1:12" x14ac:dyDescent="0.25">
      <c r="A93" s="68"/>
      <c r="B93" s="97" t="s">
        <v>123</v>
      </c>
      <c r="C93" s="98"/>
      <c r="D93" s="98"/>
      <c r="E93" s="98"/>
      <c r="F93" s="98"/>
      <c r="G93" s="98"/>
      <c r="H93" s="98"/>
      <c r="I93" s="99"/>
      <c r="J93" s="69">
        <f>$J$11</f>
        <v>0</v>
      </c>
      <c r="K93" s="70"/>
      <c r="L93" s="70"/>
    </row>
    <row r="94" spans="1:12" x14ac:dyDescent="0.25">
      <c r="A94" s="68"/>
      <c r="B94" s="94" t="s">
        <v>124</v>
      </c>
      <c r="C94" s="95"/>
      <c r="D94" s="95"/>
      <c r="E94" s="95"/>
      <c r="F94" s="95"/>
      <c r="G94" s="95"/>
      <c r="H94" s="95"/>
      <c r="I94" s="96"/>
      <c r="J94" s="69">
        <f>SUM($J$91,$J$83,$J$39,$J$35,$J$29,$J$21,$J$14)</f>
        <v>0</v>
      </c>
      <c r="K94" s="70"/>
      <c r="L94" s="70"/>
    </row>
    <row r="95" spans="1:12" x14ac:dyDescent="0.25">
      <c r="A95" s="68"/>
      <c r="B95" s="94" t="s">
        <v>125</v>
      </c>
      <c r="C95" s="95"/>
      <c r="D95" s="95"/>
      <c r="E95" s="95"/>
      <c r="F95" s="95"/>
      <c r="G95" s="95"/>
      <c r="H95" s="95"/>
      <c r="I95" s="96"/>
      <c r="J95" s="69">
        <f>SUM($J$85,$J$54,$J$37,$J$32,$J$25,$J$23,$J$16)</f>
        <v>0</v>
      </c>
      <c r="K95" s="70"/>
      <c r="L95" s="70"/>
    </row>
    <row r="96" spans="1:12" x14ac:dyDescent="0.25">
      <c r="A96" s="68"/>
      <c r="B96" s="110" t="s">
        <v>150</v>
      </c>
      <c r="C96" s="111"/>
      <c r="D96" s="111"/>
      <c r="E96" s="111"/>
      <c r="F96" s="111"/>
      <c r="G96" s="111"/>
      <c r="H96" s="111"/>
      <c r="I96" s="112"/>
      <c r="J96" s="72"/>
      <c r="K96" s="75" t="s">
        <v>151</v>
      </c>
      <c r="L96" s="70"/>
    </row>
    <row r="97" spans="1:12" x14ac:dyDescent="0.25">
      <c r="A97" s="71"/>
      <c r="B97" s="113" t="s">
        <v>126</v>
      </c>
      <c r="C97" s="113"/>
      <c r="D97" s="113"/>
      <c r="E97" s="113"/>
      <c r="F97" s="113"/>
      <c r="G97" s="113"/>
      <c r="H97" s="113"/>
      <c r="I97" s="114"/>
      <c r="J97" s="114"/>
      <c r="K97" s="113"/>
      <c r="L97" s="71"/>
    </row>
    <row r="98" spans="1:12" x14ac:dyDescent="0.25">
      <c r="B98" s="115"/>
      <c r="C98" s="115"/>
      <c r="D98" s="115"/>
      <c r="E98" s="115"/>
      <c r="F98" s="115"/>
      <c r="G98" s="115"/>
      <c r="H98" s="115"/>
      <c r="I98" s="116"/>
      <c r="J98" s="116"/>
      <c r="K98" s="115"/>
    </row>
    <row r="99" spans="1:12" x14ac:dyDescent="0.25">
      <c r="A99" s="21"/>
      <c r="B99" s="22" t="s">
        <v>140</v>
      </c>
      <c r="C99" s="23"/>
      <c r="D99" s="23"/>
      <c r="E99" s="21"/>
      <c r="F99" s="21"/>
      <c r="G99" s="24"/>
      <c r="H99" s="21"/>
      <c r="I99" s="25"/>
      <c r="J99" s="26"/>
      <c r="K99" s="25"/>
      <c r="L99" s="21"/>
    </row>
    <row r="100" spans="1:12" ht="36" customHeight="1" x14ac:dyDescent="0.25">
      <c r="A100" s="27" t="s">
        <v>141</v>
      </c>
      <c r="B100" s="108" t="s">
        <v>142</v>
      </c>
      <c r="C100" s="108"/>
      <c r="D100" s="108"/>
      <c r="E100" s="108"/>
      <c r="F100" s="108"/>
      <c r="G100" s="108"/>
      <c r="H100" s="108"/>
      <c r="I100" s="108"/>
      <c r="J100" s="28"/>
      <c r="K100" s="28"/>
      <c r="L100" s="21"/>
    </row>
    <row r="101" spans="1:12" ht="76.5" customHeight="1" x14ac:dyDescent="0.25">
      <c r="A101" s="29" t="s">
        <v>141</v>
      </c>
      <c r="B101" s="108" t="s">
        <v>143</v>
      </c>
      <c r="C101" s="108"/>
      <c r="D101" s="108"/>
      <c r="E101" s="108"/>
      <c r="F101" s="108"/>
      <c r="G101" s="108"/>
      <c r="H101" s="108"/>
      <c r="I101" s="108"/>
      <c r="J101" s="28"/>
      <c r="K101" s="30"/>
      <c r="L101" s="21"/>
    </row>
    <row r="102" spans="1:12" x14ac:dyDescent="0.25">
      <c r="A102" s="27" t="s">
        <v>141</v>
      </c>
      <c r="B102" s="109" t="s">
        <v>144</v>
      </c>
      <c r="C102" s="109"/>
      <c r="D102" s="109"/>
      <c r="E102" s="109"/>
      <c r="F102" s="109"/>
      <c r="G102" s="109"/>
      <c r="H102" s="109"/>
      <c r="I102" s="109"/>
      <c r="J102" s="109"/>
      <c r="K102" s="31"/>
      <c r="L102" s="21"/>
    </row>
    <row r="103" spans="1:12" x14ac:dyDescent="0.25">
      <c r="A103" s="27" t="s">
        <v>141</v>
      </c>
      <c r="B103" s="32" t="s">
        <v>145</v>
      </c>
      <c r="C103" s="21"/>
      <c r="D103" s="23"/>
      <c r="E103" s="21"/>
      <c r="F103" s="21"/>
      <c r="G103" s="33"/>
      <c r="H103" s="25"/>
      <c r="I103" s="25"/>
      <c r="J103" s="23"/>
      <c r="K103" s="21"/>
      <c r="L103" s="21"/>
    </row>
  </sheetData>
  <autoFilter ref="A9:L97" xr:uid="{00000000-0001-0000-0000-000000000000}"/>
  <mergeCells count="24">
    <mergeCell ref="B100:I100"/>
    <mergeCell ref="B101:I101"/>
    <mergeCell ref="B102:J102"/>
    <mergeCell ref="B96:I96"/>
    <mergeCell ref="B95:I95"/>
    <mergeCell ref="B97:K97"/>
    <mergeCell ref="B98:K98"/>
    <mergeCell ref="A8:A9"/>
    <mergeCell ref="B8:B9"/>
    <mergeCell ref="C8:C9"/>
    <mergeCell ref="D8:D9"/>
    <mergeCell ref="E8:E9"/>
    <mergeCell ref="K8:K9"/>
    <mergeCell ref="L8:L9"/>
    <mergeCell ref="B94:I94"/>
    <mergeCell ref="B93:I93"/>
    <mergeCell ref="B4:J4"/>
    <mergeCell ref="B6:J6"/>
    <mergeCell ref="F8:F9"/>
    <mergeCell ref="G8:G9"/>
    <mergeCell ref="H8:H9"/>
    <mergeCell ref="I8:I9"/>
    <mergeCell ref="J8:J9"/>
    <mergeCell ref="B5:J5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I28"/>
  <sheetViews>
    <sheetView workbookViewId="0">
      <pane ySplit="3" topLeftCell="A4" activePane="bottomLeft" state="frozen"/>
      <selection pane="bottomLeft" activeCell="A24" sqref="A24:XFD28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18" t="s">
        <v>127</v>
      </c>
      <c r="B1" s="118"/>
      <c r="C1" s="118"/>
      <c r="D1" s="118"/>
      <c r="E1" s="118"/>
      <c r="F1" s="118"/>
    </row>
    <row r="3" spans="1:6" ht="11.1" customHeight="1" x14ac:dyDescent="0.2">
      <c r="A3" s="9" t="s">
        <v>2</v>
      </c>
      <c r="B3" s="2" t="s">
        <v>5</v>
      </c>
      <c r="C3" s="2" t="s">
        <v>7</v>
      </c>
      <c r="D3" s="16" t="s">
        <v>8</v>
      </c>
      <c r="E3" s="16" t="s">
        <v>9</v>
      </c>
      <c r="F3" s="10" t="s">
        <v>10</v>
      </c>
    </row>
    <row r="4" spans="1:6" ht="11.1" customHeight="1" x14ac:dyDescent="0.2">
      <c r="A4" s="7" t="s">
        <v>20</v>
      </c>
      <c r="B4" s="3" t="s">
        <v>21</v>
      </c>
      <c r="C4" s="4">
        <v>8967</v>
      </c>
      <c r="D4" s="17"/>
      <c r="E4" s="17">
        <f>ROUND(Р[[#This Row],[Количество]]*Р[[#This Row],[Цена за ед., руб]],2)</f>
        <v>0</v>
      </c>
      <c r="F4" s="8"/>
    </row>
    <row r="5" spans="1:6" ht="11.1" customHeight="1" x14ac:dyDescent="0.2">
      <c r="A5" s="7" t="s">
        <v>33</v>
      </c>
      <c r="B5" s="3" t="s">
        <v>21</v>
      </c>
      <c r="C5" s="4">
        <v>8571</v>
      </c>
      <c r="D5" s="17"/>
      <c r="E5" s="17">
        <f>ROUND(Р[[#This Row],[Количество]]*Р[[#This Row],[Цена за ед., руб]],2)</f>
        <v>0</v>
      </c>
      <c r="F5" s="8"/>
    </row>
    <row r="6" spans="1:6" ht="11.1" customHeight="1" x14ac:dyDescent="0.2">
      <c r="A6" s="7" t="s">
        <v>156</v>
      </c>
      <c r="B6" s="3" t="s">
        <v>44</v>
      </c>
      <c r="C6" s="4">
        <v>49</v>
      </c>
      <c r="D6" s="17"/>
      <c r="E6" s="17">
        <f>ROUND(Р[[#This Row],[Количество]]*Р[[#This Row],[Цена за ед., руб]],2)</f>
        <v>0</v>
      </c>
      <c r="F6" s="8"/>
    </row>
    <row r="7" spans="1:6" ht="11.1" customHeight="1" x14ac:dyDescent="0.2">
      <c r="A7" s="7" t="s">
        <v>157</v>
      </c>
      <c r="B7" s="3" t="s">
        <v>44</v>
      </c>
      <c r="C7" s="4">
        <v>8</v>
      </c>
      <c r="D7" s="17"/>
      <c r="E7" s="17">
        <f>ROUND(Р[[#This Row],[Количество]]*Р[[#This Row],[Цена за ед., руб]],2)</f>
        <v>0</v>
      </c>
      <c r="F7" s="8"/>
    </row>
    <row r="8" spans="1:6" ht="11.1" customHeight="1" x14ac:dyDescent="0.2">
      <c r="A8" s="7" t="s">
        <v>158</v>
      </c>
      <c r="B8" s="3" t="s">
        <v>44</v>
      </c>
      <c r="C8" s="4">
        <v>108</v>
      </c>
      <c r="D8" s="17"/>
      <c r="E8" s="17">
        <f>ROUND(Р[[#This Row],[Количество]]*Р[[#This Row],[Цена за ед., руб]],2)</f>
        <v>0</v>
      </c>
      <c r="F8" s="8"/>
    </row>
    <row r="9" spans="1:6" ht="11.1" customHeight="1" x14ac:dyDescent="0.2">
      <c r="A9" s="7" t="s">
        <v>159</v>
      </c>
      <c r="B9" s="3" t="s">
        <v>44</v>
      </c>
      <c r="C9" s="4">
        <v>17</v>
      </c>
      <c r="D9" s="17"/>
      <c r="E9" s="17">
        <f>ROUND(Р[[#This Row],[Количество]]*Р[[#This Row],[Цена за ед., руб]],2)</f>
        <v>0</v>
      </c>
      <c r="F9" s="8"/>
    </row>
    <row r="10" spans="1:6" ht="11.1" customHeight="1" x14ac:dyDescent="0.2">
      <c r="A10" s="7" t="s">
        <v>160</v>
      </c>
      <c r="B10" s="3" t="s">
        <v>44</v>
      </c>
      <c r="C10" s="4">
        <v>105</v>
      </c>
      <c r="D10" s="17"/>
      <c r="E10" s="17">
        <f>ROUND(Р[[#This Row],[Количество]]*Р[[#This Row],[Цена за ед., руб]],2)</f>
        <v>0</v>
      </c>
      <c r="F10" s="8"/>
    </row>
    <row r="11" spans="1:6" ht="11.1" customHeight="1" x14ac:dyDescent="0.2">
      <c r="A11" s="7" t="s">
        <v>154</v>
      </c>
      <c r="B11" s="3" t="s">
        <v>44</v>
      </c>
      <c r="C11" s="4">
        <v>90</v>
      </c>
      <c r="D11" s="17"/>
      <c r="E11" s="17">
        <f>ROUND(Р[[#This Row],[Количество]]*Р[[#This Row],[Цена за ед., руб]],2)</f>
        <v>0</v>
      </c>
      <c r="F11" s="8"/>
    </row>
    <row r="12" spans="1:6" ht="11.1" customHeight="1" x14ac:dyDescent="0.2">
      <c r="A12" s="7" t="s">
        <v>161</v>
      </c>
      <c r="B12" s="3" t="s">
        <v>44</v>
      </c>
      <c r="C12" s="4">
        <v>7</v>
      </c>
      <c r="D12" s="17"/>
      <c r="E12" s="17">
        <f>ROUND(Р[[#This Row],[Количество]]*Р[[#This Row],[Цена за ед., руб]],2)</f>
        <v>0</v>
      </c>
      <c r="F12" s="8"/>
    </row>
    <row r="13" spans="1:6" ht="11.1" customHeight="1" x14ac:dyDescent="0.2">
      <c r="A13" s="7" t="s">
        <v>162</v>
      </c>
      <c r="B13" s="3" t="s">
        <v>44</v>
      </c>
      <c r="C13" s="4">
        <v>79</v>
      </c>
      <c r="D13" s="17"/>
      <c r="E13" s="17">
        <f>ROUND(Р[[#This Row],[Количество]]*Р[[#This Row],[Цена за ед., руб]],2)</f>
        <v>0</v>
      </c>
      <c r="F13" s="8"/>
    </row>
    <row r="14" spans="1:6" ht="11.1" customHeight="1" x14ac:dyDescent="0.2">
      <c r="A14" s="7" t="s">
        <v>163</v>
      </c>
      <c r="B14" s="3" t="s">
        <v>44</v>
      </c>
      <c r="C14" s="4">
        <v>4</v>
      </c>
      <c r="D14" s="17"/>
      <c r="E14" s="17">
        <f>ROUND(Р[[#This Row],[Количество]]*Р[[#This Row],[Цена за ед., руб]],2)</f>
        <v>0</v>
      </c>
      <c r="F14" s="8"/>
    </row>
    <row r="15" spans="1:6" ht="11.1" customHeight="1" x14ac:dyDescent="0.2">
      <c r="A15" s="7" t="s">
        <v>155</v>
      </c>
      <c r="B15" s="3" t="s">
        <v>44</v>
      </c>
      <c r="C15" s="4">
        <v>321</v>
      </c>
      <c r="D15" s="17"/>
      <c r="E15" s="17">
        <f>ROUND(Р[[#This Row],[Количество]]*Р[[#This Row],[Цена за ед., руб]],2)</f>
        <v>0</v>
      </c>
      <c r="F15" s="8"/>
    </row>
    <row r="16" spans="1:6" ht="11.1" customHeight="1" x14ac:dyDescent="0.2">
      <c r="A16" s="7" t="s">
        <v>164</v>
      </c>
      <c r="B16" s="3" t="s">
        <v>44</v>
      </c>
      <c r="C16" s="4">
        <v>2</v>
      </c>
      <c r="D16" s="17"/>
      <c r="E16" s="17">
        <f>ROUND(Р[[#This Row],[Количество]]*Р[[#This Row],[Цена за ед., руб]],2)</f>
        <v>0</v>
      </c>
      <c r="F16" s="8"/>
    </row>
    <row r="17" spans="1:9" ht="11.1" customHeight="1" x14ac:dyDescent="0.2">
      <c r="A17" s="7" t="s">
        <v>165</v>
      </c>
      <c r="B17" s="3" t="s">
        <v>44</v>
      </c>
      <c r="C17" s="4">
        <v>68</v>
      </c>
      <c r="D17" s="17"/>
      <c r="E17" s="17">
        <f>ROUND(Р[[#This Row],[Количество]]*Р[[#This Row],[Цена за ед., руб]],2)</f>
        <v>0</v>
      </c>
      <c r="F17" s="8"/>
    </row>
    <row r="18" spans="1:9" ht="11.1" customHeight="1" x14ac:dyDescent="0.2">
      <c r="A18" s="7" t="s">
        <v>166</v>
      </c>
      <c r="B18" s="3" t="s">
        <v>44</v>
      </c>
      <c r="C18" s="4">
        <v>37</v>
      </c>
      <c r="D18" s="17"/>
      <c r="E18" s="17">
        <f>ROUND(Р[[#This Row],[Количество]]*Р[[#This Row],[Цена за ед., руб]],2)</f>
        <v>0</v>
      </c>
      <c r="F18" s="8"/>
    </row>
    <row r="19" spans="1:9" ht="11.1" customHeight="1" x14ac:dyDescent="0.2">
      <c r="A19" s="7" t="s">
        <v>167</v>
      </c>
      <c r="B19" s="3" t="s">
        <v>44</v>
      </c>
      <c r="C19" s="4">
        <v>2</v>
      </c>
      <c r="D19" s="17"/>
      <c r="E19" s="17">
        <f>ROUND(Р[[#This Row],[Количество]]*Р[[#This Row],[Цена за ед., руб]],2)</f>
        <v>0</v>
      </c>
      <c r="F19" s="8"/>
    </row>
    <row r="20" spans="1:9" ht="11.1" customHeight="1" x14ac:dyDescent="0.2">
      <c r="A20" s="11" t="s">
        <v>122</v>
      </c>
      <c r="B20" s="12" t="s">
        <v>41</v>
      </c>
      <c r="C20" s="13">
        <v>1</v>
      </c>
      <c r="D20" s="17"/>
      <c r="E20" s="18">
        <f>ROUND(Р[[#This Row],[Количество]]*Р[[#This Row],[Цена за ед., руб]],2)</f>
        <v>0</v>
      </c>
      <c r="F20" s="15"/>
    </row>
    <row r="21" spans="1:9" ht="11.45" customHeight="1" x14ac:dyDescent="0.2">
      <c r="A21" s="11" t="s">
        <v>138</v>
      </c>
      <c r="B21" s="12"/>
      <c r="C21" s="14"/>
      <c r="D21" s="18"/>
      <c r="E21" s="18">
        <f>SUBTOTAL(109,Р[Сумма, руб])</f>
        <v>0</v>
      </c>
      <c r="F21" s="15"/>
    </row>
    <row r="22" spans="1:9" ht="11.45" customHeight="1" x14ac:dyDescent="0.2">
      <c r="D22" s="76" t="s">
        <v>168</v>
      </c>
      <c r="E22" s="77">
        <f>ЛСР!J94-Р[[#Totals],[Сумма, руб]]</f>
        <v>0</v>
      </c>
    </row>
    <row r="24" spans="1:9" ht="11.45" customHeight="1" x14ac:dyDescent="0.2">
      <c r="A24" s="82" t="s">
        <v>140</v>
      </c>
      <c r="B24" s="83"/>
      <c r="C24" s="83"/>
      <c r="D24" s="84"/>
      <c r="E24" s="84"/>
      <c r="F24" s="85"/>
      <c r="G24" s="84"/>
      <c r="H24" s="86"/>
      <c r="I24" s="87"/>
    </row>
    <row r="25" spans="1:9" ht="29.25" customHeight="1" x14ac:dyDescent="0.2">
      <c r="A25" s="119" t="s">
        <v>142</v>
      </c>
      <c r="B25" s="119"/>
      <c r="C25" s="119"/>
      <c r="D25" s="119"/>
      <c r="E25" s="119"/>
      <c r="F25" s="119"/>
      <c r="G25" s="88"/>
      <c r="H25" s="88"/>
      <c r="I25" s="88"/>
    </row>
    <row r="26" spans="1:9" ht="49.5" customHeight="1" x14ac:dyDescent="0.2">
      <c r="A26" s="119" t="s">
        <v>143</v>
      </c>
      <c r="B26" s="119"/>
      <c r="C26" s="119"/>
      <c r="D26" s="119"/>
      <c r="E26" s="119"/>
      <c r="F26" s="119"/>
      <c r="G26" s="88"/>
      <c r="H26" s="88"/>
      <c r="I26" s="88"/>
    </row>
    <row r="27" spans="1:9" ht="11.45" customHeight="1" x14ac:dyDescent="0.2">
      <c r="A27" s="120" t="s">
        <v>144</v>
      </c>
      <c r="B27" s="120"/>
      <c r="C27" s="120"/>
      <c r="D27" s="120"/>
      <c r="E27" s="120"/>
      <c r="F27" s="120"/>
      <c r="G27" s="89"/>
      <c r="H27" s="89"/>
      <c r="I27" s="89"/>
    </row>
    <row r="28" spans="1:9" ht="11.45" customHeight="1" x14ac:dyDescent="0.2">
      <c r="A28" s="117" t="s">
        <v>145</v>
      </c>
      <c r="B28" s="117"/>
      <c r="C28" s="117"/>
      <c r="D28" s="117"/>
      <c r="E28" s="117"/>
      <c r="F28" s="117"/>
      <c r="G28" s="86"/>
      <c r="H28" s="86"/>
      <c r="I28" s="83"/>
    </row>
  </sheetData>
  <mergeCells count="5">
    <mergeCell ref="A28:F28"/>
    <mergeCell ref="A1:F1"/>
    <mergeCell ref="A25:F25"/>
    <mergeCell ref="A26:F26"/>
    <mergeCell ref="A27:F27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44"/>
  <sheetViews>
    <sheetView workbookViewId="0">
      <pane ySplit="3" topLeftCell="A4" activePane="bottomLeft" state="frozen"/>
      <selection pane="bottomLeft" activeCell="I4" sqref="I4:I36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18" t="s">
        <v>128</v>
      </c>
      <c r="B1" s="118"/>
      <c r="C1" s="118"/>
      <c r="D1" s="118"/>
      <c r="E1" s="118"/>
      <c r="F1" s="118"/>
      <c r="G1" s="118"/>
      <c r="H1" s="118"/>
    </row>
    <row r="2" spans="1:9" ht="11.1" customHeight="1" x14ac:dyDescent="0.2"/>
    <row r="3" spans="1:9" ht="23.1" customHeight="1" x14ac:dyDescent="0.2">
      <c r="A3" s="9" t="s">
        <v>129</v>
      </c>
      <c r="B3" s="19" t="s">
        <v>130</v>
      </c>
      <c r="C3" s="10" t="s">
        <v>131</v>
      </c>
      <c r="D3" s="2" t="s">
        <v>5</v>
      </c>
      <c r="E3" s="2" t="s">
        <v>7</v>
      </c>
      <c r="F3" s="16" t="s">
        <v>8</v>
      </c>
      <c r="G3" s="16" t="s">
        <v>9</v>
      </c>
      <c r="H3" s="2" t="s">
        <v>132</v>
      </c>
      <c r="I3" s="10" t="s">
        <v>133</v>
      </c>
    </row>
    <row r="4" spans="1:9" ht="23.1" customHeight="1" x14ac:dyDescent="0.2">
      <c r="A4" s="7" t="s">
        <v>49</v>
      </c>
      <c r="B4" s="5"/>
      <c r="C4" s="5"/>
      <c r="D4" s="3" t="s">
        <v>44</v>
      </c>
      <c r="E4" s="6">
        <v>49</v>
      </c>
      <c r="F4" s="17"/>
      <c r="G4" s="17">
        <f>ROUND(М[[#This Row],[Количество]]*М[[#This Row],[Цена за ед., руб]],2)</f>
        <v>0</v>
      </c>
      <c r="H4" s="5" t="s">
        <v>50</v>
      </c>
      <c r="I4" s="8"/>
    </row>
    <row r="5" spans="1:9" ht="11.1" customHeight="1" x14ac:dyDescent="0.2">
      <c r="A5" s="7" t="s">
        <v>51</v>
      </c>
      <c r="B5" s="5"/>
      <c r="C5" s="5"/>
      <c r="D5" s="3" t="s">
        <v>44</v>
      </c>
      <c r="E5" s="6">
        <v>8</v>
      </c>
      <c r="F5" s="17"/>
      <c r="G5" s="17">
        <f>ROUND(М[[#This Row],[Количество]]*М[[#This Row],[Цена за ед., руб]],2)</f>
        <v>0</v>
      </c>
      <c r="H5" s="5" t="s">
        <v>52</v>
      </c>
      <c r="I5" s="8"/>
    </row>
    <row r="6" spans="1:9" ht="23.1" customHeight="1" x14ac:dyDescent="0.2">
      <c r="A6" s="7" t="s">
        <v>53</v>
      </c>
      <c r="B6" s="5"/>
      <c r="C6" s="5" t="s">
        <v>54</v>
      </c>
      <c r="D6" s="3" t="s">
        <v>44</v>
      </c>
      <c r="E6" s="6">
        <v>108</v>
      </c>
      <c r="F6" s="17"/>
      <c r="G6" s="17">
        <f>ROUND(М[[#This Row],[Количество]]*М[[#This Row],[Цена за ед., руб]],2)</f>
        <v>0</v>
      </c>
      <c r="H6" s="5" t="s">
        <v>55</v>
      </c>
      <c r="I6" s="8"/>
    </row>
    <row r="7" spans="1:9" ht="11.1" customHeight="1" x14ac:dyDescent="0.2">
      <c r="A7" s="7" t="s">
        <v>56</v>
      </c>
      <c r="B7" s="5"/>
      <c r="C7" s="5" t="s">
        <v>57</v>
      </c>
      <c r="D7" s="3" t="s">
        <v>44</v>
      </c>
      <c r="E7" s="6">
        <v>15</v>
      </c>
      <c r="F7" s="17"/>
      <c r="G7" s="17">
        <f>ROUND(М[[#This Row],[Количество]]*М[[#This Row],[Цена за ед., руб]],2)</f>
        <v>0</v>
      </c>
      <c r="H7" s="5"/>
      <c r="I7" s="8"/>
    </row>
    <row r="8" spans="1:9" ht="11.1" customHeight="1" x14ac:dyDescent="0.2">
      <c r="A8" s="7" t="s">
        <v>56</v>
      </c>
      <c r="B8" s="5"/>
      <c r="C8" s="5" t="s">
        <v>59</v>
      </c>
      <c r="D8" s="3" t="s">
        <v>44</v>
      </c>
      <c r="E8" s="6">
        <v>2</v>
      </c>
      <c r="F8" s="17"/>
      <c r="G8" s="17">
        <f>ROUND(М[[#This Row],[Количество]]*М[[#This Row],[Цена за ед., руб]],2)</f>
        <v>0</v>
      </c>
      <c r="H8" s="5"/>
      <c r="I8" s="8"/>
    </row>
    <row r="9" spans="1:9" ht="11.1" customHeight="1" x14ac:dyDescent="0.2">
      <c r="A9" s="7" t="s">
        <v>61</v>
      </c>
      <c r="B9" s="5"/>
      <c r="C9" s="5" t="s">
        <v>62</v>
      </c>
      <c r="D9" s="3" t="s">
        <v>44</v>
      </c>
      <c r="E9" s="6">
        <v>97</v>
      </c>
      <c r="F9" s="17"/>
      <c r="G9" s="17">
        <f>ROUND(М[[#This Row],[Количество]]*М[[#This Row],[Цена за ед., руб]],2)</f>
        <v>0</v>
      </c>
      <c r="H9" s="5"/>
      <c r="I9" s="8"/>
    </row>
    <row r="10" spans="1:9" ht="11.1" customHeight="1" x14ac:dyDescent="0.2">
      <c r="A10" s="7" t="s">
        <v>61</v>
      </c>
      <c r="B10" s="5"/>
      <c r="C10" s="5" t="s">
        <v>64</v>
      </c>
      <c r="D10" s="3" t="s">
        <v>44</v>
      </c>
      <c r="E10" s="6">
        <v>8</v>
      </c>
      <c r="F10" s="17"/>
      <c r="G10" s="17">
        <f>ROUND(М[[#This Row],[Количество]]*М[[#This Row],[Цена за ед., руб]],2)</f>
        <v>0</v>
      </c>
      <c r="H10" s="5"/>
      <c r="I10" s="8"/>
    </row>
    <row r="11" spans="1:9" ht="11.1" customHeight="1" x14ac:dyDescent="0.2">
      <c r="A11" s="7" t="s">
        <v>24</v>
      </c>
      <c r="B11" s="5"/>
      <c r="C11" s="5" t="s">
        <v>25</v>
      </c>
      <c r="D11" s="3" t="s">
        <v>21</v>
      </c>
      <c r="E11" s="4">
        <v>3344</v>
      </c>
      <c r="F11" s="17"/>
      <c r="G11" s="17">
        <f>ROUND(М[[#This Row],[Количество]]*М[[#This Row],[Цена за ед., руб]],2)</f>
        <v>0</v>
      </c>
      <c r="H11" s="5" t="s">
        <v>26</v>
      </c>
      <c r="I11" s="8"/>
    </row>
    <row r="12" spans="1:9" ht="11.1" customHeight="1" x14ac:dyDescent="0.2">
      <c r="A12" s="7" t="s">
        <v>24</v>
      </c>
      <c r="B12" s="5"/>
      <c r="C12" s="5" t="s">
        <v>28</v>
      </c>
      <c r="D12" s="3" t="s">
        <v>21</v>
      </c>
      <c r="E12" s="4">
        <v>2716</v>
      </c>
      <c r="F12" s="17"/>
      <c r="G12" s="17">
        <f>ROUND(М[[#This Row],[Количество]]*М[[#This Row],[Цена за ед., руб]],2)</f>
        <v>0</v>
      </c>
      <c r="H12" s="5" t="s">
        <v>26</v>
      </c>
      <c r="I12" s="8"/>
    </row>
    <row r="13" spans="1:9" ht="11.1" customHeight="1" x14ac:dyDescent="0.2">
      <c r="A13" s="7" t="s">
        <v>24</v>
      </c>
      <c r="B13" s="5"/>
      <c r="C13" s="5" t="s">
        <v>30</v>
      </c>
      <c r="D13" s="3" t="s">
        <v>21</v>
      </c>
      <c r="E13" s="6">
        <v>819</v>
      </c>
      <c r="F13" s="17"/>
      <c r="G13" s="17">
        <f>ROUND(М[[#This Row],[Количество]]*М[[#This Row],[Цена за ед., руб]],2)</f>
        <v>0</v>
      </c>
      <c r="H13" s="5" t="s">
        <v>26</v>
      </c>
      <c r="I13" s="8"/>
    </row>
    <row r="14" spans="1:9" ht="11.1" customHeight="1" x14ac:dyDescent="0.2">
      <c r="A14" s="7" t="s">
        <v>24</v>
      </c>
      <c r="B14" s="5"/>
      <c r="C14" s="5" t="s">
        <v>32</v>
      </c>
      <c r="D14" s="3" t="s">
        <v>21</v>
      </c>
      <c r="E14" s="4">
        <v>2088</v>
      </c>
      <c r="F14" s="17"/>
      <c r="G14" s="17">
        <f>ROUND(М[[#This Row],[Количество]]*М[[#This Row],[Цена за ед., руб]],2)</f>
        <v>0</v>
      </c>
      <c r="H14" s="5" t="s">
        <v>26</v>
      </c>
      <c r="I14" s="8"/>
    </row>
    <row r="15" spans="1:9" ht="23.1" customHeight="1" x14ac:dyDescent="0.2">
      <c r="A15" s="7" t="s">
        <v>34</v>
      </c>
      <c r="B15" s="5"/>
      <c r="C15" s="5" t="s">
        <v>35</v>
      </c>
      <c r="D15" s="3" t="s">
        <v>36</v>
      </c>
      <c r="E15" s="4">
        <v>8571</v>
      </c>
      <c r="F15" s="17"/>
      <c r="G15" s="17">
        <f>ROUND(М[[#This Row],[Количество]]*М[[#This Row],[Цена за ед., руб]],2)</f>
        <v>0</v>
      </c>
      <c r="H15" s="5" t="s">
        <v>26</v>
      </c>
      <c r="I15" s="8"/>
    </row>
    <row r="16" spans="1:9" ht="23.1" customHeight="1" x14ac:dyDescent="0.2">
      <c r="A16" s="7" t="s">
        <v>42</v>
      </c>
      <c r="B16" s="5"/>
      <c r="C16" s="5" t="s">
        <v>66</v>
      </c>
      <c r="D16" s="3" t="s">
        <v>44</v>
      </c>
      <c r="E16" s="6">
        <v>83</v>
      </c>
      <c r="F16" s="17"/>
      <c r="G16" s="17">
        <f>ROUND(М[[#This Row],[Количество]]*М[[#This Row],[Цена за ед., руб]],2)</f>
        <v>0</v>
      </c>
      <c r="H16" s="5" t="s">
        <v>45</v>
      </c>
      <c r="I16" s="8"/>
    </row>
    <row r="17" spans="1:9" ht="23.1" customHeight="1" x14ac:dyDescent="0.2">
      <c r="A17" s="7" t="s">
        <v>42</v>
      </c>
      <c r="B17" s="5"/>
      <c r="C17" s="5" t="s">
        <v>43</v>
      </c>
      <c r="D17" s="3" t="s">
        <v>44</v>
      </c>
      <c r="E17" s="6">
        <v>7</v>
      </c>
      <c r="F17" s="17"/>
      <c r="G17" s="17">
        <f>ROUND(М[[#This Row],[Количество]]*М[[#This Row],[Цена за ед., руб]],2)</f>
        <v>0</v>
      </c>
      <c r="H17" s="5" t="s">
        <v>45</v>
      </c>
      <c r="I17" s="8"/>
    </row>
    <row r="18" spans="1:9" ht="11.1" customHeight="1" x14ac:dyDescent="0.2">
      <c r="A18" s="7" t="s">
        <v>68</v>
      </c>
      <c r="B18" s="5"/>
      <c r="C18" s="5" t="s">
        <v>69</v>
      </c>
      <c r="D18" s="3" t="s">
        <v>44</v>
      </c>
      <c r="E18" s="6">
        <v>1</v>
      </c>
      <c r="F18" s="17"/>
      <c r="G18" s="17">
        <f>ROUND(М[[#This Row],[Количество]]*М[[#This Row],[Цена за ед., руб]],2)</f>
        <v>0</v>
      </c>
      <c r="H18" s="5" t="s">
        <v>70</v>
      </c>
      <c r="I18" s="8"/>
    </row>
    <row r="19" spans="1:9" ht="11.1" customHeight="1" x14ac:dyDescent="0.2">
      <c r="A19" s="7" t="s">
        <v>68</v>
      </c>
      <c r="B19" s="5"/>
      <c r="C19" s="5" t="s">
        <v>72</v>
      </c>
      <c r="D19" s="3" t="s">
        <v>44</v>
      </c>
      <c r="E19" s="6">
        <v>1</v>
      </c>
      <c r="F19" s="17"/>
      <c r="G19" s="17">
        <f>ROUND(М[[#This Row],[Количество]]*М[[#This Row],[Цена за ед., руб]],2)</f>
        <v>0</v>
      </c>
      <c r="H19" s="5" t="s">
        <v>73</v>
      </c>
      <c r="I19" s="8"/>
    </row>
    <row r="20" spans="1:9" ht="11.1" customHeight="1" x14ac:dyDescent="0.2">
      <c r="A20" s="7" t="s">
        <v>68</v>
      </c>
      <c r="B20" s="5"/>
      <c r="C20" s="5" t="s">
        <v>74</v>
      </c>
      <c r="D20" s="3" t="s">
        <v>44</v>
      </c>
      <c r="E20" s="6">
        <v>3</v>
      </c>
      <c r="F20" s="17"/>
      <c r="G20" s="17">
        <f>ROUND(М[[#This Row],[Количество]]*М[[#This Row],[Цена за ед., руб]],2)</f>
        <v>0</v>
      </c>
      <c r="H20" s="5" t="s">
        <v>75</v>
      </c>
      <c r="I20" s="8"/>
    </row>
    <row r="21" spans="1:9" ht="11.1" customHeight="1" x14ac:dyDescent="0.2">
      <c r="A21" s="7" t="s">
        <v>68</v>
      </c>
      <c r="B21" s="5"/>
      <c r="C21" s="5" t="s">
        <v>77</v>
      </c>
      <c r="D21" s="3" t="s">
        <v>44</v>
      </c>
      <c r="E21" s="6">
        <v>1</v>
      </c>
      <c r="F21" s="17"/>
      <c r="G21" s="17">
        <f>ROUND(М[[#This Row],[Количество]]*М[[#This Row],[Цена за ед., руб]],2)</f>
        <v>0</v>
      </c>
      <c r="H21" s="5" t="s">
        <v>78</v>
      </c>
      <c r="I21" s="8"/>
    </row>
    <row r="22" spans="1:9" ht="23.1" customHeight="1" x14ac:dyDescent="0.2">
      <c r="A22" s="7" t="s">
        <v>80</v>
      </c>
      <c r="B22" s="5"/>
      <c r="C22" s="5" t="s">
        <v>81</v>
      </c>
      <c r="D22" s="3" t="s">
        <v>44</v>
      </c>
      <c r="E22" s="6">
        <v>29</v>
      </c>
      <c r="F22" s="17"/>
      <c r="G22" s="17">
        <f>ROUND(М[[#This Row],[Количество]]*М[[#This Row],[Цена за ед., руб]],2)</f>
        <v>0</v>
      </c>
      <c r="H22" s="5"/>
      <c r="I22" s="8"/>
    </row>
    <row r="23" spans="1:9" ht="23.1" customHeight="1" x14ac:dyDescent="0.2">
      <c r="A23" s="7" t="s">
        <v>80</v>
      </c>
      <c r="B23" s="5"/>
      <c r="C23" s="5" t="s">
        <v>83</v>
      </c>
      <c r="D23" s="3" t="s">
        <v>44</v>
      </c>
      <c r="E23" s="6">
        <v>37</v>
      </c>
      <c r="F23" s="17"/>
      <c r="G23" s="17">
        <f>ROUND(М[[#This Row],[Количество]]*М[[#This Row],[Цена за ед., руб]],2)</f>
        <v>0</v>
      </c>
      <c r="H23" s="5"/>
      <c r="I23" s="8"/>
    </row>
    <row r="24" spans="1:9" ht="11.1" customHeight="1" x14ac:dyDescent="0.2">
      <c r="A24" s="7" t="s">
        <v>80</v>
      </c>
      <c r="B24" s="5"/>
      <c r="C24" s="5" t="s">
        <v>85</v>
      </c>
      <c r="D24" s="3" t="s">
        <v>44</v>
      </c>
      <c r="E24" s="6">
        <v>13</v>
      </c>
      <c r="F24" s="17"/>
      <c r="G24" s="17">
        <f>ROUND(М[[#This Row],[Количество]]*М[[#This Row],[Цена за ед., руб]],2)</f>
        <v>0</v>
      </c>
      <c r="H24" s="5"/>
      <c r="I24" s="8"/>
    </row>
    <row r="25" spans="1:9" ht="11.1" customHeight="1" x14ac:dyDescent="0.2">
      <c r="A25" s="7" t="s">
        <v>87</v>
      </c>
      <c r="B25" s="5"/>
      <c r="C25" s="5" t="s">
        <v>88</v>
      </c>
      <c r="D25" s="3" t="s">
        <v>44</v>
      </c>
      <c r="E25" s="6">
        <v>2</v>
      </c>
      <c r="F25" s="17"/>
      <c r="G25" s="17">
        <f>ROUND(М[[#This Row],[Количество]]*М[[#This Row],[Цена за ед., руб]],2)</f>
        <v>0</v>
      </c>
      <c r="H25" s="5"/>
      <c r="I25" s="8"/>
    </row>
    <row r="26" spans="1:9" ht="11.1" customHeight="1" x14ac:dyDescent="0.2">
      <c r="A26" s="7" t="s">
        <v>87</v>
      </c>
      <c r="B26" s="5"/>
      <c r="C26" s="5" t="s">
        <v>90</v>
      </c>
      <c r="D26" s="3" t="s">
        <v>44</v>
      </c>
      <c r="E26" s="6">
        <v>2</v>
      </c>
      <c r="F26" s="17"/>
      <c r="G26" s="17">
        <f>ROUND(М[[#This Row],[Количество]]*М[[#This Row],[Цена за ед., руб]],2)</f>
        <v>0</v>
      </c>
      <c r="H26" s="5"/>
      <c r="I26" s="8"/>
    </row>
    <row r="27" spans="1:9" ht="23.1" customHeight="1" x14ac:dyDescent="0.2">
      <c r="A27" s="7" t="s">
        <v>46</v>
      </c>
      <c r="B27" s="5"/>
      <c r="C27" s="5" t="s">
        <v>47</v>
      </c>
      <c r="D27" s="3" t="s">
        <v>44</v>
      </c>
      <c r="E27" s="6">
        <v>21</v>
      </c>
      <c r="F27" s="17"/>
      <c r="G27" s="17">
        <f>ROUND(М[[#This Row],[Количество]]*М[[#This Row],[Цена за ед., руб]],2)</f>
        <v>0</v>
      </c>
      <c r="H27" s="5" t="s">
        <v>48</v>
      </c>
      <c r="I27" s="8"/>
    </row>
    <row r="28" spans="1:9" ht="23.1" customHeight="1" x14ac:dyDescent="0.2">
      <c r="A28" s="7" t="s">
        <v>46</v>
      </c>
      <c r="B28" s="5"/>
      <c r="C28" s="5" t="s">
        <v>93</v>
      </c>
      <c r="D28" s="3" t="s">
        <v>44</v>
      </c>
      <c r="E28" s="6">
        <v>271</v>
      </c>
      <c r="F28" s="17"/>
      <c r="G28" s="17">
        <f>ROUND(М[[#This Row],[Количество]]*М[[#This Row],[Цена за ед., руб]],2)</f>
        <v>0</v>
      </c>
      <c r="H28" s="5" t="s">
        <v>94</v>
      </c>
      <c r="I28" s="8"/>
    </row>
    <row r="29" spans="1:9" ht="35.1" customHeight="1" x14ac:dyDescent="0.2">
      <c r="A29" s="7" t="s">
        <v>46</v>
      </c>
      <c r="B29" s="5"/>
      <c r="C29" s="5" t="s">
        <v>96</v>
      </c>
      <c r="D29" s="3" t="s">
        <v>44</v>
      </c>
      <c r="E29" s="6">
        <v>29</v>
      </c>
      <c r="F29" s="17"/>
      <c r="G29" s="17">
        <f>ROUND(М[[#This Row],[Количество]]*М[[#This Row],[Цена за ед., руб]],2)</f>
        <v>0</v>
      </c>
      <c r="H29" s="5" t="s">
        <v>97</v>
      </c>
      <c r="I29" s="8"/>
    </row>
    <row r="30" spans="1:9" ht="11.1" customHeight="1" x14ac:dyDescent="0.2">
      <c r="A30" s="7" t="s">
        <v>99</v>
      </c>
      <c r="B30" s="5"/>
      <c r="C30" s="5" t="s">
        <v>100</v>
      </c>
      <c r="D30" s="3" t="s">
        <v>44</v>
      </c>
      <c r="E30" s="6">
        <v>2</v>
      </c>
      <c r="F30" s="17"/>
      <c r="G30" s="17">
        <f>ROUND(М[[#This Row],[Количество]]*М[[#This Row],[Цена за ед., руб]],2)</f>
        <v>0</v>
      </c>
      <c r="H30" s="5" t="s">
        <v>45</v>
      </c>
      <c r="I30" s="8"/>
    </row>
    <row r="31" spans="1:9" ht="11.1" customHeight="1" x14ac:dyDescent="0.2">
      <c r="A31" s="7" t="s">
        <v>102</v>
      </c>
      <c r="B31" s="5"/>
      <c r="C31" s="5" t="s">
        <v>103</v>
      </c>
      <c r="D31" s="3" t="s">
        <v>44</v>
      </c>
      <c r="E31" s="6">
        <v>68</v>
      </c>
      <c r="F31" s="17"/>
      <c r="G31" s="17">
        <f>ROUND(М[[#This Row],[Количество]]*М[[#This Row],[Цена за ед., руб]],2)</f>
        <v>0</v>
      </c>
      <c r="H31" s="5" t="s">
        <v>104</v>
      </c>
      <c r="I31" s="8"/>
    </row>
    <row r="32" spans="1:9" ht="11.1" customHeight="1" x14ac:dyDescent="0.2">
      <c r="A32" s="7" t="s">
        <v>106</v>
      </c>
      <c r="B32" s="5"/>
      <c r="C32" s="5"/>
      <c r="D32" s="3" t="s">
        <v>44</v>
      </c>
      <c r="E32" s="6">
        <v>37</v>
      </c>
      <c r="F32" s="17"/>
      <c r="G32" s="17">
        <f>ROUND(М[[#This Row],[Количество]]*М[[#This Row],[Цена за ед., руб]],2)</f>
        <v>0</v>
      </c>
      <c r="H32" s="5"/>
      <c r="I32" s="8"/>
    </row>
    <row r="33" spans="1:9" ht="11.1" customHeight="1" x14ac:dyDescent="0.2">
      <c r="A33" s="7" t="s">
        <v>108</v>
      </c>
      <c r="B33" s="5"/>
      <c r="C33" s="5" t="s">
        <v>109</v>
      </c>
      <c r="D33" s="3" t="s">
        <v>44</v>
      </c>
      <c r="E33" s="6">
        <v>1</v>
      </c>
      <c r="F33" s="17"/>
      <c r="G33" s="17">
        <f>ROUND(М[[#This Row],[Количество]]*М[[#This Row],[Цена за ед., руб]],2)</f>
        <v>0</v>
      </c>
      <c r="H33" s="5" t="s">
        <v>45</v>
      </c>
      <c r="I33" s="8"/>
    </row>
    <row r="34" spans="1:9" ht="11.1" customHeight="1" x14ac:dyDescent="0.2">
      <c r="A34" s="7" t="s">
        <v>108</v>
      </c>
      <c r="B34" s="5"/>
      <c r="C34" s="5" t="s">
        <v>111</v>
      </c>
      <c r="D34" s="3" t="s">
        <v>44</v>
      </c>
      <c r="E34" s="6">
        <v>1</v>
      </c>
      <c r="F34" s="17"/>
      <c r="G34" s="17">
        <f>ROUND(М[[#This Row],[Количество]]*М[[#This Row],[Цена за ед., руб]],2)</f>
        <v>0</v>
      </c>
      <c r="H34" s="5" t="s">
        <v>45</v>
      </c>
      <c r="I34" s="8"/>
    </row>
    <row r="35" spans="1:9" ht="23.1" customHeight="1" x14ac:dyDescent="0.2">
      <c r="A35" s="11" t="s">
        <v>113</v>
      </c>
      <c r="B35" s="20"/>
      <c r="C35" s="20" t="s">
        <v>114</v>
      </c>
      <c r="D35" s="12" t="s">
        <v>44</v>
      </c>
      <c r="E35" s="13">
        <v>1</v>
      </c>
      <c r="F35" s="17"/>
      <c r="G35" s="18">
        <f>ROUND(М[[#This Row],[Количество]]*М[[#This Row],[Цена за ед., руб]],2)</f>
        <v>0</v>
      </c>
      <c r="H35" s="20" t="s">
        <v>115</v>
      </c>
      <c r="I35" s="15"/>
    </row>
    <row r="36" spans="1:9" ht="23.1" customHeight="1" x14ac:dyDescent="0.2">
      <c r="A36" s="11" t="s">
        <v>169</v>
      </c>
      <c r="B36" s="20"/>
      <c r="C36" s="20"/>
      <c r="D36" s="80" t="s">
        <v>37</v>
      </c>
      <c r="E36" s="81"/>
      <c r="F36" s="18"/>
      <c r="G36" s="18">
        <f ca="1">SUMIF(ЛСР!$B$8:$J$92,М[[#This Row],[Наим.]],ЛСР!$J$8:$J$92)</f>
        <v>0</v>
      </c>
      <c r="H36" s="20"/>
      <c r="I36" s="15"/>
    </row>
    <row r="37" spans="1:9" ht="11.45" customHeight="1" x14ac:dyDescent="0.2">
      <c r="A37" s="11" t="s">
        <v>138</v>
      </c>
      <c r="B37" s="20"/>
      <c r="C37" s="20"/>
      <c r="D37" s="12"/>
      <c r="E37" s="14"/>
      <c r="F37" s="18"/>
      <c r="G37" s="18">
        <f ca="1">SUBTOTAL(109,М[Сумма, руб])</f>
        <v>0</v>
      </c>
      <c r="H37" s="20"/>
      <c r="I37" s="15"/>
    </row>
    <row r="38" spans="1:9" ht="11.45" customHeight="1" x14ac:dyDescent="0.2">
      <c r="F38" s="76" t="s">
        <v>168</v>
      </c>
      <c r="G38" s="77">
        <f ca="1">ЛСР!J95-М[[#Totals],[Сумма, руб]]</f>
        <v>0</v>
      </c>
    </row>
    <row r="40" spans="1:9" ht="11.45" customHeight="1" x14ac:dyDescent="0.2">
      <c r="A40" s="82" t="s">
        <v>140</v>
      </c>
      <c r="B40" s="83"/>
      <c r="C40" s="83"/>
      <c r="D40" s="84"/>
      <c r="E40" s="84"/>
      <c r="F40" s="85"/>
      <c r="G40" s="84"/>
      <c r="H40" s="86"/>
      <c r="I40" s="87"/>
    </row>
    <row r="41" spans="1:9" ht="29.25" customHeight="1" x14ac:dyDescent="0.2">
      <c r="A41" s="119" t="s">
        <v>142</v>
      </c>
      <c r="B41" s="119"/>
      <c r="C41" s="119"/>
      <c r="D41" s="119"/>
      <c r="E41" s="119"/>
      <c r="F41" s="119"/>
      <c r="G41" s="88"/>
      <c r="H41" s="88"/>
      <c r="I41" s="88"/>
    </row>
    <row r="42" spans="1:9" ht="49.5" customHeight="1" x14ac:dyDescent="0.2">
      <c r="A42" s="119" t="s">
        <v>143</v>
      </c>
      <c r="B42" s="119"/>
      <c r="C42" s="119"/>
      <c r="D42" s="119"/>
      <c r="E42" s="119"/>
      <c r="F42" s="119"/>
      <c r="G42" s="88"/>
      <c r="H42" s="88"/>
      <c r="I42" s="88"/>
    </row>
    <row r="43" spans="1:9" ht="11.45" customHeight="1" x14ac:dyDescent="0.2">
      <c r="A43" s="120" t="s">
        <v>144</v>
      </c>
      <c r="B43" s="120"/>
      <c r="C43" s="120"/>
      <c r="D43" s="120"/>
      <c r="E43" s="120"/>
      <c r="F43" s="120"/>
      <c r="G43" s="89"/>
      <c r="H43" s="89"/>
      <c r="I43" s="89"/>
    </row>
    <row r="44" spans="1:9" ht="11.45" customHeight="1" x14ac:dyDescent="0.2">
      <c r="A44" s="117" t="s">
        <v>145</v>
      </c>
      <c r="B44" s="117"/>
      <c r="C44" s="117"/>
      <c r="D44" s="117"/>
      <c r="E44" s="117"/>
      <c r="F44" s="117"/>
      <c r="G44" s="86"/>
      <c r="H44" s="86"/>
      <c r="I44" s="83"/>
    </row>
  </sheetData>
  <mergeCells count="5">
    <mergeCell ref="A1:H1"/>
    <mergeCell ref="A41:F41"/>
    <mergeCell ref="A42:F42"/>
    <mergeCell ref="A43:F43"/>
    <mergeCell ref="A44:F44"/>
  </mergeCells>
  <dataValidations count="1">
    <dataValidation type="list" errorStyle="information" allowBlank="1" showInputMessage="1" showErrorMessage="1" sqref="I3:I36" xr:uid="{7A2694F5-15D4-4A0B-A6AC-D84E8F4AA845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134</v>
      </c>
      <c r="B1" s="1" t="s">
        <v>135</v>
      </c>
    </row>
    <row r="2" spans="1:2" ht="11.1" customHeight="1" x14ac:dyDescent="0.2">
      <c r="A2" s="1" t="s">
        <v>136</v>
      </c>
      <c r="B2" s="1" t="s">
        <v>137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2026-09-10T08:29:22Z</dcterms:modified>
</cp:coreProperties>
</file>