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ЕКБ\Амундсена\11 Внутренние инженерные сети\11.10-11.14,11.16,11.17,11.20,11.21 Слаботочные сети\На отправку в тендер\"/>
    </mc:Choice>
  </mc:AlternateContent>
  <xr:revisionPtr revIDLastSave="0" documentId="13_ncr:1_{DD17994F-0604-4B4C-9588-62B7319D9A6A}" xr6:coauthVersionLast="47" xr6:coauthVersionMax="47" xr10:uidLastSave="{00000000-0000-0000-0000-000000000000}"/>
  <bookViews>
    <workbookView xWindow="5685" yWindow="1335" windowWidth="29130" windowHeight="1827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/>
</workbook>
</file>

<file path=xl/calcChain.xml><?xml version="1.0" encoding="utf-8"?>
<calcChain xmlns="http://schemas.openxmlformats.org/spreadsheetml/2006/main">
  <c r="L28" i="1" l="1" a="1"/>
  <c r="L28" i="1" s="1"/>
  <c r="H28" i="1"/>
  <c r="G4" i="3"/>
  <c r="G5" i="3"/>
  <c r="G6" i="3"/>
  <c r="G7" i="3"/>
  <c r="G8" i="3"/>
  <c r="G9" i="3"/>
  <c r="G10" i="3"/>
  <c r="G11" i="3"/>
  <c r="G12" i="3"/>
  <c r="G13" i="3"/>
  <c r="G14" i="3"/>
  <c r="G15" i="3"/>
  <c r="G16" i="3"/>
  <c r="E7" i="2"/>
  <c r="E8" i="2"/>
  <c r="E9" i="2"/>
  <c r="E10" i="2"/>
  <c r="E11" i="2"/>
  <c r="E12" i="2"/>
  <c r="E13" i="2"/>
  <c r="I38" i="1" a="1"/>
  <c r="I38" i="1" s="1"/>
  <c r="I37" i="1" a="1"/>
  <c r="I37" i="1" s="1"/>
  <c r="I36" i="1" a="1"/>
  <c r="I36" i="1" s="1"/>
  <c r="I35" i="1" a="1"/>
  <c r="I35" i="1" s="1"/>
  <c r="I34" i="1" a="1"/>
  <c r="I34" i="1" s="1"/>
  <c r="I33" i="1" a="1"/>
  <c r="I33" i="1" s="1"/>
  <c r="G38" i="1"/>
  <c r="H38" i="1" s="1"/>
  <c r="G37" i="1"/>
  <c r="H37" i="1" s="1"/>
  <c r="G36" i="1"/>
  <c r="H36" i="1" s="1"/>
  <c r="G35" i="1"/>
  <c r="H35" i="1" s="1"/>
  <c r="G34" i="1"/>
  <c r="H34" i="1" s="1"/>
  <c r="G33" i="1"/>
  <c r="H33" i="1" s="1"/>
  <c r="G32" i="1"/>
  <c r="G24" i="1"/>
  <c r="G19" i="1"/>
  <c r="H19" i="1" s="1"/>
  <c r="G15" i="1"/>
  <c r="H32" i="1"/>
  <c r="I32" i="1" a="1"/>
  <c r="I32" i="1" s="1"/>
  <c r="H15" i="1"/>
  <c r="I15" i="1" a="1"/>
  <c r="I15" i="1" s="1"/>
  <c r="H17" i="1"/>
  <c r="L17" i="1" a="1"/>
  <c r="L17" i="1" s="1"/>
  <c r="I17" i="1" a="1"/>
  <c r="I17" i="1" s="1"/>
  <c r="J17" i="1" s="1"/>
  <c r="I19" i="1" a="1"/>
  <c r="I19" i="1" s="1"/>
  <c r="H21" i="1"/>
  <c r="L21" i="1" a="1"/>
  <c r="L21" i="1" s="1"/>
  <c r="I21" i="1" a="1"/>
  <c r="I21" i="1" s="1"/>
  <c r="J21" i="1" s="1"/>
  <c r="H22" i="1"/>
  <c r="L22" i="1" a="1"/>
  <c r="L22" i="1" s="1"/>
  <c r="I22" i="1" a="1"/>
  <c r="I22" i="1" s="1"/>
  <c r="H24" i="1"/>
  <c r="I24" i="1" a="1"/>
  <c r="I24" i="1" s="1"/>
  <c r="H26" i="1"/>
  <c r="L26" i="1" a="1"/>
  <c r="L26" i="1" s="1"/>
  <c r="I26" i="1" a="1"/>
  <c r="I26" i="1" s="1"/>
  <c r="H40" i="1"/>
  <c r="L40" i="1" a="1"/>
  <c r="L40" i="1" s="1"/>
  <c r="I40" i="1" a="1"/>
  <c r="I40" i="1" s="1"/>
  <c r="J40" i="1" s="1"/>
  <c r="H41" i="1"/>
  <c r="L41" i="1" a="1"/>
  <c r="L41" i="1" s="1"/>
  <c r="I41" i="1" a="1"/>
  <c r="I41" i="1" s="1"/>
  <c r="H42" i="1"/>
  <c r="L42" i="1" a="1"/>
  <c r="L42" i="1" s="1"/>
  <c r="I42" i="1" a="1"/>
  <c r="I42" i="1" s="1"/>
  <c r="H43" i="1"/>
  <c r="L43" i="1" a="1"/>
  <c r="L43" i="1" s="1"/>
  <c r="I43" i="1" a="1"/>
  <c r="I43" i="1" s="1"/>
  <c r="H44" i="1"/>
  <c r="L44" i="1" a="1"/>
  <c r="L44" i="1" s="1"/>
  <c r="I44" i="1" a="1"/>
  <c r="I44" i="1" s="1"/>
  <c r="H45" i="1"/>
  <c r="L45" i="1" a="1"/>
  <c r="L45" i="1" s="1"/>
  <c r="I45" i="1" a="1"/>
  <c r="I45" i="1" s="1"/>
  <c r="H46" i="1"/>
  <c r="L46" i="1" a="1"/>
  <c r="L46" i="1" s="1"/>
  <c r="I46" i="1" a="1"/>
  <c r="I46" i="1" s="1"/>
  <c r="H47" i="1"/>
  <c r="L47" i="1" a="1"/>
  <c r="L47" i="1" s="1"/>
  <c r="I47" i="1" a="1"/>
  <c r="I47" i="1" s="1"/>
  <c r="H48" i="1"/>
  <c r="L48" i="1" a="1"/>
  <c r="L48" i="1" s="1"/>
  <c r="I48" i="1" a="1"/>
  <c r="I48" i="1" s="1"/>
  <c r="H52" i="1"/>
  <c r="I52" i="1" a="1"/>
  <c r="I52" i="1" s="1"/>
  <c r="J52" i="1" s="1"/>
  <c r="J51" i="1" s="1"/>
  <c r="E14" i="2"/>
  <c r="E6" i="2"/>
  <c r="E5" i="2"/>
  <c r="E4" i="2"/>
  <c r="J16" i="1" l="1"/>
  <c r="J45" i="1"/>
  <c r="E15" i="2"/>
  <c r="J38" i="1"/>
  <c r="J36" i="1"/>
  <c r="J35" i="1"/>
  <c r="J37" i="1"/>
  <c r="J34" i="1"/>
  <c r="J33" i="1"/>
  <c r="J32" i="1"/>
  <c r="J24" i="1"/>
  <c r="J23" i="1" s="1"/>
  <c r="J42" i="1"/>
  <c r="J44" i="1"/>
  <c r="J50" i="1"/>
  <c r="J49" i="1" s="1"/>
  <c r="J26" i="1"/>
  <c r="J25" i="1" s="1"/>
  <c r="J46" i="1"/>
  <c r="J47" i="1"/>
  <c r="J48" i="1"/>
  <c r="J22" i="1"/>
  <c r="J19" i="1"/>
  <c r="J18" i="1" s="1"/>
  <c r="J15" i="1"/>
  <c r="J14" i="1" s="1"/>
  <c r="J41" i="1"/>
  <c r="J43" i="1"/>
  <c r="J20" i="1" l="1"/>
  <c r="J28" i="1"/>
  <c r="J31" i="1"/>
  <c r="J54" i="1" s="1"/>
  <c r="E16" i="2" s="1"/>
  <c r="J39" i="1"/>
  <c r="G17" i="3" l="1"/>
  <c r="G18" i="3" s="1"/>
  <c r="J27" i="1"/>
  <c r="J30" i="1"/>
  <c r="J29" i="1" s="1"/>
  <c r="J13" i="1" l="1"/>
  <c r="J12" i="1" s="1"/>
  <c r="J11" i="1" s="1"/>
  <c r="J53" i="1" s="1"/>
  <c r="J55" i="1"/>
  <c r="G19" i="3" s="1"/>
</calcChain>
</file>

<file path=xl/sharedStrings.xml><?xml version="1.0" encoding="utf-8"?>
<sst xmlns="http://schemas.openxmlformats.org/spreadsheetml/2006/main" count="242" uniqueCount="109">
  <si>
    <t>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 Секция 6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</si>
  <si>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</si>
  <si>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</si>
  <si>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</si>
  <si>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</si>
  <si>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</si>
  <si>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</si>
  <si>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6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</si>
  <si>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</si>
  <si>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</si>
  <si>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</si>
  <si>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</si>
  <si>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</si>
  <si>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</si>
  <si>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</si>
  <si>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11.21</t>
  </si>
  <si>
    <t>Устройство системы контроля загазованности</t>
  </si>
  <si>
    <t>11.21.01</t>
  </si>
  <si>
    <t>Прокладка КПП и КНС (горизонтальные КЛ)</t>
  </si>
  <si>
    <t>11.21.01.00</t>
  </si>
  <si>
    <t>Работы:</t>
  </si>
  <si>
    <t>Прокладка кабеля «витая пара» (LAN)</t>
  </si>
  <si>
    <t>м</t>
  </si>
  <si>
    <t>Материалы:</t>
  </si>
  <si>
    <t>1</t>
  </si>
  <si>
    <t>Кабель</t>
  </si>
  <si>
    <t>F/UTP cat.5е ZH нг(А)-HF 4х2х0,52</t>
  </si>
  <si>
    <t>Прокладка КПП многожильного до 4 кв.мм</t>
  </si>
  <si>
    <t>МКЭШВнг(А)-LS 2х2х1,5</t>
  </si>
  <si>
    <t>2</t>
  </si>
  <si>
    <t>ВВГнг(А)-LS 3х1,5</t>
  </si>
  <si>
    <t>Прокладка трубы гофрированной до 32 мм</t>
  </si>
  <si>
    <t>Труба электромонтажная</t>
  </si>
  <si>
    <t>ПВХ гофр. легкая с протяжкой 25мм</t>
  </si>
  <si>
    <t>пог. м</t>
  </si>
  <si>
    <t>%</t>
  </si>
  <si>
    <t>11.21.02</t>
  </si>
  <si>
    <t>Установка оборудования</t>
  </si>
  <si>
    <t>11.21.02.00</t>
  </si>
  <si>
    <t>компл.</t>
  </si>
  <si>
    <t>Бокс под АКБ</t>
  </si>
  <si>
    <t>АО-1/40</t>
  </si>
  <si>
    <t>шт</t>
  </si>
  <si>
    <t>Отсек аккумуляторный металлический АО-1/40</t>
  </si>
  <si>
    <t>АО-1/26</t>
  </si>
  <si>
    <t>Отсек аккумуляторный металлический АО-1/26</t>
  </si>
  <si>
    <t>3</t>
  </si>
  <si>
    <t>Аккумулятор</t>
  </si>
  <si>
    <t>12В 26Ач</t>
  </si>
  <si>
    <t>Аккумуляторная батарея SKAT i-Battery 12-26 LiFePO4</t>
  </si>
  <si>
    <t>4</t>
  </si>
  <si>
    <t>12В 40Ач</t>
  </si>
  <si>
    <t>Аккумуляторная батарея SKAT i-Battery 12-40 LiFePO4</t>
  </si>
  <si>
    <t>5</t>
  </si>
  <si>
    <t>Сигнализатор загазованности</t>
  </si>
  <si>
    <t>Газосигнализатор (датчик угарного газа) СТГ-3-И-СО</t>
  </si>
  <si>
    <t>6</t>
  </si>
  <si>
    <t>Источник бесперебойного электропитания</t>
  </si>
  <si>
    <t>SKAT-UPS 500T</t>
  </si>
  <si>
    <t>Источник бесперебойного питания SKAT-UPS 500T</t>
  </si>
  <si>
    <t>7</t>
  </si>
  <si>
    <t>Преобразователь интерфейса</t>
  </si>
  <si>
    <t>Преобразователь интерфейсов RS-485/USB Moxa NPort 5150</t>
  </si>
  <si>
    <t>8</t>
  </si>
  <si>
    <t>Коробка соединительная</t>
  </si>
  <si>
    <t>Коробка соединительная КСГИ для СТГ-3</t>
  </si>
  <si>
    <t>9</t>
  </si>
  <si>
    <t>Блок питания и сигнализации</t>
  </si>
  <si>
    <t>Блок питания и сигнализации БПС-3-И</t>
  </si>
  <si>
    <t>11.21.03</t>
  </si>
  <si>
    <t>ПНР</t>
  </si>
  <si>
    <t>11.21.03.00</t>
  </si>
  <si>
    <t>Пусконаладочные работы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</si>
  <si>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</si>
  <si>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</si>
  <si>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</si>
  <si>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</si>
  <si>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</si>
  <si>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</si>
  <si>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</si>
  <si>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</si>
  <si>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</si>
  <si>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</si>
  <si>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</si>
  <si>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</si>
  <si>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</si>
  <si>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 Амундсмена Екатеринбург.06.11.21 Секция 4(паркинг)_Устройство системы контроля загазованности №1</t>
  </si>
  <si>
    <t>70062e7a-a041-11f1-9619-cc5d3c3b48f3</t>
  </si>
  <si>
    <t>Итог</t>
  </si>
  <si>
    <t>Прочие материалы</t>
  </si>
  <si>
    <t>Монтаж бокса под АКБ</t>
  </si>
  <si>
    <t>Монтаж аккумулятора</t>
  </si>
  <si>
    <t>Монтаж сигнализатора</t>
  </si>
  <si>
    <t>Монтаж источника бесперебойного электропитания</t>
  </si>
  <si>
    <t>Монтаж преобразователя интерфейса</t>
  </si>
  <si>
    <t>Монтаж коробки соединительной</t>
  </si>
  <si>
    <t>Монтаж блока питания и сигнализации</t>
  </si>
  <si>
    <t>Работы (цокольный этаж):</t>
  </si>
  <si>
    <t>Проверка:</t>
  </si>
  <si>
    <t>ПОДРЯДЧИК:</t>
  </si>
  <si>
    <t>ЗАКАЗЧИК:</t>
  </si>
  <si>
    <t>ТЕХНИЧЕСКИЙ ЗАКАЗЧИК: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</si>
  <si>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</si>
  <si>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</si>
  <si>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</si>
  <si>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</si>
  <si>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</si>
  <si>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</si>
  <si>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Локальный сметный расчет (ЛСР) №11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</si>
</sst>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8"/>
      <name val="Arial"/>
      <family val="2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b/>
      <i/>
      <u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24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3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4" fontId="0" fillId="0" borderId="0" xfId="0" applyNumberFormat="1" applyAlignment="1">
      <alignment horizontal="left"/>
    </xf>
    <xf numFmtId="0" fontId="3" fillId="0" borderId="2" xfId="0" applyFont="1" applyBorder="1" applyAlignment="1">
      <alignment horizontal="center" vertical="center"/>
    </xf>
    <xf numFmtId="1" fontId="0" fillId="8" borderId="5" xfId="0" applyNumberFormat="1" applyFill="1" applyBorder="1" applyAlignment="1">
      <alignment horizontal="right" vertical="center"/>
    </xf>
    <xf numFmtId="1" fontId="4" fillId="8" borderId="5" xfId="0" applyNumberFormat="1" applyFont="1" applyFill="1" applyBorder="1" applyAlignment="1">
      <alignment horizontal="right" vertical="center"/>
    </xf>
    <xf numFmtId="4" fontId="4" fillId="5" borderId="5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5" fillId="2" borderId="5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left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right" vertical="center"/>
    </xf>
    <xf numFmtId="4" fontId="5" fillId="2" borderId="5" xfId="0" applyNumberFormat="1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left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right" vertical="center"/>
    </xf>
    <xf numFmtId="4" fontId="5" fillId="3" borderId="5" xfId="0" applyNumberFormat="1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left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right" vertical="center"/>
    </xf>
    <xf numFmtId="4" fontId="5" fillId="4" borderId="5" xfId="0" applyNumberFormat="1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center" vertical="center"/>
    </xf>
    <xf numFmtId="4" fontId="5" fillId="4" borderId="5" xfId="0" applyNumberFormat="1" applyFont="1" applyFill="1" applyBorder="1" applyAlignment="1">
      <alignment horizontal="center" vertical="center"/>
    </xf>
    <xf numFmtId="4" fontId="6" fillId="4" borderId="0" xfId="0" applyNumberFormat="1" applyFont="1" applyFill="1" applyAlignment="1">
      <alignment horizontal="right" vertical="center"/>
    </xf>
    <xf numFmtId="0" fontId="5" fillId="4" borderId="5" xfId="0" applyFont="1" applyFill="1" applyBorder="1" applyAlignment="1">
      <alignment horizontal="right"/>
    </xf>
    <xf numFmtId="0" fontId="5" fillId="5" borderId="5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left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right" vertical="center"/>
    </xf>
    <xf numFmtId="1" fontId="5" fillId="5" borderId="5" xfId="0" applyNumberFormat="1" applyFont="1" applyFill="1" applyBorder="1" applyAlignment="1">
      <alignment horizontal="right" vertical="center"/>
    </xf>
    <xf numFmtId="4" fontId="5" fillId="5" borderId="5" xfId="0" applyNumberFormat="1" applyFont="1" applyFill="1" applyBorder="1" applyAlignment="1">
      <alignment horizontal="right" vertical="center"/>
    </xf>
    <xf numFmtId="3" fontId="5" fillId="5" borderId="5" xfId="0" applyNumberFormat="1" applyFont="1" applyFill="1" applyBorder="1" applyAlignment="1">
      <alignment horizontal="right" vertical="center"/>
    </xf>
    <xf numFmtId="0" fontId="4" fillId="5" borderId="5" xfId="0" applyFont="1" applyFill="1" applyBorder="1" applyAlignment="1">
      <alignment horizontal="left" wrapText="1"/>
    </xf>
    <xf numFmtId="0" fontId="4" fillId="5" borderId="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left"/>
    </xf>
    <xf numFmtId="0" fontId="5" fillId="6" borderId="6" xfId="0" applyFont="1" applyFill="1" applyBorder="1" applyAlignment="1">
      <alignment horizontal="left"/>
    </xf>
    <xf numFmtId="0" fontId="6" fillId="6" borderId="7" xfId="0" applyFont="1" applyFill="1" applyBorder="1" applyAlignment="1">
      <alignment horizontal="right"/>
    </xf>
    <xf numFmtId="4" fontId="6" fillId="6" borderId="5" xfId="0" applyNumberFormat="1" applyFont="1" applyFill="1" applyBorder="1" applyAlignment="1">
      <alignment horizontal="right" vertical="center"/>
    </xf>
    <xf numFmtId="0" fontId="5" fillId="6" borderId="5" xfId="0" applyFont="1" applyFill="1" applyBorder="1" applyAlignment="1">
      <alignment horizontal="right"/>
    </xf>
    <xf numFmtId="0" fontId="7" fillId="6" borderId="7" xfId="0" applyFont="1" applyFill="1" applyBorder="1" applyAlignment="1">
      <alignment horizontal="right"/>
    </xf>
    <xf numFmtId="4" fontId="7" fillId="6" borderId="7" xfId="0" applyNumberFormat="1" applyFont="1" applyFill="1" applyBorder="1" applyAlignment="1">
      <alignment horizontal="right"/>
    </xf>
    <xf numFmtId="4" fontId="6" fillId="6" borderId="7" xfId="0" applyNumberFormat="1" applyFont="1" applyFill="1" applyBorder="1" applyAlignment="1">
      <alignment horizontal="right" vertical="center"/>
    </xf>
    <xf numFmtId="0" fontId="5" fillId="6" borderId="7" xfId="0" applyFont="1" applyFill="1" applyBorder="1" applyAlignment="1">
      <alignment horizontal="right"/>
    </xf>
    <xf numFmtId="0" fontId="5" fillId="7" borderId="5" xfId="0" applyFont="1" applyFill="1" applyBorder="1" applyAlignment="1">
      <alignment horizontal="left"/>
    </xf>
    <xf numFmtId="49" fontId="5" fillId="0" borderId="0" xfId="0" applyNumberFormat="1" applyFont="1"/>
    <xf numFmtId="0" fontId="6" fillId="0" borderId="0" xfId="0" applyFont="1" applyAlignment="1">
      <alignment wrapText="1"/>
    </xf>
    <xf numFmtId="4" fontId="6" fillId="0" borderId="0" xfId="0" applyNumberFormat="1" applyFont="1"/>
    <xf numFmtId="0" fontId="6" fillId="0" borderId="0" xfId="0" applyFont="1"/>
    <xf numFmtId="4" fontId="5" fillId="0" borderId="0" xfId="0" applyNumberFormat="1" applyFont="1"/>
    <xf numFmtId="0" fontId="5" fillId="0" borderId="0" xfId="0" applyFont="1" applyAlignment="1">
      <alignment wrapText="1"/>
    </xf>
    <xf numFmtId="0" fontId="8" fillId="0" borderId="0" xfId="0" applyFont="1" applyAlignment="1">
      <alignment vertical="center" wrapText="1"/>
    </xf>
    <xf numFmtId="4" fontId="5" fillId="0" borderId="0" xfId="0" applyNumberFormat="1" applyFont="1" applyAlignment="1">
      <alignment wrapText="1"/>
    </xf>
    <xf numFmtId="49" fontId="5" fillId="0" borderId="0" xfId="0" applyNumberFormat="1" applyFont="1" applyAlignment="1">
      <alignment horizontal="center" vertical="center"/>
    </xf>
    <xf numFmtId="0" fontId="5" fillId="0" borderId="0" xfId="1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wrapText="1"/>
    </xf>
    <xf numFmtId="0" fontId="10" fillId="0" borderId="0" xfId="0" applyFont="1"/>
    <xf numFmtId="0" fontId="11" fillId="0" borderId="0" xfId="0" applyFont="1"/>
    <xf numFmtId="4" fontId="10" fillId="0" borderId="0" xfId="0" applyNumberFormat="1" applyFont="1"/>
    <xf numFmtId="4" fontId="10" fillId="0" borderId="0" xfId="0" applyNumberFormat="1" applyFont="1" applyAlignment="1">
      <alignment wrapText="1"/>
    </xf>
    <xf numFmtId="0" fontId="10" fillId="0" borderId="0" xfId="1" applyFont="1" applyAlignment="1">
      <alignment vertical="center" wrapText="1"/>
    </xf>
    <xf numFmtId="0" fontId="10" fillId="0" borderId="0" xfId="1" applyFont="1" applyAlignment="1">
      <alignment vertical="top" wrapText="1"/>
    </xf>
    <xf numFmtId="0" fontId="10" fillId="0" borderId="0" xfId="0" applyFont="1" applyAlignment="1">
      <alignment vertical="top" wrapText="1"/>
    </xf>
    <xf numFmtId="0" fontId="10" fillId="0" borderId="0" xfId="0" applyFont="1" applyAlignment="1">
      <alignment vertical="center" wrapText="1"/>
    </xf>
    <xf numFmtId="0" fontId="5" fillId="0" borderId="0" xfId="1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6" fillId="7" borderId="7" xfId="0" applyFont="1" applyFill="1" applyBorder="1" applyAlignment="1">
      <alignment horizontal="center" vertical="center" wrapText="1"/>
    </xf>
    <xf numFmtId="4" fontId="6" fillId="7" borderId="7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top" wrapText="1"/>
    </xf>
    <xf numFmtId="4" fontId="6" fillId="0" borderId="8" xfId="0" applyNumberFormat="1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6" borderId="7" xfId="0" applyFont="1" applyFill="1" applyBorder="1" applyAlignment="1">
      <alignment horizontal="right"/>
    </xf>
    <xf numFmtId="4" fontId="6" fillId="6" borderId="7" xfId="0" applyNumberFormat="1" applyFont="1" applyFill="1" applyBorder="1" applyAlignment="1">
      <alignment horizontal="right"/>
    </xf>
    <xf numFmtId="0" fontId="7" fillId="6" borderId="7" xfId="0" applyFont="1" applyFill="1" applyBorder="1" applyAlignment="1">
      <alignment horizontal="right"/>
    </xf>
    <xf numFmtId="4" fontId="7" fillId="6" borderId="7" xfId="0" applyNumberFormat="1" applyFont="1" applyFill="1" applyBorder="1" applyAlignment="1">
      <alignment horizontal="right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0" fillId="0" borderId="0" xfId="1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wrapText="1"/>
    </xf>
  </cellXfs>
  <cellStyles count="2">
    <cellStyle name="Обычный" xfId="0" builtinId="0"/>
    <cellStyle name="Обычный 3 2 2" xfId="1" xr:uid="{BBBAA2E1-405E-4FEC-9B3C-E95F463B7AB0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37807D-EC7A-4306-8E36-69AC77951647}" name="Р" displayName="Р" ref="A3:F15" totalsRowCount="1" headerRowDxfId="37" headerRowBorderDxfId="36" tableBorderDxfId="35" totalsRowBorderDxfId="34">
  <autoFilter ref="A3:F14" xr:uid="{5737807D-EC7A-4306-8E36-69AC77951647}"/>
  <tableColumns count="6">
    <tableColumn id="1" xr3:uid="{D85B7EB5-2BB7-4086-BF97-596E87AD40CF}" name="Наименование" totalsRowLabel="Итог" dataDxfId="33" totalsRowDxfId="32"/>
    <tableColumn id="2" xr3:uid="{86A7A044-F383-4D92-BB50-2D843A50B987}" name="Ед. изм." dataDxfId="31" totalsRowDxfId="30"/>
    <tableColumn id="3" xr3:uid="{C4433BCE-F016-4F71-8B88-B4FF8AC2D30E}" name="Количество" dataDxfId="29" totalsRowDxfId="28"/>
    <tableColumn id="4" xr3:uid="{DA4D9AD1-9434-41A4-8FB2-A23FE8E93C52}" name="Цена за ед., руб" dataDxfId="27" totalsRowDxfId="26"/>
    <tableColumn id="5" xr3:uid="{B19CBEB4-5185-4B69-B771-900EDE43A058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EE28E6F5-BFB4-4423-A529-9F2D8E9F6CE6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8BD2DF5-12F0-414B-9949-64F57EAF8836}" name="М" displayName="М" ref="A3:I18" totalsRowCount="1" headerRowDxfId="21" headerRowBorderDxfId="20" tableBorderDxfId="19" totalsRowBorderDxfId="18">
  <autoFilter ref="A3:I17" xr:uid="{68BD2DF5-12F0-414B-9949-64F57EAF8836}"/>
  <tableColumns count="9">
    <tableColumn id="1" xr3:uid="{D3FAB625-90BD-4808-9CC3-488A520CFBDA}" name="Наим." totalsRowLabel="Итог" dataDxfId="17" totalsRowDxfId="16"/>
    <tableColumn id="2" xr3:uid="{DF8202FB-B5B1-4BC8-9995-575E54109DCE}" name="Артикул, марка, произв." dataDxfId="15" totalsRowDxfId="14"/>
    <tableColumn id="3" xr3:uid="{15C60997-85F8-4D1D-B8E1-091EFEF2E2B9}" name="Хар-ка" dataDxfId="13" totalsRowDxfId="12"/>
    <tableColumn id="4" xr3:uid="{9FEFB965-3A12-4421-9A7C-3ACB44EADB1E}" name="Ед. изм." dataDxfId="11" totalsRowDxfId="10"/>
    <tableColumn id="5" xr3:uid="{457BBD74-E72A-4248-B00E-F5595411D103}" name="Количество" dataDxfId="9" totalsRowDxfId="8"/>
    <tableColumn id="6" xr3:uid="{6C3345C5-48CB-4F28-92F4-08E0C01ECF0F}" name="Цена за ед., руб" dataDxfId="7" totalsRowDxfId="6"/>
    <tableColumn id="7" xr3:uid="{30A9616F-44A6-44CE-B592-86818FF34F6C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95E27595-DC06-4565-A076-6354C05E6C2B}" name="Прим." dataDxfId="3" totalsRowDxfId="2"/>
    <tableColumn id="9" xr3:uid="{CBAD7352-C128-498B-9E55-1266A962E011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N63"/>
  <sheetViews>
    <sheetView tabSelected="1" zoomScale="70" zoomScaleNormal="70" workbookViewId="0">
      <pane ySplit="9" topLeftCell="A10" activePane="bottomLeft" state="frozen"/>
      <selection pane="bottomLeft" activeCell="B5" sqref="B5:J5"/>
    </sheetView>
  </sheetViews>
  <sheetFormatPr defaultColWidth="10.5" defaultRowHeight="15.75" outlineLevelRow="4" x14ac:dyDescent="0.25"/>
  <cols>
    <col min="1" max="1" width="14" style="27" bestFit="1" customWidth="1"/>
    <col min="2" max="2" width="62.6640625" style="27" bestFit="1" customWidth="1"/>
    <col min="3" max="3" width="15" style="27" bestFit="1" customWidth="1"/>
    <col min="4" max="4" width="43.5" style="27" bestFit="1" customWidth="1"/>
    <col min="5" max="5" width="10.5" style="27" bestFit="1" customWidth="1"/>
    <col min="6" max="6" width="9" style="27" bestFit="1" customWidth="1"/>
    <col min="7" max="7" width="11.5" style="27" bestFit="1" customWidth="1"/>
    <col min="8" max="8" width="15.83203125" style="27" bestFit="1" customWidth="1"/>
    <col min="9" max="9" width="15.1640625" style="27" bestFit="1" customWidth="1"/>
    <col min="10" max="10" width="15.6640625" style="27" bestFit="1" customWidth="1"/>
    <col min="11" max="11" width="72.33203125" style="27" bestFit="1" customWidth="1"/>
    <col min="12" max="12" width="23" style="27" bestFit="1" customWidth="1"/>
    <col min="13" max="16384" width="10.5" style="28"/>
  </cols>
  <sheetData>
    <row r="2" spans="1:12" x14ac:dyDescent="0.25">
      <c r="A2" s="74"/>
      <c r="B2" s="75" t="s">
        <v>99</v>
      </c>
      <c r="C2" s="28"/>
      <c r="D2" s="75" t="s">
        <v>100</v>
      </c>
      <c r="E2" s="28"/>
      <c r="F2" s="28"/>
      <c r="G2" s="28"/>
      <c r="H2" s="28"/>
      <c r="I2" s="76"/>
      <c r="J2" s="77" t="s">
        <v>101</v>
      </c>
      <c r="K2" s="78"/>
      <c r="L2" s="79"/>
    </row>
    <row r="4" spans="1:12" x14ac:dyDescent="0.25">
      <c r="B4" s="112" t="s">
        <v>108</v>
      </c>
      <c r="C4" s="112"/>
      <c r="D4" s="112"/>
      <c r="E4" s="112"/>
      <c r="F4" s="112"/>
      <c r="G4" s="112"/>
      <c r="H4" s="112"/>
      <c r="I4" s="112"/>
      <c r="J4" s="112"/>
    </row>
    <row r="5" spans="1:12" x14ac:dyDescent="0.25">
      <c r="B5" s="112" t="s">
        <v>16</v>
      </c>
      <c r="C5" s="112"/>
      <c r="D5" s="112"/>
      <c r="E5" s="112"/>
      <c r="F5" s="112"/>
      <c r="G5" s="112"/>
      <c r="H5" s="112"/>
      <c r="I5" s="112"/>
      <c r="J5" s="112"/>
    </row>
    <row r="6" spans="1:12" ht="37.5" customHeight="1" x14ac:dyDescent="0.25">
      <c r="B6" s="113" t="s">
        <v>0</v>
      </c>
      <c r="C6" s="113"/>
      <c r="D6" s="113"/>
      <c r="E6" s="113"/>
      <c r="F6" s="113"/>
      <c r="G6" s="113"/>
      <c r="H6" s="113"/>
      <c r="I6" s="113"/>
      <c r="J6" s="113"/>
    </row>
    <row r="8" spans="1:12" x14ac:dyDescent="0.25">
      <c r="A8" s="104" t="s">
        <v>1</v>
      </c>
      <c r="B8" s="104" t="s">
        <v>2</v>
      </c>
      <c r="C8" s="114" t="s">
        <v>3</v>
      </c>
      <c r="D8" s="116" t="s">
        <v>4</v>
      </c>
      <c r="E8" s="104" t="s">
        <v>5</v>
      </c>
      <c r="F8" s="106" t="s">
        <v>6</v>
      </c>
      <c r="G8" s="118" t="s">
        <v>7</v>
      </c>
      <c r="H8" s="104" t="s">
        <v>8</v>
      </c>
      <c r="I8" s="106" t="s">
        <v>9</v>
      </c>
      <c r="J8" s="106" t="s">
        <v>10</v>
      </c>
      <c r="K8" s="104" t="s">
        <v>11</v>
      </c>
      <c r="L8" s="106" t="s">
        <v>12</v>
      </c>
    </row>
    <row r="9" spans="1:12" x14ac:dyDescent="0.25">
      <c r="A9" s="105"/>
      <c r="B9" s="105"/>
      <c r="C9" s="115"/>
      <c r="D9" s="117"/>
      <c r="E9" s="105"/>
      <c r="F9" s="107"/>
      <c r="G9" s="119"/>
      <c r="H9" s="105"/>
      <c r="I9" s="107"/>
      <c r="J9" s="107"/>
      <c r="K9" s="105"/>
      <c r="L9" s="107"/>
    </row>
    <row r="10" spans="1:12" x14ac:dyDescent="0.25">
      <c r="A10" s="29" t="s">
        <v>13</v>
      </c>
      <c r="B10" s="30" t="s">
        <v>14</v>
      </c>
      <c r="C10" s="31"/>
      <c r="D10" s="31"/>
      <c r="E10" s="32"/>
      <c r="F10" s="33"/>
      <c r="G10" s="33"/>
      <c r="H10" s="33"/>
      <c r="I10" s="34"/>
      <c r="J10" s="34"/>
      <c r="K10" s="31"/>
      <c r="L10" s="31"/>
    </row>
    <row r="11" spans="1:12" outlineLevel="1" x14ac:dyDescent="0.25">
      <c r="A11" s="35" t="s">
        <v>15</v>
      </c>
      <c r="B11" s="36" t="s">
        <v>16</v>
      </c>
      <c r="C11" s="37"/>
      <c r="D11" s="37"/>
      <c r="E11" s="38"/>
      <c r="F11" s="39"/>
      <c r="G11" s="39"/>
      <c r="H11" s="39"/>
      <c r="I11" s="40"/>
      <c r="J11" s="40">
        <f>SUM($J$49,$J$29,$J$12)</f>
        <v>0</v>
      </c>
      <c r="K11" s="37"/>
      <c r="L11" s="37"/>
    </row>
    <row r="12" spans="1:12" outlineLevel="2" x14ac:dyDescent="0.25">
      <c r="A12" s="41" t="s">
        <v>17</v>
      </c>
      <c r="B12" s="42" t="s">
        <v>18</v>
      </c>
      <c r="C12" s="43"/>
      <c r="D12" s="43"/>
      <c r="E12" s="44"/>
      <c r="F12" s="45"/>
      <c r="G12" s="46"/>
      <c r="H12" s="46"/>
      <c r="I12" s="47"/>
      <c r="J12" s="47">
        <f>SUM($J$13)</f>
        <v>0</v>
      </c>
      <c r="K12" s="48"/>
      <c r="L12" s="48"/>
    </row>
    <row r="13" spans="1:12" outlineLevel="3" x14ac:dyDescent="0.25">
      <c r="A13" s="41" t="s">
        <v>19</v>
      </c>
      <c r="B13" s="42" t="s">
        <v>18</v>
      </c>
      <c r="C13" s="43"/>
      <c r="D13" s="43"/>
      <c r="E13" s="44"/>
      <c r="F13" s="45"/>
      <c r="G13" s="46"/>
      <c r="H13" s="46"/>
      <c r="I13" s="47"/>
      <c r="J13" s="47">
        <f>SUM($J$27,$J$25,$J$23,$J$20,$J$18,$J$16,$J$14)</f>
        <v>0</v>
      </c>
      <c r="K13" s="48"/>
      <c r="L13" s="48"/>
    </row>
    <row r="14" spans="1:12" outlineLevel="4" x14ac:dyDescent="0.25">
      <c r="A14" s="49"/>
      <c r="B14" s="42" t="s">
        <v>20</v>
      </c>
      <c r="C14" s="50"/>
      <c r="D14" s="50"/>
      <c r="E14" s="50"/>
      <c r="F14" s="50"/>
      <c r="G14" s="50"/>
      <c r="H14" s="50"/>
      <c r="I14" s="51"/>
      <c r="J14" s="52">
        <f>SUM($J$15)</f>
        <v>0</v>
      </c>
      <c r="K14" s="46"/>
      <c r="L14" s="53"/>
    </row>
    <row r="15" spans="1:12" outlineLevel="4" x14ac:dyDescent="0.25">
      <c r="A15" s="54"/>
      <c r="B15" s="55" t="s">
        <v>21</v>
      </c>
      <c r="C15" s="56"/>
      <c r="D15" s="56"/>
      <c r="E15" s="57" t="s">
        <v>22</v>
      </c>
      <c r="F15" s="58"/>
      <c r="G15" s="59">
        <f>G17</f>
        <v>25</v>
      </c>
      <c r="H15" s="59">
        <f>SUM($G$15:$G$15)</f>
        <v>25</v>
      </c>
      <c r="I15" s="60">
        <f t="array" ref="I15">INDEX(Р[Цена за ед., руб],MATCH(1,IF(($B15=Р[Наименование])*($K15=Р[Примечание]),{1},($B15=Р[Наименование])*($K15=Р[Примечание])),0))</f>
        <v>0</v>
      </c>
      <c r="J15" s="60">
        <f>ROUND($H$15*$I$15,2)</f>
        <v>0</v>
      </c>
      <c r="K15" s="56"/>
      <c r="L15" s="56"/>
    </row>
    <row r="16" spans="1:12" outlineLevel="4" x14ac:dyDescent="0.25">
      <c r="A16" s="49"/>
      <c r="B16" s="42" t="s">
        <v>23</v>
      </c>
      <c r="C16" s="50"/>
      <c r="D16" s="50"/>
      <c r="E16" s="50"/>
      <c r="F16" s="50"/>
      <c r="G16" s="50"/>
      <c r="H16" s="50"/>
      <c r="I16" s="51"/>
      <c r="J16" s="52">
        <f>SUM($J$17)</f>
        <v>0</v>
      </c>
      <c r="K16" s="46"/>
      <c r="L16" s="53"/>
    </row>
    <row r="17" spans="1:12" outlineLevel="4" x14ac:dyDescent="0.25">
      <c r="A17" s="54" t="s">
        <v>24</v>
      </c>
      <c r="B17" s="55" t="s">
        <v>25</v>
      </c>
      <c r="C17" s="56"/>
      <c r="D17" s="56" t="s">
        <v>26</v>
      </c>
      <c r="E17" s="57" t="s">
        <v>22</v>
      </c>
      <c r="F17" s="58"/>
      <c r="G17" s="59">
        <v>25</v>
      </c>
      <c r="H17" s="59">
        <f>SUM($G$17:$G$17)</f>
        <v>25</v>
      </c>
      <c r="I17" s="60">
        <f t="array" ref="I17">INDEX(М[Цена за ед., руб],MATCH(1,IF(($B17=М[Наим.])*($C17=М[Артикул,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  <c r="J17" s="60">
        <f>ROUND($H$17*$I$17,2)</f>
        <v>0</v>
      </c>
      <c r="K17" s="56"/>
      <c r="L17" s="56">
        <f t="array" ref="L17">INDEX(М[Форма закупа],MATCH(1,IF(($B17=М[Наим.])*($C17=М[Артикул,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</row>
    <row r="18" spans="1:12" outlineLevel="4" x14ac:dyDescent="0.25">
      <c r="A18" s="49"/>
      <c r="B18" s="42" t="s">
        <v>20</v>
      </c>
      <c r="C18" s="50"/>
      <c r="D18" s="50"/>
      <c r="E18" s="50"/>
      <c r="F18" s="50"/>
      <c r="G18" s="50"/>
      <c r="H18" s="50"/>
      <c r="I18" s="51"/>
      <c r="J18" s="52">
        <f>SUM($J$19)</f>
        <v>0</v>
      </c>
      <c r="K18" s="46"/>
      <c r="L18" s="53"/>
    </row>
    <row r="19" spans="1:12" outlineLevel="4" x14ac:dyDescent="0.25">
      <c r="A19" s="54"/>
      <c r="B19" s="55" t="s">
        <v>27</v>
      </c>
      <c r="C19" s="56"/>
      <c r="D19" s="56"/>
      <c r="E19" s="57" t="s">
        <v>22</v>
      </c>
      <c r="F19" s="58"/>
      <c r="G19" s="61">
        <f>G21+G22</f>
        <v>1770</v>
      </c>
      <c r="H19" s="61">
        <f>SUM($G$19:$G$19)</f>
        <v>1770</v>
      </c>
      <c r="I19" s="60">
        <f t="array" ref="I19">INDEX(Р[Цена за ед., руб],MATCH(1,IF(($B19=Р[Наименование])*($K19=Р[Примечание]),{1},($B19=Р[Наименование])*($K19=Р[Примечание])),0))</f>
        <v>0</v>
      </c>
      <c r="J19" s="60">
        <f>ROUND($H$19*$I$19,2)</f>
        <v>0</v>
      </c>
      <c r="K19" s="56"/>
      <c r="L19" s="56"/>
    </row>
    <row r="20" spans="1:12" outlineLevel="4" x14ac:dyDescent="0.25">
      <c r="A20" s="49"/>
      <c r="B20" s="42" t="s">
        <v>23</v>
      </c>
      <c r="C20" s="50"/>
      <c r="D20" s="50"/>
      <c r="E20" s="50"/>
      <c r="F20" s="50"/>
      <c r="G20" s="50"/>
      <c r="H20" s="50"/>
      <c r="I20" s="51"/>
      <c r="J20" s="52">
        <f>SUM($J$21:$J$22)</f>
        <v>0</v>
      </c>
      <c r="K20" s="46"/>
      <c r="L20" s="53"/>
    </row>
    <row r="21" spans="1:12" outlineLevel="4" x14ac:dyDescent="0.25">
      <c r="A21" s="54" t="s">
        <v>24</v>
      </c>
      <c r="B21" s="55" t="s">
        <v>25</v>
      </c>
      <c r="C21" s="56"/>
      <c r="D21" s="56" t="s">
        <v>28</v>
      </c>
      <c r="E21" s="57" t="s">
        <v>22</v>
      </c>
      <c r="F21" s="58"/>
      <c r="G21" s="61">
        <v>1650</v>
      </c>
      <c r="H21" s="61">
        <f>SUM($G$21:$G$21)</f>
        <v>1650</v>
      </c>
      <c r="I21" s="60">
        <f t="array" ref="I21">INDEX(М[Цена за ед., руб],MATCH(1,IF(($B21=М[Наим.])*($C21=М[Артикул,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  <c r="J21" s="60">
        <f>ROUND($H$21*$I$21,2)</f>
        <v>0</v>
      </c>
      <c r="K21" s="56"/>
      <c r="L21" s="56">
        <f t="array" ref="L21">INDEX(М[Форма закупа],MATCH(1,IF(($B21=М[Наим.])*($C21=М[Артикул,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</row>
    <row r="22" spans="1:12" outlineLevel="4" x14ac:dyDescent="0.25">
      <c r="A22" s="54" t="s">
        <v>29</v>
      </c>
      <c r="B22" s="55" t="s">
        <v>25</v>
      </c>
      <c r="C22" s="56"/>
      <c r="D22" s="56" t="s">
        <v>30</v>
      </c>
      <c r="E22" s="57" t="s">
        <v>22</v>
      </c>
      <c r="F22" s="58"/>
      <c r="G22" s="59">
        <v>120</v>
      </c>
      <c r="H22" s="59">
        <f>SUM($G$22:$G$22)</f>
        <v>120</v>
      </c>
      <c r="I22" s="60">
        <f t="array" ref="I22">INDEX(М[Цена за ед., руб],MATCH(1,IF(($B22=М[Наим.])*($C22=М[Артикул, марка, произв.])*($D22=М[Хар-ка])*($K22=М[Прим.]),{1},($B22=М[Наим.])*($C22=М[Артикул, марка, произв.])*($D22=М[Хар-ка])*($K22=М[Прим.])),0))</f>
        <v>0</v>
      </c>
      <c r="J22" s="60">
        <f>ROUND($H$22*$I$22,2)</f>
        <v>0</v>
      </c>
      <c r="K22" s="56"/>
      <c r="L22" s="56">
        <f t="array" ref="L22">INDEX(М[Форма закупа],MATCH(1,IF(($B22=М[Наим.])*($C22=М[Артикул, марка, произв.])*($D22=М[Хар-ка])*($K22=М[Прим.]),{1},($B22=М[Наим.])*($C22=М[Артикул, марка, произв.])*($D22=М[Хар-ка])*($K22=М[Прим.])),0))</f>
        <v>0</v>
      </c>
    </row>
    <row r="23" spans="1:12" outlineLevel="4" x14ac:dyDescent="0.25">
      <c r="A23" s="49"/>
      <c r="B23" s="42" t="s">
        <v>20</v>
      </c>
      <c r="C23" s="50"/>
      <c r="D23" s="50"/>
      <c r="E23" s="50"/>
      <c r="F23" s="50"/>
      <c r="G23" s="50"/>
      <c r="H23" s="50"/>
      <c r="I23" s="51"/>
      <c r="J23" s="52">
        <f>SUM($J$24)</f>
        <v>0</v>
      </c>
      <c r="K23" s="46"/>
      <c r="L23" s="53"/>
    </row>
    <row r="24" spans="1:12" outlineLevel="4" x14ac:dyDescent="0.25">
      <c r="A24" s="54"/>
      <c r="B24" s="55" t="s">
        <v>31</v>
      </c>
      <c r="C24" s="56"/>
      <c r="D24" s="56"/>
      <c r="E24" s="57" t="s">
        <v>22</v>
      </c>
      <c r="F24" s="58"/>
      <c r="G24" s="61">
        <f>G26</f>
        <v>1790</v>
      </c>
      <c r="H24" s="61">
        <f>SUM($G$24:$G$24)</f>
        <v>1790</v>
      </c>
      <c r="I24" s="60">
        <f t="array" ref="I24">INDEX(Р[Цена за ед., руб],MATCH(1,IF(($B24=Р[Наименование])*($K24=Р[Примечание]),{1},($B24=Р[Наименование])*($K24=Р[Примечание])),0))</f>
        <v>0</v>
      </c>
      <c r="J24" s="60">
        <f>ROUND($H$24*$I$24,2)</f>
        <v>0</v>
      </c>
      <c r="K24" s="56"/>
      <c r="L24" s="56"/>
    </row>
    <row r="25" spans="1:12" outlineLevel="4" x14ac:dyDescent="0.25">
      <c r="A25" s="49"/>
      <c r="B25" s="42" t="s">
        <v>23</v>
      </c>
      <c r="C25" s="50"/>
      <c r="D25" s="50"/>
      <c r="E25" s="50"/>
      <c r="F25" s="50"/>
      <c r="G25" s="50"/>
      <c r="H25" s="50"/>
      <c r="I25" s="51"/>
      <c r="J25" s="52">
        <f>SUM($J$26)</f>
        <v>0</v>
      </c>
      <c r="K25" s="46"/>
      <c r="L25" s="53"/>
    </row>
    <row r="26" spans="1:12" ht="31.5" outlineLevel="4" x14ac:dyDescent="0.25">
      <c r="A26" s="54" t="s">
        <v>24</v>
      </c>
      <c r="B26" s="55" t="s">
        <v>32</v>
      </c>
      <c r="C26" s="56"/>
      <c r="D26" s="56" t="s">
        <v>33</v>
      </c>
      <c r="E26" s="57" t="s">
        <v>34</v>
      </c>
      <c r="F26" s="58"/>
      <c r="G26" s="61">
        <v>1790</v>
      </c>
      <c r="H26" s="61">
        <f>SUM($G$26:$G$26)</f>
        <v>1790</v>
      </c>
      <c r="I26" s="60">
        <f t="array" ref="I26">INDEX(М[Цена за ед., руб],MATCH(1,IF(($B26=М[Наим.])*($C26=М[Артикул, марка, произв.])*($D26=М[Хар-ка])*($K26=М[Прим.]),{1},($B26=М[Наим.])*($C26=М[Артикул, марка, произв.])*($D26=М[Хар-ка])*($K26=М[Прим.])),0))</f>
        <v>0</v>
      </c>
      <c r="J26" s="60">
        <f>ROUND($H$26*$I$26,2)</f>
        <v>0</v>
      </c>
      <c r="K26" s="56"/>
      <c r="L26" s="56">
        <f t="array" ref="L26">INDEX(М[Форма закупа],MATCH(1,IF(($B26=М[Наим.])*($C26=М[Артикул, марка, произв.])*($D26=М[Хар-ка])*($K26=М[Прим.]),{1},($B26=М[Наим.])*($C26=М[Артикул, марка, произв.])*($D26=М[Хар-ка])*($K26=М[Прим.])),0))</f>
        <v>0</v>
      </c>
    </row>
    <row r="27" spans="1:12" outlineLevel="4" x14ac:dyDescent="0.25">
      <c r="A27" s="49"/>
      <c r="B27" s="42" t="s">
        <v>23</v>
      </c>
      <c r="C27" s="50"/>
      <c r="D27" s="50"/>
      <c r="E27" s="50"/>
      <c r="F27" s="50"/>
      <c r="G27" s="50"/>
      <c r="H27" s="50"/>
      <c r="I27" s="51"/>
      <c r="J27" s="52">
        <f>SUM($J$28)</f>
        <v>0</v>
      </c>
      <c r="K27" s="46"/>
      <c r="L27" s="53"/>
    </row>
    <row r="28" spans="1:12" outlineLevel="4" x14ac:dyDescent="0.25">
      <c r="A28" s="54" t="s">
        <v>24</v>
      </c>
      <c r="B28" s="62" t="s">
        <v>89</v>
      </c>
      <c r="C28" s="56"/>
      <c r="D28" s="56"/>
      <c r="E28" s="63" t="s">
        <v>35</v>
      </c>
      <c r="F28" s="58"/>
      <c r="G28" s="58"/>
      <c r="H28" s="25">
        <f>Материалы!E17</f>
        <v>0</v>
      </c>
      <c r="I28" s="26"/>
      <c r="J28" s="26">
        <f>ROUND(SUM(J17,J21:J22,J26)*H28%,3)</f>
        <v>0</v>
      </c>
      <c r="K28" s="56"/>
      <c r="L28" s="56">
        <f t="array" ref="L28">INDEX(М[Форма закупа],MATCH(1,IF(($B28=М[Наим.])*($C28=М[Артикул, марка, произв.])*($D28=М[Хар-ка])*($K28=М[Прим.]),{1},($B28=М[Наим.])*($C28=М[Артикул, марка, произв.])*($D28=М[Хар-ка])*($K28=М[Прим.])),0))</f>
        <v>0</v>
      </c>
    </row>
    <row r="29" spans="1:12" outlineLevel="2" x14ac:dyDescent="0.25">
      <c r="A29" s="41" t="s">
        <v>36</v>
      </c>
      <c r="B29" s="42" t="s">
        <v>37</v>
      </c>
      <c r="C29" s="43"/>
      <c r="D29" s="43"/>
      <c r="E29" s="44"/>
      <c r="F29" s="45"/>
      <c r="G29" s="46"/>
      <c r="H29" s="46"/>
      <c r="I29" s="47"/>
      <c r="J29" s="47">
        <f>SUM($J$30)</f>
        <v>0</v>
      </c>
      <c r="K29" s="48"/>
      <c r="L29" s="48"/>
    </row>
    <row r="30" spans="1:12" outlineLevel="3" x14ac:dyDescent="0.25">
      <c r="A30" s="41" t="s">
        <v>38</v>
      </c>
      <c r="B30" s="42" t="s">
        <v>37</v>
      </c>
      <c r="C30" s="43"/>
      <c r="D30" s="43"/>
      <c r="E30" s="44"/>
      <c r="F30" s="45"/>
      <c r="G30" s="46"/>
      <c r="H30" s="46"/>
      <c r="I30" s="47"/>
      <c r="J30" s="47">
        <f>SUM($J$39,$J$31)</f>
        <v>0</v>
      </c>
      <c r="K30" s="48"/>
      <c r="L30" s="48"/>
    </row>
    <row r="31" spans="1:12" outlineLevel="4" x14ac:dyDescent="0.25">
      <c r="A31" s="49"/>
      <c r="B31" s="42" t="s">
        <v>97</v>
      </c>
      <c r="C31" s="50"/>
      <c r="D31" s="50"/>
      <c r="E31" s="50"/>
      <c r="F31" s="50"/>
      <c r="G31" s="50"/>
      <c r="H31" s="50"/>
      <c r="I31" s="51"/>
      <c r="J31" s="52">
        <f>SUM($J$32:$J$38)</f>
        <v>0</v>
      </c>
      <c r="K31" s="46"/>
      <c r="L31" s="53"/>
    </row>
    <row r="32" spans="1:12" outlineLevel="4" x14ac:dyDescent="0.25">
      <c r="A32" s="54"/>
      <c r="B32" s="55" t="s">
        <v>90</v>
      </c>
      <c r="C32" s="56"/>
      <c r="D32" s="56"/>
      <c r="E32" s="57" t="s">
        <v>42</v>
      </c>
      <c r="F32" s="58"/>
      <c r="G32" s="59">
        <f>G40+G41</f>
        <v>2</v>
      </c>
      <c r="H32" s="59">
        <f>SUM(G32)</f>
        <v>2</v>
      </c>
      <c r="I32" s="60">
        <f t="array" ref="I32">INDEX(Р[Цена за ед., руб],MATCH(1,IF(($B32=Р[Наименование])*($K32=Р[Примечание]),{1},($B32=Р[Наименование])*($K32=Р[Примечание])),0))</f>
        <v>0</v>
      </c>
      <c r="J32" s="60">
        <f>ROUND(H32*I32,2)</f>
        <v>0</v>
      </c>
      <c r="K32" s="56"/>
      <c r="L32" s="56"/>
    </row>
    <row r="33" spans="1:12" outlineLevel="4" x14ac:dyDescent="0.25">
      <c r="A33" s="54"/>
      <c r="B33" s="55" t="s">
        <v>91</v>
      </c>
      <c r="C33" s="56"/>
      <c r="D33" s="56"/>
      <c r="E33" s="57" t="s">
        <v>42</v>
      </c>
      <c r="F33" s="58"/>
      <c r="G33" s="59">
        <f>G42+G43</f>
        <v>2</v>
      </c>
      <c r="H33" s="59">
        <f t="shared" ref="H33:H38" si="0">SUM(G33)</f>
        <v>2</v>
      </c>
      <c r="I33" s="60">
        <f t="array" ref="I33">INDEX(Р[Цена за ед., руб],MATCH(1,IF(($B33=Р[Наименование])*($K33=Р[Примечание]),{1},($B33=Р[Наименование])*($K33=Р[Примечание])),0))</f>
        <v>0</v>
      </c>
      <c r="J33" s="60">
        <f t="shared" ref="J33:J38" si="1">ROUND(H33*I33,2)</f>
        <v>0</v>
      </c>
      <c r="K33" s="56"/>
      <c r="L33" s="56"/>
    </row>
    <row r="34" spans="1:12" outlineLevel="4" x14ac:dyDescent="0.25">
      <c r="A34" s="54"/>
      <c r="B34" s="55" t="s">
        <v>92</v>
      </c>
      <c r="C34" s="56"/>
      <c r="D34" s="56"/>
      <c r="E34" s="57" t="s">
        <v>42</v>
      </c>
      <c r="F34" s="58"/>
      <c r="G34" s="59">
        <f>G44</f>
        <v>66</v>
      </c>
      <c r="H34" s="59">
        <f t="shared" si="0"/>
        <v>66</v>
      </c>
      <c r="I34" s="60">
        <f t="array" ref="I34">INDEX(Р[Цена за ед., руб],MATCH(1,IF(($B34=Р[Наименование])*($K34=Р[Примечание]),{1},($B34=Р[Наименование])*($K34=Р[Примечание])),0))</f>
        <v>0</v>
      </c>
      <c r="J34" s="60">
        <f t="shared" si="1"/>
        <v>0</v>
      </c>
      <c r="K34" s="56"/>
      <c r="L34" s="56"/>
    </row>
    <row r="35" spans="1:12" ht="31.5" outlineLevel="4" x14ac:dyDescent="0.25">
      <c r="A35" s="54"/>
      <c r="B35" s="55" t="s">
        <v>93</v>
      </c>
      <c r="C35" s="56"/>
      <c r="D35" s="56"/>
      <c r="E35" s="57" t="s">
        <v>42</v>
      </c>
      <c r="F35" s="58"/>
      <c r="G35" s="59">
        <f>G45</f>
        <v>2</v>
      </c>
      <c r="H35" s="59">
        <f t="shared" si="0"/>
        <v>2</v>
      </c>
      <c r="I35" s="60">
        <f t="array" ref="I35">INDEX(Р[Цена за ед., руб],MATCH(1,IF(($B35=Р[Наименование])*($K35=Р[Примечание]),{1},($B35=Р[Наименование])*($K35=Р[Примечание])),0))</f>
        <v>0</v>
      </c>
      <c r="J35" s="60">
        <f t="shared" si="1"/>
        <v>0</v>
      </c>
      <c r="K35" s="56"/>
      <c r="L35" s="56"/>
    </row>
    <row r="36" spans="1:12" outlineLevel="4" x14ac:dyDescent="0.25">
      <c r="A36" s="54"/>
      <c r="B36" s="55" t="s">
        <v>94</v>
      </c>
      <c r="C36" s="56"/>
      <c r="D36" s="56"/>
      <c r="E36" s="57" t="s">
        <v>42</v>
      </c>
      <c r="F36" s="58"/>
      <c r="G36" s="59">
        <f>G46</f>
        <v>3</v>
      </c>
      <c r="H36" s="59">
        <f t="shared" si="0"/>
        <v>3</v>
      </c>
      <c r="I36" s="60">
        <f t="array" ref="I36">INDEX(Р[Цена за ед., руб],MATCH(1,IF(($B36=Р[Наименование])*($K36=Р[Примечание]),{1},($B36=Р[Наименование])*($K36=Р[Примечание])),0))</f>
        <v>0</v>
      </c>
      <c r="J36" s="60">
        <f t="shared" si="1"/>
        <v>0</v>
      </c>
      <c r="K36" s="56"/>
      <c r="L36" s="56"/>
    </row>
    <row r="37" spans="1:12" outlineLevel="4" x14ac:dyDescent="0.25">
      <c r="A37" s="54"/>
      <c r="B37" s="55" t="s">
        <v>95</v>
      </c>
      <c r="C37" s="56"/>
      <c r="D37" s="56"/>
      <c r="E37" s="57" t="s">
        <v>42</v>
      </c>
      <c r="F37" s="58"/>
      <c r="G37" s="59">
        <f>G47</f>
        <v>66</v>
      </c>
      <c r="H37" s="59">
        <f t="shared" si="0"/>
        <v>66</v>
      </c>
      <c r="I37" s="60">
        <f t="array" ref="I37">INDEX(Р[Цена за ед., руб],MATCH(1,IF(($B37=Р[Наименование])*($K37=Р[Примечание]),{1},($B37=Р[Наименование])*($K37=Р[Примечание])),0))</f>
        <v>0</v>
      </c>
      <c r="J37" s="60">
        <f t="shared" si="1"/>
        <v>0</v>
      </c>
      <c r="K37" s="56"/>
      <c r="L37" s="56"/>
    </row>
    <row r="38" spans="1:12" outlineLevel="4" x14ac:dyDescent="0.25">
      <c r="A38" s="54"/>
      <c r="B38" s="55" t="s">
        <v>96</v>
      </c>
      <c r="C38" s="56"/>
      <c r="D38" s="56"/>
      <c r="E38" s="57" t="s">
        <v>42</v>
      </c>
      <c r="F38" s="58"/>
      <c r="G38" s="59">
        <f>G48</f>
        <v>3</v>
      </c>
      <c r="H38" s="59">
        <f t="shared" si="0"/>
        <v>3</v>
      </c>
      <c r="I38" s="60">
        <f t="array" ref="I38">INDEX(Р[Цена за ед., руб],MATCH(1,IF(($B38=Р[Наименование])*($K38=Р[Примечание]),{1},($B38=Р[Наименование])*($K38=Р[Примечание])),0))</f>
        <v>0</v>
      </c>
      <c r="J38" s="60">
        <f t="shared" si="1"/>
        <v>0</v>
      </c>
      <c r="K38" s="56"/>
      <c r="L38" s="56"/>
    </row>
    <row r="39" spans="1:12" outlineLevel="4" x14ac:dyDescent="0.25">
      <c r="A39" s="49"/>
      <c r="B39" s="42" t="s">
        <v>23</v>
      </c>
      <c r="C39" s="50"/>
      <c r="D39" s="50"/>
      <c r="E39" s="50"/>
      <c r="F39" s="50"/>
      <c r="G39" s="50"/>
      <c r="H39" s="50"/>
      <c r="I39" s="51"/>
      <c r="J39" s="52">
        <f>SUM($J$40:$J$48)</f>
        <v>0</v>
      </c>
      <c r="K39" s="46"/>
      <c r="L39" s="53"/>
    </row>
    <row r="40" spans="1:12" outlineLevel="4" x14ac:dyDescent="0.25">
      <c r="A40" s="54" t="s">
        <v>24</v>
      </c>
      <c r="B40" s="55" t="s">
        <v>40</v>
      </c>
      <c r="C40" s="56"/>
      <c r="D40" s="56" t="s">
        <v>41</v>
      </c>
      <c r="E40" s="57" t="s">
        <v>42</v>
      </c>
      <c r="F40" s="58"/>
      <c r="G40" s="59">
        <v>1</v>
      </c>
      <c r="H40" s="59">
        <f>SUM($G$40:$G$40)</f>
        <v>1</v>
      </c>
      <c r="I40" s="60">
        <f t="array" ref="I40">INDEX(М[Цена за ед., руб],MATCH(1,IF(($B40=М[Наим.])*($C40=М[Артикул, марка, произв.])*($D40=М[Хар-ка])*($K40=М[Прим.]),{1},($B40=М[Наим.])*($C40=М[Артикул, марка, произв.])*($D40=М[Хар-ка])*($K40=М[Прим.])),0))</f>
        <v>0</v>
      </c>
      <c r="J40" s="60">
        <f>ROUND($H$40*$I$40,2)</f>
        <v>0</v>
      </c>
      <c r="K40" s="56" t="s">
        <v>43</v>
      </c>
      <c r="L40" s="56">
        <f t="array" ref="L40">INDEX(М[Форма закупа],MATCH(1,IF(($B40=М[Наим.])*($C40=М[Артикул, марка, произв.])*($D40=М[Хар-ка])*($K40=М[Прим.]),{1},($B40=М[Наим.])*($C40=М[Артикул, марка, произв.])*($D40=М[Хар-ка])*($K40=М[Прим.])),0))</f>
        <v>0</v>
      </c>
    </row>
    <row r="41" spans="1:12" outlineLevel="4" x14ac:dyDescent="0.25">
      <c r="A41" s="54" t="s">
        <v>29</v>
      </c>
      <c r="B41" s="55" t="s">
        <v>40</v>
      </c>
      <c r="C41" s="56"/>
      <c r="D41" s="56" t="s">
        <v>44</v>
      </c>
      <c r="E41" s="57" t="s">
        <v>42</v>
      </c>
      <c r="F41" s="58"/>
      <c r="G41" s="59">
        <v>1</v>
      </c>
      <c r="H41" s="59">
        <f>SUM($G$41:$G$41)</f>
        <v>1</v>
      </c>
      <c r="I41" s="60">
        <f t="array" ref="I41">INDEX(М[Цена за ед., руб],MATCH(1,IF(($B41=М[Наим.])*($C41=М[Артикул,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  <c r="J41" s="60">
        <f>ROUND($H$41*$I$41,2)</f>
        <v>0</v>
      </c>
      <c r="K41" s="56" t="s">
        <v>45</v>
      </c>
      <c r="L41" s="56">
        <f t="array" ref="L41">INDEX(М[Форма закупа],MATCH(1,IF(($B41=М[Наим.])*($C41=М[Артикул,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</row>
    <row r="42" spans="1:12" outlineLevel="4" x14ac:dyDescent="0.25">
      <c r="A42" s="54" t="s">
        <v>46</v>
      </c>
      <c r="B42" s="55" t="s">
        <v>47</v>
      </c>
      <c r="C42" s="56"/>
      <c r="D42" s="56" t="s">
        <v>48</v>
      </c>
      <c r="E42" s="57" t="s">
        <v>42</v>
      </c>
      <c r="F42" s="58"/>
      <c r="G42" s="59">
        <v>1</v>
      </c>
      <c r="H42" s="59">
        <f>SUM($G$42:$G$42)</f>
        <v>1</v>
      </c>
      <c r="I42" s="60">
        <f t="array" ref="I42">INDEX(М[Цена за ед., руб],MATCH(1,IF(($B42=М[Наим.])*($C42=М[Артикул,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  <c r="J42" s="60">
        <f>ROUND($H$42*$I$42,2)</f>
        <v>0</v>
      </c>
      <c r="K42" s="56" t="s">
        <v>49</v>
      </c>
      <c r="L42" s="56">
        <f t="array" ref="L42">INDEX(М[Форма закупа],MATCH(1,IF(($B42=М[Наим.])*($C42=М[Артикул,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</row>
    <row r="43" spans="1:12" outlineLevel="4" x14ac:dyDescent="0.25">
      <c r="A43" s="54" t="s">
        <v>50</v>
      </c>
      <c r="B43" s="55" t="s">
        <v>47</v>
      </c>
      <c r="C43" s="56"/>
      <c r="D43" s="56" t="s">
        <v>51</v>
      </c>
      <c r="E43" s="57" t="s">
        <v>42</v>
      </c>
      <c r="F43" s="58"/>
      <c r="G43" s="59">
        <v>1</v>
      </c>
      <c r="H43" s="59">
        <f>SUM($G$43:$G$43)</f>
        <v>1</v>
      </c>
      <c r="I43" s="60">
        <f t="array" ref="I43">INDEX(М[Цена за ед., руб],MATCH(1,IF(($B43=М[Наим.])*($C43=М[Артикул,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  <c r="J43" s="60">
        <f>ROUND($H$43*$I$43,2)</f>
        <v>0</v>
      </c>
      <c r="K43" s="56" t="s">
        <v>52</v>
      </c>
      <c r="L43" s="56">
        <f t="array" ref="L43">INDEX(М[Форма закупа],MATCH(1,IF(($B43=М[Наим.])*($C43=М[Артикул,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</row>
    <row r="44" spans="1:12" outlineLevel="4" x14ac:dyDescent="0.25">
      <c r="A44" s="54" t="s">
        <v>53</v>
      </c>
      <c r="B44" s="55" t="s">
        <v>54</v>
      </c>
      <c r="C44" s="56"/>
      <c r="D44" s="56"/>
      <c r="E44" s="57" t="s">
        <v>42</v>
      </c>
      <c r="F44" s="58"/>
      <c r="G44" s="59">
        <v>66</v>
      </c>
      <c r="H44" s="59">
        <f>SUM($G$44:$G$44)</f>
        <v>66</v>
      </c>
      <c r="I44" s="60">
        <f t="array" ref="I44">INDEX(М[Цена за ед., руб],MATCH(1,IF(($B44=М[Наим.])*($C44=М[Артикул, марка, произв.])*($D44=М[Хар-ка])*($K44=М[Прим.]),{1},($B44=М[Наим.])*($C44=М[Артикул, марка, произв.])*($D44=М[Хар-ка])*($K44=М[Прим.])),0))</f>
        <v>0</v>
      </c>
      <c r="J44" s="60">
        <f>ROUND($H$44*$I$44,2)</f>
        <v>0</v>
      </c>
      <c r="K44" s="56" t="s">
        <v>55</v>
      </c>
      <c r="L44" s="56">
        <f t="array" ref="L44">INDEX(М[Форма закупа],MATCH(1,IF(($B44=М[Наим.])*($C44=М[Артикул, марка, произв.])*($D44=М[Хар-ка])*($K44=М[Прим.]),{1},($B44=М[Наим.])*($C44=М[Артикул, марка, произв.])*($D44=М[Хар-ка])*($K44=М[Прим.])),0))</f>
        <v>0</v>
      </c>
    </row>
    <row r="45" spans="1:12" outlineLevel="4" x14ac:dyDescent="0.25">
      <c r="A45" s="54" t="s">
        <v>56</v>
      </c>
      <c r="B45" s="55" t="s">
        <v>57</v>
      </c>
      <c r="C45" s="56"/>
      <c r="D45" s="56" t="s">
        <v>58</v>
      </c>
      <c r="E45" s="57" t="s">
        <v>42</v>
      </c>
      <c r="F45" s="58"/>
      <c r="G45" s="59">
        <v>2</v>
      </c>
      <c r="H45" s="59">
        <f>SUM($G$45:$G$45)</f>
        <v>2</v>
      </c>
      <c r="I45" s="60">
        <f t="array" ref="I45">INDEX(М[Цена за ед., руб],MATCH(1,IF(($B45=М[Наим.])*($C45=М[Артикул, марка, произв.])*($D45=М[Хар-ка])*($K45=М[Прим.]),{1},($B45=М[Наим.])*($C45=М[Артикул, марка, произв.])*($D45=М[Хар-ка])*($K45=М[Прим.])),0))</f>
        <v>0</v>
      </c>
      <c r="J45" s="60">
        <f>ROUND($H$45*$I$45,2)</f>
        <v>0</v>
      </c>
      <c r="K45" s="56" t="s">
        <v>59</v>
      </c>
      <c r="L45" s="56">
        <f t="array" ref="L45">INDEX(М[Форма закупа],MATCH(1,IF(($B45=М[Наим.])*($C45=М[Артикул, марка, произв.])*($D45=М[Хар-ка])*($K45=М[Прим.]),{1},($B45=М[Наим.])*($C45=М[Артикул, марка, произв.])*($D45=М[Хар-ка])*($K45=М[Прим.])),0))</f>
        <v>0</v>
      </c>
    </row>
    <row r="46" spans="1:12" ht="31.5" outlineLevel="4" x14ac:dyDescent="0.25">
      <c r="A46" s="54" t="s">
        <v>60</v>
      </c>
      <c r="B46" s="55" t="s">
        <v>61</v>
      </c>
      <c r="C46" s="56"/>
      <c r="D46" s="56"/>
      <c r="E46" s="57" t="s">
        <v>42</v>
      </c>
      <c r="F46" s="58"/>
      <c r="G46" s="59">
        <v>3</v>
      </c>
      <c r="H46" s="59">
        <f>SUM($G$46:$G$46)</f>
        <v>3</v>
      </c>
      <c r="I46" s="60">
        <f t="array" ref="I46">INDEX(М[Цена за ед., руб],MATCH(1,IF(($B46=М[Наим.])*($C46=М[Артикул, марка, произв.])*($D46=М[Хар-ка])*($K46=М[Прим.]),{1},($B46=М[Наим.])*($C46=М[Артикул, марка, произв.])*($D46=М[Хар-ка])*($K46=М[Прим.])),0))</f>
        <v>0</v>
      </c>
      <c r="J46" s="60">
        <f>ROUND($H$46*$I$46,2)</f>
        <v>0</v>
      </c>
      <c r="K46" s="56" t="s">
        <v>62</v>
      </c>
      <c r="L46" s="56">
        <f t="array" ref="L46">INDEX(М[Форма закупа],MATCH(1,IF(($B46=М[Наим.])*($C46=М[Артикул, марка, произв.])*($D46=М[Хар-ка])*($K46=М[Прим.]),{1},($B46=М[Наим.])*($C46=М[Артикул, марка, произв.])*($D46=М[Хар-ка])*($K46=М[Прим.])),0))</f>
        <v>0</v>
      </c>
    </row>
    <row r="47" spans="1:12" outlineLevel="4" x14ac:dyDescent="0.25">
      <c r="A47" s="54" t="s">
        <v>63</v>
      </c>
      <c r="B47" s="55" t="s">
        <v>64</v>
      </c>
      <c r="C47" s="56"/>
      <c r="D47" s="56"/>
      <c r="E47" s="57" t="s">
        <v>42</v>
      </c>
      <c r="F47" s="58"/>
      <c r="G47" s="59">
        <v>66</v>
      </c>
      <c r="H47" s="59">
        <f>SUM($G$47:$G$47)</f>
        <v>66</v>
      </c>
      <c r="I47" s="60">
        <f t="array" ref="I47">INDEX(М[Цена за ед., руб],MATCH(1,IF(($B47=М[Наим.])*($C47=М[Артикул, марка, произв.])*($D47=М[Хар-ка])*($K47=М[Прим.]),{1},($B47=М[Наим.])*($C47=М[Артикул, марка, произв.])*($D47=М[Хар-ка])*($K47=М[Прим.])),0))</f>
        <v>0</v>
      </c>
      <c r="J47" s="60">
        <f>ROUND($H$47*$I$47,2)</f>
        <v>0</v>
      </c>
      <c r="K47" s="56" t="s">
        <v>65</v>
      </c>
      <c r="L47" s="56">
        <f t="array" ref="L47">INDEX(М[Форма закупа],MATCH(1,IF(($B47=М[Наим.])*($C47=М[Артикул, марка, произв.])*($D47=М[Хар-ка])*($K47=М[Прим.]),{1},($B47=М[Наим.])*($C47=М[Артикул, марка, произв.])*($D47=М[Хар-ка])*($K47=М[Прим.])),0))</f>
        <v>0</v>
      </c>
    </row>
    <row r="48" spans="1:12" outlineLevel="4" x14ac:dyDescent="0.25">
      <c r="A48" s="54" t="s">
        <v>66</v>
      </c>
      <c r="B48" s="55" t="s">
        <v>67</v>
      </c>
      <c r="C48" s="56"/>
      <c r="D48" s="56"/>
      <c r="E48" s="57" t="s">
        <v>42</v>
      </c>
      <c r="F48" s="58"/>
      <c r="G48" s="59">
        <v>3</v>
      </c>
      <c r="H48" s="59">
        <f>SUM($G$48:$G$48)</f>
        <v>3</v>
      </c>
      <c r="I48" s="60">
        <f t="array" ref="I48">INDEX(М[Цена за ед., руб],MATCH(1,IF(($B48=М[Наим.])*($C48=М[Артикул, марка, произв.])*($D48=М[Хар-ка])*($K48=М[Прим.]),{1},($B48=М[Наим.])*($C48=М[Артикул, марка, произв.])*($D48=М[Хар-ка])*($K48=М[Прим.])),0))</f>
        <v>0</v>
      </c>
      <c r="J48" s="60">
        <f>ROUND($H$48*$I$48,2)</f>
        <v>0</v>
      </c>
      <c r="K48" s="56" t="s">
        <v>68</v>
      </c>
      <c r="L48" s="56">
        <f t="array" ref="L48">INDEX(М[Форма закупа],MATCH(1,IF(($B48=М[Наим.])*($C48=М[Артикул, марка, произв.])*($D48=М[Хар-ка])*($K48=М[Прим.]),{1},($B48=М[Наим.])*($C48=М[Артикул, марка, произв.])*($D48=М[Хар-ка])*($K48=М[Прим.])),0))</f>
        <v>0</v>
      </c>
    </row>
    <row r="49" spans="1:14" outlineLevel="2" x14ac:dyDescent="0.25">
      <c r="A49" s="41" t="s">
        <v>69</v>
      </c>
      <c r="B49" s="42" t="s">
        <v>70</v>
      </c>
      <c r="C49" s="43"/>
      <c r="D49" s="43"/>
      <c r="E49" s="44"/>
      <c r="F49" s="45"/>
      <c r="G49" s="46"/>
      <c r="H49" s="46"/>
      <c r="I49" s="47"/>
      <c r="J49" s="47">
        <f>SUM($J$50)</f>
        <v>0</v>
      </c>
      <c r="K49" s="48"/>
      <c r="L49" s="48"/>
    </row>
    <row r="50" spans="1:14" outlineLevel="3" x14ac:dyDescent="0.25">
      <c r="A50" s="41" t="s">
        <v>71</v>
      </c>
      <c r="B50" s="42" t="s">
        <v>70</v>
      </c>
      <c r="C50" s="43"/>
      <c r="D50" s="43"/>
      <c r="E50" s="44"/>
      <c r="F50" s="45"/>
      <c r="G50" s="46"/>
      <c r="H50" s="46"/>
      <c r="I50" s="47"/>
      <c r="J50" s="47">
        <f>SUM($J$51)</f>
        <v>0</v>
      </c>
      <c r="K50" s="48"/>
      <c r="L50" s="48"/>
    </row>
    <row r="51" spans="1:14" outlineLevel="4" x14ac:dyDescent="0.25">
      <c r="A51" s="49"/>
      <c r="B51" s="42" t="s">
        <v>20</v>
      </c>
      <c r="C51" s="50"/>
      <c r="D51" s="50"/>
      <c r="E51" s="50"/>
      <c r="F51" s="50"/>
      <c r="G51" s="50"/>
      <c r="H51" s="50"/>
      <c r="I51" s="51"/>
      <c r="J51" s="52">
        <f>SUM($J$52)</f>
        <v>0</v>
      </c>
      <c r="K51" s="46"/>
      <c r="L51" s="53"/>
    </row>
    <row r="52" spans="1:14" outlineLevel="4" x14ac:dyDescent="0.25">
      <c r="A52" s="54"/>
      <c r="B52" s="55" t="s">
        <v>72</v>
      </c>
      <c r="C52" s="56"/>
      <c r="D52" s="56"/>
      <c r="E52" s="57" t="s">
        <v>39</v>
      </c>
      <c r="F52" s="58"/>
      <c r="G52" s="59">
        <v>1</v>
      </c>
      <c r="H52" s="59">
        <f>SUM($G$52:$G$52)</f>
        <v>1</v>
      </c>
      <c r="I52" s="60">
        <f t="array" ref="I52">INDEX(Р[Цена за ед., руб],MATCH(1,IF(($B52=Р[Наименование])*($K52=Р[Примечание]),{1},($B52=Р[Наименование])*($K52=Р[Примечание])),0))</f>
        <v>0</v>
      </c>
      <c r="J52" s="60">
        <f>ROUND($H$52*$I$52,2)</f>
        <v>0</v>
      </c>
      <c r="K52" s="56"/>
      <c r="L52" s="56"/>
    </row>
    <row r="53" spans="1:14" x14ac:dyDescent="0.25">
      <c r="A53" s="64"/>
      <c r="B53" s="65"/>
      <c r="C53" s="65"/>
      <c r="D53" s="65"/>
      <c r="E53" s="65"/>
      <c r="F53" s="65"/>
      <c r="G53" s="66"/>
      <c r="H53" s="108" t="s">
        <v>73</v>
      </c>
      <c r="I53" s="109"/>
      <c r="J53" s="67">
        <f>$J$11</f>
        <v>0</v>
      </c>
      <c r="K53" s="68"/>
      <c r="L53" s="68"/>
    </row>
    <row r="54" spans="1:14" x14ac:dyDescent="0.25">
      <c r="A54" s="64"/>
      <c r="B54" s="65"/>
      <c r="C54" s="65"/>
      <c r="D54" s="65"/>
      <c r="E54" s="65"/>
      <c r="F54" s="65"/>
      <c r="G54" s="69"/>
      <c r="H54" s="110" t="s">
        <v>74</v>
      </c>
      <c r="I54" s="111"/>
      <c r="J54" s="67">
        <f>SUM($J$51,$J$31,$J$23,$J$18,$J$14)</f>
        <v>0</v>
      </c>
      <c r="K54" s="68"/>
      <c r="L54" s="68"/>
    </row>
    <row r="55" spans="1:14" x14ac:dyDescent="0.25">
      <c r="A55" s="64"/>
      <c r="B55" s="65"/>
      <c r="C55" s="65"/>
      <c r="D55" s="65"/>
      <c r="E55" s="65"/>
      <c r="F55" s="65"/>
      <c r="G55" s="69"/>
      <c r="H55" s="110" t="s">
        <v>75</v>
      </c>
      <c r="I55" s="111"/>
      <c r="J55" s="67">
        <f>SUM($J$39,$J$27,$J$25,$J$20,$J$16)</f>
        <v>0</v>
      </c>
      <c r="K55" s="68"/>
      <c r="L55" s="68"/>
    </row>
    <row r="56" spans="1:14" x14ac:dyDescent="0.25">
      <c r="A56" s="64"/>
      <c r="B56" s="65"/>
      <c r="C56" s="65"/>
      <c r="D56" s="65"/>
      <c r="E56" s="65"/>
      <c r="F56" s="65"/>
      <c r="G56" s="69"/>
      <c r="H56" s="69"/>
      <c r="I56" s="70"/>
      <c r="J56" s="71"/>
      <c r="K56" s="72"/>
      <c r="L56" s="68"/>
    </row>
    <row r="57" spans="1:14" x14ac:dyDescent="0.25">
      <c r="A57" s="73"/>
      <c r="B57" s="100" t="s">
        <v>76</v>
      </c>
      <c r="C57" s="100"/>
      <c r="D57" s="100"/>
      <c r="E57" s="100"/>
      <c r="F57" s="100"/>
      <c r="G57" s="100"/>
      <c r="H57" s="100"/>
      <c r="I57" s="101"/>
      <c r="J57" s="101"/>
      <c r="K57" s="100"/>
      <c r="L57" s="73"/>
    </row>
    <row r="58" spans="1:14" x14ac:dyDescent="0.25">
      <c r="B58" s="102"/>
      <c r="C58" s="102"/>
      <c r="D58" s="102"/>
      <c r="E58" s="102"/>
      <c r="F58" s="102"/>
      <c r="G58" s="102"/>
      <c r="H58" s="102"/>
      <c r="I58" s="103"/>
      <c r="J58" s="103"/>
      <c r="K58" s="102"/>
    </row>
    <row r="59" spans="1:14" x14ac:dyDescent="0.25">
      <c r="A59" s="28"/>
      <c r="B59" s="80" t="s">
        <v>102</v>
      </c>
      <c r="C59" s="79"/>
      <c r="D59" s="79"/>
      <c r="E59" s="28"/>
      <c r="F59" s="28"/>
      <c r="G59" s="28"/>
      <c r="H59" s="77"/>
      <c r="I59" s="28"/>
      <c r="J59" s="78"/>
      <c r="K59" s="81"/>
      <c r="L59" s="78"/>
    </row>
    <row r="60" spans="1:14" ht="45" customHeight="1" x14ac:dyDescent="0.25">
      <c r="A60" s="82" t="s">
        <v>103</v>
      </c>
      <c r="B60" s="97" t="s">
        <v>104</v>
      </c>
      <c r="C60" s="97"/>
      <c r="D60" s="97"/>
      <c r="E60" s="97"/>
      <c r="F60" s="97"/>
      <c r="G60" s="97"/>
      <c r="H60" s="97"/>
      <c r="I60" s="97"/>
      <c r="J60" s="97"/>
      <c r="K60" s="83"/>
      <c r="L60" s="83"/>
    </row>
    <row r="61" spans="1:14" ht="78.75" customHeight="1" x14ac:dyDescent="0.25">
      <c r="A61" s="84" t="s">
        <v>103</v>
      </c>
      <c r="B61" s="97" t="s">
        <v>105</v>
      </c>
      <c r="C61" s="97"/>
      <c r="D61" s="97"/>
      <c r="E61" s="97"/>
      <c r="F61" s="97"/>
      <c r="G61" s="97"/>
      <c r="H61" s="97"/>
      <c r="I61" s="97"/>
      <c r="J61" s="97"/>
      <c r="K61" s="83"/>
      <c r="L61" s="85"/>
    </row>
    <row r="62" spans="1:14" ht="15.75" customHeight="1" x14ac:dyDescent="0.25">
      <c r="A62" s="82" t="s">
        <v>103</v>
      </c>
      <c r="B62" s="98" t="s">
        <v>106</v>
      </c>
      <c r="C62" s="98"/>
      <c r="D62" s="98"/>
      <c r="E62" s="98"/>
      <c r="F62" s="98"/>
      <c r="G62" s="98"/>
      <c r="H62" s="98"/>
      <c r="I62" s="98"/>
      <c r="J62" s="98"/>
      <c r="K62" s="98"/>
      <c r="L62" s="86"/>
    </row>
    <row r="63" spans="1:14" ht="15.75" customHeight="1" x14ac:dyDescent="0.25">
      <c r="A63" s="82" t="s">
        <v>103</v>
      </c>
      <c r="B63" s="99" t="s">
        <v>107</v>
      </c>
      <c r="C63" s="99"/>
      <c r="D63" s="99"/>
      <c r="E63" s="99"/>
      <c r="F63" s="99"/>
      <c r="G63" s="99"/>
      <c r="H63" s="99"/>
      <c r="I63" s="99"/>
      <c r="J63" s="99"/>
      <c r="K63" s="99"/>
      <c r="L63" s="99"/>
      <c r="M63" s="99"/>
      <c r="N63" s="99"/>
    </row>
  </sheetData>
  <mergeCells count="24">
    <mergeCell ref="B4:J4"/>
    <mergeCell ref="B6:J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B5:J5"/>
    <mergeCell ref="K8:K9"/>
    <mergeCell ref="L8:L9"/>
    <mergeCell ref="H53:I53"/>
    <mergeCell ref="H54:I54"/>
    <mergeCell ref="H55:I55"/>
    <mergeCell ref="B60:J60"/>
    <mergeCell ref="B61:J61"/>
    <mergeCell ref="B62:K62"/>
    <mergeCell ref="B63:N63"/>
    <mergeCell ref="B57:K57"/>
    <mergeCell ref="B58:K58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M22"/>
  <sheetViews>
    <sheetView workbookViewId="0">
      <pane ySplit="3" topLeftCell="A4" activePane="bottomLeft" state="frozen"/>
      <selection pane="bottomLeft" activeCell="D4" sqref="D4:D14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20" t="s">
        <v>77</v>
      </c>
      <c r="B1" s="120"/>
      <c r="C1" s="120"/>
      <c r="D1" s="120"/>
      <c r="E1" s="120"/>
      <c r="F1" s="120"/>
    </row>
    <row r="3" spans="1:6" ht="11.1" customHeight="1" x14ac:dyDescent="0.2">
      <c r="A3" s="9" t="s">
        <v>2</v>
      </c>
      <c r="B3" s="2" t="s">
        <v>5</v>
      </c>
      <c r="C3" s="2" t="s">
        <v>8</v>
      </c>
      <c r="D3" s="16" t="s">
        <v>9</v>
      </c>
      <c r="E3" s="16" t="s">
        <v>10</v>
      </c>
      <c r="F3" s="10" t="s">
        <v>11</v>
      </c>
    </row>
    <row r="4" spans="1:6" ht="11.1" customHeight="1" x14ac:dyDescent="0.2">
      <c r="A4" s="7" t="s">
        <v>21</v>
      </c>
      <c r="B4" s="3" t="s">
        <v>22</v>
      </c>
      <c r="C4" s="4">
        <v>25</v>
      </c>
      <c r="D4" s="17"/>
      <c r="E4" s="17">
        <f>ROUND(Р[[#This Row],[Количество]]*Р[[#This Row],[Цена за ед., руб]],2)</f>
        <v>0</v>
      </c>
      <c r="F4" s="8"/>
    </row>
    <row r="5" spans="1:6" ht="11.1" customHeight="1" x14ac:dyDescent="0.2">
      <c r="A5" s="7" t="s">
        <v>27</v>
      </c>
      <c r="B5" s="3" t="s">
        <v>22</v>
      </c>
      <c r="C5" s="6">
        <v>1770</v>
      </c>
      <c r="D5" s="17"/>
      <c r="E5" s="17">
        <f>ROUND(Р[[#This Row],[Количество]]*Р[[#This Row],[Цена за ед., руб]],2)</f>
        <v>0</v>
      </c>
      <c r="F5" s="8"/>
    </row>
    <row r="6" spans="1:6" ht="11.1" customHeight="1" x14ac:dyDescent="0.2">
      <c r="A6" s="7" t="s">
        <v>31</v>
      </c>
      <c r="B6" s="3" t="s">
        <v>22</v>
      </c>
      <c r="C6" s="6">
        <v>1790</v>
      </c>
      <c r="D6" s="17"/>
      <c r="E6" s="17">
        <f>ROUND(Р[[#This Row],[Количество]]*Р[[#This Row],[Цена за ед., руб]],2)</f>
        <v>0</v>
      </c>
      <c r="F6" s="8"/>
    </row>
    <row r="7" spans="1:6" ht="11.1" customHeight="1" x14ac:dyDescent="0.2">
      <c r="A7" s="7" t="s">
        <v>90</v>
      </c>
      <c r="B7" s="3" t="s">
        <v>42</v>
      </c>
      <c r="C7" s="6">
        <v>2</v>
      </c>
      <c r="D7" s="17"/>
      <c r="E7" s="17">
        <f>ROUND(Р[[#This Row],[Количество]]*Р[[#This Row],[Цена за ед., руб]],2)</f>
        <v>0</v>
      </c>
      <c r="F7" s="8"/>
    </row>
    <row r="8" spans="1:6" ht="11.1" customHeight="1" x14ac:dyDescent="0.2">
      <c r="A8" s="7" t="s">
        <v>91</v>
      </c>
      <c r="B8" s="3" t="s">
        <v>42</v>
      </c>
      <c r="C8" s="6">
        <v>2</v>
      </c>
      <c r="D8" s="17"/>
      <c r="E8" s="17">
        <f>ROUND(Р[[#This Row],[Количество]]*Р[[#This Row],[Цена за ед., руб]],2)</f>
        <v>0</v>
      </c>
      <c r="F8" s="8"/>
    </row>
    <row r="9" spans="1:6" ht="11.1" customHeight="1" x14ac:dyDescent="0.2">
      <c r="A9" s="7" t="s">
        <v>92</v>
      </c>
      <c r="B9" s="3" t="s">
        <v>42</v>
      </c>
      <c r="C9" s="6">
        <v>66</v>
      </c>
      <c r="D9" s="17"/>
      <c r="E9" s="17">
        <f>ROUND(Р[[#This Row],[Количество]]*Р[[#This Row],[Цена за ед., руб]],2)</f>
        <v>0</v>
      </c>
      <c r="F9" s="8"/>
    </row>
    <row r="10" spans="1:6" ht="11.1" customHeight="1" x14ac:dyDescent="0.2">
      <c r="A10" s="7" t="s">
        <v>93</v>
      </c>
      <c r="B10" s="3" t="s">
        <v>42</v>
      </c>
      <c r="C10" s="6">
        <v>2</v>
      </c>
      <c r="D10" s="17"/>
      <c r="E10" s="17">
        <f>ROUND(Р[[#This Row],[Количество]]*Р[[#This Row],[Цена за ед., руб]],2)</f>
        <v>0</v>
      </c>
      <c r="F10" s="8"/>
    </row>
    <row r="11" spans="1:6" ht="11.1" customHeight="1" x14ac:dyDescent="0.2">
      <c r="A11" s="7" t="s">
        <v>94</v>
      </c>
      <c r="B11" s="3" t="s">
        <v>42</v>
      </c>
      <c r="C11" s="6">
        <v>3</v>
      </c>
      <c r="D11" s="17"/>
      <c r="E11" s="17">
        <f>ROUND(Р[[#This Row],[Количество]]*Р[[#This Row],[Цена за ед., руб]],2)</f>
        <v>0</v>
      </c>
      <c r="F11" s="8"/>
    </row>
    <row r="12" spans="1:6" ht="11.1" customHeight="1" x14ac:dyDescent="0.2">
      <c r="A12" s="7" t="s">
        <v>95</v>
      </c>
      <c r="B12" s="3" t="s">
        <v>42</v>
      </c>
      <c r="C12" s="6">
        <v>66</v>
      </c>
      <c r="D12" s="17"/>
      <c r="E12" s="17">
        <f>ROUND(Р[[#This Row],[Количество]]*Р[[#This Row],[Цена за ед., руб]],2)</f>
        <v>0</v>
      </c>
      <c r="F12" s="8"/>
    </row>
    <row r="13" spans="1:6" ht="11.1" customHeight="1" x14ac:dyDescent="0.2">
      <c r="A13" s="7" t="s">
        <v>96</v>
      </c>
      <c r="B13" s="3" t="s">
        <v>42</v>
      </c>
      <c r="C13" s="6">
        <v>3</v>
      </c>
      <c r="D13" s="17"/>
      <c r="E13" s="17">
        <f>ROUND(Р[[#This Row],[Количество]]*Р[[#This Row],[Цена за ед., руб]],2)</f>
        <v>0</v>
      </c>
      <c r="F13" s="8"/>
    </row>
    <row r="14" spans="1:6" ht="11.1" customHeight="1" x14ac:dyDescent="0.2">
      <c r="A14" s="11" t="s">
        <v>72</v>
      </c>
      <c r="B14" s="12" t="s">
        <v>39</v>
      </c>
      <c r="C14" s="13">
        <v>1</v>
      </c>
      <c r="D14" s="17"/>
      <c r="E14" s="18">
        <f>ROUND(Р[[#This Row],[Количество]]*Р[[#This Row],[Цена за ед., руб]],2)</f>
        <v>0</v>
      </c>
      <c r="F14" s="15"/>
    </row>
    <row r="15" spans="1:6" ht="11.45" customHeight="1" x14ac:dyDescent="0.2">
      <c r="A15" s="11" t="s">
        <v>88</v>
      </c>
      <c r="B15" s="12"/>
      <c r="C15" s="14"/>
      <c r="D15" s="18"/>
      <c r="E15" s="18">
        <f>SUBTOTAL(109,Р[Сумма, руб])</f>
        <v>0</v>
      </c>
      <c r="F15" s="15"/>
    </row>
    <row r="16" spans="1:6" ht="11.45" customHeight="1" x14ac:dyDescent="0.2">
      <c r="D16" s="21" t="s">
        <v>98</v>
      </c>
      <c r="E16" s="22">
        <f>ЛСР!J54-Р[[#Totals],[Сумма, руб]]</f>
        <v>0</v>
      </c>
    </row>
    <row r="18" spans="1:13" ht="11.45" customHeight="1" x14ac:dyDescent="0.2">
      <c r="A18" s="87" t="s">
        <v>102</v>
      </c>
      <c r="B18" s="88"/>
      <c r="C18" s="88"/>
      <c r="D18" s="89"/>
      <c r="E18" s="89"/>
      <c r="F18" s="89"/>
      <c r="G18" s="90"/>
      <c r="H18" s="89"/>
      <c r="I18" s="91"/>
      <c r="J18" s="92"/>
      <c r="K18" s="91"/>
      <c r="L18" s="89"/>
      <c r="M18" s="89"/>
    </row>
    <row r="19" spans="1:13" ht="28.5" customHeight="1" x14ac:dyDescent="0.2">
      <c r="A19" s="121" t="s">
        <v>104</v>
      </c>
      <c r="B19" s="121"/>
      <c r="C19" s="121"/>
      <c r="D19" s="121"/>
      <c r="E19" s="121"/>
      <c r="F19" s="121"/>
      <c r="G19" s="93"/>
      <c r="H19" s="93"/>
      <c r="I19" s="93"/>
      <c r="J19" s="93"/>
      <c r="K19" s="93"/>
      <c r="L19" s="89"/>
      <c r="M19" s="89"/>
    </row>
    <row r="20" spans="1:13" ht="43.5" customHeight="1" x14ac:dyDescent="0.2">
      <c r="A20" s="121" t="s">
        <v>105</v>
      </c>
      <c r="B20" s="121"/>
      <c r="C20" s="121"/>
      <c r="D20" s="121"/>
      <c r="E20" s="121"/>
      <c r="F20" s="121"/>
      <c r="G20" s="93"/>
      <c r="H20" s="93"/>
      <c r="I20" s="93"/>
      <c r="J20" s="93"/>
      <c r="K20" s="94"/>
      <c r="L20" s="89"/>
      <c r="M20" s="89"/>
    </row>
    <row r="21" spans="1:13" ht="11.45" customHeight="1" x14ac:dyDescent="0.2">
      <c r="A21" s="122" t="s">
        <v>106</v>
      </c>
      <c r="B21" s="122"/>
      <c r="C21" s="122"/>
      <c r="D21" s="122"/>
      <c r="E21" s="122"/>
      <c r="F21" s="122"/>
      <c r="G21" s="96"/>
      <c r="H21" s="96"/>
      <c r="I21" s="96"/>
      <c r="J21" s="96"/>
      <c r="K21" s="95"/>
      <c r="L21" s="89"/>
      <c r="M21" s="89"/>
    </row>
    <row r="22" spans="1:13" ht="11.45" customHeight="1" x14ac:dyDescent="0.2">
      <c r="A22" s="123" t="s">
        <v>107</v>
      </c>
      <c r="B22" s="123"/>
      <c r="C22" s="123"/>
      <c r="D22" s="123"/>
      <c r="E22" s="123"/>
      <c r="F22" s="123"/>
      <c r="G22" s="88"/>
      <c r="H22" s="88"/>
      <c r="I22" s="88"/>
      <c r="J22" s="88"/>
      <c r="K22" s="88"/>
      <c r="L22" s="88"/>
      <c r="M22" s="88"/>
    </row>
  </sheetData>
  <mergeCells count="5">
    <mergeCell ref="A1:F1"/>
    <mergeCell ref="A19:F19"/>
    <mergeCell ref="A20:F20"/>
    <mergeCell ref="A21:F21"/>
    <mergeCell ref="A22:F22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M25"/>
  <sheetViews>
    <sheetView workbookViewId="0">
      <pane ySplit="3" topLeftCell="A4" activePane="bottomLeft" state="frozen"/>
      <selection pane="bottomLeft" activeCell="E17" sqref="E17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20" t="s">
        <v>78</v>
      </c>
      <c r="B1" s="120"/>
      <c r="C1" s="120"/>
      <c r="D1" s="120"/>
      <c r="E1" s="120"/>
      <c r="F1" s="120"/>
      <c r="G1" s="120"/>
      <c r="H1" s="120"/>
    </row>
    <row r="2" spans="1:9" ht="11.1" customHeight="1" x14ac:dyDescent="0.2"/>
    <row r="3" spans="1:9" ht="23.1" customHeight="1" x14ac:dyDescent="0.2">
      <c r="A3" s="9" t="s">
        <v>79</v>
      </c>
      <c r="B3" s="19" t="s">
        <v>80</v>
      </c>
      <c r="C3" s="10" t="s">
        <v>81</v>
      </c>
      <c r="D3" s="2" t="s">
        <v>5</v>
      </c>
      <c r="E3" s="2" t="s">
        <v>8</v>
      </c>
      <c r="F3" s="16" t="s">
        <v>9</v>
      </c>
      <c r="G3" s="16" t="s">
        <v>10</v>
      </c>
      <c r="H3" s="2" t="s">
        <v>82</v>
      </c>
      <c r="I3" s="10" t="s">
        <v>83</v>
      </c>
    </row>
    <row r="4" spans="1:9" ht="23.1" customHeight="1" x14ac:dyDescent="0.2">
      <c r="A4" s="7" t="s">
        <v>40</v>
      </c>
      <c r="B4" s="5"/>
      <c r="C4" s="5" t="s">
        <v>41</v>
      </c>
      <c r="D4" s="3" t="s">
        <v>42</v>
      </c>
      <c r="E4" s="4">
        <v>1</v>
      </c>
      <c r="F4" s="17"/>
      <c r="G4" s="17">
        <f>ROUND(М[[#This Row],[Количество]]*М[[#This Row],[Цена за ед., руб]],2)</f>
        <v>0</v>
      </c>
      <c r="H4" s="5" t="s">
        <v>43</v>
      </c>
      <c r="I4" s="8"/>
    </row>
    <row r="5" spans="1:9" ht="23.1" customHeight="1" x14ac:dyDescent="0.2">
      <c r="A5" s="7" t="s">
        <v>40</v>
      </c>
      <c r="B5" s="5"/>
      <c r="C5" s="5" t="s">
        <v>44</v>
      </c>
      <c r="D5" s="3" t="s">
        <v>42</v>
      </c>
      <c r="E5" s="4">
        <v>1</v>
      </c>
      <c r="F5" s="17"/>
      <c r="G5" s="17">
        <f>ROUND(М[[#This Row],[Количество]]*М[[#This Row],[Цена за ед., руб]],2)</f>
        <v>0</v>
      </c>
      <c r="H5" s="5" t="s">
        <v>45</v>
      </c>
      <c r="I5" s="8"/>
    </row>
    <row r="6" spans="1:9" ht="11.1" customHeight="1" x14ac:dyDescent="0.2">
      <c r="A6" s="7" t="s">
        <v>25</v>
      </c>
      <c r="B6" s="5"/>
      <c r="C6" s="5" t="s">
        <v>28</v>
      </c>
      <c r="D6" s="3" t="s">
        <v>22</v>
      </c>
      <c r="E6" s="6">
        <v>1650</v>
      </c>
      <c r="F6" s="17"/>
      <c r="G6" s="17">
        <f>ROUND(М[[#This Row],[Количество]]*М[[#This Row],[Цена за ед., руб]],2)</f>
        <v>0</v>
      </c>
      <c r="H6" s="5"/>
      <c r="I6" s="8"/>
    </row>
    <row r="7" spans="1:9" ht="23.1" customHeight="1" x14ac:dyDescent="0.2">
      <c r="A7" s="7" t="s">
        <v>25</v>
      </c>
      <c r="B7" s="5"/>
      <c r="C7" s="5" t="s">
        <v>26</v>
      </c>
      <c r="D7" s="3" t="s">
        <v>22</v>
      </c>
      <c r="E7" s="4">
        <v>25</v>
      </c>
      <c r="F7" s="17"/>
      <c r="G7" s="17">
        <f>ROUND(М[[#This Row],[Количество]]*М[[#This Row],[Цена за ед., руб]],2)</f>
        <v>0</v>
      </c>
      <c r="H7" s="5"/>
      <c r="I7" s="8"/>
    </row>
    <row r="8" spans="1:9" ht="11.1" customHeight="1" x14ac:dyDescent="0.2">
      <c r="A8" s="7" t="s">
        <v>25</v>
      </c>
      <c r="B8" s="5"/>
      <c r="C8" s="5" t="s">
        <v>30</v>
      </c>
      <c r="D8" s="3" t="s">
        <v>22</v>
      </c>
      <c r="E8" s="4">
        <v>120</v>
      </c>
      <c r="F8" s="17"/>
      <c r="G8" s="17">
        <f>ROUND(М[[#This Row],[Количество]]*М[[#This Row],[Цена за ед., руб]],2)</f>
        <v>0</v>
      </c>
      <c r="H8" s="5"/>
      <c r="I8" s="8"/>
    </row>
    <row r="9" spans="1:9" ht="23.1" customHeight="1" x14ac:dyDescent="0.2">
      <c r="A9" s="7" t="s">
        <v>32</v>
      </c>
      <c r="B9" s="5"/>
      <c r="C9" s="5" t="s">
        <v>33</v>
      </c>
      <c r="D9" s="3" t="s">
        <v>34</v>
      </c>
      <c r="E9" s="6">
        <v>1790</v>
      </c>
      <c r="F9" s="17"/>
      <c r="G9" s="17">
        <f>ROUND(М[[#This Row],[Количество]]*М[[#This Row],[Цена за ед., руб]],2)</f>
        <v>0</v>
      </c>
      <c r="H9" s="5"/>
      <c r="I9" s="8"/>
    </row>
    <row r="10" spans="1:9" ht="23.1" customHeight="1" x14ac:dyDescent="0.2">
      <c r="A10" s="7" t="s">
        <v>47</v>
      </c>
      <c r="B10" s="5"/>
      <c r="C10" s="5" t="s">
        <v>48</v>
      </c>
      <c r="D10" s="3" t="s">
        <v>42</v>
      </c>
      <c r="E10" s="4">
        <v>1</v>
      </c>
      <c r="F10" s="17"/>
      <c r="G10" s="17">
        <f>ROUND(М[[#This Row],[Количество]]*М[[#This Row],[Цена за ед., руб]],2)</f>
        <v>0</v>
      </c>
      <c r="H10" s="5" t="s">
        <v>49</v>
      </c>
      <c r="I10" s="8"/>
    </row>
    <row r="11" spans="1:9" ht="23.1" customHeight="1" x14ac:dyDescent="0.2">
      <c r="A11" s="7" t="s">
        <v>47</v>
      </c>
      <c r="B11" s="5"/>
      <c r="C11" s="5" t="s">
        <v>51</v>
      </c>
      <c r="D11" s="3" t="s">
        <v>42</v>
      </c>
      <c r="E11" s="4">
        <v>1</v>
      </c>
      <c r="F11" s="17"/>
      <c r="G11" s="17">
        <f>ROUND(М[[#This Row],[Количество]]*М[[#This Row],[Цена за ед., руб]],2)</f>
        <v>0</v>
      </c>
      <c r="H11" s="5" t="s">
        <v>52</v>
      </c>
      <c r="I11" s="8"/>
    </row>
    <row r="12" spans="1:9" ht="23.1" customHeight="1" x14ac:dyDescent="0.2">
      <c r="A12" s="7" t="s">
        <v>54</v>
      </c>
      <c r="B12" s="5"/>
      <c r="C12" s="5"/>
      <c r="D12" s="3" t="s">
        <v>42</v>
      </c>
      <c r="E12" s="4">
        <v>66</v>
      </c>
      <c r="F12" s="17"/>
      <c r="G12" s="17">
        <f>ROUND(М[[#This Row],[Количество]]*М[[#This Row],[Цена за ед., руб]],2)</f>
        <v>0</v>
      </c>
      <c r="H12" s="5" t="s">
        <v>55</v>
      </c>
      <c r="I12" s="8"/>
    </row>
    <row r="13" spans="1:9" ht="23.1" customHeight="1" x14ac:dyDescent="0.2">
      <c r="A13" s="7" t="s">
        <v>57</v>
      </c>
      <c r="B13" s="5"/>
      <c r="C13" s="5" t="s">
        <v>58</v>
      </c>
      <c r="D13" s="3" t="s">
        <v>42</v>
      </c>
      <c r="E13" s="4">
        <v>2</v>
      </c>
      <c r="F13" s="17"/>
      <c r="G13" s="17">
        <f>ROUND(М[[#This Row],[Количество]]*М[[#This Row],[Цена за ед., руб]],2)</f>
        <v>0</v>
      </c>
      <c r="H13" s="5" t="s">
        <v>59</v>
      </c>
      <c r="I13" s="8"/>
    </row>
    <row r="14" spans="1:9" ht="23.1" customHeight="1" x14ac:dyDescent="0.2">
      <c r="A14" s="7" t="s">
        <v>61</v>
      </c>
      <c r="B14" s="5"/>
      <c r="C14" s="5"/>
      <c r="D14" s="3" t="s">
        <v>42</v>
      </c>
      <c r="E14" s="4">
        <v>3</v>
      </c>
      <c r="F14" s="17"/>
      <c r="G14" s="17">
        <f>ROUND(М[[#This Row],[Количество]]*М[[#This Row],[Цена за ед., руб]],2)</f>
        <v>0</v>
      </c>
      <c r="H14" s="5" t="s">
        <v>62</v>
      </c>
      <c r="I14" s="8"/>
    </row>
    <row r="15" spans="1:9" ht="23.1" customHeight="1" x14ac:dyDescent="0.2">
      <c r="A15" s="7" t="s">
        <v>64</v>
      </c>
      <c r="B15" s="5"/>
      <c r="C15" s="5"/>
      <c r="D15" s="3" t="s">
        <v>42</v>
      </c>
      <c r="E15" s="4">
        <v>66</v>
      </c>
      <c r="F15" s="17"/>
      <c r="G15" s="17">
        <f>ROUND(М[[#This Row],[Количество]]*М[[#This Row],[Цена за ед., руб]],2)</f>
        <v>0</v>
      </c>
      <c r="H15" s="5" t="s">
        <v>65</v>
      </c>
      <c r="I15" s="8"/>
    </row>
    <row r="16" spans="1:9" ht="11.1" customHeight="1" x14ac:dyDescent="0.2">
      <c r="A16" s="11" t="s">
        <v>67</v>
      </c>
      <c r="B16" s="20"/>
      <c r="C16" s="20"/>
      <c r="D16" s="12" t="s">
        <v>42</v>
      </c>
      <c r="E16" s="13">
        <v>3</v>
      </c>
      <c r="F16" s="17"/>
      <c r="G16" s="18">
        <f>ROUND(М[[#This Row],[Количество]]*М[[#This Row],[Цена за ед., руб]],2)</f>
        <v>0</v>
      </c>
      <c r="H16" s="20" t="s">
        <v>68</v>
      </c>
      <c r="I16" s="15"/>
    </row>
    <row r="17" spans="1:13" ht="11.1" customHeight="1" x14ac:dyDescent="0.2">
      <c r="A17" s="11" t="s">
        <v>89</v>
      </c>
      <c r="B17" s="20"/>
      <c r="C17" s="20"/>
      <c r="D17" s="23" t="s">
        <v>35</v>
      </c>
      <c r="E17" s="24"/>
      <c r="F17" s="18"/>
      <c r="G17" s="24">
        <f ca="1">SUMIF(ЛСР!$B$8:$J$52,М[[#This Row],[Наим.]],ЛСР!$J$8:$J$52)</f>
        <v>0</v>
      </c>
      <c r="H17" s="20"/>
      <c r="I17" s="15"/>
    </row>
    <row r="18" spans="1:13" ht="11.45" customHeight="1" x14ac:dyDescent="0.2">
      <c r="A18" s="11" t="s">
        <v>88</v>
      </c>
      <c r="B18" s="20"/>
      <c r="C18" s="20"/>
      <c r="D18" s="12"/>
      <c r="E18" s="14"/>
      <c r="F18" s="18"/>
      <c r="G18" s="18">
        <f ca="1">SUBTOTAL(109,М[Сумма, руб])</f>
        <v>0</v>
      </c>
      <c r="H18" s="20"/>
      <c r="I18" s="15"/>
    </row>
    <row r="19" spans="1:13" ht="11.45" customHeight="1" x14ac:dyDescent="0.2">
      <c r="F19" s="21" t="s">
        <v>98</v>
      </c>
      <c r="G19" s="22">
        <f ca="1">ЛСР!J55-М[[#Totals],[Сумма, руб]]</f>
        <v>0</v>
      </c>
    </row>
    <row r="21" spans="1:13" ht="11.45" customHeight="1" x14ac:dyDescent="0.2">
      <c r="A21" s="87" t="s">
        <v>102</v>
      </c>
      <c r="B21" s="88"/>
      <c r="C21" s="88"/>
      <c r="D21" s="89"/>
      <c r="E21" s="89"/>
      <c r="F21" s="89"/>
      <c r="G21" s="90"/>
      <c r="H21" s="89"/>
      <c r="I21" s="91"/>
      <c r="J21" s="92"/>
      <c r="K21" s="91"/>
      <c r="L21" s="89"/>
      <c r="M21" s="89"/>
    </row>
    <row r="22" spans="1:13" ht="28.5" customHeight="1" x14ac:dyDescent="0.2">
      <c r="A22" s="121" t="s">
        <v>104</v>
      </c>
      <c r="B22" s="121"/>
      <c r="C22" s="121"/>
      <c r="D22" s="121"/>
      <c r="E22" s="121"/>
      <c r="F22" s="121"/>
      <c r="G22" s="93"/>
      <c r="H22" s="93"/>
      <c r="I22" s="93"/>
      <c r="J22" s="93"/>
      <c r="K22" s="93"/>
      <c r="L22" s="89"/>
      <c r="M22" s="89"/>
    </row>
    <row r="23" spans="1:13" ht="43.5" customHeight="1" x14ac:dyDescent="0.2">
      <c r="A23" s="121" t="s">
        <v>105</v>
      </c>
      <c r="B23" s="121"/>
      <c r="C23" s="121"/>
      <c r="D23" s="121"/>
      <c r="E23" s="121"/>
      <c r="F23" s="121"/>
      <c r="G23" s="93"/>
      <c r="H23" s="93"/>
      <c r="I23" s="93"/>
      <c r="J23" s="93"/>
      <c r="K23" s="94"/>
      <c r="L23" s="89"/>
      <c r="M23" s="89"/>
    </row>
    <row r="24" spans="1:13" ht="11.45" customHeight="1" x14ac:dyDescent="0.2">
      <c r="A24" s="122" t="s">
        <v>106</v>
      </c>
      <c r="B24" s="122"/>
      <c r="C24" s="122"/>
      <c r="D24" s="122"/>
      <c r="E24" s="122"/>
      <c r="F24" s="122"/>
      <c r="G24" s="96"/>
      <c r="H24" s="96"/>
      <c r="I24" s="96"/>
      <c r="J24" s="96"/>
      <c r="K24" s="95"/>
      <c r="L24" s="89"/>
      <c r="M24" s="89"/>
    </row>
    <row r="25" spans="1:13" ht="11.45" customHeight="1" x14ac:dyDescent="0.2">
      <c r="A25" s="123" t="s">
        <v>107</v>
      </c>
      <c r="B25" s="123"/>
      <c r="C25" s="123"/>
      <c r="D25" s="123"/>
      <c r="E25" s="123"/>
      <c r="F25" s="123"/>
      <c r="G25" s="88"/>
      <c r="H25" s="88"/>
      <c r="I25" s="88"/>
      <c r="J25" s="88"/>
      <c r="K25" s="88"/>
      <c r="L25" s="88"/>
      <c r="M25" s="88"/>
    </row>
  </sheetData>
  <mergeCells count="5">
    <mergeCell ref="A1:H1"/>
    <mergeCell ref="A22:F22"/>
    <mergeCell ref="A23:F23"/>
    <mergeCell ref="A24:F24"/>
    <mergeCell ref="A25:F25"/>
  </mergeCells>
  <dataValidations count="1">
    <dataValidation type="list" errorStyle="information" allowBlank="1" showInputMessage="1" showErrorMessage="1" sqref="I3:I17" xr:uid="{D196D8B5-4BDB-4E0A-8777-D43D44B07E18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84</v>
      </c>
      <c r="B1" s="1" t="s">
        <v>85</v>
      </c>
    </row>
    <row r="2" spans="1:2" ht="11.1" customHeight="1" x14ac:dyDescent="0.2">
      <c r="A2" s="1" t="s">
        <v>86</v>
      </c>
      <c r="B2" s="1" t="s">
        <v>87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2026-09-10T10:11:00Z</dcterms:modified>
</cp:coreProperties>
</file>