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/>
  <xr:revisionPtr revIDLastSave="0" documentId="13_ncr:1_{FA0F1347-192C-4BA4-8E51-B545A3BE36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20" r:id="rId1"/>
    <sheet name="СМР" sheetId="25" r:id="rId2"/>
    <sheet name="ТМЦ" sheetId="26" r:id="rId3"/>
  </sheets>
  <definedNames>
    <definedName name="_xlnm._FilterDatabase" localSheetId="0" hidden="1">ЛСР!$A$11:$K$102</definedName>
    <definedName name="_xlnm.Print_Area" localSheetId="0">ЛСР!$A$1:$K$109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6" l="1"/>
  <c r="I5" i="26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26" i="26"/>
  <c r="I27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I49" i="26"/>
  <c r="I50" i="26"/>
  <c r="I51" i="26"/>
  <c r="I52" i="26"/>
  <c r="I53" i="26"/>
  <c r="I54" i="26"/>
  <c r="I55" i="26"/>
  <c r="I56" i="26"/>
  <c r="I57" i="26"/>
  <c r="I58" i="26"/>
  <c r="I59" i="26"/>
  <c r="I60" i="26"/>
  <c r="I61" i="26"/>
  <c r="I62" i="26"/>
  <c r="I63" i="26"/>
  <c r="I64" i="26"/>
  <c r="I65" i="26"/>
  <c r="I66" i="26"/>
  <c r="I67" i="26"/>
  <c r="I68" i="26"/>
  <c r="I3" i="26"/>
  <c r="F19" i="20"/>
  <c r="K31" i="20"/>
  <c r="K30" i="20"/>
  <c r="K29" i="20"/>
  <c r="K28" i="20"/>
  <c r="K27" i="20"/>
  <c r="K26" i="20"/>
  <c r="K25" i="20"/>
  <c r="K24" i="20"/>
  <c r="K23" i="20"/>
  <c r="K22" i="20"/>
  <c r="K21" i="20"/>
  <c r="K92" i="20"/>
  <c r="K91" i="20"/>
  <c r="K90" i="20"/>
  <c r="K89" i="20"/>
  <c r="K88" i="20"/>
  <c r="K87" i="20"/>
  <c r="K86" i="20"/>
  <c r="K85" i="20"/>
  <c r="K84" i="20"/>
  <c r="K83" i="20"/>
  <c r="K82" i="20"/>
  <c r="K81" i="20"/>
  <c r="K80" i="20"/>
  <c r="K79" i="20"/>
  <c r="K78" i="20"/>
  <c r="K77" i="20"/>
  <c r="K76" i="20"/>
  <c r="K75" i="20"/>
  <c r="K74" i="20"/>
  <c r="K73" i="20"/>
  <c r="K72" i="20"/>
  <c r="K71" i="20"/>
  <c r="K70" i="20"/>
  <c r="K69" i="20"/>
  <c r="K68" i="20"/>
  <c r="K67" i="20"/>
  <c r="K66" i="20"/>
  <c r="K65" i="20"/>
  <c r="K64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50" i="20"/>
  <c r="K49" i="20"/>
  <c r="K48" i="20"/>
  <c r="K47" i="20"/>
  <c r="K46" i="20"/>
  <c r="K45" i="20"/>
  <c r="H18" i="20"/>
  <c r="H19" i="20"/>
  <c r="G19" i="20"/>
  <c r="F18" i="20"/>
  <c r="G18" i="20" s="1"/>
  <c r="H92" i="20"/>
  <c r="H91" i="20"/>
  <c r="H90" i="20"/>
  <c r="H89" i="20"/>
  <c r="H88" i="20"/>
  <c r="H87" i="20"/>
  <c r="H86" i="20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5" i="20"/>
  <c r="H39" i="20"/>
  <c r="H38" i="20"/>
  <c r="H37" i="20"/>
  <c r="H36" i="20"/>
  <c r="H35" i="20"/>
  <c r="H34" i="20"/>
  <c r="H33" i="20"/>
  <c r="H22" i="20"/>
  <c r="H23" i="20"/>
  <c r="H24" i="20"/>
  <c r="H25" i="20"/>
  <c r="H26" i="20"/>
  <c r="H27" i="20"/>
  <c r="H28" i="20"/>
  <c r="H29" i="20"/>
  <c r="H30" i="20"/>
  <c r="H31" i="20"/>
  <c r="H21" i="20"/>
  <c r="H17" i="20"/>
  <c r="H43" i="20"/>
  <c r="H96" i="20"/>
  <c r="A50" i="26"/>
  <c r="F50" i="26"/>
  <c r="H50" i="26" s="1"/>
  <c r="F4" i="26"/>
  <c r="H4" i="26" s="1"/>
  <c r="F5" i="26"/>
  <c r="H5" i="26" s="1"/>
  <c r="F6" i="26"/>
  <c r="H6" i="26" s="1"/>
  <c r="F7" i="26"/>
  <c r="H7" i="26" s="1"/>
  <c r="F8" i="26"/>
  <c r="H8" i="26" s="1"/>
  <c r="F9" i="26"/>
  <c r="H9" i="26" s="1"/>
  <c r="F10" i="26"/>
  <c r="H10" i="26" s="1"/>
  <c r="F11" i="26"/>
  <c r="H11" i="26" s="1"/>
  <c r="F12" i="26"/>
  <c r="H12" i="26" s="1"/>
  <c r="F14" i="26"/>
  <c r="H14" i="26" s="1"/>
  <c r="F17" i="26"/>
  <c r="H17" i="26" s="1"/>
  <c r="F18" i="26"/>
  <c r="H18" i="26" s="1"/>
  <c r="F19" i="26"/>
  <c r="H19" i="26" s="1"/>
  <c r="F21" i="26"/>
  <c r="H21" i="26" s="1"/>
  <c r="F22" i="26"/>
  <c r="H22" i="26" s="1"/>
  <c r="F23" i="26"/>
  <c r="H23" i="26" s="1"/>
  <c r="F24" i="26"/>
  <c r="H24" i="26" s="1"/>
  <c r="F25" i="26"/>
  <c r="H25" i="26" s="1"/>
  <c r="F26" i="26"/>
  <c r="H26" i="26" s="1"/>
  <c r="F27" i="26"/>
  <c r="H27" i="26" s="1"/>
  <c r="F28" i="26"/>
  <c r="H28" i="26" s="1"/>
  <c r="F29" i="26"/>
  <c r="H29" i="26" s="1"/>
  <c r="F30" i="26"/>
  <c r="H30" i="26" s="1"/>
  <c r="F31" i="26"/>
  <c r="H31" i="26" s="1"/>
  <c r="F32" i="26"/>
  <c r="H32" i="26" s="1"/>
  <c r="F33" i="26"/>
  <c r="H33" i="26" s="1"/>
  <c r="F34" i="26"/>
  <c r="H34" i="26" s="1"/>
  <c r="F35" i="26"/>
  <c r="H35" i="26" s="1"/>
  <c r="F36" i="26"/>
  <c r="H36" i="26" s="1"/>
  <c r="F37" i="26"/>
  <c r="H37" i="26" s="1"/>
  <c r="F38" i="26"/>
  <c r="H38" i="26" s="1"/>
  <c r="F39" i="26"/>
  <c r="H39" i="26" s="1"/>
  <c r="F40" i="26"/>
  <c r="H40" i="26" s="1"/>
  <c r="F41" i="26"/>
  <c r="H41" i="26" s="1"/>
  <c r="F42" i="26"/>
  <c r="H42" i="26" s="1"/>
  <c r="F43" i="26"/>
  <c r="H43" i="26" s="1"/>
  <c r="F44" i="26"/>
  <c r="H44" i="26" s="1"/>
  <c r="F45" i="26"/>
  <c r="H45" i="26" s="1"/>
  <c r="F46" i="26"/>
  <c r="H46" i="26" s="1"/>
  <c r="F47" i="26"/>
  <c r="H47" i="26" s="1"/>
  <c r="F48" i="26"/>
  <c r="H48" i="26" s="1"/>
  <c r="F49" i="26"/>
  <c r="H49" i="26" s="1"/>
  <c r="F51" i="26"/>
  <c r="H51" i="26" s="1"/>
  <c r="F52" i="26"/>
  <c r="H52" i="26" s="1"/>
  <c r="F53" i="26"/>
  <c r="H53" i="26" s="1"/>
  <c r="F54" i="26"/>
  <c r="H54" i="26" s="1"/>
  <c r="F55" i="26"/>
  <c r="H55" i="26" s="1"/>
  <c r="F56" i="26"/>
  <c r="H56" i="26" s="1"/>
  <c r="F57" i="26"/>
  <c r="H57" i="26" s="1"/>
  <c r="F58" i="26"/>
  <c r="H58" i="26" s="1"/>
  <c r="F59" i="26"/>
  <c r="H59" i="26" s="1"/>
  <c r="F60" i="26"/>
  <c r="H60" i="26" s="1"/>
  <c r="F61" i="26"/>
  <c r="H61" i="26" s="1"/>
  <c r="F62" i="26"/>
  <c r="H62" i="26" s="1"/>
  <c r="F63" i="26"/>
  <c r="H63" i="26" s="1"/>
  <c r="F67" i="26"/>
  <c r="F68" i="26"/>
  <c r="F3" i="26"/>
  <c r="H3" i="26" s="1"/>
  <c r="E4" i="25"/>
  <c r="G4" i="25" s="1"/>
  <c r="E6" i="25"/>
  <c r="G6" i="25" s="1"/>
  <c r="E7" i="25"/>
  <c r="G7" i="25" s="1"/>
  <c r="F31" i="20"/>
  <c r="F13" i="26" s="1"/>
  <c r="H13" i="26" s="1"/>
  <c r="H68" i="26"/>
  <c r="A68" i="26"/>
  <c r="H67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7" i="25"/>
  <c r="A6" i="25"/>
  <c r="A5" i="25"/>
  <c r="A4" i="25"/>
  <c r="A3" i="25"/>
  <c r="G82" i="20"/>
  <c r="F90" i="20"/>
  <c r="F89" i="20"/>
  <c r="F88" i="20"/>
  <c r="I18" i="20" l="1"/>
  <c r="I19" i="20"/>
  <c r="F66" i="26"/>
  <c r="H66" i="26" s="1"/>
  <c r="F65" i="26"/>
  <c r="H65" i="26" s="1"/>
  <c r="F64" i="26"/>
  <c r="H64" i="26" s="1"/>
  <c r="I82" i="20"/>
  <c r="G79" i="20"/>
  <c r="I79" i="20" s="1"/>
  <c r="F39" i="20"/>
  <c r="F34" i="20"/>
  <c r="G31" i="20"/>
  <c r="I31" i="20" s="1"/>
  <c r="F20" i="26" l="1"/>
  <c r="H20" i="26" s="1"/>
  <c r="F35" i="20"/>
  <c r="F15" i="26"/>
  <c r="H15" i="26" s="1"/>
  <c r="G51" i="20"/>
  <c r="I51" i="20" s="1"/>
  <c r="F16" i="26" l="1"/>
  <c r="H16" i="26" s="1"/>
  <c r="H69" i="26" s="1"/>
  <c r="G92" i="20"/>
  <c r="I92" i="20" s="1"/>
  <c r="G91" i="20"/>
  <c r="I91" i="20" s="1"/>
  <c r="G88" i="20"/>
  <c r="I88" i="20" s="1"/>
  <c r="G89" i="20"/>
  <c r="I89" i="20" s="1"/>
  <c r="G90" i="20"/>
  <c r="I90" i="20" s="1"/>
  <c r="G67" i="20"/>
  <c r="I67" i="20" s="1"/>
  <c r="G64" i="20"/>
  <c r="I64" i="20" s="1"/>
  <c r="G63" i="20"/>
  <c r="I63" i="20" s="1"/>
  <c r="G55" i="20"/>
  <c r="I55" i="20" s="1"/>
  <c r="G46" i="20"/>
  <c r="I46" i="20" s="1"/>
  <c r="G50" i="20"/>
  <c r="I50" i="20" s="1"/>
  <c r="E5" i="25" l="1"/>
  <c r="G5" i="25" s="1"/>
  <c r="F17" i="20"/>
  <c r="E3" i="25" l="1"/>
  <c r="G3" i="25" s="1"/>
  <c r="G8" i="25" s="1"/>
  <c r="G61" i="20"/>
  <c r="G39" i="20"/>
  <c r="G86" i="20"/>
  <c r="G62" i="20"/>
  <c r="I62" i="20" s="1"/>
  <c r="G78" i="20"/>
  <c r="G73" i="20"/>
  <c r="G77" i="20"/>
  <c r="I77" i="20" s="1"/>
  <c r="G76" i="20"/>
  <c r="I76" i="20" s="1"/>
  <c r="G69" i="20"/>
  <c r="I69" i="20" s="1"/>
  <c r="G68" i="20"/>
  <c r="I68" i="20" s="1"/>
  <c r="G72" i="20"/>
  <c r="I72" i="20" s="1"/>
  <c r="G71" i="20"/>
  <c r="I71" i="20" s="1"/>
  <c r="G66" i="20"/>
  <c r="G65" i="20"/>
  <c r="G60" i="20"/>
  <c r="G28" i="20"/>
  <c r="G30" i="20"/>
  <c r="I30" i="20" s="1"/>
  <c r="G29" i="20"/>
  <c r="G27" i="20"/>
  <c r="I27" i="20" s="1"/>
  <c r="G26" i="20"/>
  <c r="I26" i="20" s="1"/>
  <c r="G25" i="20"/>
  <c r="I25" i="20" s="1"/>
  <c r="G58" i="20"/>
  <c r="I58" i="20" s="1"/>
  <c r="G57" i="20"/>
  <c r="I57" i="20" s="1"/>
  <c r="G56" i="20"/>
  <c r="I56" i="20" s="1"/>
  <c r="G70" i="20"/>
  <c r="G85" i="20"/>
  <c r="I85" i="20" s="1"/>
  <c r="G84" i="20"/>
  <c r="G83" i="20"/>
  <c r="I83" i="20" s="1"/>
  <c r="G87" i="20"/>
  <c r="I87" i="20" s="1"/>
  <c r="G81" i="20"/>
  <c r="I81" i="20" s="1"/>
  <c r="G49" i="20"/>
  <c r="I49" i="20" s="1"/>
  <c r="G48" i="20"/>
  <c r="I48" i="20" s="1"/>
  <c r="G54" i="20"/>
  <c r="I54" i="20" s="1"/>
  <c r="G80" i="20"/>
  <c r="I80" i="20" s="1"/>
  <c r="G75" i="20"/>
  <c r="I75" i="20" s="1"/>
  <c r="G74" i="20"/>
  <c r="I74" i="20" s="1"/>
  <c r="G59" i="20"/>
  <c r="G53" i="20"/>
  <c r="I53" i="20" s="1"/>
  <c r="G52" i="20"/>
  <c r="I52" i="20" s="1"/>
  <c r="G47" i="20"/>
  <c r="G45" i="20"/>
  <c r="I45" i="20" s="1"/>
  <c r="G43" i="20"/>
  <c r="I43" i="20" s="1"/>
  <c r="I42" i="20" s="1"/>
  <c r="G22" i="20"/>
  <c r="I22" i="20" s="1"/>
  <c r="G35" i="20"/>
  <c r="I35" i="20" s="1"/>
  <c r="G34" i="20"/>
  <c r="I34" i="20" s="1"/>
  <c r="G36" i="20"/>
  <c r="I36" i="20" s="1"/>
  <c r="G37" i="20"/>
  <c r="I37" i="20" s="1"/>
  <c r="G38" i="20"/>
  <c r="G33" i="20"/>
  <c r="G23" i="20"/>
  <c r="I23" i="20" s="1"/>
  <c r="G24" i="20"/>
  <c r="I24" i="20" s="1"/>
  <c r="G21" i="20"/>
  <c r="I21" i="20" s="1"/>
  <c r="I47" i="20"/>
  <c r="I98" i="20"/>
  <c r="I97" i="20" s="1"/>
  <c r="I96" i="20"/>
  <c r="I95" i="20" s="1"/>
  <c r="I33" i="20"/>
  <c r="I86" i="20" l="1"/>
  <c r="I78" i="20"/>
  <c r="I73" i="20"/>
  <c r="I66" i="20"/>
  <c r="I65" i="20"/>
  <c r="I60" i="20"/>
  <c r="I28" i="20"/>
  <c r="I29" i="20"/>
  <c r="I70" i="20"/>
  <c r="I84" i="20"/>
  <c r="I38" i="20"/>
  <c r="I94" i="20"/>
  <c r="I59" i="20"/>
  <c r="G17" i="20"/>
  <c r="I17" i="20" s="1"/>
  <c r="I16" i="20" s="1"/>
  <c r="I100" i="20" s="1"/>
  <c r="I39" i="20"/>
  <c r="I61" i="20"/>
  <c r="I32" i="20" l="1"/>
  <c r="I20" i="20" s="1"/>
  <c r="I15" i="20" s="1"/>
  <c r="I44" i="20"/>
  <c r="G9" i="25"/>
  <c r="I101" i="20" l="1"/>
  <c r="I41" i="20"/>
  <c r="I99" i="20" s="1"/>
  <c r="I102" i="20" s="1"/>
  <c r="G32" i="20"/>
  <c r="H70" i="26" l="1"/>
</calcChain>
</file>

<file path=xl/sharedStrings.xml><?xml version="1.0" encoding="utf-8"?>
<sst xmlns="http://schemas.openxmlformats.org/spreadsheetml/2006/main" count="544" uniqueCount="197">
  <si>
    <t>№</t>
  </si>
  <si>
    <t>Наименование</t>
  </si>
  <si>
    <t>шт</t>
  </si>
  <si>
    <t>м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</si>
  <si>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</si>
  <si>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</si>
  <si>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</si>
  <si>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</si>
  <si>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</si>
  <si>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</si>
  <si>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</si>
  <si>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Прокладка КПП, трубы</t>
  </si>
  <si>
    <t>Работа:</t>
  </si>
  <si>
    <t>Материалы:</t>
  </si>
  <si>
    <t xml:space="preserve">Прокладка КПП </t>
  </si>
  <si>
    <t>Установка оборудования</t>
  </si>
  <si>
    <t>в тч стоимость работ:</t>
  </si>
  <si>
    <t>в тч стоимость материалов:</t>
  </si>
  <si>
    <t>-</t>
  </si>
  <si>
    <t xml:space="preserve">Система пожарной сигнализации и система оповещения и управления эвакуацией людей при пожаре </t>
  </si>
  <si>
    <t>Марка</t>
  </si>
  <si>
    <t>Характеристика</t>
  </si>
  <si>
    <t>11.10.</t>
  </si>
  <si>
    <t>11.10.01</t>
  </si>
  <si>
    <t>11.10.03.</t>
  </si>
  <si>
    <t>11.10.03.00</t>
  </si>
  <si>
    <t>R3-Рубеж-БИУ</t>
  </si>
  <si>
    <t xml:space="preserve">шт </t>
  </si>
  <si>
    <t>11.10.02.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</si>
  <si>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</si>
  <si>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</si>
  <si>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</si>
  <si>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</si>
  <si>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</si>
  <si>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</si>
  <si>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</si>
  <si>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</si>
  <si>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</si>
  <si>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Форма закупа материала</t>
  </si>
  <si>
    <t>Прокладка металлорукава</t>
  </si>
  <si>
    <t>симметричной парной скрутки, сеч. 1х2х0,5 мм2</t>
  </si>
  <si>
    <t>Кабель тип 1</t>
  </si>
  <si>
    <t>КПСнг(А)-FRLS</t>
  </si>
  <si>
    <t>симметричной парной скрутки, сеч. 1х2х1,5 мм2</t>
  </si>
  <si>
    <t>Кабель тип 2</t>
  </si>
  <si>
    <t>огнестойкий силовой, сеч. 3x1,5 мм2</t>
  </si>
  <si>
    <t>ВВГнг(А)-FRLS</t>
  </si>
  <si>
    <t>Кабель тип 3</t>
  </si>
  <si>
    <t>Кабель тип 4</t>
  </si>
  <si>
    <t>симметричной парной скрутки, сеч. 2х2х0,2 мм2</t>
  </si>
  <si>
    <t>Кабель тип 5</t>
  </si>
  <si>
    <t>Кабель тип 6</t>
  </si>
  <si>
    <t>симметричной парной скрутки, сеч. 2х2х0,5 мм2</t>
  </si>
  <si>
    <t>Труба тип 1</t>
  </si>
  <si>
    <t>гофрированная самозатухающая ТГТ СЗ Ø 16 мм с зондом</t>
  </si>
  <si>
    <t>Труба тип 2</t>
  </si>
  <si>
    <t>гофрированная самозатухающая ТГТ СЗ Ø 25 мм с зондом</t>
  </si>
  <si>
    <t>Труба тип 3</t>
  </si>
  <si>
    <t>Металлорукав</t>
  </si>
  <si>
    <t>Коробка распределительная 80х80х40</t>
  </si>
  <si>
    <t>DKC</t>
  </si>
  <si>
    <t>Коробка распределительная огнестойкая</t>
  </si>
  <si>
    <t>КМ-О (8к)-IP41</t>
  </si>
  <si>
    <t>Хомут трубный в комплекте, 1 1/2", 47-51 мм</t>
  </si>
  <si>
    <t>R3-Рубеж-2ОП</t>
  </si>
  <si>
    <t>Блок индикации и управления</t>
  </si>
  <si>
    <t>Источник вторичного электропитания тип 1</t>
  </si>
  <si>
    <t>Источник вторичного электропитания тип 2</t>
  </si>
  <si>
    <t>Извещатель тип 1</t>
  </si>
  <si>
    <t>Извещатель тип 2</t>
  </si>
  <si>
    <t>Извещатель тип 3</t>
  </si>
  <si>
    <t>Извещатель тип 4</t>
  </si>
  <si>
    <t>Устройство дистанционного пуска тип 1</t>
  </si>
  <si>
    <t>Устройство дистанционного пуска тип 2</t>
  </si>
  <si>
    <t>Оповещатель тип 1</t>
  </si>
  <si>
    <t>Релейный модуль адресный тип 1</t>
  </si>
  <si>
    <t>Релейный модуль адресный тип 2</t>
  </si>
  <si>
    <t>Изолятор шлейфа</t>
  </si>
  <si>
    <t>R3-МС</t>
  </si>
  <si>
    <t>Модуль связи</t>
  </si>
  <si>
    <t>Аккумулятор тип 1</t>
  </si>
  <si>
    <t>Аккумулятор тип 2</t>
  </si>
  <si>
    <t>Аккумулятор тип 3</t>
  </si>
  <si>
    <t>ИВЭПР 12/3,5 RS-R3
исп. 2x12 БР</t>
  </si>
  <si>
    <t>ИВЭПР 12/2 RS-R3
исп. 2x7 БР</t>
  </si>
  <si>
    <t>пожарный дымовой оптико-электронный адресно-аналоговый ИП 212-64-R3  IP40 (новый корпус)</t>
  </si>
  <si>
    <t>пожарный ручной адресный с встроенным изолятором короткого замыкания ИПР 513-11 ИКЗ-А-R3</t>
  </si>
  <si>
    <t xml:space="preserve">Оповещатель звуковой
ОПОП 2-35 12В </t>
  </si>
  <si>
    <t>Оповещатель тип 2</t>
  </si>
  <si>
    <t xml:space="preserve">УДП 513-11ИКЗ-R3 «ЗАПУСК ПОЖАРНЫХ НАСОСОВ» с встроенным изолятором короткого замыкания </t>
  </si>
  <si>
    <t>УДП 513-11ИКЗ-R3 «Пуск дымоудаления» с встроенным  изолятором короткого замыкания</t>
  </si>
  <si>
    <t>пожарный автономный
ИП 212-50М2</t>
  </si>
  <si>
    <t>РМ-4-R3</t>
  </si>
  <si>
    <t>с контролем целостности цепи
РМ-4К-R3</t>
  </si>
  <si>
    <t>Модуль управления клапаном дымоудаления и огнезащиты</t>
  </si>
  <si>
    <t>АМ-4-R3</t>
  </si>
  <si>
    <t>ИЗ-1-R3</t>
  </si>
  <si>
    <t>Оповещатель тип 3</t>
  </si>
  <si>
    <t>Оповещатель тип 4</t>
  </si>
  <si>
    <t>Оповещатель тип 5</t>
  </si>
  <si>
    <t>охранно-пожарный световой «Насосная станция пожаротушения»  (световое табло (на защелках) (красный фон))
Молния-12</t>
  </si>
  <si>
    <t>7 Ач</t>
  </si>
  <si>
    <t>12 Ач</t>
  </si>
  <si>
    <t>Кабель-канал 100х60</t>
  </si>
  <si>
    <t>CKK10-100-060-1-K01</t>
  </si>
  <si>
    <t>IEK</t>
  </si>
  <si>
    <t>ЩМП-5-0
1000х650х285мм
У2 IP54 RAL 3020</t>
  </si>
  <si>
    <t>Шкаф управления тип 2</t>
  </si>
  <si>
    <t>Шкаф управления тип 3</t>
  </si>
  <si>
    <t>Шкаф управления тип 4</t>
  </si>
  <si>
    <t>световой "ВЫХОД"
Молния-12 ULTRA
универсальное крепление</t>
  </si>
  <si>
    <t>Прибор приемно-контрольный и управления охранно-пожарный адресный</t>
  </si>
  <si>
    <t>жесткая ПВХ д50
CTR10-063-K41-015I</t>
  </si>
  <si>
    <t>Щит металлический тип 1</t>
  </si>
  <si>
    <t>Щит металлический тип 2</t>
  </si>
  <si>
    <t>ЩМП-3-0
650х220х500мм
У2 IP54 RAL 3020</t>
  </si>
  <si>
    <t>Адресная метка</t>
  </si>
  <si>
    <t xml:space="preserve">Модуль сопряжения </t>
  </si>
  <si>
    <t>АМ-1-R3</t>
  </si>
  <si>
    <t>R3-МС-E</t>
  </si>
  <si>
    <t>ШУЗ-3-0,75-00-R3</t>
  </si>
  <si>
    <t>АМП-4-R3</t>
  </si>
  <si>
    <t>Извещатель тип 5</t>
  </si>
  <si>
    <t>Устройство дистанционного пуска тип 3</t>
  </si>
  <si>
    <t>STR-RM-B01</t>
  </si>
  <si>
    <t>Карта Mifare</t>
  </si>
  <si>
    <t xml:space="preserve">ВВГнг(А)-FRLS </t>
  </si>
  <si>
    <t>Кабель огнестойкий силовой, сеч. 5x1,5 мм2</t>
  </si>
  <si>
    <t>РИП-12 исп.20 (РИП-12-1/7М2-Р)</t>
  </si>
  <si>
    <t>47-51 мм</t>
  </si>
  <si>
    <t>Извещатель тип 6</t>
  </si>
  <si>
    <t>Источник вторичного электропитания тип 3</t>
  </si>
  <si>
    <t>%</t>
  </si>
  <si>
    <t>ИВЭПР 12/5 RS-R3
исп. 2x40 БР</t>
  </si>
  <si>
    <t>40 Ач</t>
  </si>
  <si>
    <t xml:space="preserve"> Оповещатель световой “ВЫХОД”
ОПОП 1-8 12В</t>
  </si>
  <si>
    <t>Sonar</t>
  </si>
  <si>
    <t>Настенный громкоговоритель</t>
  </si>
  <si>
    <t>Прибор управления средствами оповещения пожарный</t>
  </si>
  <si>
    <t>Бокс под 2 АКБ 12В 40Ач</t>
  </si>
  <si>
    <t>Sonar "SPM-Bох"</t>
  </si>
  <si>
    <t>Кожух для моноблоков серии SPM настенного исполнения</t>
  </si>
  <si>
    <t>кожух</t>
  </si>
  <si>
    <t>SFT-2300-M</t>
  </si>
  <si>
    <t>Фильтр оконечный для трансляционной линии</t>
  </si>
  <si>
    <t>Кол-во</t>
  </si>
  <si>
    <t>Секция 1</t>
  </si>
  <si>
    <t>в ПВХ изоляции МРПИ НГ д20 морозостойкий черный, УХЛ1</t>
  </si>
  <si>
    <t>охранный точечный магнитоконтактный
ИО 102-26</t>
  </si>
  <si>
    <t>охранно-пожарный световой
"Подключение пожарной техники" КОП25 П IP54</t>
  </si>
  <si>
    <t>Источник вторичного электропитания тип 4</t>
  </si>
  <si>
    <t>пожарный дымовой оптико-электронный адресно- аналоговый  IP40 (новый корпус) ИП 212-45</t>
  </si>
  <si>
    <t>пожарный ручной адресный с встроенным изолятором короткого замыкания ИПР 513-10</t>
  </si>
  <si>
    <t>УДП 513-10 «ЗАПУСК ПОЖАРНЫХ НАСОСОВ» с встроенным изолятором короткого замыкания</t>
  </si>
  <si>
    <t>Знак пожарной безопасности тип 1</t>
  </si>
  <si>
    <t>Знак пожарной безопасности тип 2</t>
  </si>
  <si>
    <t>Знак пожарной безопасности тип 3</t>
  </si>
  <si>
    <t>на пластиковой основе 100*100 «Кнопка включения пожарной автоматики» (извещатель пожарный ручной) F10</t>
  </si>
  <si>
    <t>на пластиковой основе 100*100 «Звуковой оповещатель пожарной тревоги» F11</t>
  </si>
  <si>
    <t>пленка ПВХ 100*100 «Кнопка включения пожарной автоматики» (извещатель пожарный ручной) F10</t>
  </si>
  <si>
    <t>Бесконтактный считыватель идентификаторов смарт-карт</t>
  </si>
  <si>
    <t>Устройство системы ПС и СОУЭ. ГП-215</t>
  </si>
  <si>
    <t xml:space="preserve"> SW-06-03</t>
  </si>
  <si>
    <t xml:space="preserve"> "Sonar SPM-B20050-AW"</t>
  </si>
  <si>
    <t>Встроенные помещения</t>
  </si>
  <si>
    <t>Труба тип 4</t>
  </si>
  <si>
    <t xml:space="preserve"> Труба электросварная 76х3,5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</si>
  <si>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</si>
  <si>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</si>
  <si>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КМ-О (4к)-IP41</t>
  </si>
  <si>
    <t>Прочие материалы (Кабель-канал 100х60, Наконечник кольцевой НКИ 5,5-6, Коробка распределительная 80х80х40, Коробка распределительная огнестойкая, Хомут трубный в комплекте, 1 1/2", 47-51 мм)</t>
  </si>
  <si>
    <t>МДУ-1С-R3</t>
  </si>
  <si>
    <t>ШУН/В-5,5-03-R3</t>
  </si>
  <si>
    <t>ШУН/В-7,5-03-R3</t>
  </si>
  <si>
    <t>Встроенные помещения (6шт)</t>
  </si>
  <si>
    <t>Встроенные помещения (8шт)</t>
  </si>
  <si>
    <t>11.10.02.00</t>
  </si>
  <si>
    <t>Пусконаладочные работы</t>
  </si>
  <si>
    <t>Монтажные работы</t>
  </si>
  <si>
    <t>Шкаф управления тип 5</t>
  </si>
  <si>
    <t>ШУН/В-11,0-03-R3</t>
  </si>
  <si>
    <t>Локальный сметный расчет №</t>
  </si>
  <si>
    <t>ООО "ЭНКО СТРОЙ"</t>
  </si>
  <si>
    <t>ООО "Технический заказчик "ЭНКО"</t>
  </si>
  <si>
    <t>___________/С.И. Ярков</t>
  </si>
  <si>
    <t>Ведомость объемов работ</t>
  </si>
  <si>
    <t>№ п/п</t>
  </si>
  <si>
    <t>ИТОГО:</t>
  </si>
  <si>
    <t>проверка:</t>
  </si>
  <si>
    <t>Спецификация материалов</t>
  </si>
  <si>
    <t xml:space="preserve">Коробка распределительная огнестойкая </t>
  </si>
  <si>
    <t xml:space="preserve">Прибор приемно-контрольный и управления охранно-пожарный адресный </t>
  </si>
  <si>
    <t xml:space="preserve">Адресная метка </t>
  </si>
  <si>
    <t>11.10.01.00</t>
  </si>
  <si>
    <t>Итого по ЛСР, в т.ч. НДС:</t>
  </si>
  <si>
    <t>в тч НДС 22%:</t>
  </si>
  <si>
    <t>Прокладка трубы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</si>
</sst>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19">
    <xf numFmtId="0" fontId="0" fillId="0" borderId="0" xfId="0"/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4" fontId="9" fillId="0" borderId="0" xfId="0" applyNumberFormat="1" applyFont="1"/>
    <xf numFmtId="4" fontId="8" fillId="0" borderId="0" xfId="0" applyNumberFormat="1" applyFont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9" fontId="10" fillId="6" borderId="4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/>
    </xf>
    <xf numFmtId="4" fontId="9" fillId="7" borderId="1" xfId="0" applyNumberFormat="1" applyFont="1" applyFill="1" applyBorder="1" applyAlignment="1">
      <alignment horizontal="center" vertical="center"/>
    </xf>
    <xf numFmtId="4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vertical="center" wrapText="1"/>
    </xf>
    <xf numFmtId="49" fontId="9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/>
    <xf numFmtId="0" fontId="8" fillId="0" borderId="0" xfId="1" applyFont="1"/>
    <xf numFmtId="49" fontId="8" fillId="0" borderId="1" xfId="0" applyNumberFormat="1" applyFont="1" applyBorder="1"/>
    <xf numFmtId="1" fontId="11" fillId="0" borderId="4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top" wrapText="1"/>
    </xf>
    <xf numFmtId="1" fontId="11" fillId="0" borderId="4" xfId="1" applyNumberFormat="1" applyFont="1" applyBorder="1" applyAlignment="1">
      <alignment horizontal="center" vertical="center" wrapText="1"/>
    </xf>
    <xf numFmtId="4" fontId="11" fillId="0" borderId="1" xfId="1" applyNumberFormat="1" applyFont="1" applyBorder="1" applyAlignment="1">
      <alignment horizontal="center" vertical="center"/>
    </xf>
    <xf numFmtId="4" fontId="11" fillId="0" borderId="1" xfId="1" applyNumberFormat="1" applyFont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" fontId="8" fillId="0" borderId="0" xfId="0" applyNumberFormat="1" applyFont="1" applyAlignment="1">
      <alignment wrapText="1"/>
    </xf>
    <xf numFmtId="49" fontId="11" fillId="0" borderId="0" xfId="0" applyNumberFormat="1" applyFont="1" applyAlignment="1">
      <alignment horizontal="center" vertical="center"/>
    </xf>
    <xf numFmtId="0" fontId="14" fillId="0" borderId="0" xfId="7" applyFont="1" applyAlignment="1">
      <alignment vertical="center" wrapText="1"/>
    </xf>
    <xf numFmtId="0" fontId="14" fillId="0" borderId="0" xfId="7" applyFont="1" applyAlignment="1">
      <alignment vertical="top" wrapText="1"/>
    </xf>
    <xf numFmtId="0" fontId="14" fillId="0" borderId="0" xfId="0" applyFont="1" applyAlignment="1">
      <alignment vertical="top" wrapText="1"/>
    </xf>
    <xf numFmtId="0" fontId="8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right"/>
    </xf>
    <xf numFmtId="4" fontId="9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11" fillId="0" borderId="0" xfId="8" applyFont="1" applyAlignment="1">
      <alignment vertical="center" wrapText="1"/>
    </xf>
    <xf numFmtId="0" fontId="14" fillId="0" borderId="0" xfId="8" applyFont="1" applyAlignment="1">
      <alignment vertical="center" wrapText="1"/>
    </xf>
    <xf numFmtId="0" fontId="14" fillId="0" borderId="0" xfId="8" applyFont="1" applyAlignment="1">
      <alignment vertical="top" wrapText="1"/>
    </xf>
    <xf numFmtId="0" fontId="11" fillId="0" borderId="0" xfId="0" applyFont="1" applyAlignment="1">
      <alignment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/>
    </xf>
    <xf numFmtId="4" fontId="8" fillId="7" borderId="2" xfId="0" applyNumberFormat="1" applyFont="1" applyFill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/>
    </xf>
    <xf numFmtId="4" fontId="11" fillId="0" borderId="4" xfId="1" applyNumberFormat="1" applyFont="1" applyBorder="1" applyAlignment="1">
      <alignment horizontal="center" vertical="center"/>
    </xf>
    <xf numFmtId="4" fontId="10" fillId="0" borderId="4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7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4" borderId="2" xfId="0" applyFont="1" applyFill="1" applyBorder="1" applyAlignment="1">
      <alignment horizontal="right" vertical="center"/>
    </xf>
    <xf numFmtId="0" fontId="9" fillId="4" borderId="5" xfId="0" applyFont="1" applyFill="1" applyBorder="1" applyAlignment="1">
      <alignment horizontal="right" vertical="center"/>
    </xf>
    <xf numFmtId="0" fontId="9" fillId="4" borderId="6" xfId="0" applyFont="1" applyFill="1" applyBorder="1" applyAlignment="1">
      <alignment horizontal="right" vertical="center"/>
    </xf>
    <xf numFmtId="0" fontId="12" fillId="2" borderId="2" xfId="0" applyFont="1" applyFill="1" applyBorder="1" applyAlignment="1">
      <alignment horizontal="right" vertical="center"/>
    </xf>
    <xf numFmtId="0" fontId="12" fillId="2" borderId="5" xfId="0" applyFont="1" applyFill="1" applyBorder="1" applyAlignment="1">
      <alignment horizontal="right" vertical="center"/>
    </xf>
    <xf numFmtId="0" fontId="12" fillId="2" borderId="6" xfId="0" applyFont="1" applyFill="1" applyBorder="1" applyAlignment="1">
      <alignment horizontal="right" vertical="center"/>
    </xf>
    <xf numFmtId="0" fontId="11" fillId="0" borderId="0" xfId="8" applyFont="1" applyAlignment="1">
      <alignment horizontal="left" vertical="top" wrapText="1"/>
    </xf>
  </cellXfs>
  <cellStyles count="9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3 2 2 2" xfId="8" xr:uid="{3F635E6C-F578-42F9-A4F4-4052A7E3AD40}"/>
    <cellStyle name="Обычный 4" xfId="6" xr:uid="{7892ACDF-4C85-4A72-893C-533698B7DF97}"/>
    <cellStyle name="Обычный 6 3 7 2 3" xfId="5" xr:uid="{CD7D9DDE-D035-4BB0-B7C7-72E2C2D85135}"/>
  </cellStyles>
  <dxfs count="5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7AD4C-B39D-4DD7-B17C-D62EDF171B52}">
  <sheetPr>
    <pageSetUpPr fitToPage="1"/>
  </sheetPr>
  <dimension ref="A1:K108"/>
  <sheetViews>
    <sheetView tabSelected="1" zoomScale="55" zoomScaleNormal="55" zoomScaleSheetLayoutView="70" workbookViewId="0">
      <pane ySplit="11" topLeftCell="A12" activePane="bottomLeft" state="frozen"/>
      <selection pane="bottomLeft" activeCell="K23" sqref="K23"/>
    </sheetView>
  </sheetViews>
  <sheetFormatPr defaultColWidth="9.109375" defaultRowHeight="13.8" outlineLevelRow="1" x14ac:dyDescent="0.3"/>
  <cols>
    <col min="1" max="1" width="15.5546875" style="1" customWidth="1"/>
    <col min="2" max="2" width="104.6640625" style="2" customWidth="1"/>
    <col min="3" max="3" width="19" style="3" customWidth="1"/>
    <col min="4" max="4" width="37.5546875" style="2" customWidth="1"/>
    <col min="5" max="6" width="13.109375" style="3" customWidth="1"/>
    <col min="7" max="7" width="15.44140625" style="4" bestFit="1" customWidth="1"/>
    <col min="8" max="8" width="18.5546875" style="5" customWidth="1"/>
    <col min="9" max="9" width="19.33203125" style="5" customWidth="1"/>
    <col min="10" max="10" width="19.109375" style="2" customWidth="1"/>
    <col min="11" max="11" width="25.6640625" style="3" customWidth="1"/>
    <col min="12" max="16384" width="9.109375" style="3"/>
  </cols>
  <sheetData>
    <row r="1" spans="1:11" x14ac:dyDescent="0.3">
      <c r="G1" s="3"/>
      <c r="H1" s="4"/>
      <c r="J1" s="5"/>
      <c r="K1" s="6" t="s">
        <v>29</v>
      </c>
    </row>
    <row r="2" spans="1:11" x14ac:dyDescent="0.3">
      <c r="G2" s="3"/>
      <c r="H2" s="4"/>
      <c r="J2" s="5"/>
      <c r="K2" s="6" t="s">
        <v>30</v>
      </c>
    </row>
    <row r="3" spans="1:11" x14ac:dyDescent="0.3">
      <c r="B3" s="7" t="s">
        <v>31</v>
      </c>
      <c r="D3" s="7" t="s">
        <v>32</v>
      </c>
      <c r="G3" s="3"/>
      <c r="H3" s="4"/>
      <c r="I3" s="8" t="s">
        <v>33</v>
      </c>
      <c r="J3" s="5"/>
      <c r="K3" s="2"/>
    </row>
    <row r="4" spans="1:11" x14ac:dyDescent="0.3">
      <c r="D4" s="2" t="s">
        <v>182</v>
      </c>
      <c r="G4" s="3"/>
      <c r="H4" s="4"/>
      <c r="I4" s="3" t="s">
        <v>183</v>
      </c>
      <c r="J4" s="5"/>
      <c r="K4" s="2"/>
    </row>
    <row r="5" spans="1:11" x14ac:dyDescent="0.3">
      <c r="G5" s="3"/>
      <c r="H5" s="4"/>
      <c r="I5" s="3"/>
      <c r="J5" s="5"/>
      <c r="K5" s="2"/>
    </row>
    <row r="6" spans="1:11" x14ac:dyDescent="0.3">
      <c r="B6" s="3"/>
      <c r="D6" s="2" t="s">
        <v>184</v>
      </c>
      <c r="G6" s="3"/>
      <c r="H6" s="4"/>
      <c r="I6" s="3" t="s">
        <v>184</v>
      </c>
      <c r="J6" s="5"/>
      <c r="K6" s="2"/>
    </row>
    <row r="7" spans="1:11" x14ac:dyDescent="0.3">
      <c r="G7" s="3"/>
      <c r="H7" s="4"/>
      <c r="J7" s="5"/>
      <c r="K7" s="2"/>
    </row>
    <row r="8" spans="1:11" s="9" customFormat="1" x14ac:dyDescent="0.3">
      <c r="B8" s="8"/>
      <c r="C8" s="8"/>
      <c r="D8" s="10" t="s">
        <v>181</v>
      </c>
      <c r="E8" s="8"/>
      <c r="F8" s="8"/>
      <c r="G8" s="8"/>
      <c r="H8" s="8"/>
      <c r="I8" s="8"/>
      <c r="J8" s="8"/>
      <c r="K8" s="8"/>
    </row>
    <row r="9" spans="1:11" s="9" customFormat="1" x14ac:dyDescent="0.3">
      <c r="B9" s="8"/>
      <c r="C9" s="8"/>
      <c r="D9" s="10" t="s">
        <v>161</v>
      </c>
      <c r="E9" s="8"/>
      <c r="F9" s="8"/>
      <c r="G9" s="8"/>
      <c r="H9" s="8"/>
      <c r="I9" s="8"/>
      <c r="J9" s="8"/>
      <c r="K9" s="8"/>
    </row>
    <row r="11" spans="1:11" x14ac:dyDescent="0.3">
      <c r="A11" s="11" t="s">
        <v>0</v>
      </c>
      <c r="B11" s="12" t="s">
        <v>1</v>
      </c>
      <c r="C11" s="12" t="s">
        <v>20</v>
      </c>
      <c r="D11" s="12" t="s">
        <v>21</v>
      </c>
      <c r="E11" s="12" t="s">
        <v>9</v>
      </c>
      <c r="F11" s="12" t="s">
        <v>146</v>
      </c>
      <c r="G11" s="13" t="s">
        <v>145</v>
      </c>
      <c r="H11" s="14" t="s">
        <v>6</v>
      </c>
      <c r="I11" s="14" t="s">
        <v>7</v>
      </c>
      <c r="J11" s="14" t="s">
        <v>8</v>
      </c>
      <c r="K11" s="14" t="s">
        <v>38</v>
      </c>
    </row>
    <row r="12" spans="1:11" x14ac:dyDescent="0.3">
      <c r="A12" s="15">
        <v>11</v>
      </c>
      <c r="B12" s="16" t="s">
        <v>10</v>
      </c>
      <c r="C12" s="17"/>
      <c r="D12" s="17"/>
      <c r="E12" s="17"/>
      <c r="F12" s="17"/>
      <c r="G12" s="18"/>
      <c r="H12" s="18"/>
      <c r="I12" s="18"/>
      <c r="J12" s="18"/>
      <c r="K12" s="18"/>
    </row>
    <row r="13" spans="1:11" x14ac:dyDescent="0.3">
      <c r="A13" s="19" t="s">
        <v>22</v>
      </c>
      <c r="B13" s="20" t="s">
        <v>19</v>
      </c>
      <c r="C13" s="21"/>
      <c r="D13" s="21"/>
      <c r="E13" s="21"/>
      <c r="F13" s="21"/>
      <c r="G13" s="22"/>
      <c r="H13" s="22"/>
      <c r="I13" s="22"/>
      <c r="J13" s="22"/>
      <c r="K13" s="22"/>
    </row>
    <row r="14" spans="1:11" x14ac:dyDescent="0.3">
      <c r="A14" s="23" t="s">
        <v>23</v>
      </c>
      <c r="B14" s="24" t="s">
        <v>11</v>
      </c>
      <c r="C14" s="25"/>
      <c r="D14" s="25"/>
      <c r="E14" s="25"/>
      <c r="F14" s="25"/>
      <c r="G14" s="26"/>
      <c r="H14" s="26"/>
      <c r="I14" s="26"/>
      <c r="J14" s="26"/>
      <c r="K14" s="26"/>
    </row>
    <row r="15" spans="1:11" x14ac:dyDescent="0.3">
      <c r="A15" s="27" t="s">
        <v>193</v>
      </c>
      <c r="B15" s="28" t="s">
        <v>11</v>
      </c>
      <c r="C15" s="29"/>
      <c r="D15" s="29"/>
      <c r="E15" s="29"/>
      <c r="F15" s="29"/>
      <c r="G15" s="30"/>
      <c r="H15" s="30"/>
      <c r="I15" s="30">
        <f>I16+I20</f>
        <v>0</v>
      </c>
      <c r="J15" s="30"/>
      <c r="K15" s="30"/>
    </row>
    <row r="16" spans="1:11" x14ac:dyDescent="0.3">
      <c r="A16" s="31"/>
      <c r="B16" s="20" t="s">
        <v>12</v>
      </c>
      <c r="C16" s="32"/>
      <c r="D16" s="32"/>
      <c r="E16" s="32"/>
      <c r="F16" s="32"/>
      <c r="G16" s="22"/>
      <c r="H16" s="22"/>
      <c r="I16" s="22">
        <f>SUM(I17:I19)</f>
        <v>0</v>
      </c>
      <c r="J16" s="22"/>
      <c r="K16" s="22"/>
    </row>
    <row r="17" spans="1:11" x14ac:dyDescent="0.3">
      <c r="A17" s="31"/>
      <c r="B17" s="33" t="s">
        <v>14</v>
      </c>
      <c r="C17" s="34"/>
      <c r="D17" s="34"/>
      <c r="E17" s="34" t="s">
        <v>3</v>
      </c>
      <c r="F17" s="99">
        <f>SUM(F21:F26)</f>
        <v>13900</v>
      </c>
      <c r="G17" s="22">
        <f>SUM(F17:F17)</f>
        <v>13900</v>
      </c>
      <c r="H17" s="35">
        <f>VLOOKUP(B17,СМР!$B$3:$F$7,5,0)</f>
        <v>0</v>
      </c>
      <c r="I17" s="36">
        <f t="shared" ref="I17" si="0">H17*G17</f>
        <v>0</v>
      </c>
      <c r="J17" s="22"/>
      <c r="K17" s="22"/>
    </row>
    <row r="18" spans="1:11" x14ac:dyDescent="0.3">
      <c r="A18" s="31"/>
      <c r="B18" s="33" t="s">
        <v>39</v>
      </c>
      <c r="C18" s="34"/>
      <c r="D18" s="34"/>
      <c r="E18" s="34" t="s">
        <v>3</v>
      </c>
      <c r="F18" s="99">
        <f>F27</f>
        <v>650</v>
      </c>
      <c r="G18" s="22">
        <f t="shared" ref="G18:G19" si="1">SUM(F18:F18)</f>
        <v>650</v>
      </c>
      <c r="H18" s="35">
        <f>VLOOKUP(B18,СМР!$B$3:$F$7,5,0)</f>
        <v>0</v>
      </c>
      <c r="I18" s="36">
        <f t="shared" ref="I18:I19" si="2">H18*G18</f>
        <v>0</v>
      </c>
      <c r="J18" s="22"/>
      <c r="K18" s="22"/>
    </row>
    <row r="19" spans="1:11" x14ac:dyDescent="0.3">
      <c r="A19" s="31"/>
      <c r="B19" s="33" t="s">
        <v>196</v>
      </c>
      <c r="C19" s="34"/>
      <c r="D19" s="34"/>
      <c r="E19" s="34" t="s">
        <v>3</v>
      </c>
      <c r="F19" s="99">
        <f>SUM(F28:F31)</f>
        <v>6812</v>
      </c>
      <c r="G19" s="22">
        <f t="shared" si="1"/>
        <v>6812</v>
      </c>
      <c r="H19" s="35">
        <f>VLOOKUP(B19,СМР!$B$3:$F$7,5,0)</f>
        <v>0</v>
      </c>
      <c r="I19" s="36">
        <f t="shared" si="2"/>
        <v>0</v>
      </c>
      <c r="J19" s="22"/>
      <c r="K19" s="22"/>
    </row>
    <row r="20" spans="1:11" x14ac:dyDescent="0.3">
      <c r="A20" s="37"/>
      <c r="B20" s="38" t="s">
        <v>13</v>
      </c>
      <c r="C20" s="39"/>
      <c r="D20" s="39"/>
      <c r="E20" s="39"/>
      <c r="F20" s="100"/>
      <c r="G20" s="40"/>
      <c r="H20" s="40"/>
      <c r="I20" s="40">
        <f>SUM(I21:I32)</f>
        <v>0</v>
      </c>
      <c r="J20" s="40"/>
      <c r="K20" s="40"/>
    </row>
    <row r="21" spans="1:11" x14ac:dyDescent="0.3">
      <c r="A21" s="41"/>
      <c r="B21" s="42" t="s">
        <v>41</v>
      </c>
      <c r="C21" s="43" t="s">
        <v>42</v>
      </c>
      <c r="D21" s="43" t="s">
        <v>40</v>
      </c>
      <c r="E21" s="44" t="s">
        <v>3</v>
      </c>
      <c r="F21" s="101">
        <v>8900</v>
      </c>
      <c r="G21" s="45">
        <f t="shared" ref="G21:G30" si="3">SUM(F21:F21)</f>
        <v>8900</v>
      </c>
      <c r="H21" s="46">
        <f>VLOOKUP(B21,ТМЦ!$B$3:$J$68,6,0)</f>
        <v>0</v>
      </c>
      <c r="I21" s="46">
        <f t="shared" ref="I21:I39" si="4">H21*G21</f>
        <v>0</v>
      </c>
      <c r="J21" s="47"/>
      <c r="K21" s="46">
        <f>VLOOKUP(B21,ТМЦ!$B$3:$J$68,9,0)</f>
        <v>0</v>
      </c>
    </row>
    <row r="22" spans="1:11" x14ac:dyDescent="0.3">
      <c r="A22" s="41"/>
      <c r="B22" s="42" t="s">
        <v>44</v>
      </c>
      <c r="C22" s="47" t="s">
        <v>42</v>
      </c>
      <c r="D22" s="47" t="s">
        <v>43</v>
      </c>
      <c r="E22" s="44" t="s">
        <v>3</v>
      </c>
      <c r="F22" s="101">
        <v>3200</v>
      </c>
      <c r="G22" s="45">
        <f t="shared" si="3"/>
        <v>3200</v>
      </c>
      <c r="H22" s="46">
        <f>VLOOKUP(B22,ТМЦ!$B$3:$J$68,6,0)</f>
        <v>0</v>
      </c>
      <c r="I22" s="46">
        <f t="shared" si="4"/>
        <v>0</v>
      </c>
      <c r="J22" s="47"/>
      <c r="K22" s="46">
        <f>VLOOKUP(B22,ТМЦ!$B$3:$J$68,9,0)</f>
        <v>0</v>
      </c>
    </row>
    <row r="23" spans="1:11" x14ac:dyDescent="0.3">
      <c r="A23" s="41"/>
      <c r="B23" s="42" t="s">
        <v>47</v>
      </c>
      <c r="C23" s="47" t="s">
        <v>42</v>
      </c>
      <c r="D23" s="47" t="s">
        <v>49</v>
      </c>
      <c r="E23" s="44" t="s">
        <v>3</v>
      </c>
      <c r="F23" s="101">
        <v>250</v>
      </c>
      <c r="G23" s="45">
        <f t="shared" si="3"/>
        <v>250</v>
      </c>
      <c r="H23" s="46">
        <f>VLOOKUP(B23,ТМЦ!$B$3:$J$68,6,0)</f>
        <v>0</v>
      </c>
      <c r="I23" s="46">
        <f t="shared" si="4"/>
        <v>0</v>
      </c>
      <c r="J23" s="47"/>
      <c r="K23" s="46">
        <f>VLOOKUP(B23,ТМЦ!$B$3:$J$68,9,0)</f>
        <v>0</v>
      </c>
    </row>
    <row r="24" spans="1:11" x14ac:dyDescent="0.3">
      <c r="A24" s="41"/>
      <c r="B24" s="42" t="s">
        <v>48</v>
      </c>
      <c r="C24" s="47" t="s">
        <v>126</v>
      </c>
      <c r="D24" s="47" t="s">
        <v>127</v>
      </c>
      <c r="E24" s="44" t="s">
        <v>3</v>
      </c>
      <c r="F24" s="101">
        <v>90</v>
      </c>
      <c r="G24" s="45">
        <f t="shared" si="3"/>
        <v>90</v>
      </c>
      <c r="H24" s="46">
        <f>VLOOKUP(B24,ТМЦ!$B$3:$J$68,6,0)</f>
        <v>0</v>
      </c>
      <c r="I24" s="46">
        <f t="shared" si="4"/>
        <v>0</v>
      </c>
      <c r="J24" s="47"/>
      <c r="K24" s="46">
        <f>VLOOKUP(B24,ТМЦ!$B$3:$J$68,9,0)</f>
        <v>0</v>
      </c>
    </row>
    <row r="25" spans="1:11" x14ac:dyDescent="0.3">
      <c r="A25" s="41"/>
      <c r="B25" s="42" t="s">
        <v>50</v>
      </c>
      <c r="C25" s="47" t="s">
        <v>46</v>
      </c>
      <c r="D25" s="47" t="s">
        <v>45</v>
      </c>
      <c r="E25" s="44" t="s">
        <v>3</v>
      </c>
      <c r="F25" s="101">
        <v>650</v>
      </c>
      <c r="G25" s="45">
        <f t="shared" si="3"/>
        <v>650</v>
      </c>
      <c r="H25" s="46">
        <f>VLOOKUP(B25,ТМЦ!$B$3:$J$68,6,0)</f>
        <v>0</v>
      </c>
      <c r="I25" s="46">
        <f t="shared" ref="I25:I30" si="5">H25*G25</f>
        <v>0</v>
      </c>
      <c r="J25" s="47"/>
      <c r="K25" s="46">
        <f>VLOOKUP(B25,ТМЦ!$B$3:$J$68,9,0)</f>
        <v>0</v>
      </c>
    </row>
    <row r="26" spans="1:11" x14ac:dyDescent="0.3">
      <c r="A26" s="41"/>
      <c r="B26" s="42" t="s">
        <v>51</v>
      </c>
      <c r="C26" s="44" t="s">
        <v>42</v>
      </c>
      <c r="D26" s="43" t="s">
        <v>52</v>
      </c>
      <c r="E26" s="44" t="s">
        <v>3</v>
      </c>
      <c r="F26" s="101">
        <v>810</v>
      </c>
      <c r="G26" s="45">
        <f t="shared" si="3"/>
        <v>810</v>
      </c>
      <c r="H26" s="46">
        <f>VLOOKUP(B26,ТМЦ!$B$3:$J$68,6,0)</f>
        <v>0</v>
      </c>
      <c r="I26" s="46">
        <f t="shared" si="5"/>
        <v>0</v>
      </c>
      <c r="J26" s="47"/>
      <c r="K26" s="46">
        <f>VLOOKUP(B26,ТМЦ!$B$3:$J$68,9,0)</f>
        <v>0</v>
      </c>
    </row>
    <row r="27" spans="1:11" ht="27.6" x14ac:dyDescent="0.3">
      <c r="A27" s="41"/>
      <c r="B27" s="42" t="s">
        <v>58</v>
      </c>
      <c r="C27" s="44"/>
      <c r="D27" s="43" t="s">
        <v>147</v>
      </c>
      <c r="E27" s="44" t="s">
        <v>3</v>
      </c>
      <c r="F27" s="101">
        <v>650</v>
      </c>
      <c r="G27" s="45">
        <f t="shared" si="3"/>
        <v>650</v>
      </c>
      <c r="H27" s="46">
        <f>VLOOKUP(B27,ТМЦ!$B$3:$J$68,6,0)</f>
        <v>0</v>
      </c>
      <c r="I27" s="46">
        <f t="shared" si="5"/>
        <v>0</v>
      </c>
      <c r="J27" s="47"/>
      <c r="K27" s="46">
        <f>VLOOKUP(B27,ТМЦ!$B$3:$J$68,9,0)</f>
        <v>0</v>
      </c>
    </row>
    <row r="28" spans="1:11" ht="27.6" x14ac:dyDescent="0.3">
      <c r="A28" s="41"/>
      <c r="B28" s="42" t="s">
        <v>53</v>
      </c>
      <c r="C28" s="43"/>
      <c r="D28" s="43" t="s">
        <v>54</v>
      </c>
      <c r="E28" s="44" t="s">
        <v>3</v>
      </c>
      <c r="F28" s="101">
        <v>6200</v>
      </c>
      <c r="G28" s="45">
        <f t="shared" si="3"/>
        <v>6200</v>
      </c>
      <c r="H28" s="46">
        <f>VLOOKUP(B28,ТМЦ!$B$3:$J$68,6,0)</f>
        <v>0</v>
      </c>
      <c r="I28" s="46">
        <f t="shared" si="5"/>
        <v>0</v>
      </c>
      <c r="J28" s="47"/>
      <c r="K28" s="46">
        <f>VLOOKUP(B28,ТМЦ!$B$3:$J$68,9,0)</f>
        <v>0</v>
      </c>
    </row>
    <row r="29" spans="1:11" ht="27.6" x14ac:dyDescent="0.3">
      <c r="A29" s="41"/>
      <c r="B29" s="42" t="s">
        <v>55</v>
      </c>
      <c r="C29" s="47"/>
      <c r="D29" s="47" t="s">
        <v>56</v>
      </c>
      <c r="E29" s="44" t="s">
        <v>3</v>
      </c>
      <c r="F29" s="101">
        <v>480</v>
      </c>
      <c r="G29" s="45">
        <f t="shared" si="3"/>
        <v>480</v>
      </c>
      <c r="H29" s="46">
        <f>VLOOKUP(B29,ТМЦ!$B$3:$J$68,6,0)</f>
        <v>0</v>
      </c>
      <c r="I29" s="46">
        <f t="shared" si="5"/>
        <v>0</v>
      </c>
      <c r="J29" s="47"/>
      <c r="K29" s="46">
        <f>VLOOKUP(B29,ТМЦ!$B$3:$J$68,9,0)</f>
        <v>0</v>
      </c>
    </row>
    <row r="30" spans="1:11" ht="27.6" x14ac:dyDescent="0.3">
      <c r="A30" s="41"/>
      <c r="B30" s="42" t="s">
        <v>57</v>
      </c>
      <c r="C30" s="47"/>
      <c r="D30" s="47" t="s">
        <v>112</v>
      </c>
      <c r="E30" s="44" t="s">
        <v>3</v>
      </c>
      <c r="F30" s="101">
        <v>120</v>
      </c>
      <c r="G30" s="45">
        <f t="shared" si="3"/>
        <v>120</v>
      </c>
      <c r="H30" s="46">
        <f>VLOOKUP(B30,ТМЦ!$B$3:$J$68,6,0)</f>
        <v>0</v>
      </c>
      <c r="I30" s="46">
        <f t="shared" si="5"/>
        <v>0</v>
      </c>
      <c r="J30" s="47"/>
      <c r="K30" s="46">
        <f>VLOOKUP(B30,ТМЦ!$B$3:$J$68,9,0)</f>
        <v>0</v>
      </c>
    </row>
    <row r="31" spans="1:11" x14ac:dyDescent="0.3">
      <c r="A31" s="41"/>
      <c r="B31" s="42" t="s">
        <v>165</v>
      </c>
      <c r="C31" s="47"/>
      <c r="D31" s="49" t="s">
        <v>166</v>
      </c>
      <c r="E31" s="44" t="s">
        <v>3</v>
      </c>
      <c r="F31" s="101">
        <f>F30*0.1</f>
        <v>12</v>
      </c>
      <c r="G31" s="45">
        <f t="shared" ref="G31" si="6">SUM(F31:F31)</f>
        <v>12</v>
      </c>
      <c r="H31" s="46">
        <f>VLOOKUP(B31,ТМЦ!$B$3:$J$68,6,0)</f>
        <v>0</v>
      </c>
      <c r="I31" s="46">
        <f t="shared" ref="I31" si="7">H31*G31</f>
        <v>0</v>
      </c>
      <c r="J31" s="47"/>
      <c r="K31" s="46">
        <f>VLOOKUP(B31,ТМЦ!$B$3:$J$68,9,0)</f>
        <v>0</v>
      </c>
    </row>
    <row r="32" spans="1:11" ht="67.5" customHeight="1" x14ac:dyDescent="0.3">
      <c r="A32" s="41"/>
      <c r="B32" s="42" t="s">
        <v>170</v>
      </c>
      <c r="C32" s="43"/>
      <c r="D32" s="43"/>
      <c r="E32" s="44" t="s">
        <v>132</v>
      </c>
      <c r="F32" s="101"/>
      <c r="G32" s="45" t="e">
        <f>I32*100/I16</f>
        <v>#DIV/0!</v>
      </c>
      <c r="H32" s="46"/>
      <c r="I32" s="46">
        <f>SUM(I33:I39)</f>
        <v>0</v>
      </c>
      <c r="J32" s="47"/>
      <c r="K32" s="48"/>
    </row>
    <row r="33" spans="1:11" outlineLevel="1" x14ac:dyDescent="0.3">
      <c r="A33" s="50"/>
      <c r="B33" s="51" t="s">
        <v>103</v>
      </c>
      <c r="C33" s="52"/>
      <c r="D33" s="52" t="s">
        <v>104</v>
      </c>
      <c r="E33" s="53" t="s">
        <v>3</v>
      </c>
      <c r="F33" s="102">
        <v>20</v>
      </c>
      <c r="G33" s="54">
        <f t="shared" ref="G33:G39" si="8">SUM(F33:F33)</f>
        <v>20</v>
      </c>
      <c r="H33" s="55">
        <f>VLOOKUP(B33,ТМЦ!$B$3:$J$68,6,0)</f>
        <v>0</v>
      </c>
      <c r="I33" s="55">
        <f t="shared" si="4"/>
        <v>0</v>
      </c>
      <c r="J33" s="56"/>
      <c r="K33" s="57"/>
    </row>
    <row r="34" spans="1:11" outlineLevel="1" x14ac:dyDescent="0.3">
      <c r="A34" s="50"/>
      <c r="B34" s="58" t="s">
        <v>167</v>
      </c>
      <c r="C34" s="52"/>
      <c r="D34" s="52"/>
      <c r="E34" s="53" t="s">
        <v>2</v>
      </c>
      <c r="F34" s="102">
        <f>(F30/3)*0.1</f>
        <v>4</v>
      </c>
      <c r="G34" s="54">
        <f t="shared" si="8"/>
        <v>4</v>
      </c>
      <c r="H34" s="55">
        <f>VLOOKUP(B34,ТМЦ!$B$3:$J$68,6,0)</f>
        <v>0</v>
      </c>
      <c r="I34" s="55">
        <f>H34*G34</f>
        <v>0</v>
      </c>
      <c r="J34" s="56"/>
      <c r="K34" s="57"/>
    </row>
    <row r="35" spans="1:11" outlineLevel="1" x14ac:dyDescent="0.3">
      <c r="A35" s="50"/>
      <c r="B35" s="58" t="s">
        <v>168</v>
      </c>
      <c r="C35" s="52"/>
      <c r="D35" s="52"/>
      <c r="E35" s="53" t="s">
        <v>2</v>
      </c>
      <c r="F35" s="102">
        <f>F34</f>
        <v>4</v>
      </c>
      <c r="G35" s="54">
        <f t="shared" si="8"/>
        <v>4</v>
      </c>
      <c r="H35" s="55">
        <f>VLOOKUP(B35,ТМЦ!$B$3:$J$68,6,0)</f>
        <v>0</v>
      </c>
      <c r="I35" s="55">
        <f>H35*G35</f>
        <v>0</v>
      </c>
      <c r="J35" s="56"/>
      <c r="K35" s="57"/>
    </row>
    <row r="36" spans="1:11" outlineLevel="1" x14ac:dyDescent="0.3">
      <c r="A36" s="50"/>
      <c r="B36" s="58" t="s">
        <v>61</v>
      </c>
      <c r="C36" s="53"/>
      <c r="D36" s="52" t="s">
        <v>169</v>
      </c>
      <c r="E36" s="53" t="s">
        <v>2</v>
      </c>
      <c r="F36" s="102">
        <v>20</v>
      </c>
      <c r="G36" s="54">
        <f t="shared" si="8"/>
        <v>20</v>
      </c>
      <c r="H36" s="55">
        <f>VLOOKUP(B36,ТМЦ!$B$3:$J$68,6,0)</f>
        <v>0</v>
      </c>
      <c r="I36" s="55">
        <f>H36*G36</f>
        <v>0</v>
      </c>
      <c r="J36" s="56"/>
      <c r="K36" s="57"/>
    </row>
    <row r="37" spans="1:11" outlineLevel="1" x14ac:dyDescent="0.3">
      <c r="A37" s="50"/>
      <c r="B37" s="59" t="s">
        <v>59</v>
      </c>
      <c r="C37" s="53" t="s">
        <v>60</v>
      </c>
      <c r="D37" s="52">
        <v>53700</v>
      </c>
      <c r="E37" s="53" t="s">
        <v>2</v>
      </c>
      <c r="F37" s="102">
        <v>160</v>
      </c>
      <c r="G37" s="54">
        <f t="shared" si="8"/>
        <v>160</v>
      </c>
      <c r="H37" s="55">
        <f>VLOOKUP(B37,ТМЦ!$B$3:$J$68,6,0)</f>
        <v>0</v>
      </c>
      <c r="I37" s="55">
        <f>H37*G37</f>
        <v>0</v>
      </c>
      <c r="J37" s="56"/>
      <c r="K37" s="57"/>
    </row>
    <row r="38" spans="1:11" outlineLevel="1" x14ac:dyDescent="0.3">
      <c r="A38" s="50"/>
      <c r="B38" s="58" t="s">
        <v>190</v>
      </c>
      <c r="C38" s="53"/>
      <c r="D38" s="52" t="s">
        <v>62</v>
      </c>
      <c r="E38" s="53" t="s">
        <v>2</v>
      </c>
      <c r="F38" s="102">
        <v>50</v>
      </c>
      <c r="G38" s="54">
        <f t="shared" si="8"/>
        <v>50</v>
      </c>
      <c r="H38" s="55">
        <f>VLOOKUP(B38,ТМЦ!$B$3:$J$68,6,0)</f>
        <v>0</v>
      </c>
      <c r="I38" s="55">
        <f>H38*G38</f>
        <v>0</v>
      </c>
      <c r="J38" s="56"/>
      <c r="K38" s="57"/>
    </row>
    <row r="39" spans="1:11" outlineLevel="1" x14ac:dyDescent="0.3">
      <c r="A39" s="50"/>
      <c r="B39" s="58" t="s">
        <v>63</v>
      </c>
      <c r="C39" s="53"/>
      <c r="D39" s="52" t="s">
        <v>129</v>
      </c>
      <c r="E39" s="53" t="s">
        <v>2</v>
      </c>
      <c r="F39" s="102">
        <f>F30/3*2</f>
        <v>80</v>
      </c>
      <c r="G39" s="54">
        <f t="shared" si="8"/>
        <v>80</v>
      </c>
      <c r="H39" s="55">
        <f>VLOOKUP(B39,ТМЦ!$B$3:$J$68,6,0)</f>
        <v>0</v>
      </c>
      <c r="I39" s="55">
        <f t="shared" si="4"/>
        <v>0</v>
      </c>
      <c r="J39" s="56"/>
      <c r="K39" s="57"/>
    </row>
    <row r="40" spans="1:11" x14ac:dyDescent="0.3">
      <c r="A40" s="60" t="s">
        <v>28</v>
      </c>
      <c r="B40" s="24" t="s">
        <v>15</v>
      </c>
      <c r="C40" s="25"/>
      <c r="D40" s="25"/>
      <c r="E40" s="25"/>
      <c r="F40" s="26"/>
      <c r="G40" s="26"/>
      <c r="H40" s="26"/>
      <c r="I40" s="26"/>
      <c r="J40" s="26"/>
      <c r="K40" s="26"/>
    </row>
    <row r="41" spans="1:11" x14ac:dyDescent="0.3">
      <c r="A41" s="27" t="s">
        <v>176</v>
      </c>
      <c r="B41" s="28" t="s">
        <v>15</v>
      </c>
      <c r="C41" s="29"/>
      <c r="D41" s="29"/>
      <c r="E41" s="29"/>
      <c r="F41" s="30"/>
      <c r="G41" s="30"/>
      <c r="H41" s="30"/>
      <c r="I41" s="30">
        <f>I42+I44</f>
        <v>0</v>
      </c>
      <c r="J41" s="30"/>
      <c r="K41" s="30"/>
    </row>
    <row r="42" spans="1:11" x14ac:dyDescent="0.3">
      <c r="A42" s="31"/>
      <c r="B42" s="20" t="s">
        <v>12</v>
      </c>
      <c r="C42" s="32"/>
      <c r="D42" s="32"/>
      <c r="E42" s="32"/>
      <c r="F42" s="103"/>
      <c r="G42" s="22"/>
      <c r="H42" s="22"/>
      <c r="I42" s="22">
        <f>SUM(I43:I43)</f>
        <v>0</v>
      </c>
      <c r="J42" s="22"/>
      <c r="K42" s="22"/>
    </row>
    <row r="43" spans="1:11" x14ac:dyDescent="0.3">
      <c r="A43" s="31"/>
      <c r="B43" s="33" t="s">
        <v>178</v>
      </c>
      <c r="C43" s="34"/>
      <c r="D43" s="34"/>
      <c r="E43" s="34" t="s">
        <v>4</v>
      </c>
      <c r="F43" s="99">
        <v>1</v>
      </c>
      <c r="G43" s="22">
        <f>SUM(F43:F43)</f>
        <v>1</v>
      </c>
      <c r="H43" s="35">
        <f>VLOOKUP(B43,СМР!$B$3:$F$7,5,0)</f>
        <v>0</v>
      </c>
      <c r="I43" s="36">
        <f t="shared" ref="I43" si="9">H43*G43</f>
        <v>0</v>
      </c>
      <c r="J43" s="22"/>
      <c r="K43" s="22"/>
    </row>
    <row r="44" spans="1:11" x14ac:dyDescent="0.3">
      <c r="A44" s="37"/>
      <c r="B44" s="38" t="s">
        <v>13</v>
      </c>
      <c r="C44" s="39"/>
      <c r="D44" s="39"/>
      <c r="E44" s="39"/>
      <c r="F44" s="100"/>
      <c r="G44" s="40"/>
      <c r="H44" s="40"/>
      <c r="I44" s="40">
        <f>SUM(I45:I92)</f>
        <v>0</v>
      </c>
      <c r="J44" s="40"/>
      <c r="K44" s="40"/>
    </row>
    <row r="45" spans="1:11" x14ac:dyDescent="0.3">
      <c r="A45" s="41"/>
      <c r="B45" s="61" t="s">
        <v>111</v>
      </c>
      <c r="C45" s="43"/>
      <c r="D45" s="43" t="s">
        <v>64</v>
      </c>
      <c r="E45" s="44" t="s">
        <v>2</v>
      </c>
      <c r="F45" s="101">
        <v>5</v>
      </c>
      <c r="G45" s="45">
        <f t="shared" ref="G45:G74" si="10">SUM(F45:F45)</f>
        <v>5</v>
      </c>
      <c r="H45" s="46">
        <f>VLOOKUP(B45,ТМЦ!$B$3:$J$68,6,0)</f>
        <v>0</v>
      </c>
      <c r="I45" s="46">
        <f t="shared" ref="I45:I81" si="11">H45*G45</f>
        <v>0</v>
      </c>
      <c r="J45" s="47"/>
      <c r="K45" s="46">
        <f>VLOOKUP(B45,ТМЦ!$B$3:$J$68,9,0)</f>
        <v>0</v>
      </c>
    </row>
    <row r="46" spans="1:11" x14ac:dyDescent="0.3">
      <c r="A46" s="41"/>
      <c r="B46" s="61" t="s">
        <v>191</v>
      </c>
      <c r="C46" s="43"/>
      <c r="D46" s="43" t="s">
        <v>121</v>
      </c>
      <c r="E46" s="44" t="s">
        <v>2</v>
      </c>
      <c r="F46" s="101">
        <v>4</v>
      </c>
      <c r="G46" s="45">
        <f t="shared" si="10"/>
        <v>4</v>
      </c>
      <c r="H46" s="46">
        <f>VLOOKUP(B46,ТМЦ!$B$3:$J$68,6,0)</f>
        <v>0</v>
      </c>
      <c r="I46" s="46">
        <f t="shared" ref="I46" si="12">H46*G46</f>
        <v>0</v>
      </c>
      <c r="J46" s="47" t="s">
        <v>164</v>
      </c>
      <c r="K46" s="46">
        <f>VLOOKUP(B46,ТМЦ!$B$3:$J$68,9,0)</f>
        <v>0</v>
      </c>
    </row>
    <row r="47" spans="1:11" x14ac:dyDescent="0.3">
      <c r="A47" s="41"/>
      <c r="B47" s="42" t="s">
        <v>65</v>
      </c>
      <c r="C47" s="43"/>
      <c r="D47" s="43" t="s">
        <v>26</v>
      </c>
      <c r="E47" s="44" t="s">
        <v>2</v>
      </c>
      <c r="F47" s="101">
        <v>1</v>
      </c>
      <c r="G47" s="45">
        <f t="shared" si="10"/>
        <v>1</v>
      </c>
      <c r="H47" s="46">
        <f>VLOOKUP(B47,ТМЦ!$B$3:$J$68,6,0)</f>
        <v>0</v>
      </c>
      <c r="I47" s="46">
        <f t="shared" si="11"/>
        <v>0</v>
      </c>
      <c r="J47" s="47"/>
      <c r="K47" s="46">
        <f>VLOOKUP(B47,ТМЦ!$B$3:$J$68,9,0)</f>
        <v>0</v>
      </c>
    </row>
    <row r="48" spans="1:11" x14ac:dyDescent="0.3">
      <c r="A48" s="41"/>
      <c r="B48" s="42" t="s">
        <v>79</v>
      </c>
      <c r="C48" s="43"/>
      <c r="D48" s="43" t="s">
        <v>78</v>
      </c>
      <c r="E48" s="44" t="s">
        <v>2</v>
      </c>
      <c r="F48" s="101">
        <v>1</v>
      </c>
      <c r="G48" s="45">
        <f t="shared" si="10"/>
        <v>1</v>
      </c>
      <c r="H48" s="46">
        <f>VLOOKUP(B48,ТМЦ!$B$3:$J$68,6,0)</f>
        <v>0</v>
      </c>
      <c r="I48" s="46">
        <f t="shared" ref="I48" si="13">H48*G48</f>
        <v>0</v>
      </c>
      <c r="J48" s="47"/>
      <c r="K48" s="46">
        <f>VLOOKUP(B48,ТМЦ!$B$3:$J$68,9,0)</f>
        <v>0</v>
      </c>
    </row>
    <row r="49" spans="1:11" x14ac:dyDescent="0.3">
      <c r="A49" s="41"/>
      <c r="B49" s="42" t="s">
        <v>117</v>
      </c>
      <c r="C49" s="43"/>
      <c r="D49" s="43" t="s">
        <v>119</v>
      </c>
      <c r="E49" s="44" t="s">
        <v>2</v>
      </c>
      <c r="F49" s="101">
        <v>1</v>
      </c>
      <c r="G49" s="45">
        <f t="shared" si="10"/>
        <v>1</v>
      </c>
      <c r="H49" s="46">
        <f>VLOOKUP(B49,ТМЦ!$B$3:$J$68,6,0)</f>
        <v>0</v>
      </c>
      <c r="I49" s="46">
        <f t="shared" ref="I49" si="14">H49*G49</f>
        <v>0</v>
      </c>
      <c r="J49" s="47"/>
      <c r="K49" s="46">
        <f>VLOOKUP(B49,ТМЦ!$B$3:$J$68,9,0)</f>
        <v>0</v>
      </c>
    </row>
    <row r="50" spans="1:11" x14ac:dyDescent="0.3">
      <c r="A50" s="41"/>
      <c r="B50" s="61" t="s">
        <v>137</v>
      </c>
      <c r="C50" s="62" t="s">
        <v>136</v>
      </c>
      <c r="D50" s="62" t="s">
        <v>162</v>
      </c>
      <c r="E50" s="44" t="s">
        <v>2</v>
      </c>
      <c r="F50" s="101">
        <v>99</v>
      </c>
      <c r="G50" s="45">
        <f t="shared" si="10"/>
        <v>99</v>
      </c>
      <c r="H50" s="46">
        <f>VLOOKUP(B50,ТМЦ!$B$3:$J$68,6,0)</f>
        <v>0</v>
      </c>
      <c r="I50" s="46">
        <f t="shared" ref="I50" si="15">H50*G50</f>
        <v>0</v>
      </c>
      <c r="J50" s="47"/>
      <c r="K50" s="46">
        <f>VLOOKUP(B50,ТМЦ!$B$3:$J$68,9,0)</f>
        <v>0</v>
      </c>
    </row>
    <row r="51" spans="1:11" x14ac:dyDescent="0.3">
      <c r="A51" s="41"/>
      <c r="B51" s="61" t="s">
        <v>144</v>
      </c>
      <c r="C51" s="62" t="s">
        <v>136</v>
      </c>
      <c r="D51" s="62" t="s">
        <v>143</v>
      </c>
      <c r="E51" s="44" t="s">
        <v>2</v>
      </c>
      <c r="F51" s="101">
        <v>4</v>
      </c>
      <c r="G51" s="45">
        <f t="shared" si="10"/>
        <v>4</v>
      </c>
      <c r="H51" s="46">
        <f>VLOOKUP(B51,ТМЦ!$B$3:$J$68,6,0)</f>
        <v>0</v>
      </c>
      <c r="I51" s="46">
        <f t="shared" ref="I51" si="16">H51*G51</f>
        <v>0</v>
      </c>
      <c r="J51" s="47"/>
      <c r="K51" s="46">
        <f>VLOOKUP(B51,ТМЦ!$B$3:$J$68,9,0)</f>
        <v>0</v>
      </c>
    </row>
    <row r="52" spans="1:11" ht="27.6" x14ac:dyDescent="0.3">
      <c r="A52" s="41"/>
      <c r="B52" s="42" t="s">
        <v>66</v>
      </c>
      <c r="C52" s="43"/>
      <c r="D52" s="43" t="s">
        <v>83</v>
      </c>
      <c r="E52" s="44" t="s">
        <v>2</v>
      </c>
      <c r="F52" s="101">
        <v>1</v>
      </c>
      <c r="G52" s="45">
        <f t="shared" si="10"/>
        <v>1</v>
      </c>
      <c r="H52" s="46">
        <f>VLOOKUP(B52,ТМЦ!$B$3:$J$68,6,0)</f>
        <v>0</v>
      </c>
      <c r="I52" s="46">
        <f t="shared" si="11"/>
        <v>0</v>
      </c>
      <c r="J52" s="47"/>
      <c r="K52" s="46">
        <f>VLOOKUP(B52,ТМЦ!$B$3:$J$68,9,0)</f>
        <v>0</v>
      </c>
    </row>
    <row r="53" spans="1:11" ht="27.6" x14ac:dyDescent="0.3">
      <c r="A53" s="41"/>
      <c r="B53" s="42" t="s">
        <v>67</v>
      </c>
      <c r="C53" s="43"/>
      <c r="D53" s="43" t="s">
        <v>133</v>
      </c>
      <c r="E53" s="44" t="s">
        <v>2</v>
      </c>
      <c r="F53" s="101">
        <v>1</v>
      </c>
      <c r="G53" s="45">
        <f t="shared" si="10"/>
        <v>1</v>
      </c>
      <c r="H53" s="46">
        <f>VLOOKUP(B53,ТМЦ!$B$3:$J$68,6,0)</f>
        <v>0</v>
      </c>
      <c r="I53" s="46">
        <f t="shared" si="11"/>
        <v>0</v>
      </c>
      <c r="J53" s="47"/>
      <c r="K53" s="46">
        <f>VLOOKUP(B53,ТМЦ!$B$3:$J$68,9,0)</f>
        <v>0</v>
      </c>
    </row>
    <row r="54" spans="1:11" ht="27.6" x14ac:dyDescent="0.3">
      <c r="A54" s="41"/>
      <c r="B54" s="42" t="s">
        <v>131</v>
      </c>
      <c r="C54" s="43"/>
      <c r="D54" s="43" t="s">
        <v>84</v>
      </c>
      <c r="E54" s="44" t="s">
        <v>2</v>
      </c>
      <c r="F54" s="101">
        <v>3</v>
      </c>
      <c r="G54" s="45">
        <f t="shared" si="10"/>
        <v>3</v>
      </c>
      <c r="H54" s="46">
        <f>VLOOKUP(B54,ТМЦ!$B$3:$J$68,6,0)</f>
        <v>0</v>
      </c>
      <c r="I54" s="46">
        <f t="shared" ref="I54:I58" si="17">H54*G54</f>
        <v>0</v>
      </c>
      <c r="J54" s="47"/>
      <c r="K54" s="46">
        <f>VLOOKUP(B54,ТМЦ!$B$3:$J$68,9,0)</f>
        <v>0</v>
      </c>
    </row>
    <row r="55" spans="1:11" x14ac:dyDescent="0.3">
      <c r="A55" s="41"/>
      <c r="B55" s="42" t="s">
        <v>150</v>
      </c>
      <c r="C55" s="62"/>
      <c r="D55" s="62" t="s">
        <v>128</v>
      </c>
      <c r="E55" s="63" t="s">
        <v>2</v>
      </c>
      <c r="F55" s="104">
        <v>4</v>
      </c>
      <c r="G55" s="64">
        <f t="shared" si="10"/>
        <v>4</v>
      </c>
      <c r="H55" s="46">
        <f>VLOOKUP(B55,ТМЦ!$B$3:$J$68,6,0)</f>
        <v>0</v>
      </c>
      <c r="I55" s="46">
        <f t="shared" ref="I55" si="18">H55*G55</f>
        <v>0</v>
      </c>
      <c r="J55" s="47" t="s">
        <v>164</v>
      </c>
      <c r="K55" s="46">
        <f>VLOOKUP(B55,ТМЦ!$B$3:$J$68,9,0)</f>
        <v>0</v>
      </c>
    </row>
    <row r="56" spans="1:11" x14ac:dyDescent="0.3">
      <c r="A56" s="41"/>
      <c r="B56" s="42" t="s">
        <v>138</v>
      </c>
      <c r="C56" s="62" t="s">
        <v>136</v>
      </c>
      <c r="D56" s="62" t="s">
        <v>163</v>
      </c>
      <c r="E56" s="63" t="s">
        <v>2</v>
      </c>
      <c r="F56" s="104">
        <v>1</v>
      </c>
      <c r="G56" s="64">
        <f t="shared" si="10"/>
        <v>1</v>
      </c>
      <c r="H56" s="46">
        <f>VLOOKUP(B56,ТМЦ!$B$3:$J$68,6,0)</f>
        <v>0</v>
      </c>
      <c r="I56" s="46">
        <f t="shared" si="17"/>
        <v>0</v>
      </c>
      <c r="J56" s="47"/>
      <c r="K56" s="46">
        <f>VLOOKUP(B56,ТМЦ!$B$3:$J$68,9,0)</f>
        <v>0</v>
      </c>
    </row>
    <row r="57" spans="1:11" x14ac:dyDescent="0.3">
      <c r="A57" s="41"/>
      <c r="B57" s="42" t="s">
        <v>139</v>
      </c>
      <c r="C57" s="62" t="s">
        <v>136</v>
      </c>
      <c r="D57" s="62" t="s">
        <v>140</v>
      </c>
      <c r="E57" s="63" t="s">
        <v>2</v>
      </c>
      <c r="F57" s="104">
        <v>2</v>
      </c>
      <c r="G57" s="64">
        <f t="shared" si="10"/>
        <v>2</v>
      </c>
      <c r="H57" s="46">
        <f>VLOOKUP(B57,ТМЦ!$B$3:$J$68,6,0)</f>
        <v>0</v>
      </c>
      <c r="I57" s="46">
        <f t="shared" si="17"/>
        <v>0</v>
      </c>
      <c r="J57" s="47"/>
      <c r="K57" s="46">
        <f>VLOOKUP(B57,ТМЦ!$B$3:$J$68,9,0)</f>
        <v>0</v>
      </c>
    </row>
    <row r="58" spans="1:11" x14ac:dyDescent="0.3">
      <c r="A58" s="41"/>
      <c r="B58" s="42" t="s">
        <v>141</v>
      </c>
      <c r="C58" s="62" t="s">
        <v>136</v>
      </c>
      <c r="D58" s="62" t="s">
        <v>142</v>
      </c>
      <c r="E58" s="63" t="s">
        <v>2</v>
      </c>
      <c r="F58" s="104">
        <v>1</v>
      </c>
      <c r="G58" s="64">
        <f t="shared" si="10"/>
        <v>1</v>
      </c>
      <c r="H58" s="46">
        <f>VLOOKUP(B58,ТМЦ!$B$3:$J$68,6,0)</f>
        <v>0</v>
      </c>
      <c r="I58" s="46">
        <f t="shared" si="17"/>
        <v>0</v>
      </c>
      <c r="J58" s="47"/>
      <c r="K58" s="46">
        <f>VLOOKUP(B58,ТМЦ!$B$3:$J$68,9,0)</f>
        <v>0</v>
      </c>
    </row>
    <row r="59" spans="1:11" ht="41.4" x14ac:dyDescent="0.3">
      <c r="A59" s="41"/>
      <c r="B59" s="42" t="s">
        <v>68</v>
      </c>
      <c r="C59" s="62"/>
      <c r="D59" s="62" t="s">
        <v>85</v>
      </c>
      <c r="E59" s="63" t="s">
        <v>2</v>
      </c>
      <c r="F59" s="104">
        <v>786</v>
      </c>
      <c r="G59" s="64">
        <f t="shared" si="10"/>
        <v>786</v>
      </c>
      <c r="H59" s="46">
        <f>VLOOKUP(B59,ТМЦ!$B$3:$J$68,6,0)</f>
        <v>0</v>
      </c>
      <c r="I59" s="46">
        <f t="shared" si="11"/>
        <v>0</v>
      </c>
      <c r="J59" s="47"/>
      <c r="K59" s="46">
        <f>VLOOKUP(B59,ТМЦ!$B$3:$J$68,9,0)</f>
        <v>0</v>
      </c>
    </row>
    <row r="60" spans="1:11" ht="41.4" x14ac:dyDescent="0.3">
      <c r="A60" s="41"/>
      <c r="B60" s="42" t="s">
        <v>69</v>
      </c>
      <c r="C60" s="43"/>
      <c r="D60" s="43" t="s">
        <v>86</v>
      </c>
      <c r="E60" s="44" t="s">
        <v>2</v>
      </c>
      <c r="F60" s="101">
        <v>61</v>
      </c>
      <c r="G60" s="45">
        <f t="shared" si="10"/>
        <v>61</v>
      </c>
      <c r="H60" s="46">
        <f>VLOOKUP(B60,ТМЦ!$B$3:$J$68,6,0)</f>
        <v>0</v>
      </c>
      <c r="I60" s="46">
        <f t="shared" si="11"/>
        <v>0</v>
      </c>
      <c r="J60" s="47"/>
      <c r="K60" s="46">
        <f>VLOOKUP(B60,ТМЦ!$B$3:$J$68,9,0)</f>
        <v>0</v>
      </c>
    </row>
    <row r="61" spans="1:11" ht="27.6" x14ac:dyDescent="0.3">
      <c r="A61" s="41"/>
      <c r="B61" s="61" t="s">
        <v>70</v>
      </c>
      <c r="C61" s="43"/>
      <c r="D61" s="43" t="s">
        <v>91</v>
      </c>
      <c r="E61" s="44" t="s">
        <v>2</v>
      </c>
      <c r="F61" s="101">
        <v>616</v>
      </c>
      <c r="G61" s="45">
        <f t="shared" si="10"/>
        <v>616</v>
      </c>
      <c r="H61" s="46">
        <f>VLOOKUP(B61,ТМЦ!$B$3:$J$68,6,0)</f>
        <v>0</v>
      </c>
      <c r="I61" s="46">
        <f>H61*G61</f>
        <v>0</v>
      </c>
      <c r="J61" s="47"/>
      <c r="K61" s="46">
        <f>VLOOKUP(B61,ТМЦ!$B$3:$J$68,9,0)</f>
        <v>0</v>
      </c>
    </row>
    <row r="62" spans="1:11" ht="27.6" x14ac:dyDescent="0.3">
      <c r="A62" s="41"/>
      <c r="B62" s="61" t="s">
        <v>71</v>
      </c>
      <c r="C62" s="43"/>
      <c r="D62" s="43" t="s">
        <v>148</v>
      </c>
      <c r="E62" s="44" t="s">
        <v>2</v>
      </c>
      <c r="F62" s="101">
        <v>76</v>
      </c>
      <c r="G62" s="45">
        <f t="shared" si="10"/>
        <v>76</v>
      </c>
      <c r="H62" s="46">
        <f>VLOOKUP(B62,ТМЦ!$B$3:$J$68,6,0)</f>
        <v>0</v>
      </c>
      <c r="I62" s="46">
        <f t="shared" ref="I62" si="19">H62*G62</f>
        <v>0</v>
      </c>
      <c r="J62" s="47"/>
      <c r="K62" s="46">
        <f>VLOOKUP(B62,ТМЦ!$B$3:$J$68,9,0)</f>
        <v>0</v>
      </c>
    </row>
    <row r="63" spans="1:11" ht="41.4" x14ac:dyDescent="0.3">
      <c r="A63" s="41"/>
      <c r="B63" s="61" t="s">
        <v>122</v>
      </c>
      <c r="C63" s="43"/>
      <c r="D63" s="43" t="s">
        <v>151</v>
      </c>
      <c r="E63" s="44" t="s">
        <v>2</v>
      </c>
      <c r="F63" s="101">
        <v>17</v>
      </c>
      <c r="G63" s="45">
        <f t="shared" si="10"/>
        <v>17</v>
      </c>
      <c r="H63" s="46">
        <f>VLOOKUP(B63,ТМЦ!$B$3:$J$68,6,0)</f>
        <v>0</v>
      </c>
      <c r="I63" s="46">
        <f t="shared" ref="I63" si="20">H63*G63</f>
        <v>0</v>
      </c>
      <c r="J63" s="47" t="s">
        <v>164</v>
      </c>
      <c r="K63" s="46">
        <f>VLOOKUP(B63,ТМЦ!$B$3:$J$68,9,0)</f>
        <v>0</v>
      </c>
    </row>
    <row r="64" spans="1:11" ht="27.6" x14ac:dyDescent="0.3">
      <c r="A64" s="41"/>
      <c r="B64" s="61" t="s">
        <v>130</v>
      </c>
      <c r="C64" s="43"/>
      <c r="D64" s="43" t="s">
        <v>152</v>
      </c>
      <c r="E64" s="44" t="s">
        <v>2</v>
      </c>
      <c r="F64" s="101">
        <v>6</v>
      </c>
      <c r="G64" s="45">
        <f t="shared" si="10"/>
        <v>6</v>
      </c>
      <c r="H64" s="46">
        <f>VLOOKUP(B64,ТМЦ!$B$3:$J$68,6,0)</f>
        <v>0</v>
      </c>
      <c r="I64" s="46">
        <f t="shared" ref="I64" si="21">H64*G64</f>
        <v>0</v>
      </c>
      <c r="J64" s="47" t="s">
        <v>164</v>
      </c>
      <c r="K64" s="46">
        <f>VLOOKUP(B64,ТМЦ!$B$3:$J$68,9,0)</f>
        <v>0</v>
      </c>
    </row>
    <row r="65" spans="1:11" ht="27.6" x14ac:dyDescent="0.3">
      <c r="A65" s="41"/>
      <c r="B65" s="42" t="s">
        <v>72</v>
      </c>
      <c r="C65" s="43"/>
      <c r="D65" s="43" t="s">
        <v>90</v>
      </c>
      <c r="E65" s="44" t="s">
        <v>2</v>
      </c>
      <c r="F65" s="101">
        <v>61</v>
      </c>
      <c r="G65" s="45">
        <f t="shared" si="10"/>
        <v>61</v>
      </c>
      <c r="H65" s="46">
        <f>VLOOKUP(B65,ТМЦ!$B$3:$J$68,6,0)</f>
        <v>0</v>
      </c>
      <c r="I65" s="46">
        <f t="shared" si="11"/>
        <v>0</v>
      </c>
      <c r="J65" s="47"/>
      <c r="K65" s="46">
        <f>VLOOKUP(B65,ТМЦ!$B$3:$J$68,9,0)</f>
        <v>0</v>
      </c>
    </row>
    <row r="66" spans="1:11" ht="41.4" x14ac:dyDescent="0.3">
      <c r="A66" s="41"/>
      <c r="B66" s="61" t="s">
        <v>73</v>
      </c>
      <c r="C66" s="43"/>
      <c r="D66" s="43" t="s">
        <v>89</v>
      </c>
      <c r="E66" s="44" t="s">
        <v>2</v>
      </c>
      <c r="F66" s="101">
        <v>80</v>
      </c>
      <c r="G66" s="45">
        <f t="shared" si="10"/>
        <v>80</v>
      </c>
      <c r="H66" s="46">
        <f>VLOOKUP(B66,ТМЦ!$B$3:$J$68,6,0)</f>
        <v>0</v>
      </c>
      <c r="I66" s="46">
        <f t="shared" si="11"/>
        <v>0</v>
      </c>
      <c r="J66" s="47"/>
      <c r="K66" s="46">
        <f>VLOOKUP(B66,ТМЦ!$B$3:$J$68,9,0)</f>
        <v>0</v>
      </c>
    </row>
    <row r="67" spans="1:11" ht="27.6" x14ac:dyDescent="0.3">
      <c r="A67" s="41"/>
      <c r="B67" s="61" t="s">
        <v>123</v>
      </c>
      <c r="C67" s="43"/>
      <c r="D67" s="43" t="s">
        <v>153</v>
      </c>
      <c r="E67" s="44" t="s">
        <v>2</v>
      </c>
      <c r="F67" s="101">
        <v>4</v>
      </c>
      <c r="G67" s="45">
        <f t="shared" si="10"/>
        <v>4</v>
      </c>
      <c r="H67" s="46">
        <f>VLOOKUP(B67,ТМЦ!$B$3:$J$68,6,0)</f>
        <v>0</v>
      </c>
      <c r="I67" s="46">
        <f t="shared" ref="I67" si="22">H67*G67</f>
        <v>0</v>
      </c>
      <c r="J67" s="47" t="s">
        <v>164</v>
      </c>
      <c r="K67" s="46">
        <f>VLOOKUP(B67,ТМЦ!$B$3:$J$68,9,0)</f>
        <v>0</v>
      </c>
    </row>
    <row r="68" spans="1:11" ht="27.6" x14ac:dyDescent="0.3">
      <c r="A68" s="41"/>
      <c r="B68" s="61" t="s">
        <v>74</v>
      </c>
      <c r="C68" s="43"/>
      <c r="D68" s="43" t="s">
        <v>135</v>
      </c>
      <c r="E68" s="44" t="s">
        <v>2</v>
      </c>
      <c r="F68" s="101">
        <v>63</v>
      </c>
      <c r="G68" s="45">
        <f t="shared" si="10"/>
        <v>63</v>
      </c>
      <c r="H68" s="46">
        <f>VLOOKUP(B68,ТМЦ!$B$3:$J$68,6,0)</f>
        <v>0</v>
      </c>
      <c r="I68" s="46">
        <f t="shared" si="11"/>
        <v>0</v>
      </c>
      <c r="J68" s="47" t="s">
        <v>174</v>
      </c>
      <c r="K68" s="46">
        <f>VLOOKUP(B68,ТМЦ!$B$3:$J$68,9,0)</f>
        <v>0</v>
      </c>
    </row>
    <row r="69" spans="1:11" ht="27.6" x14ac:dyDescent="0.3">
      <c r="A69" s="41"/>
      <c r="B69" s="61" t="s">
        <v>88</v>
      </c>
      <c r="C69" s="43"/>
      <c r="D69" s="65" t="s">
        <v>87</v>
      </c>
      <c r="E69" s="44" t="s">
        <v>27</v>
      </c>
      <c r="F69" s="101">
        <v>5</v>
      </c>
      <c r="G69" s="45">
        <f t="shared" si="10"/>
        <v>5</v>
      </c>
      <c r="H69" s="46">
        <f>VLOOKUP(B69,ТМЦ!$B$3:$J$68,6,0)</f>
        <v>0</v>
      </c>
      <c r="I69" s="46">
        <f t="shared" si="11"/>
        <v>0</v>
      </c>
      <c r="J69" s="47" t="s">
        <v>164</v>
      </c>
      <c r="K69" s="46">
        <f>VLOOKUP(B69,ТМЦ!$B$3:$J$68,9,0)</f>
        <v>0</v>
      </c>
    </row>
    <row r="70" spans="1:11" ht="55.2" x14ac:dyDescent="0.3">
      <c r="A70" s="41"/>
      <c r="B70" s="61" t="s">
        <v>97</v>
      </c>
      <c r="C70" s="43"/>
      <c r="D70" s="62" t="s">
        <v>100</v>
      </c>
      <c r="E70" s="44" t="s">
        <v>2</v>
      </c>
      <c r="F70" s="101">
        <v>1</v>
      </c>
      <c r="G70" s="45">
        <f t="shared" si="10"/>
        <v>1</v>
      </c>
      <c r="H70" s="46">
        <f>VLOOKUP(B70,ТМЦ!$B$3:$J$68,6,0)</f>
        <v>0</v>
      </c>
      <c r="I70" s="46">
        <f t="shared" ref="I70:I72" si="23">H70*G70</f>
        <v>0</v>
      </c>
      <c r="J70" s="47"/>
      <c r="K70" s="46">
        <f>VLOOKUP(B70,ТМЦ!$B$3:$J$68,9,0)</f>
        <v>0</v>
      </c>
    </row>
    <row r="71" spans="1:11" ht="27.6" x14ac:dyDescent="0.3">
      <c r="A71" s="41"/>
      <c r="B71" s="61" t="s">
        <v>98</v>
      </c>
      <c r="C71" s="43"/>
      <c r="D71" s="62" t="s">
        <v>149</v>
      </c>
      <c r="E71" s="44" t="s">
        <v>27</v>
      </c>
      <c r="F71" s="101">
        <v>1</v>
      </c>
      <c r="G71" s="45">
        <f t="shared" si="10"/>
        <v>1</v>
      </c>
      <c r="H71" s="46">
        <f>VLOOKUP(B71,ТМЦ!$B$3:$J$68,6,0)</f>
        <v>0</v>
      </c>
      <c r="I71" s="46">
        <f t="shared" si="23"/>
        <v>0</v>
      </c>
      <c r="J71" s="47"/>
      <c r="K71" s="46">
        <f>VLOOKUP(B71,ТМЦ!$B$3:$J$68,9,0)</f>
        <v>0</v>
      </c>
    </row>
    <row r="72" spans="1:11" ht="41.4" x14ac:dyDescent="0.3">
      <c r="A72" s="41"/>
      <c r="B72" s="61" t="s">
        <v>99</v>
      </c>
      <c r="C72" s="43"/>
      <c r="D72" s="62" t="s">
        <v>110</v>
      </c>
      <c r="E72" s="44" t="s">
        <v>27</v>
      </c>
      <c r="F72" s="101">
        <v>4</v>
      </c>
      <c r="G72" s="45">
        <f t="shared" si="10"/>
        <v>4</v>
      </c>
      <c r="H72" s="46">
        <f>VLOOKUP(B72,ТМЦ!$B$3:$J$68,6,0)</f>
        <v>0</v>
      </c>
      <c r="I72" s="46">
        <f t="shared" si="23"/>
        <v>0</v>
      </c>
      <c r="J72" s="47"/>
      <c r="K72" s="46">
        <f>VLOOKUP(B72,ТМЦ!$B$3:$J$68,9,0)</f>
        <v>0</v>
      </c>
    </row>
    <row r="73" spans="1:11" x14ac:dyDescent="0.3">
      <c r="A73" s="41"/>
      <c r="B73" s="61" t="s">
        <v>116</v>
      </c>
      <c r="C73" s="43"/>
      <c r="D73" s="43" t="s">
        <v>118</v>
      </c>
      <c r="E73" s="44" t="s">
        <v>2</v>
      </c>
      <c r="F73" s="101">
        <v>38</v>
      </c>
      <c r="G73" s="45">
        <f t="shared" si="10"/>
        <v>38</v>
      </c>
      <c r="H73" s="46">
        <f>VLOOKUP(B73,ТМЦ!$B$3:$J$68,6,0)</f>
        <v>0</v>
      </c>
      <c r="I73" s="46">
        <f>H73*G73</f>
        <v>0</v>
      </c>
      <c r="J73" s="47"/>
      <c r="K73" s="46">
        <f>VLOOKUP(B73,ТМЦ!$B$3:$J$68,9,0)</f>
        <v>0</v>
      </c>
    </row>
    <row r="74" spans="1:11" x14ac:dyDescent="0.3">
      <c r="A74" s="41"/>
      <c r="B74" s="61" t="s">
        <v>192</v>
      </c>
      <c r="C74" s="62"/>
      <c r="D74" s="43" t="s">
        <v>95</v>
      </c>
      <c r="E74" s="44" t="s">
        <v>2</v>
      </c>
      <c r="F74" s="101">
        <v>12</v>
      </c>
      <c r="G74" s="45">
        <f t="shared" si="10"/>
        <v>12</v>
      </c>
      <c r="H74" s="46">
        <f>VLOOKUP(B74,ТМЦ!$B$3:$J$68,6,0)</f>
        <v>0</v>
      </c>
      <c r="I74" s="46">
        <f t="shared" si="11"/>
        <v>0</v>
      </c>
      <c r="J74" s="47"/>
      <c r="K74" s="46">
        <f>VLOOKUP(B74,ТМЦ!$B$3:$J$68,9,0)</f>
        <v>0</v>
      </c>
    </row>
    <row r="75" spans="1:11" x14ac:dyDescent="0.3">
      <c r="A75" s="41"/>
      <c r="B75" s="61" t="s">
        <v>75</v>
      </c>
      <c r="C75" s="43"/>
      <c r="D75" s="43" t="s">
        <v>92</v>
      </c>
      <c r="E75" s="44" t="s">
        <v>2</v>
      </c>
      <c r="F75" s="101">
        <v>6</v>
      </c>
      <c r="G75" s="45">
        <f t="shared" ref="G75:G92" si="24">SUM(F75:F75)</f>
        <v>6</v>
      </c>
      <c r="H75" s="46">
        <f>VLOOKUP(B75,ТМЦ!$B$3:$J$68,6,0)</f>
        <v>0</v>
      </c>
      <c r="I75" s="46">
        <f t="shared" si="11"/>
        <v>0</v>
      </c>
      <c r="J75" s="47"/>
      <c r="K75" s="46">
        <f>VLOOKUP(B75,ТМЦ!$B$3:$J$68,9,0)</f>
        <v>0</v>
      </c>
    </row>
    <row r="76" spans="1:11" ht="27.6" x14ac:dyDescent="0.3">
      <c r="A76" s="41"/>
      <c r="B76" s="61" t="s">
        <v>76</v>
      </c>
      <c r="C76" s="43"/>
      <c r="D76" s="43" t="s">
        <v>93</v>
      </c>
      <c r="E76" s="44" t="s">
        <v>2</v>
      </c>
      <c r="F76" s="101">
        <v>10</v>
      </c>
      <c r="G76" s="45">
        <f t="shared" si="24"/>
        <v>10</v>
      </c>
      <c r="H76" s="46">
        <f>VLOOKUP(B76,ТМЦ!$B$3:$J$68,6,0)</f>
        <v>0</v>
      </c>
      <c r="I76" s="46">
        <f t="shared" si="11"/>
        <v>0</v>
      </c>
      <c r="J76" s="47"/>
      <c r="K76" s="46">
        <f>VLOOKUP(B76,ТМЦ!$B$3:$J$68,9,0)</f>
        <v>0</v>
      </c>
    </row>
    <row r="77" spans="1:11" x14ac:dyDescent="0.3">
      <c r="A77" s="41"/>
      <c r="B77" s="61" t="s">
        <v>94</v>
      </c>
      <c r="C77" s="43"/>
      <c r="D77" s="43" t="s">
        <v>171</v>
      </c>
      <c r="E77" s="44" t="s">
        <v>2</v>
      </c>
      <c r="F77" s="101">
        <v>110</v>
      </c>
      <c r="G77" s="45">
        <f t="shared" si="24"/>
        <v>110</v>
      </c>
      <c r="H77" s="46">
        <f>VLOOKUP(B77,ТМЦ!$B$3:$J$68,6,0)</f>
        <v>0</v>
      </c>
      <c r="I77" s="46">
        <f t="shared" si="11"/>
        <v>0</v>
      </c>
      <c r="J77" s="47"/>
      <c r="K77" s="46">
        <f>VLOOKUP(B77,ТМЦ!$B$3:$J$68,9,0)</f>
        <v>0</v>
      </c>
    </row>
    <row r="78" spans="1:11" ht="27.6" x14ac:dyDescent="0.3">
      <c r="A78" s="41"/>
      <c r="B78" s="61" t="s">
        <v>77</v>
      </c>
      <c r="C78" s="43"/>
      <c r="D78" s="43" t="s">
        <v>96</v>
      </c>
      <c r="E78" s="44" t="s">
        <v>2</v>
      </c>
      <c r="F78" s="104">
        <v>202</v>
      </c>
      <c r="G78" s="45">
        <f t="shared" si="24"/>
        <v>202</v>
      </c>
      <c r="H78" s="46">
        <f>VLOOKUP(B78,ТМЦ!$B$3:$J$68,6,0)</f>
        <v>0</v>
      </c>
      <c r="I78" s="46">
        <f t="shared" si="11"/>
        <v>0</v>
      </c>
      <c r="J78" s="47" t="s">
        <v>175</v>
      </c>
      <c r="K78" s="46">
        <f>VLOOKUP(B78,ТМЦ!$B$3:$J$68,9,0)</f>
        <v>0</v>
      </c>
    </row>
    <row r="79" spans="1:11" x14ac:dyDescent="0.3">
      <c r="A79" s="41"/>
      <c r="B79" s="61" t="s">
        <v>107</v>
      </c>
      <c r="C79" s="43"/>
      <c r="D79" s="43" t="s">
        <v>172</v>
      </c>
      <c r="E79" s="44" t="s">
        <v>2</v>
      </c>
      <c r="F79" s="101">
        <v>3</v>
      </c>
      <c r="G79" s="45">
        <f t="shared" ref="G79" si="25">SUM(F79:F79)</f>
        <v>3</v>
      </c>
      <c r="H79" s="46">
        <f>VLOOKUP(B79,ТМЦ!$B$3:$J$68,6,0)</f>
        <v>0</v>
      </c>
      <c r="I79" s="46">
        <f t="shared" si="11"/>
        <v>0</v>
      </c>
      <c r="J79" s="47"/>
      <c r="K79" s="46">
        <f>VLOOKUP(B79,ТМЦ!$B$3:$J$68,9,0)</f>
        <v>0</v>
      </c>
    </row>
    <row r="80" spans="1:11" x14ac:dyDescent="0.3">
      <c r="A80" s="41"/>
      <c r="B80" s="61" t="s">
        <v>108</v>
      </c>
      <c r="C80" s="43"/>
      <c r="D80" s="43" t="s">
        <v>173</v>
      </c>
      <c r="E80" s="44" t="s">
        <v>2</v>
      </c>
      <c r="F80" s="101">
        <v>4</v>
      </c>
      <c r="G80" s="45">
        <f t="shared" si="24"/>
        <v>4</v>
      </c>
      <c r="H80" s="46">
        <f>VLOOKUP(B80,ТМЦ!$B$3:$J$68,6,0)</f>
        <v>0</v>
      </c>
      <c r="I80" s="46">
        <f t="shared" si="11"/>
        <v>0</v>
      </c>
      <c r="J80" s="47"/>
      <c r="K80" s="46">
        <f>VLOOKUP(B80,ТМЦ!$B$3:$J$68,9,0)</f>
        <v>0</v>
      </c>
    </row>
    <row r="81" spans="1:11" x14ac:dyDescent="0.3">
      <c r="A81" s="41"/>
      <c r="B81" s="61" t="s">
        <v>109</v>
      </c>
      <c r="C81" s="43"/>
      <c r="D81" s="43" t="s">
        <v>120</v>
      </c>
      <c r="E81" s="44" t="s">
        <v>2</v>
      </c>
      <c r="F81" s="101">
        <v>1</v>
      </c>
      <c r="G81" s="45">
        <f t="shared" si="24"/>
        <v>1</v>
      </c>
      <c r="H81" s="46">
        <f>VLOOKUP(B81,ТМЦ!$B$3:$J$68,6,0)</f>
        <v>0</v>
      </c>
      <c r="I81" s="46">
        <f t="shared" si="11"/>
        <v>0</v>
      </c>
      <c r="J81" s="47"/>
      <c r="K81" s="46">
        <f>VLOOKUP(B81,ТМЦ!$B$3:$J$68,9,0)</f>
        <v>0</v>
      </c>
    </row>
    <row r="82" spans="1:11" x14ac:dyDescent="0.3">
      <c r="A82" s="41"/>
      <c r="B82" s="61" t="s">
        <v>179</v>
      </c>
      <c r="C82" s="43"/>
      <c r="D82" s="43" t="s">
        <v>180</v>
      </c>
      <c r="E82" s="44" t="s">
        <v>2</v>
      </c>
      <c r="F82" s="101">
        <v>1</v>
      </c>
      <c r="G82" s="45">
        <f t="shared" ref="G82" si="26">SUM(F82:F82)</f>
        <v>1</v>
      </c>
      <c r="H82" s="46">
        <f>VLOOKUP(B82,ТМЦ!$B$3:$J$68,6,0)</f>
        <v>0</v>
      </c>
      <c r="I82" s="46">
        <f t="shared" ref="I82" si="27">H82*G82</f>
        <v>0</v>
      </c>
      <c r="J82" s="47"/>
      <c r="K82" s="46">
        <f>VLOOKUP(B82,ТМЦ!$B$3:$J$68,9,0)</f>
        <v>0</v>
      </c>
    </row>
    <row r="83" spans="1:11" x14ac:dyDescent="0.3">
      <c r="A83" s="41"/>
      <c r="B83" s="61" t="s">
        <v>80</v>
      </c>
      <c r="C83" s="43"/>
      <c r="D83" s="62" t="s">
        <v>101</v>
      </c>
      <c r="E83" s="44" t="s">
        <v>2</v>
      </c>
      <c r="F83" s="101">
        <v>10</v>
      </c>
      <c r="G83" s="45">
        <f t="shared" si="24"/>
        <v>10</v>
      </c>
      <c r="H83" s="46">
        <f>VLOOKUP(B83,ТМЦ!$B$3:$J$68,6,0)</f>
        <v>0</v>
      </c>
      <c r="I83" s="46">
        <f t="shared" ref="I83:I84" si="28">H83*G83</f>
        <v>0</v>
      </c>
      <c r="J83" s="47"/>
      <c r="K83" s="46">
        <f>VLOOKUP(B83,ТМЦ!$B$3:$J$68,9,0)</f>
        <v>0</v>
      </c>
    </row>
    <row r="84" spans="1:11" x14ac:dyDescent="0.3">
      <c r="A84" s="41"/>
      <c r="B84" s="61" t="s">
        <v>81</v>
      </c>
      <c r="C84" s="43"/>
      <c r="D84" s="62" t="s">
        <v>102</v>
      </c>
      <c r="E84" s="44" t="s">
        <v>2</v>
      </c>
      <c r="F84" s="101">
        <v>2</v>
      </c>
      <c r="G84" s="45">
        <f t="shared" si="24"/>
        <v>2</v>
      </c>
      <c r="H84" s="46">
        <f>VLOOKUP(B84,ТМЦ!$B$3:$J$68,6,0)</f>
        <v>0</v>
      </c>
      <c r="I84" s="46">
        <f t="shared" si="28"/>
        <v>0</v>
      </c>
      <c r="J84" s="47"/>
      <c r="K84" s="46">
        <f>VLOOKUP(B84,ТМЦ!$B$3:$J$68,9,0)</f>
        <v>0</v>
      </c>
    </row>
    <row r="85" spans="1:11" x14ac:dyDescent="0.3">
      <c r="A85" s="41"/>
      <c r="B85" s="61" t="s">
        <v>82</v>
      </c>
      <c r="C85" s="43"/>
      <c r="D85" s="62" t="s">
        <v>134</v>
      </c>
      <c r="E85" s="44" t="s">
        <v>2</v>
      </c>
      <c r="F85" s="101">
        <v>6</v>
      </c>
      <c r="G85" s="45">
        <f t="shared" si="24"/>
        <v>6</v>
      </c>
      <c r="H85" s="46">
        <f>VLOOKUP(B85,ТМЦ!$B$3:$J$68,6,0)</f>
        <v>0</v>
      </c>
      <c r="I85" s="46">
        <f t="shared" ref="I85:I86" si="29">H85*G85</f>
        <v>0</v>
      </c>
      <c r="J85" s="47"/>
      <c r="K85" s="46">
        <f>VLOOKUP(B85,ТМЦ!$B$3:$J$68,9,0)</f>
        <v>0</v>
      </c>
    </row>
    <row r="86" spans="1:11" ht="41.4" x14ac:dyDescent="0.3">
      <c r="A86" s="41"/>
      <c r="B86" s="61" t="s">
        <v>113</v>
      </c>
      <c r="C86" s="43" t="s">
        <v>105</v>
      </c>
      <c r="D86" s="43" t="s">
        <v>106</v>
      </c>
      <c r="E86" s="44" t="s">
        <v>2</v>
      </c>
      <c r="F86" s="101">
        <v>1</v>
      </c>
      <c r="G86" s="45">
        <f t="shared" si="24"/>
        <v>1</v>
      </c>
      <c r="H86" s="46">
        <f>VLOOKUP(B86,ТМЦ!$B$3:$J$68,6,0)</f>
        <v>0</v>
      </c>
      <c r="I86" s="46">
        <f t="shared" si="29"/>
        <v>0</v>
      </c>
      <c r="J86" s="47"/>
      <c r="K86" s="46">
        <f>VLOOKUP(B86,ТМЦ!$B$3:$J$68,9,0)</f>
        <v>0</v>
      </c>
    </row>
    <row r="87" spans="1:11" ht="41.4" x14ac:dyDescent="0.3">
      <c r="A87" s="41"/>
      <c r="B87" s="61" t="s">
        <v>114</v>
      </c>
      <c r="C87" s="43" t="s">
        <v>105</v>
      </c>
      <c r="D87" s="43" t="s">
        <v>115</v>
      </c>
      <c r="E87" s="44" t="s">
        <v>2</v>
      </c>
      <c r="F87" s="101">
        <v>1</v>
      </c>
      <c r="G87" s="45">
        <f t="shared" si="24"/>
        <v>1</v>
      </c>
      <c r="H87" s="46">
        <f>VLOOKUP(B87,ТМЦ!$B$3:$J$68,6,0)</f>
        <v>0</v>
      </c>
      <c r="I87" s="46">
        <f t="shared" ref="I87:I91" si="30">H87*G87</f>
        <v>0</v>
      </c>
      <c r="J87" s="47"/>
      <c r="K87" s="46">
        <f>VLOOKUP(B87,ТМЦ!$B$3:$J$68,9,0)</f>
        <v>0</v>
      </c>
    </row>
    <row r="88" spans="1:11" ht="41.4" x14ac:dyDescent="0.3">
      <c r="A88" s="41"/>
      <c r="B88" s="61" t="s">
        <v>154</v>
      </c>
      <c r="C88" s="43"/>
      <c r="D88" s="62" t="s">
        <v>157</v>
      </c>
      <c r="E88" s="44" t="s">
        <v>2</v>
      </c>
      <c r="F88" s="101">
        <f>F64+F60</f>
        <v>67</v>
      </c>
      <c r="G88" s="45">
        <f t="shared" si="24"/>
        <v>67</v>
      </c>
      <c r="H88" s="46">
        <f>VLOOKUP(B88,ТМЦ!$B$3:$J$68,6,0)</f>
        <v>0</v>
      </c>
      <c r="I88" s="46">
        <f t="shared" si="30"/>
        <v>0</v>
      </c>
      <c r="J88" s="47" t="s">
        <v>164</v>
      </c>
      <c r="K88" s="46">
        <f>VLOOKUP(B88,ТМЦ!$B$3:$J$68,9,0)</f>
        <v>0</v>
      </c>
    </row>
    <row r="89" spans="1:11" ht="27.6" x14ac:dyDescent="0.3">
      <c r="A89" s="41"/>
      <c r="B89" s="61" t="s">
        <v>155</v>
      </c>
      <c r="C89" s="43"/>
      <c r="D89" s="62" t="s">
        <v>158</v>
      </c>
      <c r="E89" s="44" t="s">
        <v>2</v>
      </c>
      <c r="F89" s="101">
        <f>F69+F50</f>
        <v>104</v>
      </c>
      <c r="G89" s="45">
        <f t="shared" si="24"/>
        <v>104</v>
      </c>
      <c r="H89" s="46">
        <f>VLOOKUP(B89,ТМЦ!$B$3:$J$68,6,0)</f>
        <v>0</v>
      </c>
      <c r="I89" s="46">
        <f t="shared" ref="I89" si="31">H89*G89</f>
        <v>0</v>
      </c>
      <c r="J89" s="47" t="s">
        <v>164</v>
      </c>
      <c r="K89" s="46">
        <f>VLOOKUP(B89,ТМЦ!$B$3:$J$68,9,0)</f>
        <v>0</v>
      </c>
    </row>
    <row r="90" spans="1:11" ht="41.4" x14ac:dyDescent="0.3">
      <c r="A90" s="41"/>
      <c r="B90" s="61" t="s">
        <v>156</v>
      </c>
      <c r="C90" s="43"/>
      <c r="D90" s="62" t="s">
        <v>159</v>
      </c>
      <c r="E90" s="44" t="s">
        <v>2</v>
      </c>
      <c r="F90" s="101">
        <f>F66+F67</f>
        <v>84</v>
      </c>
      <c r="G90" s="45">
        <f t="shared" si="24"/>
        <v>84</v>
      </c>
      <c r="H90" s="46">
        <f>VLOOKUP(B90,ТМЦ!$B$3:$J$68,6,0)</f>
        <v>0</v>
      </c>
      <c r="I90" s="46">
        <f t="shared" si="30"/>
        <v>0</v>
      </c>
      <c r="J90" s="47" t="s">
        <v>164</v>
      </c>
      <c r="K90" s="46">
        <f>VLOOKUP(B90,ТМЦ!$B$3:$J$68,9,0)</f>
        <v>0</v>
      </c>
    </row>
    <row r="91" spans="1:11" x14ac:dyDescent="0.3">
      <c r="A91" s="41"/>
      <c r="B91" s="61" t="s">
        <v>160</v>
      </c>
      <c r="C91" s="43"/>
      <c r="D91" s="62" t="s">
        <v>124</v>
      </c>
      <c r="E91" s="44" t="s">
        <v>2</v>
      </c>
      <c r="F91" s="101">
        <v>4</v>
      </c>
      <c r="G91" s="45">
        <f t="shared" si="24"/>
        <v>4</v>
      </c>
      <c r="H91" s="46">
        <f>VLOOKUP(B91,ТМЦ!$B$3:$J$68,6,0)</f>
        <v>0</v>
      </c>
      <c r="I91" s="46">
        <f t="shared" si="30"/>
        <v>0</v>
      </c>
      <c r="J91" s="47" t="s">
        <v>164</v>
      </c>
      <c r="K91" s="46">
        <f>VLOOKUP(B91,ТМЦ!$B$3:$J$68,9,0)</f>
        <v>0</v>
      </c>
    </row>
    <row r="92" spans="1:11" x14ac:dyDescent="0.3">
      <c r="A92" s="41"/>
      <c r="B92" s="61" t="s">
        <v>125</v>
      </c>
      <c r="C92" s="43"/>
      <c r="D92" s="62"/>
      <c r="E92" s="44" t="s">
        <v>2</v>
      </c>
      <c r="F92" s="101">
        <v>4</v>
      </c>
      <c r="G92" s="45">
        <f t="shared" si="24"/>
        <v>4</v>
      </c>
      <c r="H92" s="46">
        <f>VLOOKUP(B92,ТМЦ!$B$3:$J$68,6,0)</f>
        <v>0</v>
      </c>
      <c r="I92" s="46">
        <f t="shared" ref="I92" si="32">H92*G92</f>
        <v>0</v>
      </c>
      <c r="J92" s="47" t="s">
        <v>164</v>
      </c>
      <c r="K92" s="46">
        <f>VLOOKUP(B92,ТМЦ!$B$3:$J$68,9,0)</f>
        <v>0</v>
      </c>
    </row>
    <row r="93" spans="1:11" s="66" customFormat="1" x14ac:dyDescent="0.3">
      <c r="A93" s="23" t="s">
        <v>24</v>
      </c>
      <c r="B93" s="24" t="s">
        <v>5</v>
      </c>
      <c r="C93" s="25"/>
      <c r="D93" s="25"/>
      <c r="E93" s="25"/>
      <c r="F93" s="26"/>
      <c r="G93" s="26"/>
      <c r="H93" s="26"/>
      <c r="I93" s="26"/>
      <c r="J93" s="26"/>
      <c r="K93" s="26"/>
    </row>
    <row r="94" spans="1:11" s="66" customFormat="1" x14ac:dyDescent="0.3">
      <c r="A94" s="27" t="s">
        <v>25</v>
      </c>
      <c r="B94" s="67" t="s">
        <v>5</v>
      </c>
      <c r="C94" s="29"/>
      <c r="D94" s="29"/>
      <c r="E94" s="29"/>
      <c r="F94" s="30"/>
      <c r="G94" s="30"/>
      <c r="H94" s="30"/>
      <c r="I94" s="30">
        <f>I95+I97</f>
        <v>0</v>
      </c>
      <c r="J94" s="30"/>
      <c r="K94" s="30"/>
    </row>
    <row r="95" spans="1:11" s="69" customFormat="1" x14ac:dyDescent="0.3">
      <c r="A95" s="68"/>
      <c r="B95" s="20" t="s">
        <v>12</v>
      </c>
      <c r="C95" s="32"/>
      <c r="D95" s="32"/>
      <c r="E95" s="32"/>
      <c r="F95" s="103"/>
      <c r="G95" s="22"/>
      <c r="H95" s="22"/>
      <c r="I95" s="22">
        <f>SUM(I96:I96)</f>
        <v>0</v>
      </c>
      <c r="J95" s="22"/>
      <c r="K95" s="22"/>
    </row>
    <row r="96" spans="1:11" s="69" customFormat="1" x14ac:dyDescent="0.3">
      <c r="A96" s="68"/>
      <c r="B96" s="33" t="s">
        <v>177</v>
      </c>
      <c r="C96" s="34"/>
      <c r="D96" s="34"/>
      <c r="E96" s="34" t="s">
        <v>4</v>
      </c>
      <c r="F96" s="99">
        <v>1</v>
      </c>
      <c r="G96" s="22">
        <v>1</v>
      </c>
      <c r="H96" s="35">
        <f>VLOOKUP(B96,СМР!$B$3:$F$7,5,0)</f>
        <v>0</v>
      </c>
      <c r="I96" s="36">
        <f>H96*G96</f>
        <v>0</v>
      </c>
      <c r="J96" s="35"/>
      <c r="K96" s="22"/>
    </row>
    <row r="97" spans="1:11" s="69" customFormat="1" x14ac:dyDescent="0.3">
      <c r="A97" s="70"/>
      <c r="B97" s="38" t="s">
        <v>13</v>
      </c>
      <c r="C97" s="39"/>
      <c r="D97" s="39"/>
      <c r="E97" s="39"/>
      <c r="F97" s="100"/>
      <c r="G97" s="40"/>
      <c r="H97" s="40"/>
      <c r="I97" s="40">
        <f>SUM(I98:I98)</f>
        <v>0</v>
      </c>
      <c r="J97" s="40"/>
      <c r="K97" s="40"/>
    </row>
    <row r="98" spans="1:11" s="69" customFormat="1" x14ac:dyDescent="0.3">
      <c r="A98" s="71"/>
      <c r="B98" s="72" t="s">
        <v>18</v>
      </c>
      <c r="C98" s="71"/>
      <c r="D98" s="73"/>
      <c r="E98" s="71"/>
      <c r="F98" s="105"/>
      <c r="G98" s="106"/>
      <c r="H98" s="74"/>
      <c r="I98" s="74">
        <f>H98*G98</f>
        <v>0</v>
      </c>
      <c r="J98" s="75"/>
      <c r="K98" s="75"/>
    </row>
    <row r="99" spans="1:11" x14ac:dyDescent="0.3">
      <c r="A99" s="27"/>
      <c r="B99" s="112" t="s">
        <v>194</v>
      </c>
      <c r="C99" s="113"/>
      <c r="D99" s="113"/>
      <c r="E99" s="113"/>
      <c r="F99" s="113"/>
      <c r="G99" s="113"/>
      <c r="H99" s="114"/>
      <c r="I99" s="76">
        <f>SUM(I94,I41,I15)</f>
        <v>0</v>
      </c>
      <c r="J99" s="77"/>
      <c r="K99" s="76"/>
    </row>
    <row r="100" spans="1:11" x14ac:dyDescent="0.3">
      <c r="A100" s="78"/>
      <c r="B100" s="115" t="s">
        <v>16</v>
      </c>
      <c r="C100" s="116"/>
      <c r="D100" s="116"/>
      <c r="E100" s="116"/>
      <c r="F100" s="116"/>
      <c r="G100" s="116"/>
      <c r="H100" s="117"/>
      <c r="I100" s="108">
        <f>SUMIF($B$12:$B$98,"Работа:",I$12:I$98)</f>
        <v>0</v>
      </c>
      <c r="J100" s="80"/>
      <c r="K100" s="79"/>
    </row>
    <row r="101" spans="1:11" x14ac:dyDescent="0.3">
      <c r="A101" s="78"/>
      <c r="B101" s="115" t="s">
        <v>17</v>
      </c>
      <c r="C101" s="116"/>
      <c r="D101" s="116"/>
      <c r="E101" s="116"/>
      <c r="F101" s="116"/>
      <c r="G101" s="116"/>
      <c r="H101" s="117"/>
      <c r="I101" s="108">
        <f>SUMIF($B$12:$B$98,"Материалы:",I$12:I$98)</f>
        <v>0</v>
      </c>
      <c r="J101" s="80"/>
      <c r="K101" s="79"/>
    </row>
    <row r="102" spans="1:11" x14ac:dyDescent="0.3">
      <c r="A102" s="78"/>
      <c r="B102" s="115" t="s">
        <v>195</v>
      </c>
      <c r="C102" s="116"/>
      <c r="D102" s="116"/>
      <c r="E102" s="116"/>
      <c r="F102" s="116"/>
      <c r="G102" s="116"/>
      <c r="H102" s="117"/>
      <c r="I102" s="109">
        <f>I99*22/122</f>
        <v>0</v>
      </c>
      <c r="J102" s="80"/>
      <c r="K102" s="80"/>
    </row>
    <row r="105" spans="1:11" x14ac:dyDescent="0.3">
      <c r="A105" s="3"/>
      <c r="B105" s="81" t="s">
        <v>34</v>
      </c>
      <c r="C105" s="2"/>
      <c r="G105" s="8"/>
      <c r="H105" s="3"/>
      <c r="J105" s="82"/>
      <c r="K105" s="5"/>
    </row>
    <row r="106" spans="1:11" ht="41.25" customHeight="1" x14ac:dyDescent="0.3">
      <c r="A106" s="83" t="s">
        <v>18</v>
      </c>
      <c r="B106" s="110" t="s">
        <v>35</v>
      </c>
      <c r="C106" s="110"/>
      <c r="D106" s="110"/>
      <c r="E106" s="110"/>
      <c r="F106" s="110"/>
      <c r="G106" s="110"/>
      <c r="H106" s="110"/>
      <c r="I106" s="110"/>
      <c r="J106" s="110"/>
      <c r="K106" s="84"/>
    </row>
    <row r="107" spans="1:11" ht="63.75" customHeight="1" x14ac:dyDescent="0.3">
      <c r="A107" s="66" t="s">
        <v>18</v>
      </c>
      <c r="B107" s="110" t="s">
        <v>36</v>
      </c>
      <c r="C107" s="110"/>
      <c r="D107" s="110"/>
      <c r="E107" s="110"/>
      <c r="F107" s="110"/>
      <c r="G107" s="110"/>
      <c r="H107" s="110"/>
      <c r="I107" s="110"/>
      <c r="J107" s="110"/>
      <c r="K107" s="85"/>
    </row>
    <row r="108" spans="1:11" x14ac:dyDescent="0.3">
      <c r="A108" s="83" t="s">
        <v>18</v>
      </c>
      <c r="B108" s="111" t="s">
        <v>37</v>
      </c>
      <c r="C108" s="111"/>
      <c r="D108" s="111"/>
      <c r="E108" s="111"/>
      <c r="F108" s="111"/>
      <c r="G108" s="111"/>
      <c r="H108" s="111"/>
      <c r="I108" s="111"/>
      <c r="J108" s="111"/>
      <c r="K108" s="86"/>
    </row>
  </sheetData>
  <sheetProtection selectLockedCells="1" selectUnlockedCells="1"/>
  <autoFilter ref="A11:K102" xr:uid="{35A7AD4C-B39D-4DD7-B17C-D62EDF171B52}"/>
  <mergeCells count="7">
    <mergeCell ref="B106:J106"/>
    <mergeCell ref="B107:J107"/>
    <mergeCell ref="B108:J108"/>
    <mergeCell ref="B99:H99"/>
    <mergeCell ref="B100:H100"/>
    <mergeCell ref="B101:H101"/>
    <mergeCell ref="B102:H102"/>
  </mergeCells>
  <phoneticPr fontId="5" type="noConversion"/>
  <conditionalFormatting sqref="D35">
    <cfRule type="duplicateValues" dxfId="4" priority="3"/>
  </conditionalFormatting>
  <conditionalFormatting sqref="K21:K31">
    <cfRule type="cellIs" dxfId="3" priority="1" operator="equal">
      <formula>0</formula>
    </cfRule>
  </conditionalFormatting>
  <conditionalFormatting sqref="K45:K92">
    <cfRule type="cellIs" dxfId="2" priority="2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F17D6-5946-471F-AD56-F56F3119B4E3}">
  <dimension ref="A1:K14"/>
  <sheetViews>
    <sheetView workbookViewId="0">
      <pane xSplit="8" ySplit="2" topLeftCell="I3" activePane="bottomRight" state="frozen"/>
      <selection activeCell="F3" sqref="F3:F10"/>
      <selection pane="topRight" activeCell="F3" sqref="F3:F10"/>
      <selection pane="bottomLeft" activeCell="F3" sqref="F3:F10"/>
      <selection pane="bottomRight" activeCell="C8" sqref="C8"/>
    </sheetView>
  </sheetViews>
  <sheetFormatPr defaultRowHeight="13.8" x14ac:dyDescent="0.3"/>
  <cols>
    <col min="1" max="1" width="7.44140625" style="3" customWidth="1"/>
    <col min="2" max="2" width="26.21875" style="3" customWidth="1"/>
    <col min="3" max="3" width="30.5546875" style="3" customWidth="1"/>
    <col min="4" max="6" width="8.88671875" style="3"/>
    <col min="7" max="7" width="15" style="3" customWidth="1"/>
    <col min="8" max="8" width="17.44140625" style="3" customWidth="1"/>
    <col min="9" max="16384" width="8.88671875" style="3"/>
  </cols>
  <sheetData>
    <row r="1" spans="1:11" x14ac:dyDescent="0.3">
      <c r="A1" s="3" t="s">
        <v>185</v>
      </c>
    </row>
    <row r="2" spans="1:11" x14ac:dyDescent="0.3">
      <c r="A2" s="87" t="s">
        <v>186</v>
      </c>
      <c r="B2" s="88" t="s">
        <v>1</v>
      </c>
      <c r="C2" s="88" t="s">
        <v>21</v>
      </c>
      <c r="D2" s="88" t="s">
        <v>9</v>
      </c>
      <c r="E2" s="89" t="s">
        <v>145</v>
      </c>
      <c r="F2" s="40" t="s">
        <v>6</v>
      </c>
      <c r="G2" s="40" t="s">
        <v>7</v>
      </c>
      <c r="H2" s="40" t="s">
        <v>8</v>
      </c>
    </row>
    <row r="3" spans="1:11" x14ac:dyDescent="0.3">
      <c r="A3" s="48">
        <f>ROW()-2</f>
        <v>1</v>
      </c>
      <c r="B3" s="87" t="s">
        <v>14</v>
      </c>
      <c r="C3" s="87"/>
      <c r="D3" s="48" t="s">
        <v>3</v>
      </c>
      <c r="E3" s="46">
        <f>SUMIF(ЛСР!$B$12:$B$98,СМР!B3,ЛСР!$F$12:$F$98)</f>
        <v>13900</v>
      </c>
      <c r="F3" s="46"/>
      <c r="G3" s="46">
        <f>F3*E3</f>
        <v>0</v>
      </c>
      <c r="H3" s="87"/>
    </row>
    <row r="4" spans="1:11" x14ac:dyDescent="0.3">
      <c r="A4" s="48">
        <f t="shared" ref="A4:A7" si="0">ROW()-2</f>
        <v>2</v>
      </c>
      <c r="B4" s="87" t="s">
        <v>39</v>
      </c>
      <c r="C4" s="90"/>
      <c r="D4" s="48" t="s">
        <v>3</v>
      </c>
      <c r="E4" s="46">
        <f>SUMIF(ЛСР!$B$12:$B$98,СМР!B4,ЛСР!$F$12:$F$98)</f>
        <v>650</v>
      </c>
      <c r="F4" s="46"/>
      <c r="G4" s="46">
        <f t="shared" ref="G4:G7" si="1">F4*E4</f>
        <v>0</v>
      </c>
      <c r="H4" s="87"/>
    </row>
    <row r="5" spans="1:11" x14ac:dyDescent="0.3">
      <c r="A5" s="48">
        <f t="shared" si="0"/>
        <v>3</v>
      </c>
      <c r="B5" s="91" t="s">
        <v>196</v>
      </c>
      <c r="C5" s="90"/>
      <c r="D5" s="48" t="s">
        <v>3</v>
      </c>
      <c r="E5" s="46">
        <f>SUMIF(ЛСР!$B$12:$B$98,СМР!B5,ЛСР!$F$12:$F$98)</f>
        <v>6812</v>
      </c>
      <c r="F5" s="46"/>
      <c r="G5" s="46">
        <f t="shared" si="1"/>
        <v>0</v>
      </c>
      <c r="H5" s="87"/>
    </row>
    <row r="6" spans="1:11" x14ac:dyDescent="0.3">
      <c r="A6" s="48">
        <f t="shared" si="0"/>
        <v>4</v>
      </c>
      <c r="B6" s="87" t="s">
        <v>178</v>
      </c>
      <c r="C6" s="87"/>
      <c r="D6" s="48" t="s">
        <v>4</v>
      </c>
      <c r="E6" s="46">
        <f>SUMIF(ЛСР!$B$12:$B$98,СМР!B6,ЛСР!$F$12:$F$98)</f>
        <v>1</v>
      </c>
      <c r="F6" s="46"/>
      <c r="G6" s="46">
        <f t="shared" si="1"/>
        <v>0</v>
      </c>
      <c r="H6" s="87"/>
    </row>
    <row r="7" spans="1:11" x14ac:dyDescent="0.3">
      <c r="A7" s="48">
        <f t="shared" si="0"/>
        <v>5</v>
      </c>
      <c r="B7" s="87" t="s">
        <v>177</v>
      </c>
      <c r="C7" s="87"/>
      <c r="D7" s="48" t="s">
        <v>4</v>
      </c>
      <c r="E7" s="46">
        <f>SUMIF(ЛСР!$B$12:$B$98,СМР!B7,ЛСР!$F$12:$F$98)</f>
        <v>1</v>
      </c>
      <c r="F7" s="46"/>
      <c r="G7" s="46">
        <f t="shared" si="1"/>
        <v>0</v>
      </c>
      <c r="H7" s="87"/>
    </row>
    <row r="8" spans="1:11" x14ac:dyDescent="0.3">
      <c r="F8" s="92" t="s">
        <v>187</v>
      </c>
      <c r="G8" s="93">
        <f>SUM(G3:G7)</f>
        <v>0</v>
      </c>
    </row>
    <row r="9" spans="1:11" x14ac:dyDescent="0.3">
      <c r="F9" s="92" t="s">
        <v>188</v>
      </c>
      <c r="G9" s="94">
        <f>G8-ЛСР!I100</f>
        <v>0</v>
      </c>
    </row>
    <row r="11" spans="1:11" x14ac:dyDescent="0.3">
      <c r="B11" s="81" t="s">
        <v>34</v>
      </c>
      <c r="C11" s="81"/>
      <c r="D11" s="2"/>
      <c r="G11" s="8"/>
      <c r="I11" s="5"/>
      <c r="J11" s="82"/>
      <c r="K11" s="5"/>
    </row>
    <row r="12" spans="1:11" ht="41.25" customHeight="1" x14ac:dyDescent="0.3">
      <c r="A12" s="83" t="s">
        <v>18</v>
      </c>
      <c r="B12" s="118" t="s">
        <v>35</v>
      </c>
      <c r="C12" s="118"/>
      <c r="D12" s="118"/>
      <c r="E12" s="118"/>
      <c r="F12" s="118"/>
      <c r="G12" s="118"/>
      <c r="H12" s="118"/>
      <c r="I12" s="95"/>
      <c r="J12" s="95"/>
      <c r="K12" s="96"/>
    </row>
    <row r="13" spans="1:11" ht="73.2" customHeight="1" x14ac:dyDescent="0.3">
      <c r="A13" s="66" t="s">
        <v>18</v>
      </c>
      <c r="B13" s="118" t="s">
        <v>36</v>
      </c>
      <c r="C13" s="118"/>
      <c r="D13" s="118"/>
      <c r="E13" s="118"/>
      <c r="F13" s="118"/>
      <c r="G13" s="118"/>
      <c r="H13" s="118"/>
      <c r="I13" s="95"/>
      <c r="J13" s="95"/>
      <c r="K13" s="97"/>
    </row>
    <row r="14" spans="1:11" ht="13.8" customHeight="1" x14ac:dyDescent="0.3">
      <c r="A14" s="83" t="s">
        <v>18</v>
      </c>
      <c r="B14" s="98" t="s">
        <v>37</v>
      </c>
      <c r="C14" s="98"/>
      <c r="D14" s="98"/>
      <c r="E14" s="98"/>
      <c r="F14" s="98"/>
      <c r="G14" s="98"/>
      <c r="H14" s="98"/>
      <c r="I14" s="98"/>
      <c r="J14" s="98"/>
      <c r="K14" s="86"/>
    </row>
  </sheetData>
  <mergeCells count="2">
    <mergeCell ref="B12:H12"/>
    <mergeCell ref="B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F3823-1D19-4E12-B782-1270E35D8960}">
  <dimension ref="A1:K75"/>
  <sheetViews>
    <sheetView workbookViewId="0">
      <pane xSplit="10" ySplit="2" topLeftCell="K3" activePane="bottomRight" state="frozen"/>
      <selection activeCell="F3" sqref="F3:F10"/>
      <selection pane="topRight" activeCell="F3" sqref="F3:F10"/>
      <selection pane="bottomLeft" activeCell="F3" sqref="F3:F10"/>
      <selection pane="bottomRight" activeCell="I3" sqref="I3:I68"/>
    </sheetView>
  </sheetViews>
  <sheetFormatPr defaultRowHeight="13.8" x14ac:dyDescent="0.3"/>
  <cols>
    <col min="1" max="1" width="8.88671875" style="3"/>
    <col min="2" max="2" width="35.6640625" style="3" customWidth="1"/>
    <col min="3" max="3" width="14.109375" style="3" customWidth="1"/>
    <col min="4" max="4" width="33.77734375" style="3" customWidth="1"/>
    <col min="5" max="7" width="8.88671875" style="3"/>
    <col min="8" max="8" width="15.88671875" style="3" customWidth="1"/>
    <col min="9" max="9" width="19.33203125" style="3" customWidth="1"/>
    <col min="10" max="10" width="17.88671875" style="3" customWidth="1"/>
    <col min="11" max="16384" width="8.88671875" style="3"/>
  </cols>
  <sheetData>
    <row r="1" spans="1:10" x14ac:dyDescent="0.3">
      <c r="A1" s="3" t="s">
        <v>189</v>
      </c>
    </row>
    <row r="2" spans="1:10" ht="27.6" x14ac:dyDescent="0.3">
      <c r="A2" s="11" t="s">
        <v>186</v>
      </c>
      <c r="B2" s="88" t="s">
        <v>1</v>
      </c>
      <c r="C2" s="88" t="s">
        <v>20</v>
      </c>
      <c r="D2" s="88" t="s">
        <v>21</v>
      </c>
      <c r="E2" s="88" t="s">
        <v>9</v>
      </c>
      <c r="F2" s="89" t="s">
        <v>145</v>
      </c>
      <c r="G2" s="40" t="s">
        <v>6</v>
      </c>
      <c r="H2" s="40" t="s">
        <v>7</v>
      </c>
      <c r="I2" s="40" t="s">
        <v>8</v>
      </c>
      <c r="J2" s="40" t="s">
        <v>38</v>
      </c>
    </row>
    <row r="3" spans="1:10" ht="27.6" x14ac:dyDescent="0.3">
      <c r="A3" s="48">
        <f>ROW()-2</f>
        <v>1</v>
      </c>
      <c r="B3" s="107" t="s">
        <v>41</v>
      </c>
      <c r="C3" s="48" t="s">
        <v>42</v>
      </c>
      <c r="D3" s="47" t="s">
        <v>40</v>
      </c>
      <c r="E3" s="47" t="s">
        <v>3</v>
      </c>
      <c r="F3" s="46">
        <f>SUMIF(ЛСР!$B$12:$B$98,B3,ЛСР!$F$12:$F$98)</f>
        <v>8900</v>
      </c>
      <c r="G3" s="46"/>
      <c r="H3" s="46">
        <f>G3*F3</f>
        <v>0</v>
      </c>
      <c r="I3" s="47">
        <f>VLOOKUP(B3,ЛСР!$B$12:$J$98,9,0)</f>
        <v>0</v>
      </c>
      <c r="J3" s="48"/>
    </row>
    <row r="4" spans="1:10" ht="27.6" x14ac:dyDescent="0.3">
      <c r="A4" s="48">
        <f t="shared" ref="A4:A67" si="0">ROW()-2</f>
        <v>2</v>
      </c>
      <c r="B4" s="107" t="s">
        <v>44</v>
      </c>
      <c r="C4" s="48" t="s">
        <v>42</v>
      </c>
      <c r="D4" s="47" t="s">
        <v>43</v>
      </c>
      <c r="E4" s="47" t="s">
        <v>3</v>
      </c>
      <c r="F4" s="46">
        <f>SUMIF(ЛСР!$B$12:$B$98,B4,ЛСР!$F$12:$F$98)</f>
        <v>3200</v>
      </c>
      <c r="G4" s="46"/>
      <c r="H4" s="46">
        <f t="shared" ref="H4:H67" si="1">G4*F4</f>
        <v>0</v>
      </c>
      <c r="I4" s="47">
        <f>VLOOKUP(B4,ЛСР!$B$12:$J$98,9,0)</f>
        <v>0</v>
      </c>
      <c r="J4" s="48"/>
    </row>
    <row r="5" spans="1:10" ht="27.6" x14ac:dyDescent="0.3">
      <c r="A5" s="48">
        <f t="shared" si="0"/>
        <v>3</v>
      </c>
      <c r="B5" s="107" t="s">
        <v>47</v>
      </c>
      <c r="C5" s="48" t="s">
        <v>42</v>
      </c>
      <c r="D5" s="47" t="s">
        <v>49</v>
      </c>
      <c r="E5" s="47" t="s">
        <v>3</v>
      </c>
      <c r="F5" s="46">
        <f>SUMIF(ЛСР!$B$12:$B$98,B5,ЛСР!$F$12:$F$98)</f>
        <v>250</v>
      </c>
      <c r="G5" s="46"/>
      <c r="H5" s="46">
        <f t="shared" si="1"/>
        <v>0</v>
      </c>
      <c r="I5" s="47">
        <f>VLOOKUP(B5,ЛСР!$B$12:$J$98,9,0)</f>
        <v>0</v>
      </c>
      <c r="J5" s="48"/>
    </row>
    <row r="6" spans="1:10" ht="27.6" x14ac:dyDescent="0.3">
      <c r="A6" s="48">
        <f t="shared" si="0"/>
        <v>4</v>
      </c>
      <c r="B6" s="107" t="s">
        <v>48</v>
      </c>
      <c r="C6" s="48" t="s">
        <v>126</v>
      </c>
      <c r="D6" s="47" t="s">
        <v>127</v>
      </c>
      <c r="E6" s="47" t="s">
        <v>3</v>
      </c>
      <c r="F6" s="46">
        <f>SUMIF(ЛСР!$B$12:$B$98,B6,ЛСР!$F$12:$F$98)</f>
        <v>90</v>
      </c>
      <c r="G6" s="46"/>
      <c r="H6" s="46">
        <f t="shared" si="1"/>
        <v>0</v>
      </c>
      <c r="I6" s="47">
        <f>VLOOKUP(B6,ЛСР!$B$12:$J$98,9,0)</f>
        <v>0</v>
      </c>
      <c r="J6" s="48"/>
    </row>
    <row r="7" spans="1:10" x14ac:dyDescent="0.3">
      <c r="A7" s="48">
        <f t="shared" si="0"/>
        <v>5</v>
      </c>
      <c r="B7" s="107" t="s">
        <v>50</v>
      </c>
      <c r="C7" s="48" t="s">
        <v>46</v>
      </c>
      <c r="D7" s="47" t="s">
        <v>45</v>
      </c>
      <c r="E7" s="47" t="s">
        <v>3</v>
      </c>
      <c r="F7" s="46">
        <f>SUMIF(ЛСР!$B$12:$B$98,B7,ЛСР!$F$12:$F$98)</f>
        <v>650</v>
      </c>
      <c r="G7" s="46"/>
      <c r="H7" s="46">
        <f t="shared" si="1"/>
        <v>0</v>
      </c>
      <c r="I7" s="47">
        <f>VLOOKUP(B7,ЛСР!$B$12:$J$98,9,0)</f>
        <v>0</v>
      </c>
      <c r="J7" s="48"/>
    </row>
    <row r="8" spans="1:10" ht="27.6" x14ac:dyDescent="0.3">
      <c r="A8" s="48">
        <f t="shared" si="0"/>
        <v>6</v>
      </c>
      <c r="B8" s="107" t="s">
        <v>51</v>
      </c>
      <c r="C8" s="48" t="s">
        <v>42</v>
      </c>
      <c r="D8" s="47" t="s">
        <v>52</v>
      </c>
      <c r="E8" s="47" t="s">
        <v>3</v>
      </c>
      <c r="F8" s="46">
        <f>SUMIF(ЛСР!$B$12:$B$98,B8,ЛСР!$F$12:$F$98)</f>
        <v>810</v>
      </c>
      <c r="G8" s="46"/>
      <c r="H8" s="46">
        <f t="shared" si="1"/>
        <v>0</v>
      </c>
      <c r="I8" s="47">
        <f>VLOOKUP(B8,ЛСР!$B$12:$J$98,9,0)</f>
        <v>0</v>
      </c>
      <c r="J8" s="48"/>
    </row>
    <row r="9" spans="1:10" ht="27.6" x14ac:dyDescent="0.3">
      <c r="A9" s="48">
        <f t="shared" si="0"/>
        <v>7</v>
      </c>
      <c r="B9" s="107" t="s">
        <v>58</v>
      </c>
      <c r="C9" s="48"/>
      <c r="D9" s="47" t="s">
        <v>147</v>
      </c>
      <c r="E9" s="47" t="s">
        <v>3</v>
      </c>
      <c r="F9" s="46">
        <f>SUMIF(ЛСР!$B$12:$B$98,B9,ЛСР!$F$12:$F$98)</f>
        <v>650</v>
      </c>
      <c r="G9" s="46"/>
      <c r="H9" s="46">
        <f t="shared" si="1"/>
        <v>0</v>
      </c>
      <c r="I9" s="47">
        <f>VLOOKUP(B9,ЛСР!$B$12:$J$98,9,0)</f>
        <v>0</v>
      </c>
      <c r="J9" s="48"/>
    </row>
    <row r="10" spans="1:10" ht="27.6" x14ac:dyDescent="0.3">
      <c r="A10" s="48">
        <f t="shared" si="0"/>
        <v>8</v>
      </c>
      <c r="B10" s="107" t="s">
        <v>53</v>
      </c>
      <c r="C10" s="48"/>
      <c r="D10" s="47" t="s">
        <v>54</v>
      </c>
      <c r="E10" s="47" t="s">
        <v>3</v>
      </c>
      <c r="F10" s="46">
        <f>SUMIF(ЛСР!$B$12:$B$98,B10,ЛСР!$F$12:$F$98)</f>
        <v>6200</v>
      </c>
      <c r="G10" s="46"/>
      <c r="H10" s="46">
        <f t="shared" si="1"/>
        <v>0</v>
      </c>
      <c r="I10" s="47">
        <f>VLOOKUP(B10,ЛСР!$B$12:$J$98,9,0)</f>
        <v>0</v>
      </c>
      <c r="J10" s="48"/>
    </row>
    <row r="11" spans="1:10" ht="27.6" x14ac:dyDescent="0.3">
      <c r="A11" s="48">
        <f t="shared" si="0"/>
        <v>9</v>
      </c>
      <c r="B11" s="107" t="s">
        <v>55</v>
      </c>
      <c r="C11" s="48"/>
      <c r="D11" s="47" t="s">
        <v>56</v>
      </c>
      <c r="E11" s="47" t="s">
        <v>3</v>
      </c>
      <c r="F11" s="46">
        <f>SUMIF(ЛСР!$B$12:$B$98,B11,ЛСР!$F$12:$F$98)</f>
        <v>480</v>
      </c>
      <c r="G11" s="46"/>
      <c r="H11" s="46">
        <f t="shared" si="1"/>
        <v>0</v>
      </c>
      <c r="I11" s="47">
        <f>VLOOKUP(B11,ЛСР!$B$12:$J$98,9,0)</f>
        <v>0</v>
      </c>
      <c r="J11" s="48"/>
    </row>
    <row r="12" spans="1:10" ht="27.6" x14ac:dyDescent="0.3">
      <c r="A12" s="48">
        <f t="shared" si="0"/>
        <v>10</v>
      </c>
      <c r="B12" s="107" t="s">
        <v>57</v>
      </c>
      <c r="C12" s="48"/>
      <c r="D12" s="47" t="s">
        <v>112</v>
      </c>
      <c r="E12" s="47" t="s">
        <v>3</v>
      </c>
      <c r="F12" s="46">
        <f>SUMIF(ЛСР!$B$12:$B$98,B12,ЛСР!$F$12:$F$98)</f>
        <v>120</v>
      </c>
      <c r="G12" s="46"/>
      <c r="H12" s="46">
        <f t="shared" si="1"/>
        <v>0</v>
      </c>
      <c r="I12" s="47">
        <f>VLOOKUP(B12,ЛСР!$B$12:$J$98,9,0)</f>
        <v>0</v>
      </c>
      <c r="J12" s="48"/>
    </row>
    <row r="13" spans="1:10" x14ac:dyDescent="0.3">
      <c r="A13" s="48">
        <f t="shared" si="0"/>
        <v>11</v>
      </c>
      <c r="B13" s="107" t="s">
        <v>165</v>
      </c>
      <c r="C13" s="48"/>
      <c r="D13" s="47" t="s">
        <v>166</v>
      </c>
      <c r="E13" s="47" t="s">
        <v>3</v>
      </c>
      <c r="F13" s="46">
        <f>SUMIF(ЛСР!$B$12:$B$98,B13,ЛСР!$F$12:$F$98)</f>
        <v>12</v>
      </c>
      <c r="G13" s="46"/>
      <c r="H13" s="46">
        <f t="shared" si="1"/>
        <v>0</v>
      </c>
      <c r="I13" s="47">
        <f>VLOOKUP(B13,ЛСР!$B$12:$J$98,9,0)</f>
        <v>0</v>
      </c>
      <c r="J13" s="48"/>
    </row>
    <row r="14" spans="1:10" x14ac:dyDescent="0.3">
      <c r="A14" s="48">
        <f t="shared" si="0"/>
        <v>12</v>
      </c>
      <c r="B14" s="107" t="s">
        <v>103</v>
      </c>
      <c r="C14" s="48"/>
      <c r="D14" s="47" t="s">
        <v>104</v>
      </c>
      <c r="E14" s="47" t="s">
        <v>3</v>
      </c>
      <c r="F14" s="46">
        <f>SUMIF(ЛСР!$B$12:$B$98,B14,ЛСР!$F$12:$F$98)</f>
        <v>20</v>
      </c>
      <c r="G14" s="46"/>
      <c r="H14" s="46">
        <f t="shared" si="1"/>
        <v>0</v>
      </c>
      <c r="I14" s="47">
        <f>VLOOKUP(B14,ЛСР!$B$12:$J$98,9,0)</f>
        <v>0</v>
      </c>
      <c r="J14" s="48"/>
    </row>
    <row r="15" spans="1:10" ht="27.6" x14ac:dyDescent="0.3">
      <c r="A15" s="48">
        <f t="shared" si="0"/>
        <v>13</v>
      </c>
      <c r="B15" s="107" t="s">
        <v>167</v>
      </c>
      <c r="C15" s="48"/>
      <c r="D15" s="47"/>
      <c r="E15" s="47" t="s">
        <v>2</v>
      </c>
      <c r="F15" s="46">
        <f>SUMIF(ЛСР!$B$12:$B$98,B15,ЛСР!$F$12:$F$98)</f>
        <v>4</v>
      </c>
      <c r="G15" s="46"/>
      <c r="H15" s="46">
        <f t="shared" si="1"/>
        <v>0</v>
      </c>
      <c r="I15" s="47">
        <f>VLOOKUP(B15,ЛСР!$B$12:$J$98,9,0)</f>
        <v>0</v>
      </c>
      <c r="J15" s="48"/>
    </row>
    <row r="16" spans="1:10" ht="41.4" x14ac:dyDescent="0.3">
      <c r="A16" s="48">
        <f t="shared" si="0"/>
        <v>14</v>
      </c>
      <c r="B16" s="107" t="s">
        <v>168</v>
      </c>
      <c r="C16" s="48"/>
      <c r="D16" s="47"/>
      <c r="E16" s="47" t="s">
        <v>2</v>
      </c>
      <c r="F16" s="46">
        <f>SUMIF(ЛСР!$B$12:$B$98,B16,ЛСР!$F$12:$F$98)</f>
        <v>4</v>
      </c>
      <c r="G16" s="46"/>
      <c r="H16" s="46">
        <f t="shared" si="1"/>
        <v>0</v>
      </c>
      <c r="I16" s="47">
        <f>VLOOKUP(B16,ЛСР!$B$12:$J$98,9,0)</f>
        <v>0</v>
      </c>
      <c r="J16" s="48"/>
    </row>
    <row r="17" spans="1:10" x14ac:dyDescent="0.3">
      <c r="A17" s="48">
        <f t="shared" si="0"/>
        <v>15</v>
      </c>
      <c r="B17" s="107" t="s">
        <v>61</v>
      </c>
      <c r="C17" s="48"/>
      <c r="D17" s="47" t="s">
        <v>169</v>
      </c>
      <c r="E17" s="47" t="s">
        <v>2</v>
      </c>
      <c r="F17" s="46">
        <f>SUMIF(ЛСР!$B$12:$B$98,B17,ЛСР!$F$12:$F$98)</f>
        <v>20</v>
      </c>
      <c r="G17" s="46"/>
      <c r="H17" s="46">
        <f t="shared" si="1"/>
        <v>0</v>
      </c>
      <c r="I17" s="47">
        <f>VLOOKUP(B17,ЛСР!$B$12:$J$98,9,0)</f>
        <v>0</v>
      </c>
      <c r="J17" s="48"/>
    </row>
    <row r="18" spans="1:10" x14ac:dyDescent="0.3">
      <c r="A18" s="48">
        <f t="shared" si="0"/>
        <v>16</v>
      </c>
      <c r="B18" s="107" t="s">
        <v>59</v>
      </c>
      <c r="C18" s="48" t="s">
        <v>60</v>
      </c>
      <c r="D18" s="47">
        <v>53700</v>
      </c>
      <c r="E18" s="47" t="s">
        <v>2</v>
      </c>
      <c r="F18" s="46">
        <f>SUMIF(ЛСР!$B$12:$B$98,B18,ЛСР!$F$12:$F$98)</f>
        <v>160</v>
      </c>
      <c r="G18" s="46"/>
      <c r="H18" s="46">
        <f t="shared" si="1"/>
        <v>0</v>
      </c>
      <c r="I18" s="47">
        <f>VLOOKUP(B18,ЛСР!$B$12:$J$98,9,0)</f>
        <v>0</v>
      </c>
      <c r="J18" s="48"/>
    </row>
    <row r="19" spans="1:10" x14ac:dyDescent="0.3">
      <c r="A19" s="48">
        <f t="shared" si="0"/>
        <v>17</v>
      </c>
      <c r="B19" s="107" t="s">
        <v>190</v>
      </c>
      <c r="C19" s="48"/>
      <c r="D19" s="47" t="s">
        <v>62</v>
      </c>
      <c r="E19" s="47" t="s">
        <v>2</v>
      </c>
      <c r="F19" s="46">
        <f>SUMIF(ЛСР!$B$12:$B$98,B19,ЛСР!$F$12:$F$98)</f>
        <v>50</v>
      </c>
      <c r="G19" s="46"/>
      <c r="H19" s="46">
        <f t="shared" si="1"/>
        <v>0</v>
      </c>
      <c r="I19" s="47">
        <f>VLOOKUP(B19,ЛСР!$B$12:$J$98,9,0)</f>
        <v>0</v>
      </c>
      <c r="J19" s="48"/>
    </row>
    <row r="20" spans="1:10" x14ac:dyDescent="0.3">
      <c r="A20" s="48">
        <f t="shared" si="0"/>
        <v>18</v>
      </c>
      <c r="B20" s="107" t="s">
        <v>63</v>
      </c>
      <c r="C20" s="48"/>
      <c r="D20" s="47" t="s">
        <v>129</v>
      </c>
      <c r="E20" s="47" t="s">
        <v>2</v>
      </c>
      <c r="F20" s="46">
        <f>SUMIF(ЛСР!$B$12:$B$98,B20,ЛСР!$F$12:$F$98)</f>
        <v>80</v>
      </c>
      <c r="G20" s="46"/>
      <c r="H20" s="46">
        <f t="shared" si="1"/>
        <v>0</v>
      </c>
      <c r="I20" s="47">
        <f>VLOOKUP(B20,ЛСР!$B$12:$J$98,9,0)</f>
        <v>0</v>
      </c>
      <c r="J20" s="48"/>
    </row>
    <row r="21" spans="1:10" ht="27.6" x14ac:dyDescent="0.3">
      <c r="A21" s="48">
        <f t="shared" si="0"/>
        <v>19</v>
      </c>
      <c r="B21" s="107" t="s">
        <v>111</v>
      </c>
      <c r="C21" s="48"/>
      <c r="D21" s="47" t="s">
        <v>64</v>
      </c>
      <c r="E21" s="47" t="s">
        <v>2</v>
      </c>
      <c r="F21" s="46">
        <f>SUMIF(ЛСР!$B$12:$B$98,B21,ЛСР!$F$12:$F$98)</f>
        <v>5</v>
      </c>
      <c r="G21" s="46"/>
      <c r="H21" s="46">
        <f t="shared" si="1"/>
        <v>0</v>
      </c>
      <c r="I21" s="47">
        <f>VLOOKUP(B21,ЛСР!$B$12:$J$98,9,0)</f>
        <v>0</v>
      </c>
      <c r="J21" s="48"/>
    </row>
    <row r="22" spans="1:10" ht="27.6" x14ac:dyDescent="0.3">
      <c r="A22" s="48">
        <f t="shared" si="0"/>
        <v>20</v>
      </c>
      <c r="B22" s="107" t="s">
        <v>191</v>
      </c>
      <c r="C22" s="48"/>
      <c r="D22" s="47" t="s">
        <v>121</v>
      </c>
      <c r="E22" s="47" t="s">
        <v>2</v>
      </c>
      <c r="F22" s="46">
        <f>SUMIF(ЛСР!$B$12:$B$98,B22,ЛСР!$F$12:$F$98)</f>
        <v>4</v>
      </c>
      <c r="G22" s="46"/>
      <c r="H22" s="46">
        <f t="shared" si="1"/>
        <v>0</v>
      </c>
      <c r="I22" s="47" t="str">
        <f>VLOOKUP(B22,ЛСР!$B$12:$J$98,9,0)</f>
        <v>Встроенные помещения</v>
      </c>
      <c r="J22" s="48"/>
    </row>
    <row r="23" spans="1:10" x14ac:dyDescent="0.3">
      <c r="A23" s="48">
        <f t="shared" si="0"/>
        <v>21</v>
      </c>
      <c r="B23" s="107" t="s">
        <v>65</v>
      </c>
      <c r="C23" s="48"/>
      <c r="D23" s="47" t="s">
        <v>26</v>
      </c>
      <c r="E23" s="47" t="s">
        <v>2</v>
      </c>
      <c r="F23" s="46">
        <f>SUMIF(ЛСР!$B$12:$B$98,B23,ЛСР!$F$12:$F$98)</f>
        <v>1</v>
      </c>
      <c r="G23" s="46"/>
      <c r="H23" s="46">
        <f t="shared" si="1"/>
        <v>0</v>
      </c>
      <c r="I23" s="47">
        <f>VLOOKUP(B23,ЛСР!$B$12:$J$98,9,0)</f>
        <v>0</v>
      </c>
      <c r="J23" s="48"/>
    </row>
    <row r="24" spans="1:10" x14ac:dyDescent="0.3">
      <c r="A24" s="48">
        <f t="shared" si="0"/>
        <v>22</v>
      </c>
      <c r="B24" s="107" t="s">
        <v>79</v>
      </c>
      <c r="C24" s="48"/>
      <c r="D24" s="47" t="s">
        <v>78</v>
      </c>
      <c r="E24" s="47" t="s">
        <v>2</v>
      </c>
      <c r="F24" s="46">
        <f>SUMIF(ЛСР!$B$12:$B$98,B24,ЛСР!$F$12:$F$98)</f>
        <v>1</v>
      </c>
      <c r="G24" s="46"/>
      <c r="H24" s="46">
        <f t="shared" si="1"/>
        <v>0</v>
      </c>
      <c r="I24" s="47">
        <f>VLOOKUP(B24,ЛСР!$B$12:$J$98,9,0)</f>
        <v>0</v>
      </c>
      <c r="J24" s="48"/>
    </row>
    <row r="25" spans="1:10" x14ac:dyDescent="0.3">
      <c r="A25" s="48">
        <f t="shared" si="0"/>
        <v>23</v>
      </c>
      <c r="B25" s="107" t="s">
        <v>117</v>
      </c>
      <c r="C25" s="48"/>
      <c r="D25" s="47" t="s">
        <v>119</v>
      </c>
      <c r="E25" s="47" t="s">
        <v>2</v>
      </c>
      <c r="F25" s="46">
        <f>SUMIF(ЛСР!$B$12:$B$98,B25,ЛСР!$F$12:$F$98)</f>
        <v>1</v>
      </c>
      <c r="G25" s="46"/>
      <c r="H25" s="46">
        <f t="shared" si="1"/>
        <v>0</v>
      </c>
      <c r="I25" s="47">
        <f>VLOOKUP(B25,ЛСР!$B$12:$J$98,9,0)</f>
        <v>0</v>
      </c>
      <c r="J25" s="48"/>
    </row>
    <row r="26" spans="1:10" x14ac:dyDescent="0.3">
      <c r="A26" s="48">
        <f t="shared" si="0"/>
        <v>24</v>
      </c>
      <c r="B26" s="107" t="s">
        <v>137</v>
      </c>
      <c r="C26" s="48" t="s">
        <v>136</v>
      </c>
      <c r="D26" s="47" t="s">
        <v>162</v>
      </c>
      <c r="E26" s="47" t="s">
        <v>2</v>
      </c>
      <c r="F26" s="46">
        <f>SUMIF(ЛСР!$B$12:$B$98,B26,ЛСР!$F$12:$F$98)</f>
        <v>99</v>
      </c>
      <c r="G26" s="46"/>
      <c r="H26" s="46">
        <f t="shared" si="1"/>
        <v>0</v>
      </c>
      <c r="I26" s="47">
        <f>VLOOKUP(B26,ЛСР!$B$12:$J$98,9,0)</f>
        <v>0</v>
      </c>
      <c r="J26" s="48"/>
    </row>
    <row r="27" spans="1:10" x14ac:dyDescent="0.3">
      <c r="A27" s="48">
        <f t="shared" si="0"/>
        <v>25</v>
      </c>
      <c r="B27" s="107" t="s">
        <v>144</v>
      </c>
      <c r="C27" s="48" t="s">
        <v>136</v>
      </c>
      <c r="D27" s="47" t="s">
        <v>143</v>
      </c>
      <c r="E27" s="47" t="s">
        <v>2</v>
      </c>
      <c r="F27" s="46">
        <f>SUMIF(ЛСР!$B$12:$B$98,B27,ЛСР!$F$12:$F$98)</f>
        <v>4</v>
      </c>
      <c r="G27" s="46"/>
      <c r="H27" s="46">
        <f t="shared" si="1"/>
        <v>0</v>
      </c>
      <c r="I27" s="47">
        <f>VLOOKUP(B27,ЛСР!$B$12:$J$98,9,0)</f>
        <v>0</v>
      </c>
      <c r="J27" s="48"/>
    </row>
    <row r="28" spans="1:10" ht="27.6" x14ac:dyDescent="0.3">
      <c r="A28" s="48">
        <f t="shared" si="0"/>
        <v>26</v>
      </c>
      <c r="B28" s="107" t="s">
        <v>66</v>
      </c>
      <c r="C28" s="48"/>
      <c r="D28" s="47" t="s">
        <v>83</v>
      </c>
      <c r="E28" s="47" t="s">
        <v>2</v>
      </c>
      <c r="F28" s="46">
        <f>SUMIF(ЛСР!$B$12:$B$98,B28,ЛСР!$F$12:$F$98)</f>
        <v>1</v>
      </c>
      <c r="G28" s="46"/>
      <c r="H28" s="46">
        <f t="shared" si="1"/>
        <v>0</v>
      </c>
      <c r="I28" s="47">
        <f>VLOOKUP(B28,ЛСР!$B$12:$J$98,9,0)</f>
        <v>0</v>
      </c>
      <c r="J28" s="48"/>
    </row>
    <row r="29" spans="1:10" ht="27.6" x14ac:dyDescent="0.3">
      <c r="A29" s="48">
        <f t="shared" si="0"/>
        <v>27</v>
      </c>
      <c r="B29" s="107" t="s">
        <v>67</v>
      </c>
      <c r="C29" s="48"/>
      <c r="D29" s="47" t="s">
        <v>133</v>
      </c>
      <c r="E29" s="47" t="s">
        <v>2</v>
      </c>
      <c r="F29" s="46">
        <f>SUMIF(ЛСР!$B$12:$B$98,B29,ЛСР!$F$12:$F$98)</f>
        <v>1</v>
      </c>
      <c r="G29" s="46"/>
      <c r="H29" s="46">
        <f t="shared" si="1"/>
        <v>0</v>
      </c>
      <c r="I29" s="47">
        <f>VLOOKUP(B29,ЛСР!$B$12:$J$98,9,0)</f>
        <v>0</v>
      </c>
      <c r="J29" s="48"/>
    </row>
    <row r="30" spans="1:10" ht="27.6" x14ac:dyDescent="0.3">
      <c r="A30" s="48">
        <f t="shared" si="0"/>
        <v>28</v>
      </c>
      <c r="B30" s="107" t="s">
        <v>131</v>
      </c>
      <c r="C30" s="48"/>
      <c r="D30" s="47" t="s">
        <v>84</v>
      </c>
      <c r="E30" s="47" t="s">
        <v>2</v>
      </c>
      <c r="F30" s="46">
        <f>SUMIF(ЛСР!$B$12:$B$98,B30,ЛСР!$F$12:$F$98)</f>
        <v>3</v>
      </c>
      <c r="G30" s="46"/>
      <c r="H30" s="46">
        <f t="shared" si="1"/>
        <v>0</v>
      </c>
      <c r="I30" s="47">
        <f>VLOOKUP(B30,ЛСР!$B$12:$J$98,9,0)</f>
        <v>0</v>
      </c>
      <c r="J30" s="48"/>
    </row>
    <row r="31" spans="1:10" x14ac:dyDescent="0.3">
      <c r="A31" s="48">
        <f t="shared" si="0"/>
        <v>29</v>
      </c>
      <c r="B31" s="107" t="s">
        <v>150</v>
      </c>
      <c r="C31" s="48"/>
      <c r="D31" s="47" t="s">
        <v>128</v>
      </c>
      <c r="E31" s="47" t="s">
        <v>2</v>
      </c>
      <c r="F31" s="46">
        <f>SUMIF(ЛСР!$B$12:$B$98,B31,ЛСР!$F$12:$F$98)</f>
        <v>4</v>
      </c>
      <c r="G31" s="46"/>
      <c r="H31" s="46">
        <f t="shared" si="1"/>
        <v>0</v>
      </c>
      <c r="I31" s="47" t="str">
        <f>VLOOKUP(B31,ЛСР!$B$12:$J$98,9,0)</f>
        <v>Встроенные помещения</v>
      </c>
      <c r="J31" s="48"/>
    </row>
    <row r="32" spans="1:10" ht="27.6" x14ac:dyDescent="0.3">
      <c r="A32" s="48">
        <f t="shared" si="0"/>
        <v>30</v>
      </c>
      <c r="B32" s="107" t="s">
        <v>138</v>
      </c>
      <c r="C32" s="48" t="s">
        <v>136</v>
      </c>
      <c r="D32" s="47" t="s">
        <v>163</v>
      </c>
      <c r="E32" s="47" t="s">
        <v>2</v>
      </c>
      <c r="F32" s="46">
        <f>SUMIF(ЛСР!$B$12:$B$98,B32,ЛСР!$F$12:$F$98)</f>
        <v>1</v>
      </c>
      <c r="G32" s="46"/>
      <c r="H32" s="46">
        <f t="shared" si="1"/>
        <v>0</v>
      </c>
      <c r="I32" s="47">
        <f>VLOOKUP(B32,ЛСР!$B$12:$J$98,9,0)</f>
        <v>0</v>
      </c>
      <c r="J32" s="48"/>
    </row>
    <row r="33" spans="1:10" x14ac:dyDescent="0.3">
      <c r="A33" s="48">
        <f t="shared" si="0"/>
        <v>31</v>
      </c>
      <c r="B33" s="107" t="s">
        <v>139</v>
      </c>
      <c r="C33" s="48" t="s">
        <v>136</v>
      </c>
      <c r="D33" s="47" t="s">
        <v>140</v>
      </c>
      <c r="E33" s="47" t="s">
        <v>2</v>
      </c>
      <c r="F33" s="46">
        <f>SUMIF(ЛСР!$B$12:$B$98,B33,ЛСР!$F$12:$F$98)</f>
        <v>2</v>
      </c>
      <c r="G33" s="46"/>
      <c r="H33" s="46">
        <f t="shared" si="1"/>
        <v>0</v>
      </c>
      <c r="I33" s="47">
        <f>VLOOKUP(B33,ЛСР!$B$12:$J$98,9,0)</f>
        <v>0</v>
      </c>
      <c r="J33" s="48"/>
    </row>
    <row r="34" spans="1:10" ht="27.6" x14ac:dyDescent="0.3">
      <c r="A34" s="48">
        <f t="shared" si="0"/>
        <v>32</v>
      </c>
      <c r="B34" s="107" t="s">
        <v>141</v>
      </c>
      <c r="C34" s="48" t="s">
        <v>136</v>
      </c>
      <c r="D34" s="47" t="s">
        <v>142</v>
      </c>
      <c r="E34" s="47" t="s">
        <v>2</v>
      </c>
      <c r="F34" s="46">
        <f>SUMIF(ЛСР!$B$12:$B$98,B34,ЛСР!$F$12:$F$98)</f>
        <v>1</v>
      </c>
      <c r="G34" s="46"/>
      <c r="H34" s="46">
        <f t="shared" si="1"/>
        <v>0</v>
      </c>
      <c r="I34" s="47">
        <f>VLOOKUP(B34,ЛСР!$B$12:$J$98,9,0)</f>
        <v>0</v>
      </c>
      <c r="J34" s="48"/>
    </row>
    <row r="35" spans="1:10" ht="41.4" x14ac:dyDescent="0.3">
      <c r="A35" s="48">
        <f t="shared" si="0"/>
        <v>33</v>
      </c>
      <c r="B35" s="107" t="s">
        <v>68</v>
      </c>
      <c r="C35" s="48"/>
      <c r="D35" s="47" t="s">
        <v>85</v>
      </c>
      <c r="E35" s="47" t="s">
        <v>2</v>
      </c>
      <c r="F35" s="46">
        <f>SUMIF(ЛСР!$B$12:$B$98,B35,ЛСР!$F$12:$F$98)</f>
        <v>786</v>
      </c>
      <c r="G35" s="46"/>
      <c r="H35" s="46">
        <f t="shared" si="1"/>
        <v>0</v>
      </c>
      <c r="I35" s="47">
        <f>VLOOKUP(B35,ЛСР!$B$12:$J$98,9,0)</f>
        <v>0</v>
      </c>
      <c r="J35" s="48"/>
    </row>
    <row r="36" spans="1:10" ht="41.4" x14ac:dyDescent="0.3">
      <c r="A36" s="48">
        <f t="shared" si="0"/>
        <v>34</v>
      </c>
      <c r="B36" s="107" t="s">
        <v>69</v>
      </c>
      <c r="C36" s="48"/>
      <c r="D36" s="47" t="s">
        <v>86</v>
      </c>
      <c r="E36" s="47" t="s">
        <v>2</v>
      </c>
      <c r="F36" s="46">
        <f>SUMIF(ЛСР!$B$12:$B$98,B36,ЛСР!$F$12:$F$98)</f>
        <v>61</v>
      </c>
      <c r="G36" s="46"/>
      <c r="H36" s="46">
        <f t="shared" si="1"/>
        <v>0</v>
      </c>
      <c r="I36" s="47">
        <f>VLOOKUP(B36,ЛСР!$B$12:$J$98,9,0)</f>
        <v>0</v>
      </c>
      <c r="J36" s="48"/>
    </row>
    <row r="37" spans="1:10" ht="27.6" x14ac:dyDescent="0.3">
      <c r="A37" s="48">
        <f t="shared" si="0"/>
        <v>35</v>
      </c>
      <c r="B37" s="107" t="s">
        <v>70</v>
      </c>
      <c r="C37" s="48"/>
      <c r="D37" s="47" t="s">
        <v>91</v>
      </c>
      <c r="E37" s="47" t="s">
        <v>2</v>
      </c>
      <c r="F37" s="46">
        <f>SUMIF(ЛСР!$B$12:$B$98,B37,ЛСР!$F$12:$F$98)</f>
        <v>616</v>
      </c>
      <c r="G37" s="46"/>
      <c r="H37" s="46">
        <f t="shared" si="1"/>
        <v>0</v>
      </c>
      <c r="I37" s="47">
        <f>VLOOKUP(B37,ЛСР!$B$12:$J$98,9,0)</f>
        <v>0</v>
      </c>
      <c r="J37" s="48"/>
    </row>
    <row r="38" spans="1:10" ht="27.6" x14ac:dyDescent="0.3">
      <c r="A38" s="48">
        <f t="shared" si="0"/>
        <v>36</v>
      </c>
      <c r="B38" s="107" t="s">
        <v>71</v>
      </c>
      <c r="C38" s="48"/>
      <c r="D38" s="47" t="s">
        <v>148</v>
      </c>
      <c r="E38" s="47" t="s">
        <v>2</v>
      </c>
      <c r="F38" s="46">
        <f>SUMIF(ЛСР!$B$12:$B$98,B38,ЛСР!$F$12:$F$98)</f>
        <v>76</v>
      </c>
      <c r="G38" s="46"/>
      <c r="H38" s="46">
        <f t="shared" si="1"/>
        <v>0</v>
      </c>
      <c r="I38" s="47">
        <f>VLOOKUP(B38,ЛСР!$B$12:$J$98,9,0)</f>
        <v>0</v>
      </c>
      <c r="J38" s="48"/>
    </row>
    <row r="39" spans="1:10" ht="41.4" x14ac:dyDescent="0.3">
      <c r="A39" s="48">
        <f t="shared" si="0"/>
        <v>37</v>
      </c>
      <c r="B39" s="107" t="s">
        <v>122</v>
      </c>
      <c r="C39" s="48"/>
      <c r="D39" s="47" t="s">
        <v>151</v>
      </c>
      <c r="E39" s="47" t="s">
        <v>2</v>
      </c>
      <c r="F39" s="46">
        <f>SUMIF(ЛСР!$B$12:$B$98,B39,ЛСР!$F$12:$F$98)</f>
        <v>17</v>
      </c>
      <c r="G39" s="46"/>
      <c r="H39" s="46">
        <f t="shared" si="1"/>
        <v>0</v>
      </c>
      <c r="I39" s="47" t="str">
        <f>VLOOKUP(B39,ЛСР!$B$12:$J$98,9,0)</f>
        <v>Встроенные помещения</v>
      </c>
      <c r="J39" s="48"/>
    </row>
    <row r="40" spans="1:10" ht="41.4" x14ac:dyDescent="0.3">
      <c r="A40" s="48">
        <f t="shared" si="0"/>
        <v>38</v>
      </c>
      <c r="B40" s="107" t="s">
        <v>130</v>
      </c>
      <c r="C40" s="48"/>
      <c r="D40" s="47" t="s">
        <v>152</v>
      </c>
      <c r="E40" s="47" t="s">
        <v>2</v>
      </c>
      <c r="F40" s="46">
        <f>SUMIF(ЛСР!$B$12:$B$98,B40,ЛСР!$F$12:$F$98)</f>
        <v>6</v>
      </c>
      <c r="G40" s="46"/>
      <c r="H40" s="46">
        <f t="shared" si="1"/>
        <v>0</v>
      </c>
      <c r="I40" s="47" t="str">
        <f>VLOOKUP(B40,ЛСР!$B$12:$J$98,9,0)</f>
        <v>Встроенные помещения</v>
      </c>
      <c r="J40" s="48"/>
    </row>
    <row r="41" spans="1:10" ht="41.4" x14ac:dyDescent="0.3">
      <c r="A41" s="48">
        <f t="shared" si="0"/>
        <v>39</v>
      </c>
      <c r="B41" s="107" t="s">
        <v>72</v>
      </c>
      <c r="C41" s="48"/>
      <c r="D41" s="47" t="s">
        <v>90</v>
      </c>
      <c r="E41" s="47" t="s">
        <v>2</v>
      </c>
      <c r="F41" s="46">
        <f>SUMIF(ЛСР!$B$12:$B$98,B41,ЛСР!$F$12:$F$98)</f>
        <v>61</v>
      </c>
      <c r="G41" s="46"/>
      <c r="H41" s="46">
        <f t="shared" si="1"/>
        <v>0</v>
      </c>
      <c r="I41" s="47">
        <f>VLOOKUP(B41,ЛСР!$B$12:$J$98,9,0)</f>
        <v>0</v>
      </c>
      <c r="J41" s="48"/>
    </row>
    <row r="42" spans="1:10" ht="41.4" x14ac:dyDescent="0.3">
      <c r="A42" s="48">
        <f t="shared" si="0"/>
        <v>40</v>
      </c>
      <c r="B42" s="107" t="s">
        <v>73</v>
      </c>
      <c r="C42" s="48"/>
      <c r="D42" s="47" t="s">
        <v>89</v>
      </c>
      <c r="E42" s="47" t="s">
        <v>2</v>
      </c>
      <c r="F42" s="46">
        <f>SUMIF(ЛСР!$B$12:$B$98,B42,ЛСР!$F$12:$F$98)</f>
        <v>80</v>
      </c>
      <c r="G42" s="46"/>
      <c r="H42" s="46">
        <f t="shared" si="1"/>
        <v>0</v>
      </c>
      <c r="I42" s="47">
        <f>VLOOKUP(B42,ЛСР!$B$12:$J$98,9,0)</f>
        <v>0</v>
      </c>
      <c r="J42" s="48"/>
    </row>
    <row r="43" spans="1:10" ht="41.4" x14ac:dyDescent="0.3">
      <c r="A43" s="48">
        <f t="shared" si="0"/>
        <v>41</v>
      </c>
      <c r="B43" s="107" t="s">
        <v>123</v>
      </c>
      <c r="C43" s="48"/>
      <c r="D43" s="47" t="s">
        <v>153</v>
      </c>
      <c r="E43" s="47" t="s">
        <v>2</v>
      </c>
      <c r="F43" s="46">
        <f>SUMIF(ЛСР!$B$12:$B$98,B43,ЛСР!$F$12:$F$98)</f>
        <v>4</v>
      </c>
      <c r="G43" s="46"/>
      <c r="H43" s="46">
        <f t="shared" si="1"/>
        <v>0</v>
      </c>
      <c r="I43" s="47" t="str">
        <f>VLOOKUP(B43,ЛСР!$B$12:$J$98,9,0)</f>
        <v>Встроенные помещения</v>
      </c>
      <c r="J43" s="48"/>
    </row>
    <row r="44" spans="1:10" ht="27.6" x14ac:dyDescent="0.3">
      <c r="A44" s="48">
        <f t="shared" si="0"/>
        <v>42</v>
      </c>
      <c r="B44" s="107" t="s">
        <v>74</v>
      </c>
      <c r="C44" s="48"/>
      <c r="D44" s="47" t="s">
        <v>135</v>
      </c>
      <c r="E44" s="47" t="s">
        <v>2</v>
      </c>
      <c r="F44" s="46">
        <f>SUMIF(ЛСР!$B$12:$B$98,B44,ЛСР!$F$12:$F$98)</f>
        <v>63</v>
      </c>
      <c r="G44" s="46"/>
      <c r="H44" s="46">
        <f t="shared" si="1"/>
        <v>0</v>
      </c>
      <c r="I44" s="47" t="str">
        <f>VLOOKUP(B44,ЛСР!$B$12:$J$98,9,0)</f>
        <v>Встроенные помещения (6шт)</v>
      </c>
      <c r="J44" s="48"/>
    </row>
    <row r="45" spans="1:10" ht="27.6" x14ac:dyDescent="0.3">
      <c r="A45" s="48">
        <f t="shared" si="0"/>
        <v>43</v>
      </c>
      <c r="B45" s="107" t="s">
        <v>88</v>
      </c>
      <c r="C45" s="48"/>
      <c r="D45" s="47" t="s">
        <v>87</v>
      </c>
      <c r="E45" s="47" t="s">
        <v>27</v>
      </c>
      <c r="F45" s="46">
        <f>SUMIF(ЛСР!$B$12:$B$98,B45,ЛСР!$F$12:$F$98)</f>
        <v>5</v>
      </c>
      <c r="G45" s="46"/>
      <c r="H45" s="46">
        <f t="shared" si="1"/>
        <v>0</v>
      </c>
      <c r="I45" s="47" t="str">
        <f>VLOOKUP(B45,ЛСР!$B$12:$J$98,9,0)</f>
        <v>Встроенные помещения</v>
      </c>
      <c r="J45" s="48"/>
    </row>
    <row r="46" spans="1:10" ht="55.2" x14ac:dyDescent="0.3">
      <c r="A46" s="48">
        <f t="shared" si="0"/>
        <v>44</v>
      </c>
      <c r="B46" s="107" t="s">
        <v>97</v>
      </c>
      <c r="C46" s="48"/>
      <c r="D46" s="47" t="s">
        <v>100</v>
      </c>
      <c r="E46" s="47" t="s">
        <v>2</v>
      </c>
      <c r="F46" s="46">
        <f>SUMIF(ЛСР!$B$12:$B$98,B46,ЛСР!$F$12:$F$98)</f>
        <v>1</v>
      </c>
      <c r="G46" s="46"/>
      <c r="H46" s="46">
        <f t="shared" si="1"/>
        <v>0</v>
      </c>
      <c r="I46" s="47">
        <f>VLOOKUP(B46,ЛСР!$B$12:$J$98,9,0)</f>
        <v>0</v>
      </c>
      <c r="J46" s="48"/>
    </row>
    <row r="47" spans="1:10" ht="41.4" x14ac:dyDescent="0.3">
      <c r="A47" s="48">
        <f t="shared" si="0"/>
        <v>45</v>
      </c>
      <c r="B47" s="107" t="s">
        <v>98</v>
      </c>
      <c r="C47" s="48"/>
      <c r="D47" s="47" t="s">
        <v>149</v>
      </c>
      <c r="E47" s="47" t="s">
        <v>27</v>
      </c>
      <c r="F47" s="46">
        <f>SUMIF(ЛСР!$B$12:$B$98,B47,ЛСР!$F$12:$F$98)</f>
        <v>1</v>
      </c>
      <c r="G47" s="46"/>
      <c r="H47" s="46">
        <f t="shared" si="1"/>
        <v>0</v>
      </c>
      <c r="I47" s="47">
        <f>VLOOKUP(B47,ЛСР!$B$12:$J$98,9,0)</f>
        <v>0</v>
      </c>
      <c r="J47" s="48"/>
    </row>
    <row r="48" spans="1:10" ht="41.4" x14ac:dyDescent="0.3">
      <c r="A48" s="48">
        <f t="shared" si="0"/>
        <v>46</v>
      </c>
      <c r="B48" s="107" t="s">
        <v>99</v>
      </c>
      <c r="C48" s="48"/>
      <c r="D48" s="47" t="s">
        <v>110</v>
      </c>
      <c r="E48" s="47" t="s">
        <v>27</v>
      </c>
      <c r="F48" s="46">
        <f>SUMIF(ЛСР!$B$12:$B$98,B48,ЛСР!$F$12:$F$98)</f>
        <v>4</v>
      </c>
      <c r="G48" s="46"/>
      <c r="H48" s="46">
        <f t="shared" si="1"/>
        <v>0</v>
      </c>
      <c r="I48" s="47">
        <f>VLOOKUP(B48,ЛСР!$B$12:$J$98,9,0)</f>
        <v>0</v>
      </c>
      <c r="J48" s="48"/>
    </row>
    <row r="49" spans="1:10" x14ac:dyDescent="0.3">
      <c r="A49" s="48">
        <f t="shared" si="0"/>
        <v>47</v>
      </c>
      <c r="B49" s="107" t="s">
        <v>116</v>
      </c>
      <c r="C49" s="48"/>
      <c r="D49" s="47" t="s">
        <v>118</v>
      </c>
      <c r="E49" s="47" t="s">
        <v>2</v>
      </c>
      <c r="F49" s="46">
        <f>SUMIF(ЛСР!$B$12:$B$98,B49,ЛСР!$F$12:$F$98)</f>
        <v>38</v>
      </c>
      <c r="G49" s="46"/>
      <c r="H49" s="46">
        <f t="shared" si="1"/>
        <v>0</v>
      </c>
      <c r="I49" s="47">
        <f>VLOOKUP(B49,ЛСР!$B$12:$J$98,9,0)</f>
        <v>0</v>
      </c>
      <c r="J49" s="48"/>
    </row>
    <row r="50" spans="1:10" x14ac:dyDescent="0.3">
      <c r="A50" s="48">
        <f t="shared" si="0"/>
        <v>48</v>
      </c>
      <c r="B50" s="107" t="s">
        <v>192</v>
      </c>
      <c r="C50" s="48"/>
      <c r="D50" s="47" t="s">
        <v>95</v>
      </c>
      <c r="E50" s="47" t="s">
        <v>2</v>
      </c>
      <c r="F50" s="46">
        <f>SUMIF(ЛСР!$B$12:$B$98,B50,ЛСР!$F$12:$F$98)</f>
        <v>12</v>
      </c>
      <c r="G50" s="46"/>
      <c r="H50" s="46">
        <f t="shared" si="1"/>
        <v>0</v>
      </c>
      <c r="I50" s="47">
        <f>VLOOKUP(B50,ЛСР!$B$12:$J$98,9,0)</f>
        <v>0</v>
      </c>
      <c r="J50" s="48"/>
    </row>
    <row r="51" spans="1:10" x14ac:dyDescent="0.3">
      <c r="A51" s="48">
        <f t="shared" si="0"/>
        <v>49</v>
      </c>
      <c r="B51" s="107" t="s">
        <v>75</v>
      </c>
      <c r="C51" s="48"/>
      <c r="D51" s="47" t="s">
        <v>92</v>
      </c>
      <c r="E51" s="47" t="s">
        <v>2</v>
      </c>
      <c r="F51" s="46">
        <f>SUMIF(ЛСР!$B$12:$B$98,B51,ЛСР!$F$12:$F$98)</f>
        <v>6</v>
      </c>
      <c r="G51" s="46"/>
      <c r="H51" s="46">
        <f t="shared" si="1"/>
        <v>0</v>
      </c>
      <c r="I51" s="47">
        <f>VLOOKUP(B51,ЛСР!$B$12:$J$98,9,0)</f>
        <v>0</v>
      </c>
      <c r="J51" s="48"/>
    </row>
    <row r="52" spans="1:10" ht="27.6" x14ac:dyDescent="0.3">
      <c r="A52" s="48">
        <f t="shared" si="0"/>
        <v>50</v>
      </c>
      <c r="B52" s="107" t="s">
        <v>76</v>
      </c>
      <c r="C52" s="48"/>
      <c r="D52" s="47" t="s">
        <v>93</v>
      </c>
      <c r="E52" s="47" t="s">
        <v>2</v>
      </c>
      <c r="F52" s="46">
        <f>SUMIF(ЛСР!$B$12:$B$98,B52,ЛСР!$F$12:$F$98)</f>
        <v>10</v>
      </c>
      <c r="G52" s="46"/>
      <c r="H52" s="46">
        <f t="shared" si="1"/>
        <v>0</v>
      </c>
      <c r="I52" s="47">
        <f>VLOOKUP(B52,ЛСР!$B$12:$J$98,9,0)</f>
        <v>0</v>
      </c>
      <c r="J52" s="48"/>
    </row>
    <row r="53" spans="1:10" ht="27.6" x14ac:dyDescent="0.3">
      <c r="A53" s="48">
        <f t="shared" si="0"/>
        <v>51</v>
      </c>
      <c r="B53" s="107" t="s">
        <v>94</v>
      </c>
      <c r="C53" s="48"/>
      <c r="D53" s="47" t="s">
        <v>171</v>
      </c>
      <c r="E53" s="47" t="s">
        <v>2</v>
      </c>
      <c r="F53" s="46">
        <f>SUMIF(ЛСР!$B$12:$B$98,B53,ЛСР!$F$12:$F$98)</f>
        <v>110</v>
      </c>
      <c r="G53" s="46"/>
      <c r="H53" s="46">
        <f t="shared" si="1"/>
        <v>0</v>
      </c>
      <c r="I53" s="47">
        <f>VLOOKUP(B53,ЛСР!$B$12:$J$98,9,0)</f>
        <v>0</v>
      </c>
      <c r="J53" s="48"/>
    </row>
    <row r="54" spans="1:10" ht="27.6" x14ac:dyDescent="0.3">
      <c r="A54" s="48">
        <f t="shared" si="0"/>
        <v>52</v>
      </c>
      <c r="B54" s="107" t="s">
        <v>77</v>
      </c>
      <c r="C54" s="48"/>
      <c r="D54" s="47" t="s">
        <v>96</v>
      </c>
      <c r="E54" s="47" t="s">
        <v>2</v>
      </c>
      <c r="F54" s="46">
        <f>SUMIF(ЛСР!$B$12:$B$98,B54,ЛСР!$F$12:$F$98)</f>
        <v>202</v>
      </c>
      <c r="G54" s="46"/>
      <c r="H54" s="46">
        <f t="shared" si="1"/>
        <v>0</v>
      </c>
      <c r="I54" s="47" t="str">
        <f>VLOOKUP(B54,ЛСР!$B$12:$J$98,9,0)</f>
        <v>Встроенные помещения (8шт)</v>
      </c>
      <c r="J54" s="48"/>
    </row>
    <row r="55" spans="1:10" x14ac:dyDescent="0.3">
      <c r="A55" s="48">
        <f t="shared" si="0"/>
        <v>53</v>
      </c>
      <c r="B55" s="107" t="s">
        <v>107</v>
      </c>
      <c r="C55" s="48"/>
      <c r="D55" s="47" t="s">
        <v>172</v>
      </c>
      <c r="E55" s="47" t="s">
        <v>2</v>
      </c>
      <c r="F55" s="46">
        <f>SUMIF(ЛСР!$B$12:$B$98,B55,ЛСР!$F$12:$F$98)</f>
        <v>3</v>
      </c>
      <c r="G55" s="46"/>
      <c r="H55" s="46">
        <f t="shared" si="1"/>
        <v>0</v>
      </c>
      <c r="I55" s="47">
        <f>VLOOKUP(B55,ЛСР!$B$12:$J$98,9,0)</f>
        <v>0</v>
      </c>
      <c r="J55" s="48"/>
    </row>
    <row r="56" spans="1:10" x14ac:dyDescent="0.3">
      <c r="A56" s="48">
        <f t="shared" si="0"/>
        <v>54</v>
      </c>
      <c r="B56" s="107" t="s">
        <v>108</v>
      </c>
      <c r="C56" s="48"/>
      <c r="D56" s="47" t="s">
        <v>173</v>
      </c>
      <c r="E56" s="47" t="s">
        <v>2</v>
      </c>
      <c r="F56" s="46">
        <f>SUMIF(ЛСР!$B$12:$B$98,B56,ЛСР!$F$12:$F$98)</f>
        <v>4</v>
      </c>
      <c r="G56" s="46"/>
      <c r="H56" s="46">
        <f t="shared" si="1"/>
        <v>0</v>
      </c>
      <c r="I56" s="47">
        <f>VLOOKUP(B56,ЛСР!$B$12:$J$98,9,0)</f>
        <v>0</v>
      </c>
      <c r="J56" s="48"/>
    </row>
    <row r="57" spans="1:10" x14ac:dyDescent="0.3">
      <c r="A57" s="48">
        <f t="shared" si="0"/>
        <v>55</v>
      </c>
      <c r="B57" s="107" t="s">
        <v>109</v>
      </c>
      <c r="C57" s="48"/>
      <c r="D57" s="47" t="s">
        <v>120</v>
      </c>
      <c r="E57" s="47" t="s">
        <v>2</v>
      </c>
      <c r="F57" s="46">
        <f>SUMIF(ЛСР!$B$12:$B$98,B57,ЛСР!$F$12:$F$98)</f>
        <v>1</v>
      </c>
      <c r="G57" s="46"/>
      <c r="H57" s="46">
        <f t="shared" si="1"/>
        <v>0</v>
      </c>
      <c r="I57" s="47">
        <f>VLOOKUP(B57,ЛСР!$B$12:$J$98,9,0)</f>
        <v>0</v>
      </c>
      <c r="J57" s="48"/>
    </row>
    <row r="58" spans="1:10" x14ac:dyDescent="0.3">
      <c r="A58" s="48">
        <f t="shared" si="0"/>
        <v>56</v>
      </c>
      <c r="B58" s="107" t="s">
        <v>179</v>
      </c>
      <c r="C58" s="48"/>
      <c r="D58" s="47" t="s">
        <v>180</v>
      </c>
      <c r="E58" s="47" t="s">
        <v>2</v>
      </c>
      <c r="F58" s="46">
        <f>SUMIF(ЛСР!$B$12:$B$98,B58,ЛСР!$F$12:$F$98)</f>
        <v>1</v>
      </c>
      <c r="G58" s="46"/>
      <c r="H58" s="46">
        <f t="shared" si="1"/>
        <v>0</v>
      </c>
      <c r="I58" s="47">
        <f>VLOOKUP(B58,ЛСР!$B$12:$J$98,9,0)</f>
        <v>0</v>
      </c>
      <c r="J58" s="48"/>
    </row>
    <row r="59" spans="1:10" x14ac:dyDescent="0.3">
      <c r="A59" s="48">
        <f t="shared" si="0"/>
        <v>57</v>
      </c>
      <c r="B59" s="107" t="s">
        <v>80</v>
      </c>
      <c r="C59" s="48"/>
      <c r="D59" s="47" t="s">
        <v>101</v>
      </c>
      <c r="E59" s="47" t="s">
        <v>2</v>
      </c>
      <c r="F59" s="46">
        <f>SUMIF(ЛСР!$B$12:$B$98,B59,ЛСР!$F$12:$F$98)</f>
        <v>10</v>
      </c>
      <c r="G59" s="46"/>
      <c r="H59" s="46">
        <f t="shared" si="1"/>
        <v>0</v>
      </c>
      <c r="I59" s="47">
        <f>VLOOKUP(B59,ЛСР!$B$12:$J$98,9,0)</f>
        <v>0</v>
      </c>
      <c r="J59" s="48"/>
    </row>
    <row r="60" spans="1:10" x14ac:dyDescent="0.3">
      <c r="A60" s="48">
        <f t="shared" si="0"/>
        <v>58</v>
      </c>
      <c r="B60" s="107" t="s">
        <v>81</v>
      </c>
      <c r="C60" s="48"/>
      <c r="D60" s="47" t="s">
        <v>102</v>
      </c>
      <c r="E60" s="47" t="s">
        <v>2</v>
      </c>
      <c r="F60" s="46">
        <f>SUMIF(ЛСР!$B$12:$B$98,B60,ЛСР!$F$12:$F$98)</f>
        <v>2</v>
      </c>
      <c r="G60" s="46"/>
      <c r="H60" s="46">
        <f t="shared" si="1"/>
        <v>0</v>
      </c>
      <c r="I60" s="47">
        <f>VLOOKUP(B60,ЛСР!$B$12:$J$98,9,0)</f>
        <v>0</v>
      </c>
      <c r="J60" s="48"/>
    </row>
    <row r="61" spans="1:10" x14ac:dyDescent="0.3">
      <c r="A61" s="48">
        <f t="shared" si="0"/>
        <v>59</v>
      </c>
      <c r="B61" s="107" t="s">
        <v>82</v>
      </c>
      <c r="C61" s="48"/>
      <c r="D61" s="47" t="s">
        <v>134</v>
      </c>
      <c r="E61" s="47" t="s">
        <v>2</v>
      </c>
      <c r="F61" s="46">
        <f>SUMIF(ЛСР!$B$12:$B$98,B61,ЛСР!$F$12:$F$98)</f>
        <v>6</v>
      </c>
      <c r="G61" s="46"/>
      <c r="H61" s="46">
        <f t="shared" si="1"/>
        <v>0</v>
      </c>
      <c r="I61" s="47">
        <f>VLOOKUP(B61,ЛСР!$B$12:$J$98,9,0)</f>
        <v>0</v>
      </c>
      <c r="J61" s="48"/>
    </row>
    <row r="62" spans="1:10" ht="41.4" x14ac:dyDescent="0.3">
      <c r="A62" s="48">
        <f t="shared" si="0"/>
        <v>60</v>
      </c>
      <c r="B62" s="107" t="s">
        <v>113</v>
      </c>
      <c r="C62" s="48" t="s">
        <v>105</v>
      </c>
      <c r="D62" s="47" t="s">
        <v>106</v>
      </c>
      <c r="E62" s="47" t="s">
        <v>2</v>
      </c>
      <c r="F62" s="46">
        <f>SUMIF(ЛСР!$B$12:$B$98,B62,ЛСР!$F$12:$F$98)</f>
        <v>1</v>
      </c>
      <c r="G62" s="46"/>
      <c r="H62" s="46">
        <f t="shared" si="1"/>
        <v>0</v>
      </c>
      <c r="I62" s="47">
        <f>VLOOKUP(B62,ЛСР!$B$12:$J$98,9,0)</f>
        <v>0</v>
      </c>
      <c r="J62" s="48"/>
    </row>
    <row r="63" spans="1:10" ht="41.4" x14ac:dyDescent="0.3">
      <c r="A63" s="48">
        <f t="shared" si="0"/>
        <v>61</v>
      </c>
      <c r="B63" s="107" t="s">
        <v>114</v>
      </c>
      <c r="C63" s="48" t="s">
        <v>105</v>
      </c>
      <c r="D63" s="47" t="s">
        <v>115</v>
      </c>
      <c r="E63" s="47" t="s">
        <v>2</v>
      </c>
      <c r="F63" s="46">
        <f>SUMIF(ЛСР!$B$12:$B$98,B63,ЛСР!$F$12:$F$98)</f>
        <v>1</v>
      </c>
      <c r="G63" s="46"/>
      <c r="H63" s="46">
        <f t="shared" si="1"/>
        <v>0</v>
      </c>
      <c r="I63" s="47">
        <f>VLOOKUP(B63,ЛСР!$B$12:$J$98,9,0)</f>
        <v>0</v>
      </c>
      <c r="J63" s="48"/>
    </row>
    <row r="64" spans="1:10" ht="41.4" x14ac:dyDescent="0.3">
      <c r="A64" s="48">
        <f t="shared" si="0"/>
        <v>62</v>
      </c>
      <c r="B64" s="107" t="s">
        <v>154</v>
      </c>
      <c r="C64" s="48"/>
      <c r="D64" s="47" t="s">
        <v>157</v>
      </c>
      <c r="E64" s="47" t="s">
        <v>2</v>
      </c>
      <c r="F64" s="46">
        <f>SUMIF(ЛСР!$B$12:$B$98,B64,ЛСР!$F$12:$F$98)</f>
        <v>67</v>
      </c>
      <c r="G64" s="46"/>
      <c r="H64" s="46">
        <f t="shared" si="1"/>
        <v>0</v>
      </c>
      <c r="I64" s="47" t="str">
        <f>VLOOKUP(B64,ЛСР!$B$12:$J$98,9,0)</f>
        <v>Встроенные помещения</v>
      </c>
      <c r="J64" s="48"/>
    </row>
    <row r="65" spans="1:11" ht="27.6" x14ac:dyDescent="0.3">
      <c r="A65" s="48">
        <f t="shared" si="0"/>
        <v>63</v>
      </c>
      <c r="B65" s="107" t="s">
        <v>155</v>
      </c>
      <c r="C65" s="48"/>
      <c r="D65" s="47" t="s">
        <v>158</v>
      </c>
      <c r="E65" s="47" t="s">
        <v>2</v>
      </c>
      <c r="F65" s="46">
        <f>SUMIF(ЛСР!$B$12:$B$98,B65,ЛСР!$F$12:$F$98)</f>
        <v>104</v>
      </c>
      <c r="G65" s="46"/>
      <c r="H65" s="46">
        <f t="shared" si="1"/>
        <v>0</v>
      </c>
      <c r="I65" s="47" t="str">
        <f>VLOOKUP(B65,ЛСР!$B$12:$J$98,9,0)</f>
        <v>Встроенные помещения</v>
      </c>
      <c r="J65" s="48"/>
    </row>
    <row r="66" spans="1:11" ht="41.4" x14ac:dyDescent="0.3">
      <c r="A66" s="48">
        <f t="shared" si="0"/>
        <v>64</v>
      </c>
      <c r="B66" s="107" t="s">
        <v>156</v>
      </c>
      <c r="C66" s="48"/>
      <c r="D66" s="47" t="s">
        <v>159</v>
      </c>
      <c r="E66" s="47" t="s">
        <v>2</v>
      </c>
      <c r="F66" s="46">
        <f>SUMIF(ЛСР!$B$12:$B$98,B66,ЛСР!$F$12:$F$98)</f>
        <v>84</v>
      </c>
      <c r="G66" s="46"/>
      <c r="H66" s="46">
        <f t="shared" si="1"/>
        <v>0</v>
      </c>
      <c r="I66" s="47" t="str">
        <f>VLOOKUP(B66,ЛСР!$B$12:$J$98,9,0)</f>
        <v>Встроенные помещения</v>
      </c>
      <c r="J66" s="48"/>
    </row>
    <row r="67" spans="1:11" ht="27.6" x14ac:dyDescent="0.3">
      <c r="A67" s="48">
        <f t="shared" si="0"/>
        <v>65</v>
      </c>
      <c r="B67" s="107" t="s">
        <v>160</v>
      </c>
      <c r="C67" s="48"/>
      <c r="D67" s="47" t="s">
        <v>124</v>
      </c>
      <c r="E67" s="47" t="s">
        <v>2</v>
      </c>
      <c r="F67" s="46">
        <f>SUMIF(ЛСР!$B$12:$B$98,B67,ЛСР!$F$12:$F$98)</f>
        <v>4</v>
      </c>
      <c r="G67" s="46"/>
      <c r="H67" s="46">
        <f t="shared" si="1"/>
        <v>0</v>
      </c>
      <c r="I67" s="47" t="str">
        <f>VLOOKUP(B67,ЛСР!$B$12:$J$98,9,0)</f>
        <v>Встроенные помещения</v>
      </c>
      <c r="J67" s="48"/>
    </row>
    <row r="68" spans="1:11" x14ac:dyDescent="0.3">
      <c r="A68" s="48">
        <f t="shared" ref="A68" si="2">ROW()-2</f>
        <v>66</v>
      </c>
      <c r="B68" s="107" t="s">
        <v>125</v>
      </c>
      <c r="C68" s="48"/>
      <c r="D68" s="47"/>
      <c r="E68" s="47" t="s">
        <v>2</v>
      </c>
      <c r="F68" s="46">
        <f>SUMIF(ЛСР!$B$12:$B$98,B68,ЛСР!$F$12:$F$98)</f>
        <v>4</v>
      </c>
      <c r="G68" s="46"/>
      <c r="H68" s="46">
        <f t="shared" ref="H68" si="3">G68*F68</f>
        <v>0</v>
      </c>
      <c r="I68" s="47" t="str">
        <f>VLOOKUP(B68,ЛСР!$B$12:$J$98,9,0)</f>
        <v>Встроенные помещения</v>
      </c>
      <c r="J68" s="48"/>
    </row>
    <row r="69" spans="1:11" x14ac:dyDescent="0.3">
      <c r="G69" s="92" t="s">
        <v>187</v>
      </c>
      <c r="H69" s="93">
        <f>SUM(H3:H68)</f>
        <v>0</v>
      </c>
    </row>
    <row r="70" spans="1:11" x14ac:dyDescent="0.3">
      <c r="G70" s="92" t="s">
        <v>188</v>
      </c>
      <c r="H70" s="94">
        <f>H69-ЛСР!I101</f>
        <v>0</v>
      </c>
    </row>
    <row r="72" spans="1:11" x14ac:dyDescent="0.3">
      <c r="B72" s="81" t="s">
        <v>34</v>
      </c>
      <c r="C72" s="81"/>
      <c r="D72" s="2"/>
      <c r="E72" s="2"/>
      <c r="G72" s="8"/>
      <c r="I72" s="5"/>
      <c r="J72" s="82"/>
      <c r="K72" s="5"/>
    </row>
    <row r="73" spans="1:11" ht="41.25" customHeight="1" x14ac:dyDescent="0.3">
      <c r="A73" s="83" t="s">
        <v>18</v>
      </c>
      <c r="B73" s="118" t="s">
        <v>35</v>
      </c>
      <c r="C73" s="118"/>
      <c r="D73" s="118"/>
      <c r="E73" s="118"/>
      <c r="F73" s="118"/>
      <c r="G73" s="118"/>
      <c r="H73" s="118"/>
      <c r="I73" s="95"/>
      <c r="J73" s="95"/>
      <c r="K73" s="96"/>
    </row>
    <row r="74" spans="1:11" ht="73.2" customHeight="1" x14ac:dyDescent="0.3">
      <c r="A74" s="66" t="s">
        <v>18</v>
      </c>
      <c r="B74" s="118" t="s">
        <v>36</v>
      </c>
      <c r="C74" s="118"/>
      <c r="D74" s="118"/>
      <c r="E74" s="118"/>
      <c r="F74" s="118"/>
      <c r="G74" s="118"/>
      <c r="H74" s="118"/>
      <c r="I74" s="95"/>
      <c r="J74" s="95"/>
      <c r="K74" s="97"/>
    </row>
    <row r="75" spans="1:11" ht="13.8" customHeight="1" x14ac:dyDescent="0.3">
      <c r="A75" s="83" t="s">
        <v>18</v>
      </c>
      <c r="B75" s="98" t="s">
        <v>37</v>
      </c>
      <c r="C75" s="98"/>
      <c r="D75" s="98"/>
      <c r="E75" s="98"/>
      <c r="F75" s="98"/>
      <c r="G75" s="98"/>
      <c r="H75" s="98"/>
      <c r="I75" s="98"/>
      <c r="J75" s="98"/>
      <c r="K75" s="86"/>
    </row>
  </sheetData>
  <mergeCells count="2">
    <mergeCell ref="B73:H73"/>
    <mergeCell ref="B74:H74"/>
  </mergeCells>
  <conditionalFormatting sqref="B1:B1048576">
    <cfRule type="duplicateValues" dxfId="1" priority="2"/>
  </conditionalFormatting>
  <conditionalFormatting sqref="I3:I68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</vt:lpstr>
      <vt:lpstr>СМР</vt:lpstr>
      <vt:lpstr>ТМЦ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2026-02-18T17:17:15Z</dcterms:modified>
</cp:coreProperties>
</file>