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4ECDE76B-2081-4404-A27F-2796DC2C5E8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1.11 Домофония" sheetId="16" r:id="rId1"/>
    <sheet name="СМР" sheetId="22" r:id="rId2"/>
    <sheet name="ТМЦ" sheetId="23" r:id="rId3"/>
  </sheets>
  <externalReferences>
    <externalReference r:id="rId4"/>
  </externalReferences>
  <definedNames>
    <definedName name="_xlnm._FilterDatabase" localSheetId="0" hidden="1">'11.11 Домофония'!$A$12:$L$130</definedName>
    <definedName name="Данные">[1]Тестовый!$F$10:$H$14</definedName>
    <definedName name="_xlnm.Print_Area" localSheetId="0">'11.11 Домофония'!$A$1:$L$135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5" i="16" l="1"/>
  <c r="F105" i="16"/>
  <c r="G18" i="16"/>
  <c r="F18" i="16"/>
  <c r="K6" i="23"/>
  <c r="K7" i="23"/>
  <c r="K8" i="23"/>
  <c r="K9" i="23"/>
  <c r="K10" i="23"/>
  <c r="K11" i="23"/>
  <c r="K12" i="23"/>
  <c r="K13" i="23"/>
  <c r="K14" i="23"/>
  <c r="K15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K32" i="23"/>
  <c r="K33" i="23"/>
  <c r="K34" i="23"/>
  <c r="K35" i="23"/>
  <c r="K36" i="23"/>
  <c r="K37" i="23"/>
  <c r="K38" i="23"/>
  <c r="K39" i="23"/>
  <c r="K40" i="23"/>
  <c r="K41" i="23"/>
  <c r="K43" i="23"/>
  <c r="K44" i="23"/>
  <c r="K45" i="23"/>
  <c r="K46" i="23"/>
  <c r="K47" i="23"/>
  <c r="K48" i="23"/>
  <c r="K49" i="23"/>
  <c r="K50" i="23"/>
  <c r="K51" i="23"/>
  <c r="K52" i="23"/>
  <c r="K53" i="23"/>
  <c r="K54" i="23"/>
  <c r="K55" i="23"/>
  <c r="K56" i="23"/>
  <c r="K57" i="23"/>
  <c r="K58" i="23"/>
  <c r="K59" i="23"/>
  <c r="K60" i="23"/>
  <c r="K61" i="23"/>
  <c r="K62" i="23"/>
  <c r="K63" i="23"/>
  <c r="K64" i="23"/>
  <c r="K65" i="23"/>
  <c r="K66" i="23"/>
  <c r="K67" i="23"/>
  <c r="K68" i="23"/>
  <c r="K69" i="23"/>
  <c r="K70" i="23"/>
  <c r="K71" i="23"/>
  <c r="K72" i="23"/>
  <c r="K73" i="23"/>
  <c r="K74" i="23"/>
  <c r="K75" i="23"/>
  <c r="K76" i="23"/>
  <c r="K77" i="23"/>
  <c r="K78" i="23"/>
  <c r="K79" i="23"/>
  <c r="K80" i="23"/>
  <c r="K81" i="23"/>
  <c r="K82" i="23"/>
  <c r="K83" i="23"/>
  <c r="K42" i="23"/>
  <c r="I30" i="16"/>
  <c r="I29" i="16"/>
  <c r="I28" i="16"/>
  <c r="I27" i="16"/>
  <c r="I26" i="16"/>
  <c r="I25" i="16"/>
  <c r="I24" i="16"/>
  <c r="I23" i="16"/>
  <c r="I22" i="16"/>
  <c r="I21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100" i="16"/>
  <c r="I99" i="16"/>
  <c r="I98" i="16"/>
  <c r="I97" i="16"/>
  <c r="I96" i="16"/>
  <c r="I95" i="16"/>
  <c r="I94" i="16"/>
  <c r="I93" i="16"/>
  <c r="I92" i="16"/>
  <c r="I91" i="16"/>
  <c r="I112" i="16"/>
  <c r="I111" i="16"/>
  <c r="I110" i="16"/>
  <c r="I109" i="16"/>
  <c r="I108" i="16"/>
  <c r="I107" i="16"/>
  <c r="I118" i="16"/>
  <c r="I117" i="16"/>
  <c r="I116" i="16"/>
  <c r="I115" i="16"/>
  <c r="I114" i="16"/>
  <c r="L30" i="16"/>
  <c r="L29" i="16"/>
  <c r="L28" i="16"/>
  <c r="L27" i="16"/>
  <c r="L26" i="16"/>
  <c r="L25" i="16"/>
  <c r="L24" i="16"/>
  <c r="L23" i="16"/>
  <c r="L22" i="16"/>
  <c r="L21" i="16"/>
  <c r="L44" i="16"/>
  <c r="L43" i="16"/>
  <c r="L42" i="16"/>
  <c r="L41" i="16"/>
  <c r="L40" i="16"/>
  <c r="L39" i="16"/>
  <c r="L38" i="16"/>
  <c r="L37" i="16"/>
  <c r="L36" i="16"/>
  <c r="L35" i="16"/>
  <c r="L34" i="16"/>
  <c r="L33" i="16"/>
  <c r="L32" i="16"/>
  <c r="L89" i="16"/>
  <c r="L88" i="16"/>
  <c r="L87" i="16"/>
  <c r="L86" i="16"/>
  <c r="L85" i="16"/>
  <c r="L84" i="16"/>
  <c r="L83" i="16"/>
  <c r="L82" i="16"/>
  <c r="L81" i="16"/>
  <c r="L80" i="16"/>
  <c r="L79" i="16"/>
  <c r="L78" i="16"/>
  <c r="L77" i="16"/>
  <c r="L76" i="16"/>
  <c r="L75" i="16"/>
  <c r="L74" i="16"/>
  <c r="L73" i="16"/>
  <c r="L72" i="16"/>
  <c r="L71" i="16"/>
  <c r="L70" i="16"/>
  <c r="L69" i="16"/>
  <c r="L68" i="16"/>
  <c r="L67" i="16"/>
  <c r="L66" i="16"/>
  <c r="L65" i="16"/>
  <c r="L64" i="16"/>
  <c r="L63" i="16"/>
  <c r="L62" i="16"/>
  <c r="L61" i="16"/>
  <c r="L60" i="16"/>
  <c r="L59" i="16"/>
  <c r="L58" i="16"/>
  <c r="L57" i="16"/>
  <c r="L56" i="16"/>
  <c r="L55" i="16"/>
  <c r="L54" i="16"/>
  <c r="L53" i="16"/>
  <c r="L52" i="16"/>
  <c r="L51" i="16"/>
  <c r="L100" i="16"/>
  <c r="L99" i="16"/>
  <c r="L98" i="16"/>
  <c r="L97" i="16"/>
  <c r="L96" i="16"/>
  <c r="L95" i="16"/>
  <c r="L94" i="16"/>
  <c r="L93" i="16"/>
  <c r="L92" i="16"/>
  <c r="L91" i="16"/>
  <c r="L112" i="16"/>
  <c r="L111" i="16"/>
  <c r="L110" i="16"/>
  <c r="L109" i="16"/>
  <c r="L108" i="16"/>
  <c r="L107" i="16"/>
  <c r="L114" i="16"/>
  <c r="L115" i="16"/>
  <c r="L116" i="16"/>
  <c r="L117" i="16"/>
  <c r="L118" i="16"/>
  <c r="L119" i="16"/>
  <c r="I119" i="16"/>
  <c r="E5" i="22"/>
  <c r="F5" i="22"/>
  <c r="E6" i="22"/>
  <c r="F6" i="22"/>
  <c r="E7" i="22"/>
  <c r="F7" i="22"/>
  <c r="E8" i="22"/>
  <c r="F8" i="22"/>
  <c r="F4" i="23"/>
  <c r="G4" i="23"/>
  <c r="F5" i="23"/>
  <c r="G5" i="23"/>
  <c r="F6" i="23"/>
  <c r="G6" i="23"/>
  <c r="F7" i="23"/>
  <c r="G7" i="23"/>
  <c r="F8" i="23"/>
  <c r="G8" i="23"/>
  <c r="F9" i="23"/>
  <c r="G9" i="23"/>
  <c r="F10" i="23"/>
  <c r="G10" i="23"/>
  <c r="F12" i="23"/>
  <c r="G12" i="23"/>
  <c r="F13" i="23"/>
  <c r="G13" i="23"/>
  <c r="F14" i="23"/>
  <c r="G14" i="23"/>
  <c r="F15" i="23"/>
  <c r="G15" i="23"/>
  <c r="F16" i="23"/>
  <c r="G16" i="23"/>
  <c r="F18" i="23"/>
  <c r="G18" i="23"/>
  <c r="F19" i="23"/>
  <c r="G19" i="23"/>
  <c r="F20" i="23"/>
  <c r="G20" i="23"/>
  <c r="F21" i="23"/>
  <c r="G21" i="23"/>
  <c r="F22" i="23"/>
  <c r="G22" i="23"/>
  <c r="F23" i="23"/>
  <c r="G23" i="23"/>
  <c r="F24" i="23"/>
  <c r="G24" i="23"/>
  <c r="F25" i="23"/>
  <c r="G25" i="23"/>
  <c r="F26" i="23"/>
  <c r="G26" i="23"/>
  <c r="F27" i="23"/>
  <c r="G27" i="23"/>
  <c r="F28" i="23"/>
  <c r="G28" i="23"/>
  <c r="F29" i="23"/>
  <c r="G29" i="23"/>
  <c r="F30" i="23"/>
  <c r="G30" i="23"/>
  <c r="F31" i="23"/>
  <c r="G31" i="23"/>
  <c r="F32" i="23"/>
  <c r="G32" i="23"/>
  <c r="F33" i="23"/>
  <c r="G33" i="23"/>
  <c r="F34" i="23"/>
  <c r="G34" i="23"/>
  <c r="F35" i="23"/>
  <c r="G35" i="23"/>
  <c r="F36" i="23"/>
  <c r="G36" i="23"/>
  <c r="F37" i="23"/>
  <c r="G37" i="23"/>
  <c r="F38" i="23"/>
  <c r="G38" i="23"/>
  <c r="F39" i="23"/>
  <c r="G39" i="23"/>
  <c r="F40" i="23"/>
  <c r="G40" i="23"/>
  <c r="F41" i="23"/>
  <c r="G41" i="23"/>
  <c r="F42" i="23"/>
  <c r="G42" i="23"/>
  <c r="F44" i="23"/>
  <c r="G44" i="23"/>
  <c r="F45" i="23"/>
  <c r="G45" i="23"/>
  <c r="F46" i="23"/>
  <c r="G46" i="23"/>
  <c r="F47" i="23"/>
  <c r="G47" i="23"/>
  <c r="F48" i="23"/>
  <c r="G48" i="23"/>
  <c r="F49" i="23"/>
  <c r="G49" i="23"/>
  <c r="F50" i="23"/>
  <c r="G50" i="23"/>
  <c r="F51" i="23"/>
  <c r="G51" i="23"/>
  <c r="F52" i="23"/>
  <c r="G52" i="23"/>
  <c r="F53" i="23"/>
  <c r="G53" i="23"/>
  <c r="F54" i="23"/>
  <c r="G54" i="23"/>
  <c r="F55" i="23"/>
  <c r="G55" i="23"/>
  <c r="F56" i="23"/>
  <c r="G56" i="23"/>
  <c r="F57" i="23"/>
  <c r="G57" i="23"/>
  <c r="F58" i="23"/>
  <c r="G58" i="23"/>
  <c r="F59" i="23"/>
  <c r="G59" i="23"/>
  <c r="F60" i="23"/>
  <c r="G60" i="23"/>
  <c r="F61" i="23"/>
  <c r="G61" i="23"/>
  <c r="F62" i="23"/>
  <c r="G62" i="23"/>
  <c r="F63" i="23"/>
  <c r="G63" i="23"/>
  <c r="F64" i="23"/>
  <c r="G64" i="23"/>
  <c r="F65" i="23"/>
  <c r="G65" i="23"/>
  <c r="F66" i="23"/>
  <c r="G66" i="23"/>
  <c r="F67" i="23"/>
  <c r="G67" i="23"/>
  <c r="F69" i="23"/>
  <c r="G69" i="23"/>
  <c r="F71" i="23"/>
  <c r="G71" i="23"/>
  <c r="F72" i="23"/>
  <c r="G72" i="23"/>
  <c r="F73" i="23"/>
  <c r="G73" i="23"/>
  <c r="F74" i="23"/>
  <c r="G74" i="23"/>
  <c r="F76" i="23"/>
  <c r="G76" i="23"/>
  <c r="F77" i="23"/>
  <c r="G77" i="23"/>
  <c r="F78" i="23"/>
  <c r="G78" i="23"/>
  <c r="F79" i="23"/>
  <c r="G79" i="23"/>
  <c r="F80" i="23"/>
  <c r="G80" i="23"/>
  <c r="F81" i="23"/>
  <c r="G81" i="23"/>
  <c r="F82" i="23"/>
  <c r="G82" i="23"/>
  <c r="F83" i="23"/>
  <c r="G83" i="23"/>
  <c r="G3" i="23"/>
  <c r="F3" i="23"/>
  <c r="I19" i="16" l="1"/>
  <c r="I18" i="16"/>
  <c r="I49" i="16"/>
  <c r="I48" i="16"/>
  <c r="I105" i="16"/>
  <c r="I104" i="16"/>
  <c r="I123" i="16"/>
  <c r="I124" i="16"/>
  <c r="H124" i="16"/>
  <c r="H123" i="16"/>
  <c r="A65" i="23"/>
  <c r="A64" i="23"/>
  <c r="A63" i="23"/>
  <c r="A62" i="23"/>
  <c r="A61" i="23"/>
  <c r="A60" i="23"/>
  <c r="A59" i="23"/>
  <c r="A58" i="23"/>
  <c r="A57" i="23"/>
  <c r="A56" i="23"/>
  <c r="A55" i="23"/>
  <c r="A54" i="23"/>
  <c r="A53" i="23"/>
  <c r="A52" i="23"/>
  <c r="A51" i="23"/>
  <c r="A50" i="23"/>
  <c r="A49" i="23"/>
  <c r="A48" i="23"/>
  <c r="A47" i="23"/>
  <c r="A46" i="23"/>
  <c r="A45" i="23"/>
  <c r="A44" i="23"/>
  <c r="A43" i="23"/>
  <c r="A42" i="23"/>
  <c r="A41" i="23"/>
  <c r="A40" i="23"/>
  <c r="A39" i="23"/>
  <c r="A38" i="23"/>
  <c r="A37" i="23"/>
  <c r="A36" i="23"/>
  <c r="A35" i="23"/>
  <c r="A34" i="23"/>
  <c r="A33" i="23"/>
  <c r="A32" i="23"/>
  <c r="A31" i="23"/>
  <c r="A30" i="23"/>
  <c r="A29" i="23"/>
  <c r="A28" i="23"/>
  <c r="A27" i="23"/>
  <c r="A26" i="23"/>
  <c r="A25" i="23"/>
  <c r="A24" i="23"/>
  <c r="A23" i="23"/>
  <c r="A22" i="23"/>
  <c r="A21" i="23"/>
  <c r="A20" i="23"/>
  <c r="A19" i="23"/>
  <c r="A18" i="23"/>
  <c r="A17" i="23"/>
  <c r="A16" i="23"/>
  <c r="A15" i="23"/>
  <c r="A14" i="23"/>
  <c r="A13" i="23"/>
  <c r="A12" i="23"/>
  <c r="A11" i="23"/>
  <c r="A10" i="23"/>
  <c r="A9" i="23"/>
  <c r="A8" i="23"/>
  <c r="A7" i="23"/>
  <c r="A6" i="23"/>
  <c r="A5" i="23"/>
  <c r="A4" i="23"/>
  <c r="A3" i="23"/>
  <c r="A8" i="22"/>
  <c r="A7" i="22"/>
  <c r="A6" i="22"/>
  <c r="A5" i="22"/>
  <c r="A4" i="22"/>
  <c r="A3" i="22"/>
  <c r="G7" i="22" l="1"/>
  <c r="G8" i="22"/>
  <c r="I8" i="22" s="1"/>
  <c r="J124" i="16"/>
  <c r="I7" i="22" l="1"/>
  <c r="G32" i="16" l="1"/>
  <c r="F32" i="16"/>
  <c r="F33" i="16" l="1"/>
  <c r="H86" i="16"/>
  <c r="H85" i="16"/>
  <c r="H84" i="16"/>
  <c r="G112" i="16"/>
  <c r="F112" i="16"/>
  <c r="F75" i="23" l="1"/>
  <c r="G75" i="23"/>
  <c r="F17" i="23"/>
  <c r="J84" i="16"/>
  <c r="H66" i="23"/>
  <c r="J66" i="23" s="1"/>
  <c r="J86" i="16"/>
  <c r="H19" i="23"/>
  <c r="J19" i="23" s="1"/>
  <c r="J85" i="16"/>
  <c r="H59" i="23"/>
  <c r="J59" i="23" s="1"/>
  <c r="H88" i="16"/>
  <c r="J88" i="16" l="1"/>
  <c r="H55" i="23"/>
  <c r="J55" i="23" s="1"/>
  <c r="H57" i="16"/>
  <c r="G109" i="16"/>
  <c r="F109" i="16"/>
  <c r="G33" i="16"/>
  <c r="H76" i="16"/>
  <c r="G17" i="23" l="1"/>
  <c r="G114" i="16"/>
  <c r="G70" i="23"/>
  <c r="J76" i="16"/>
  <c r="H5" i="23"/>
  <c r="J5" i="23" s="1"/>
  <c r="F114" i="16"/>
  <c r="F70" i="23"/>
  <c r="J57" i="16"/>
  <c r="H38" i="23"/>
  <c r="J38" i="23" s="1"/>
  <c r="F59" i="16"/>
  <c r="G59" i="16"/>
  <c r="H83" i="16"/>
  <c r="H92" i="16"/>
  <c r="H93" i="16"/>
  <c r="H91" i="16"/>
  <c r="H82" i="16"/>
  <c r="H27" i="16"/>
  <c r="H112" i="16"/>
  <c r="H81" i="16"/>
  <c r="H80" i="16"/>
  <c r="H66" i="16"/>
  <c r="H65" i="16"/>
  <c r="H63" i="16"/>
  <c r="F43" i="23" l="1"/>
  <c r="G11" i="23"/>
  <c r="F11" i="23"/>
  <c r="G43" i="23"/>
  <c r="J81" i="16"/>
  <c r="H36" i="23"/>
  <c r="J36" i="23" s="1"/>
  <c r="J112" i="16"/>
  <c r="H75" i="23"/>
  <c r="J75" i="23" s="1"/>
  <c r="J27" i="16"/>
  <c r="H33" i="23"/>
  <c r="J33" i="23" s="1"/>
  <c r="J82" i="16"/>
  <c r="H3" i="23"/>
  <c r="J3" i="23" s="1"/>
  <c r="J63" i="16"/>
  <c r="H76" i="23"/>
  <c r="J76" i="23" s="1"/>
  <c r="J91" i="16"/>
  <c r="H40" i="23"/>
  <c r="J40" i="23" s="1"/>
  <c r="J65" i="16"/>
  <c r="H39" i="23"/>
  <c r="J39" i="23" s="1"/>
  <c r="J93" i="16"/>
  <c r="J66" i="16"/>
  <c r="H78" i="23"/>
  <c r="J78" i="23" s="1"/>
  <c r="J92" i="16"/>
  <c r="H41" i="23"/>
  <c r="J41" i="23" s="1"/>
  <c r="J80" i="16"/>
  <c r="H65" i="23"/>
  <c r="J65" i="23" s="1"/>
  <c r="J83" i="16"/>
  <c r="H45" i="23"/>
  <c r="J45" i="23" s="1"/>
  <c r="H87" i="16"/>
  <c r="H89" i="16"/>
  <c r="H43" i="16"/>
  <c r="H44" i="16"/>
  <c r="H42" i="16"/>
  <c r="G19" i="16"/>
  <c r="H25" i="16"/>
  <c r="H20" i="23" l="1"/>
  <c r="J20" i="23" s="1"/>
  <c r="H56" i="23"/>
  <c r="J56" i="23" s="1"/>
  <c r="H30" i="23"/>
  <c r="J30" i="23" s="1"/>
  <c r="J44" i="16"/>
  <c r="H24" i="23"/>
  <c r="J24" i="23" s="1"/>
  <c r="J43" i="16"/>
  <c r="H82" i="23"/>
  <c r="J82" i="23" s="1"/>
  <c r="J87" i="16"/>
  <c r="H54" i="23"/>
  <c r="J54" i="23" s="1"/>
  <c r="J89" i="16"/>
  <c r="J42" i="16"/>
  <c r="J25" i="16"/>
  <c r="F19" i="16"/>
  <c r="H39" i="16"/>
  <c r="H40" i="16"/>
  <c r="H41" i="16"/>
  <c r="H30" i="16"/>
  <c r="H23" i="16"/>
  <c r="H59" i="16"/>
  <c r="H58" i="16"/>
  <c r="H70" i="16"/>
  <c r="H71" i="16"/>
  <c r="H69" i="16"/>
  <c r="H61" i="16"/>
  <c r="H55" i="16"/>
  <c r="G52" i="16"/>
  <c r="F52" i="16"/>
  <c r="F104" i="16"/>
  <c r="H107" i="16"/>
  <c r="H21" i="16"/>
  <c r="H34" i="16"/>
  <c r="H48" i="16"/>
  <c r="H49" i="16"/>
  <c r="H53" i="16"/>
  <c r="H54" i="16"/>
  <c r="H67" i="16"/>
  <c r="H68" i="16"/>
  <c r="H60" i="16"/>
  <c r="H62" i="16"/>
  <c r="H64" i="16"/>
  <c r="H56" i="16"/>
  <c r="H72" i="16"/>
  <c r="H73" i="16"/>
  <c r="H74" i="16"/>
  <c r="H75" i="16"/>
  <c r="H77" i="16"/>
  <c r="H78" i="16"/>
  <c r="H79" i="16"/>
  <c r="H94" i="16"/>
  <c r="H95" i="16"/>
  <c r="H96" i="16"/>
  <c r="H97" i="16"/>
  <c r="H98" i="16"/>
  <c r="H99" i="16"/>
  <c r="H100" i="16"/>
  <c r="H64" i="23" l="1"/>
  <c r="J64" i="23" s="1"/>
  <c r="H49" i="23"/>
  <c r="J49" i="23" s="1"/>
  <c r="H79" i="23"/>
  <c r="J79" i="23" s="1"/>
  <c r="H77" i="23"/>
  <c r="J77" i="23" s="1"/>
  <c r="H4" i="23"/>
  <c r="J4" i="23" s="1"/>
  <c r="H81" i="23"/>
  <c r="J81" i="23" s="1"/>
  <c r="H21" i="23"/>
  <c r="J21" i="23" s="1"/>
  <c r="H6" i="23"/>
  <c r="J6" i="23" s="1"/>
  <c r="H25" i="23"/>
  <c r="J25" i="23" s="1"/>
  <c r="H18" i="23"/>
  <c r="J18" i="23" s="1"/>
  <c r="H22" i="23"/>
  <c r="J22" i="23" s="1"/>
  <c r="H47" i="23"/>
  <c r="J47" i="23" s="1"/>
  <c r="H32" i="23"/>
  <c r="J32" i="23" s="1"/>
  <c r="H58" i="23"/>
  <c r="J58" i="23" s="1"/>
  <c r="H51" i="23"/>
  <c r="J51" i="23" s="1"/>
  <c r="H8" i="23"/>
  <c r="J8" i="23" s="1"/>
  <c r="H60" i="23"/>
  <c r="J60" i="23" s="1"/>
  <c r="H57" i="23"/>
  <c r="J57" i="23" s="1"/>
  <c r="E3" i="22"/>
  <c r="H44" i="23"/>
  <c r="J44" i="23" s="1"/>
  <c r="H12" i="23"/>
  <c r="J12" i="23" s="1"/>
  <c r="H9" i="23"/>
  <c r="J9" i="23" s="1"/>
  <c r="H48" i="23"/>
  <c r="J48" i="23" s="1"/>
  <c r="E4" i="22"/>
  <c r="H83" i="23"/>
  <c r="J83" i="23" s="1"/>
  <c r="H13" i="23"/>
  <c r="J13" i="23" s="1"/>
  <c r="H23" i="23"/>
  <c r="J23" i="23" s="1"/>
  <c r="F68" i="23"/>
  <c r="H11" i="23"/>
  <c r="J11" i="23" s="1"/>
  <c r="H7" i="23"/>
  <c r="J7" i="23" s="1"/>
  <c r="H63" i="23"/>
  <c r="J63" i="23" s="1"/>
  <c r="H37" i="23"/>
  <c r="J37" i="23" s="1"/>
  <c r="G6" i="22"/>
  <c r="I6" i="22" s="1"/>
  <c r="G68" i="23"/>
  <c r="H28" i="23"/>
  <c r="J28" i="23" s="1"/>
  <c r="H80" i="23"/>
  <c r="J80" i="23" s="1"/>
  <c r="H14" i="23"/>
  <c r="J14" i="23" s="1"/>
  <c r="H61" i="23"/>
  <c r="J61" i="23" s="1"/>
  <c r="H46" i="23"/>
  <c r="J46" i="23" s="1"/>
  <c r="G5" i="22"/>
  <c r="I5" i="22" s="1"/>
  <c r="H10" i="23"/>
  <c r="J10" i="23" s="1"/>
  <c r="H72" i="23"/>
  <c r="J72" i="23" s="1"/>
  <c r="J99" i="16"/>
  <c r="H15" i="23"/>
  <c r="J15" i="23" s="1"/>
  <c r="J61" i="16"/>
  <c r="J41" i="16"/>
  <c r="J39" i="16"/>
  <c r="J69" i="16"/>
  <c r="J59" i="16"/>
  <c r="J58" i="16"/>
  <c r="J55" i="16"/>
  <c r="J70" i="16"/>
  <c r="J30" i="16"/>
  <c r="H52" i="16"/>
  <c r="J71" i="16"/>
  <c r="J23" i="16"/>
  <c r="J40" i="16"/>
  <c r="J96" i="16"/>
  <c r="J95" i="16"/>
  <c r="J94" i="16"/>
  <c r="J77" i="16"/>
  <c r="J72" i="16"/>
  <c r="H51" i="16"/>
  <c r="J48" i="16"/>
  <c r="J49" i="16"/>
  <c r="J68" i="16"/>
  <c r="J78" i="16"/>
  <c r="J73" i="16"/>
  <c r="J60" i="16"/>
  <c r="J34" i="16"/>
  <c r="J74" i="16"/>
  <c r="J62" i="16"/>
  <c r="J67" i="16"/>
  <c r="J53" i="16"/>
  <c r="J75" i="16"/>
  <c r="J64" i="16"/>
  <c r="J100" i="16"/>
  <c r="J97" i="16"/>
  <c r="J79" i="16"/>
  <c r="J56" i="16"/>
  <c r="J54" i="16"/>
  <c r="J98" i="16"/>
  <c r="H24" i="16"/>
  <c r="H38" i="16"/>
  <c r="H52" i="23" l="1"/>
  <c r="J52" i="23" s="1"/>
  <c r="H29" i="23"/>
  <c r="J29" i="23" s="1"/>
  <c r="J52" i="16"/>
  <c r="H68" i="23"/>
  <c r="J68" i="23" s="1"/>
  <c r="J51" i="16"/>
  <c r="H16" i="23"/>
  <c r="J16" i="23" s="1"/>
  <c r="J90" i="16"/>
  <c r="J47" i="16"/>
  <c r="H18" i="16"/>
  <c r="H19" i="16"/>
  <c r="J50" i="16" l="1"/>
  <c r="J46" i="16" s="1"/>
  <c r="H90" i="16"/>
  <c r="G104" i="16"/>
  <c r="F4" i="22" l="1"/>
  <c r="F3" i="22"/>
  <c r="H104" i="16"/>
  <c r="H105" i="16"/>
  <c r="G4" i="22" l="1"/>
  <c r="I4" i="22" s="1"/>
  <c r="J104" i="16"/>
  <c r="G3" i="22"/>
  <c r="I3" i="22" s="1"/>
  <c r="J24" i="16"/>
  <c r="I9" i="22" l="1"/>
  <c r="H119" i="16"/>
  <c r="H118" i="16"/>
  <c r="H117" i="16"/>
  <c r="H116" i="16"/>
  <c r="H115" i="16"/>
  <c r="J115" i="16" s="1"/>
  <c r="H114" i="16"/>
  <c r="J114" i="16" s="1"/>
  <c r="H37" i="16"/>
  <c r="H36" i="16"/>
  <c r="H111" i="16"/>
  <c r="H110" i="16"/>
  <c r="H109" i="16"/>
  <c r="H108" i="16"/>
  <c r="H67" i="23" l="1"/>
  <c r="J67" i="23" s="1"/>
  <c r="H73" i="23"/>
  <c r="J73" i="23" s="1"/>
  <c r="H74" i="23"/>
  <c r="J74" i="23" s="1"/>
  <c r="H42" i="23"/>
  <c r="J42" i="23" s="1"/>
  <c r="H50" i="23"/>
  <c r="J50" i="23" s="1"/>
  <c r="H53" i="23"/>
  <c r="J53" i="23" s="1"/>
  <c r="H35" i="23"/>
  <c r="J35" i="23" s="1"/>
  <c r="H34" i="23"/>
  <c r="J34" i="23" s="1"/>
  <c r="J108" i="16"/>
  <c r="H27" i="23"/>
  <c r="J27" i="23" s="1"/>
  <c r="J109" i="16"/>
  <c r="H70" i="23"/>
  <c r="J70" i="23" s="1"/>
  <c r="J119" i="16"/>
  <c r="J111" i="16"/>
  <c r="J37" i="16"/>
  <c r="J116" i="16"/>
  <c r="J117" i="16"/>
  <c r="J118" i="16"/>
  <c r="J110" i="16"/>
  <c r="J36" i="16"/>
  <c r="H35" i="16"/>
  <c r="H33" i="16"/>
  <c r="H32" i="16"/>
  <c r="H29" i="16"/>
  <c r="H22" i="16"/>
  <c r="H26" i="16"/>
  <c r="H28" i="16"/>
  <c r="J126" i="16"/>
  <c r="J125" i="16" s="1"/>
  <c r="J123" i="16"/>
  <c r="J122" i="16" s="1"/>
  <c r="J107" i="16"/>
  <c r="J105" i="16"/>
  <c r="J103" i="16" s="1"/>
  <c r="H71" i="23" l="1"/>
  <c r="J71" i="23" s="1"/>
  <c r="H17" i="23"/>
  <c r="J17" i="23" s="1"/>
  <c r="H62" i="23"/>
  <c r="J62" i="23" s="1"/>
  <c r="H69" i="23"/>
  <c r="J69" i="23" s="1"/>
  <c r="H43" i="23"/>
  <c r="J43" i="23" s="1"/>
  <c r="H31" i="23"/>
  <c r="J31" i="23" s="1"/>
  <c r="H26" i="23"/>
  <c r="J26" i="23" s="1"/>
  <c r="J113" i="16"/>
  <c r="J106" i="16" s="1"/>
  <c r="J102" i="16" s="1"/>
  <c r="J121" i="16"/>
  <c r="J35" i="16"/>
  <c r="J28" i="16"/>
  <c r="J26" i="16"/>
  <c r="J38" i="16"/>
  <c r="J32" i="16"/>
  <c r="J22" i="16"/>
  <c r="J29" i="16"/>
  <c r="J33" i="16"/>
  <c r="J21" i="16"/>
  <c r="J84" i="23" l="1"/>
  <c r="H113" i="16"/>
  <c r="J31" i="16"/>
  <c r="J20" i="16" s="1"/>
  <c r="J129" i="16" s="1"/>
  <c r="J19" i="16"/>
  <c r="J18" i="16"/>
  <c r="J85" i="23" l="1"/>
  <c r="J17" i="16"/>
  <c r="J16" i="16" l="1"/>
  <c r="J127" i="16" s="1"/>
  <c r="J130" i="16" s="1"/>
  <c r="J128" i="16"/>
  <c r="I10" i="22" s="1"/>
  <c r="H31" i="16"/>
</calcChain>
</file>

<file path=xl/sharedStrings.xml><?xml version="1.0" encoding="utf-8"?>
<sst xmlns="http://schemas.openxmlformats.org/spreadsheetml/2006/main" count="610" uniqueCount="204">
  <si>
    <t>№</t>
  </si>
  <si>
    <t>Наименование</t>
  </si>
  <si>
    <t>Кол-во</t>
  </si>
  <si>
    <t>м</t>
  </si>
  <si>
    <t>м.</t>
  </si>
  <si>
    <t>шт.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</si>
  <si>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</si>
  <si>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</si>
  <si>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</si>
  <si>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</si>
  <si>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</si>
  <si>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</si>
  <si>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</si>
  <si>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Прокладка КПП, трубы</t>
  </si>
  <si>
    <t>Работа:</t>
  </si>
  <si>
    <t>Материалы:</t>
  </si>
  <si>
    <t>Установка оборудования</t>
  </si>
  <si>
    <t>Устройство домофонии</t>
  </si>
  <si>
    <t>Распорный дюбель Чапай 8х50</t>
  </si>
  <si>
    <t xml:space="preserve">Шуруп-глухарь 6х60 </t>
  </si>
  <si>
    <t>в тч стоимость работ:</t>
  </si>
  <si>
    <t>в тч стоимость материалов:</t>
  </si>
  <si>
    <t>Вертикальные стояки</t>
  </si>
  <si>
    <t>11.11</t>
  </si>
  <si>
    <t>11.11.01</t>
  </si>
  <si>
    <t>11.11.02</t>
  </si>
  <si>
    <t>11.11.03</t>
  </si>
  <si>
    <t>11.11.02.00.</t>
  </si>
  <si>
    <t>11.11.03.00.</t>
  </si>
  <si>
    <t>Марка</t>
  </si>
  <si>
    <t>Характеристика</t>
  </si>
  <si>
    <t>Кабель тип 1</t>
  </si>
  <si>
    <t>Труба тип 1</t>
  </si>
  <si>
    <t>Труба тип 2</t>
  </si>
  <si>
    <t>Кабель тип 2</t>
  </si>
  <si>
    <t>Кабель тип 3</t>
  </si>
  <si>
    <t>Кабель тип 4</t>
  </si>
  <si>
    <t xml:space="preserve">Маршрутизатор </t>
  </si>
  <si>
    <t xml:space="preserve">Замок электромагнитный </t>
  </si>
  <si>
    <t>11.11.04</t>
  </si>
  <si>
    <t>11.11.04.00.</t>
  </si>
  <si>
    <t>-</t>
  </si>
  <si>
    <t>Форма закупа материала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</si>
  <si>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</si>
  <si>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</si>
  <si>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</si>
  <si>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</si>
  <si>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</si>
  <si>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Akuvox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</si>
  <si>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</si>
  <si>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</si>
  <si>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</si>
  <si>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</si>
  <si>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 xml:space="preserve">силовой ВВГнг(А)-LS 3х1.5 плоский ГОСТ </t>
  </si>
  <si>
    <t xml:space="preserve">ШВВП 2х0,75 белый ГОСТ </t>
  </si>
  <si>
    <t>М2-400 серый (ОЛЭВС)</t>
  </si>
  <si>
    <t>гофрированная ПВХ 20мм с протяжкой</t>
  </si>
  <si>
    <t>Вызывная панель тип 1</t>
  </si>
  <si>
    <t>Терминал контроля доступа тип 1</t>
  </si>
  <si>
    <t>Akuvox A01</t>
  </si>
  <si>
    <t xml:space="preserve"> врезная DR-04 </t>
  </si>
  <si>
    <t>Монтажная коробка (подрозетник) для выключателей Aqara</t>
  </si>
  <si>
    <t>Заклепка резьбовая шестигранная с плоским бортом М6 L15,0</t>
  </si>
  <si>
    <t>Болт М6х25 оцинкованный с внутренним шестигранником, класс прочности 8.8, DIN 912</t>
  </si>
  <si>
    <t xml:space="preserve">ДКС </t>
  </si>
  <si>
    <t xml:space="preserve">Крепеж-клипса для труб для монтажного пистолета Промрукав серая D-20 </t>
  </si>
  <si>
    <t>Гвозди по бетону усиленные Toua 3.05x19 мм, под пистолет (1000шт. в пч.)</t>
  </si>
  <si>
    <t>Промрукав Коробка распаячная под пистолет 80х80х40 IP66</t>
  </si>
  <si>
    <t>Клемма DIY YOU PCT-213, быстрозажимной кабельный соединитель</t>
  </si>
  <si>
    <t xml:space="preserve">Монтажная лента Госкреп волна, 0,55х12 </t>
  </si>
  <si>
    <t>Монтажная пена Технониколь 240 PROFESSIONAL, огнестойкая, TN528380</t>
  </si>
  <si>
    <t xml:space="preserve">ЭРА </t>
  </si>
  <si>
    <t>Автоматический выключатель 1P 5А (В) 4,5kA ВА 47-63 EKF PROxima</t>
  </si>
  <si>
    <t>UTP внутренний LSZH 2*2*0.48</t>
  </si>
  <si>
    <t>Труба тип 3</t>
  </si>
  <si>
    <t>Труба тип 4</t>
  </si>
  <si>
    <t>гофрированная ПВХ 50 мм с протяжкой легкая серая</t>
  </si>
  <si>
    <t>Скоба металлическая 2-х лапковая с внутр. d 48-50 мм</t>
  </si>
  <si>
    <t>Клемма DIY YOU PCT-213, быстрозажимной кабельный соединитель, 3 общих проводника L</t>
  </si>
  <si>
    <t>Коммутатор тип 1</t>
  </si>
  <si>
    <t>Коммутатор тип 2</t>
  </si>
  <si>
    <t>Монитор</t>
  </si>
  <si>
    <t xml:space="preserve"> IP монитор (интерком-панель) C313S</t>
  </si>
  <si>
    <t>Установочная коробка Schneider Electric для сплошных стен 68(65)x60 DIY IMT351011 (установка под монитор)</t>
  </si>
  <si>
    <t>Труба тип 5</t>
  </si>
  <si>
    <t>Монтажная лента текстильная под пистолет</t>
  </si>
  <si>
    <t>Гвозди по бетону усиленные Toua 3.05x19 мм, под пистолет.  (1000шт. в пч.)</t>
  </si>
  <si>
    <t>Дюбель-хомут 5-10мм нейлон (100шт. в пч.)</t>
  </si>
  <si>
    <t>Блок питания Mean-Well HDR-30-12</t>
  </si>
  <si>
    <t>Блок питания AC-DC DRC-60A, с функцией UPS, 60Вт, 13.8В</t>
  </si>
  <si>
    <t>Аккумулятор Delta DT 1207 (12V 7Аh)</t>
  </si>
  <si>
    <t>Автоматический выключатель 1P 25А (C) 4,5kA ВА 47-63 EKF PROxima</t>
  </si>
  <si>
    <t>Распределительный блок РБД-125А 8 контактов 125А ИЭК</t>
  </si>
  <si>
    <t>Коммутационный шнур U/UTP 4-х парный cat.5e 1м LSZH</t>
  </si>
  <si>
    <t>MikroTik RB4011iGS+RM</t>
  </si>
  <si>
    <t>Прокладка КПП</t>
  </si>
  <si>
    <t>Прокладка трубы</t>
  </si>
  <si>
    <t>%</t>
  </si>
  <si>
    <t>11.11.01.00.</t>
  </si>
  <si>
    <t xml:space="preserve">NETLAN U/UTP 4 пары, категория 5e, внутренний, PVC, серый, 305м </t>
  </si>
  <si>
    <t>EC-UU004-5E-PVC-GY</t>
  </si>
  <si>
    <t>INSTA 100х55 Короб с крышкой(80мм) 100х55мм</t>
  </si>
  <si>
    <t>огнестойкий КПСнг(А)-FRHF 1х2х0,5</t>
  </si>
  <si>
    <t>Коннектор NETLAN RJ45/8P8C, категория 5e EC-UP8P8C-5E-003-TR-1000</t>
  </si>
  <si>
    <t>Бесконтактная-ИК кнопка выхода тип 1</t>
  </si>
  <si>
    <t>Бесконтактная-ИК кнопка выхода тип 2</t>
  </si>
  <si>
    <t>накладная DR-03</t>
  </si>
  <si>
    <t>Шкаф тип 1</t>
  </si>
  <si>
    <t>Шкаф тип 2</t>
  </si>
  <si>
    <t>GL-SW-F005-04P</t>
  </si>
  <si>
    <t>сетевой PoE коммутатор 4 POE + Uplink</t>
  </si>
  <si>
    <t>1U NMC-RP24-BLANK-1U-MT</t>
  </si>
  <si>
    <t>Патч-панель наборная</t>
  </si>
  <si>
    <t>NMC-KJUD2-FT-WT</t>
  </si>
  <si>
    <t xml:space="preserve">Модуль </t>
  </si>
  <si>
    <t xml:space="preserve">Keystone, Кат.5e, RJ45/8P8C, для FT-TOOL, неэкран., белый </t>
  </si>
  <si>
    <t>TLK-RSC09-M-04-BK</t>
  </si>
  <si>
    <t xml:space="preserve">Блок электрических розеток </t>
  </si>
  <si>
    <t xml:space="preserve">TLK, 19" на 9 гнезд "евророзетка", 16 A </t>
  </si>
  <si>
    <t>19" с DIN-рейкой 3U SNR-PDR-19-B (для установки РБД и блоков питания)</t>
  </si>
  <si>
    <t>Панель</t>
  </si>
  <si>
    <t>Органайзер 19", 1U, кольца 58мм, металлический, с крышкой, черный NMC-OK580C-1U-BK</t>
  </si>
  <si>
    <t>Коммутационный шнур U/UTP 4-х парный cat.5e 1м LSZH EC-PC4UD55B-BC-LSZH-010-GY-10</t>
  </si>
  <si>
    <t>Крепежный комплект TLK (винт, шайба, гайка)</t>
  </si>
  <si>
    <t>Коммутатор тип 3</t>
  </si>
  <si>
    <t xml:space="preserve">Бесконтактный брендированный ключ </t>
  </si>
  <si>
    <t>"СТРАНА КАРТ"</t>
  </si>
  <si>
    <t>Чип SMARTTAG, кодировка для Akuvox,  адаптация реестра UID и клиента для загрузки шаблоном в базу Akuvox, нумерация ключа строго по базе, стикер с номерацией квартиры на каждом ключе</t>
  </si>
  <si>
    <t>Кабель тип 5</t>
  </si>
  <si>
    <t>UTP Внутренний 4*2*0.48 медь серый PVC</t>
  </si>
  <si>
    <t xml:space="preserve"> гофрированная ПНД легкая безгалогенная (HF) зонд д16</t>
  </si>
  <si>
    <t>Camkeeper LINE 2.0 SHC-1-5 диагностика технического состояния IP-устройств</t>
  </si>
  <si>
    <t>Кабель тип 6</t>
  </si>
  <si>
    <t>оптический негорючий для прокладки в канализацию 4 волокона</t>
  </si>
  <si>
    <t>Оптический кросс NIKOMAX 19" Essential Line, 1U, укомплектованный на 8 портов SC/UPC NMF-RP08SCUS2-WS-ES-1U-GY</t>
  </si>
  <si>
    <t>Шнур оптический переходной, OS2, SC/UPC-LC/UPC, одинарный, нг(А)-HF, 2мм, желтый, 1м NMF-PC1S2C2-SCU-LCU-001</t>
  </si>
  <si>
    <t>Кабель прямого подключения SFP/SFP+ MikroTik XS+DA0001</t>
  </si>
  <si>
    <t>Роутер TANDEM-4G12-OEM-1 (ЧАСТЬ) Встраиваемый гигабитный 4G/3G роутер с поддержкой стандарта PoE IEEE 802.3af и 2 SIM Cat.12</t>
  </si>
  <si>
    <t>Г-образный кронштейн REXANT для спутниковой антенны 34см 34-0861</t>
  </si>
  <si>
    <t>_________________/</t>
  </si>
  <si>
    <t xml:space="preserve"> TFI-186060-MMMM-R-GY</t>
  </si>
  <si>
    <t>Напольный шкаф серии Lite II 19", цельнометал-е двери,18U, Ш600хВ974хГ600мм</t>
  </si>
  <si>
    <t xml:space="preserve"> 24 портаовый (24x1000Мбит/с) + 4SFP  Origo OS3228</t>
  </si>
  <si>
    <t xml:space="preserve">Универсальные крепления для коммутаторов в стойку 19" </t>
  </si>
  <si>
    <t xml:space="preserve">24 портаовый (24x100Мбит/с) Origo OS1326 </t>
  </si>
  <si>
    <t>Управляемый коммутатор тип 2</t>
  </si>
  <si>
    <t>Управляемый коммутатор тип 1</t>
  </si>
  <si>
    <t xml:space="preserve">Реле 12VDC/10A/240VAC 4PDT (4 переключения) HHC68A-4Z-12D </t>
  </si>
  <si>
    <t>Колодка реле PTF14A</t>
  </si>
  <si>
    <t>Состав коммутационного шкафа домофонии</t>
  </si>
  <si>
    <t xml:space="preserve">на жилых этажах </t>
  </si>
  <si>
    <t>Кабель тип 7</t>
  </si>
  <si>
    <t>КСПВ 4х0,5</t>
  </si>
  <si>
    <t>Гофрированная труба REXANT ПП 4,6 мм, разрезная, бухтa 5 м/уп. 15-0505</t>
  </si>
  <si>
    <t xml:space="preserve">Оптика между домами </t>
  </si>
  <si>
    <t>для Camkeeper</t>
  </si>
  <si>
    <t>Лицензия Akuvox Cloud Premium</t>
  </si>
  <si>
    <t>Устройство системы Домофония. ГП-72.214</t>
  </si>
  <si>
    <t>72.214.1</t>
  </si>
  <si>
    <t>72.214.2</t>
  </si>
  <si>
    <t>TWI-156060-R-P-GY</t>
  </si>
  <si>
    <t>Настенный разборный TLK 19", цельнометал. дверь, 15U Ш600хВ569хГ600мм</t>
  </si>
  <si>
    <t>Автоматический выключатель 1P 16А (C) 4,5kA ВА 47-63 EKF PROxima</t>
  </si>
  <si>
    <t>Полка фронтальная TLK, 19", 2U, глубиной 400мм, крепеж в комплекте, черная TLK-SHFR-400-BK</t>
  </si>
  <si>
    <t>ПНД гладкая жесткая, черная, d 20 мм</t>
  </si>
  <si>
    <t>гладкая жесткая ПВХ 50 мм легкая серая (3м)</t>
  </si>
  <si>
    <t>Муфта соединительная для труб ПВХ д.50мм</t>
  </si>
  <si>
    <t>Тюменский коммутатор Т1008 с защитой коммутации 8*10/100M PoE IEEE 802.3af/at,+2*10/100M uplink RJ45</t>
  </si>
  <si>
    <t>Тюменский коммутатор Т1004 с защитой коммутации 4*10/100M PoE IEEE 802.3af/at,+2*10/100M uplink RJ45</t>
  </si>
  <si>
    <t xml:space="preserve">силовой ВВГнг(А)-LS 3х2.5 плоский ГОСТ </t>
  </si>
  <si>
    <t>75 метров для оптики</t>
  </si>
  <si>
    <t>Одноволоконный модуль OFM330R/3KM</t>
  </si>
  <si>
    <t>Одноволоконный модуль OFM330T/3KM</t>
  </si>
  <si>
    <t>LTE комплект</t>
  </si>
  <si>
    <t>Панельная антенна AGATA-2 MIMO 4x4 BOX с герметичным боксом для USB 3G/4G модема (Выход с PG7)</t>
  </si>
  <si>
    <t xml:space="preserve">1шт - на жилых этажах, 1шт - LTE комплект </t>
  </si>
  <si>
    <t>100м - LTE комплект</t>
  </si>
  <si>
    <t xml:space="preserve">Akuvox X912S </t>
  </si>
  <si>
    <t>ООО "ЭНКО СТРОЙ"</t>
  </si>
  <si>
    <t>ООО "Технический заказчик "ЭНКО"</t>
  </si>
  <si>
    <t>___________/С.И. Ярков</t>
  </si>
  <si>
    <t>Локальный сметный расчет №</t>
  </si>
  <si>
    <r>
      <t xml:space="preserve">Прочие материалы </t>
    </r>
    <r>
      <rPr>
        <sz val="10"/>
        <color theme="1"/>
        <rFont val="Arial Narrow"/>
        <family val="2"/>
        <charset val="204"/>
      </rPr>
      <t>(Крепеж-клипса для труб для монтажного пистолета Промрукав серая D-20, Гвозди по бетону усиленные Toua 3.05x19 мм, под пистолет (1000шт. в пч.), INSTA 100х55 Короб с крышкой(80мм) 100х55мм, Устройство коммутационное УК-ВК/01, Промрукав Коробка распаячная под пистолет 80х80х40 IP66, Клемма DIY YOU PCT-213, быстрозажимной кабельный соединитель, Монтажная лента, Коннектор NETLAN RJ45/8P8C, категория 5e EC-UP8P8C-5E-003-TR-1000, Клей монтажный Peter Paul All in One, 290мл, Дюбель-хомут 5-10мм нейлон (100шт. в пч.)</t>
    </r>
    <r>
      <rPr>
        <b/>
        <sz val="10"/>
        <color theme="1"/>
        <rFont val="Arial Narrow"/>
        <family val="2"/>
        <charset val="204"/>
      </rPr>
      <t>)</t>
    </r>
  </si>
  <si>
    <r>
      <t xml:space="preserve">Монтажные работы </t>
    </r>
    <r>
      <rPr>
        <b/>
        <sz val="10"/>
        <color theme="1"/>
        <rFont val="Arial Narrow"/>
        <family val="2"/>
        <charset val="204"/>
      </rPr>
      <t>секция 1</t>
    </r>
  </si>
  <si>
    <r>
      <t xml:space="preserve">Монтажные работы </t>
    </r>
    <r>
      <rPr>
        <b/>
        <sz val="10"/>
        <color theme="1"/>
        <rFont val="Arial Narrow"/>
        <family val="2"/>
        <charset val="204"/>
      </rPr>
      <t>секция 2</t>
    </r>
    <r>
      <rPr>
        <sz val="11"/>
        <color theme="1"/>
        <rFont val="Calibri"/>
        <family val="2"/>
        <charset val="204"/>
        <scheme val="minor"/>
      </rPr>
      <t/>
    </r>
  </si>
  <si>
    <r>
      <rPr>
        <b/>
        <sz val="10"/>
        <color theme="1"/>
        <rFont val="Arial Narrow"/>
        <family val="2"/>
        <charset val="204"/>
      </rPr>
      <t>Прочие материалы</t>
    </r>
    <r>
      <rPr>
        <sz val="10"/>
        <color theme="1"/>
        <rFont val="Arial Narrow"/>
        <family val="2"/>
        <charset val="204"/>
      </rPr>
      <t xml:space="preserve"> (Коммутационный шнур U/UTP 4-х парный cat.5e 1м LSZH EC-PC4UD55B-BC-LSZH-010-GY-10, Коннектор NETLAN RJ45/8P8C, категория 5e EC-UP8P8C-5E-003-TR-1000, Промрукав Коробка распаячная под пистолет 80х80х40 IP66, Клемма DIY YOU PCT-213, быстрозажимной кабельный соединитель, Распорный дюбель Чапай 8х50, Шуруп-глухарь 6х60, Крепежный комплект TLK (винт, шайба, гайка), Органайзер 19", 1U, кольца 58мм, металлический, с крышкой, черный NMC-OK580C-1U-BK, Монтажная коробка (подрозетник) для выключателей Aqara, Заклепка резьбовая шестигранная с плоским бортом М6 L15,0, Болт М6х25 оцинкованный с внутренним шестигранником, класс прочности 8.8, DIN 912, Установочная коробка Schneider Electric для сплошных стен 68(65)x60 DIY IMT351011 (установка под монитор))</t>
    </r>
  </si>
  <si>
    <r>
      <rPr>
        <b/>
        <sz val="10"/>
        <color theme="1"/>
        <rFont val="Arial Narrow"/>
        <family val="2"/>
        <charset val="204"/>
      </rPr>
      <t>Прочие материалы</t>
    </r>
    <r>
      <rPr>
        <sz val="10"/>
        <color theme="1"/>
        <rFont val="Arial Narrow"/>
        <family val="2"/>
        <charset val="204"/>
      </rPr>
      <t xml:space="preserve"> (Крепеж-клипса для труб для монтажного пистолета Промрукав серая D-20, Промрукав Коробка распаячная под пистолет 80х80х40 IP66, Муфта соединительная для труб ПВХ д.40мм, Скоба металлическая 2-х лапковая с внутр. d 38-40 мм, Скоба металлическая 2-х лапковая с внутр. d 48-50 мм, Клемма DIY YOU PCT-213, быстрозажимной кабельный соединитель, 3 общих проводника L, Розетка накладная с заземлением, Коннектор RJ-45 (8P8C), категория 5е)</t>
    </r>
  </si>
  <si>
    <t>Итого по ЛСР, в т.ч. НДС:</t>
  </si>
  <si>
    <t>в тч НДС 22%:</t>
  </si>
  <si>
    <t>Ведомость объемов работ</t>
  </si>
  <si>
    <t>№ п/п</t>
  </si>
  <si>
    <t>ГП-214.1</t>
  </si>
  <si>
    <t>ГП-214.2</t>
  </si>
  <si>
    <t>ИТОГО:</t>
  </si>
  <si>
    <t>проверка:</t>
  </si>
  <si>
    <t>Спецификация материалов</t>
  </si>
  <si>
    <t>Пусконаладочные работы секция 1</t>
  </si>
  <si>
    <t>Пусконаладочные работы секция 2</t>
  </si>
  <si>
    <t>Монтажные работы секция 1</t>
  </si>
  <si>
    <t>Монтажные работы секция 2</t>
  </si>
  <si>
    <t>Труба электросварная 76х3,5</t>
  </si>
  <si>
    <t>Кабель тип 8</t>
  </si>
  <si>
    <t>Кабель тип 9</t>
  </si>
  <si>
    <t xml:space="preserve">Труба тип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</si>
</sst>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7030A0"/>
      <name val="Arial Narrow"/>
      <family val="2"/>
      <charset val="204"/>
    </font>
    <font>
      <i/>
      <sz val="10"/>
      <color theme="1"/>
      <name val="Arial Narrow"/>
      <family val="2"/>
      <charset val="204"/>
    </font>
    <font>
      <b/>
      <sz val="10"/>
      <color rgb="FF7030A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b/>
      <i/>
      <u/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color rgb="FFFF000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E78D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8" fillId="0" borderId="0"/>
    <xf numFmtId="0" fontId="6" fillId="0" borderId="0"/>
    <xf numFmtId="0" fontId="9" fillId="0" borderId="0"/>
    <xf numFmtId="0" fontId="8" fillId="0" borderId="0"/>
    <xf numFmtId="0" fontId="5" fillId="0" borderId="0"/>
    <xf numFmtId="0" fontId="5" fillId="0" borderId="0"/>
    <xf numFmtId="0" fontId="4" fillId="0" borderId="0"/>
    <xf numFmtId="43" fontId="10" fillId="0" borderId="0" applyFont="0" applyFill="0" applyBorder="0" applyAlignment="0" applyProtection="0"/>
    <xf numFmtId="0" fontId="3" fillId="0" borderId="0"/>
    <xf numFmtId="0" fontId="2" fillId="0" borderId="0"/>
  </cellStyleXfs>
  <cellXfs count="142">
    <xf numFmtId="0" fontId="0" fillId="0" borderId="0" xfId="0"/>
    <xf numFmtId="0" fontId="11" fillId="0" borderId="0" xfId="0" applyFont="1" applyAlignment="1">
      <alignment wrapText="1"/>
    </xf>
    <xf numFmtId="0" fontId="11" fillId="0" borderId="0" xfId="0" applyFont="1"/>
    <xf numFmtId="4" fontId="12" fillId="0" borderId="0" xfId="0" applyNumberFormat="1" applyFont="1"/>
    <xf numFmtId="49" fontId="11" fillId="0" borderId="0" xfId="0" applyNumberFormat="1" applyFont="1"/>
    <xf numFmtId="0" fontId="11" fillId="0" borderId="0" xfId="0" applyFont="1" applyAlignment="1">
      <alignment vertical="center"/>
    </xf>
    <xf numFmtId="4" fontId="11" fillId="0" borderId="0" xfId="7" applyNumberFormat="1" applyFont="1"/>
    <xf numFmtId="4" fontId="12" fillId="0" borderId="0" xfId="7" applyNumberFormat="1" applyFont="1"/>
    <xf numFmtId="164" fontId="12" fillId="0" borderId="0" xfId="0" applyNumberFormat="1" applyFont="1"/>
    <xf numFmtId="164" fontId="11" fillId="0" borderId="0" xfId="0" applyNumberFormat="1" applyFont="1"/>
    <xf numFmtId="0" fontId="11" fillId="0" borderId="0" xfId="7" applyFont="1" applyAlignment="1">
      <alignment horizontal="right"/>
    </xf>
    <xf numFmtId="0" fontId="12" fillId="0" borderId="0" xfId="7" applyFont="1" applyAlignment="1">
      <alignment vertical="center"/>
    </xf>
    <xf numFmtId="0" fontId="12" fillId="0" borderId="0" xfId="7" applyFont="1"/>
    <xf numFmtId="0" fontId="11" fillId="0" borderId="0" xfId="0" applyFont="1" applyAlignment="1">
      <alignment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center" vertical="center" wrapText="1"/>
    </xf>
    <xf numFmtId="4" fontId="12" fillId="0" borderId="4" xfId="0" applyNumberFormat="1" applyFont="1" applyBorder="1" applyAlignment="1">
      <alignment horizontal="center" vertical="center" wrapText="1"/>
    </xf>
    <xf numFmtId="49" fontId="12" fillId="7" borderId="7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left" vertical="center" wrapText="1"/>
    </xf>
    <xf numFmtId="0" fontId="12" fillId="7" borderId="1" xfId="0" applyFont="1" applyFill="1" applyBorder="1" applyAlignment="1">
      <alignment horizontal="center" vertical="center" wrapText="1"/>
    </xf>
    <xf numFmtId="164" fontId="12" fillId="7" borderId="1" xfId="0" applyNumberFormat="1" applyFont="1" applyFill="1" applyBorder="1" applyAlignment="1">
      <alignment horizontal="center" vertical="center" wrapText="1"/>
    </xf>
    <xf numFmtId="4" fontId="12" fillId="7" borderId="1" xfId="0" applyNumberFormat="1" applyFont="1" applyFill="1" applyBorder="1" applyAlignment="1">
      <alignment horizontal="center" vertical="center" wrapText="1"/>
    </xf>
    <xf numFmtId="49" fontId="12" fillId="2" borderId="7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49" fontId="12" fillId="5" borderId="7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 wrapText="1"/>
    </xf>
    <xf numFmtId="164" fontId="12" fillId="5" borderId="1" xfId="0" applyNumberFormat="1" applyFont="1" applyFill="1" applyBorder="1" applyAlignment="1">
      <alignment horizontal="center" vertical="center" wrapText="1"/>
    </xf>
    <xf numFmtId="4" fontId="12" fillId="5" borderId="1" xfId="0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2" fillId="4" borderId="1" xfId="0" applyNumberFormat="1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" fontId="12" fillId="4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49" fontId="12" fillId="2" borderId="1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164" fontId="12" fillId="2" borderId="2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164" fontId="11" fillId="2" borderId="2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center" vertical="center" wrapText="1"/>
    </xf>
    <xf numFmtId="164" fontId="12" fillId="3" borderId="2" xfId="0" applyNumberFormat="1" applyFont="1" applyFill="1" applyBorder="1" applyAlignment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0" fontId="14" fillId="3" borderId="0" xfId="0" applyFont="1" applyFill="1"/>
    <xf numFmtId="49" fontId="11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/>
    </xf>
    <xf numFmtId="164" fontId="12" fillId="3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vertical="center" wrapText="1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3" borderId="2" xfId="0" applyFont="1" applyFill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vertical="center"/>
    </xf>
    <xf numFmtId="0" fontId="11" fillId="6" borderId="1" xfId="0" applyFont="1" applyFill="1" applyBorder="1" applyAlignment="1">
      <alignment horizontal="left" vertical="center" wrapText="1"/>
    </xf>
    <xf numFmtId="49" fontId="11" fillId="3" borderId="7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/>
    </xf>
    <xf numFmtId="49" fontId="11" fillId="2" borderId="1" xfId="0" applyNumberFormat="1" applyFont="1" applyFill="1" applyBorder="1"/>
    <xf numFmtId="4" fontId="11" fillId="2" borderId="1" xfId="0" applyNumberFormat="1" applyFont="1" applyFill="1" applyBorder="1" applyAlignment="1">
      <alignment vertical="center" wrapText="1"/>
    </xf>
    <xf numFmtId="49" fontId="11" fillId="3" borderId="1" xfId="0" applyNumberFormat="1" applyFont="1" applyFill="1" applyBorder="1"/>
    <xf numFmtId="0" fontId="11" fillId="3" borderId="0" xfId="0" applyFont="1" applyFill="1" applyAlignment="1">
      <alignment vertical="center"/>
    </xf>
    <xf numFmtId="0" fontId="17" fillId="3" borderId="1" xfId="0" applyFont="1" applyFill="1" applyBorder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11" fillId="6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12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49" fontId="17" fillId="2" borderId="1" xfId="0" applyNumberFormat="1" applyFont="1" applyFill="1" applyBorder="1" applyAlignment="1">
      <alignment horizontal="center" vertical="center"/>
    </xf>
    <xf numFmtId="164" fontId="17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3" borderId="0" xfId="0" applyFont="1" applyFill="1" applyAlignment="1">
      <alignment vertical="center" wrapText="1"/>
    </xf>
    <xf numFmtId="0" fontId="19" fillId="0" borderId="0" xfId="0" applyFont="1"/>
    <xf numFmtId="49" fontId="11" fillId="3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right"/>
    </xf>
    <xf numFmtId="4" fontId="12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12" fillId="0" borderId="0" xfId="0" applyFont="1"/>
    <xf numFmtId="4" fontId="11" fillId="0" borderId="0" xfId="0" applyNumberFormat="1" applyFont="1"/>
    <xf numFmtId="4" fontId="11" fillId="0" borderId="0" xfId="0" applyNumberFormat="1" applyFont="1" applyAlignment="1">
      <alignment wrapText="1"/>
    </xf>
    <xf numFmtId="49" fontId="19" fillId="0" borderId="0" xfId="0" applyNumberFormat="1" applyFont="1" applyAlignment="1">
      <alignment horizontal="center" vertical="center"/>
    </xf>
    <xf numFmtId="0" fontId="19" fillId="0" borderId="0" xfId="10" applyFont="1" applyAlignment="1">
      <alignment vertical="center" wrapText="1"/>
    </xf>
    <xf numFmtId="0" fontId="21" fillId="0" borderId="0" xfId="1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1" fillId="0" borderId="0" xfId="10" applyFont="1" applyAlignment="1">
      <alignment vertical="top" wrapText="1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top" wrapText="1"/>
    </xf>
    <xf numFmtId="49" fontId="1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11" fillId="0" borderId="0" xfId="0" applyFont="1" applyAlignment="1">
      <alignment horizontal="left" vertical="center" wrapText="1"/>
    </xf>
    <xf numFmtId="0" fontId="11" fillId="0" borderId="0" xfId="7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7" fillId="2" borderId="2" xfId="0" applyFont="1" applyFill="1" applyBorder="1" applyAlignment="1">
      <alignment horizontal="right" vertical="center"/>
    </xf>
    <xf numFmtId="0" fontId="17" fillId="2" borderId="3" xfId="0" applyFont="1" applyFill="1" applyBorder="1" applyAlignment="1">
      <alignment horizontal="right" vertical="center"/>
    </xf>
    <xf numFmtId="0" fontId="17" fillId="2" borderId="6" xfId="0" applyFont="1" applyFill="1" applyBorder="1" applyAlignment="1">
      <alignment horizontal="right" vertical="center"/>
    </xf>
    <xf numFmtId="0" fontId="12" fillId="4" borderId="2" xfId="0" applyFont="1" applyFill="1" applyBorder="1" applyAlignment="1">
      <alignment horizontal="right" vertical="center"/>
    </xf>
    <xf numFmtId="0" fontId="12" fillId="4" borderId="3" xfId="0" applyFont="1" applyFill="1" applyBorder="1" applyAlignment="1">
      <alignment horizontal="right" vertical="center"/>
    </xf>
    <xf numFmtId="0" fontId="12" fillId="4" borderId="6" xfId="0" applyFont="1" applyFill="1" applyBorder="1" applyAlignment="1">
      <alignment horizontal="right" vertical="center"/>
    </xf>
    <xf numFmtId="0" fontId="19" fillId="0" borderId="0" xfId="10" applyFont="1" applyAlignment="1">
      <alignment horizontal="left" vertical="top" wrapText="1"/>
    </xf>
  </cellXfs>
  <cellStyles count="11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" xfId="10" xr:uid="{38F5B011-A616-4A02-9D55-9C9D1C0B9747}"/>
    <cellStyle name="Обычный 3 2 2 2" xfId="7" xr:uid="{00000000-0005-0000-0000-000005000000}"/>
    <cellStyle name="Обычный 3 2 2 2 2" xfId="9" xr:uid="{00000000-0005-0000-0000-000006000000}"/>
    <cellStyle name="Обычный 4" xfId="6" xr:uid="{00000000-0005-0000-0000-000007000000}"/>
    <cellStyle name="Обычный 6 3 7 2 3" xfId="5" xr:uid="{00000000-0005-0000-0000-000008000000}"/>
    <cellStyle name="Финансовый 2" xfId="8" xr:uid="{00000000-0005-0000-0000-000009000000}"/>
  </cellStyles>
  <dxfs count="4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5"/>
  <sheetViews>
    <sheetView tabSelected="1" zoomScale="55" zoomScaleNormal="55" zoomScaleSheetLayoutView="70" workbookViewId="0">
      <pane ySplit="12" topLeftCell="A103" activePane="bottomLeft" state="frozen"/>
      <selection pane="bottomLeft" activeCell="K110" sqref="K110"/>
    </sheetView>
  </sheetViews>
  <sheetFormatPr defaultColWidth="9.109375" defaultRowHeight="13.8" outlineLevelRow="4" outlineLevelCol="1" x14ac:dyDescent="0.3"/>
  <cols>
    <col min="1" max="1" width="17.6640625" style="4" customWidth="1"/>
    <col min="2" max="2" width="94.6640625" style="1" customWidth="1"/>
    <col min="3" max="3" width="26.33203125" style="2" customWidth="1"/>
    <col min="4" max="4" width="44.6640625" style="2" customWidth="1"/>
    <col min="5" max="5" width="15.88671875" style="2" bestFit="1" customWidth="1"/>
    <col min="6" max="7" width="15.88671875" style="9" customWidth="1" outlineLevel="1"/>
    <col min="8" max="8" width="21.5546875" style="8" customWidth="1"/>
    <col min="9" max="9" width="19" style="9" customWidth="1"/>
    <col min="10" max="10" width="21" style="9" customWidth="1"/>
    <col min="11" max="11" width="40.88671875" style="2" customWidth="1"/>
    <col min="12" max="12" width="24.88671875" style="2" customWidth="1"/>
    <col min="13" max="16384" width="9.109375" style="2"/>
  </cols>
  <sheetData>
    <row r="1" spans="1:12" x14ac:dyDescent="0.3">
      <c r="C1" s="5"/>
      <c r="D1" s="6"/>
      <c r="F1" s="7"/>
      <c r="G1" s="2"/>
      <c r="L1" s="10" t="s">
        <v>43</v>
      </c>
    </row>
    <row r="2" spans="1:12" x14ac:dyDescent="0.3">
      <c r="C2" s="5"/>
      <c r="D2" s="6"/>
      <c r="F2" s="7"/>
      <c r="G2" s="2"/>
      <c r="L2" s="10" t="s">
        <v>44</v>
      </c>
    </row>
    <row r="3" spans="1:12" x14ac:dyDescent="0.3">
      <c r="C3" s="5"/>
      <c r="D3" s="6"/>
      <c r="F3" s="7"/>
      <c r="G3" s="2"/>
    </row>
    <row r="4" spans="1:12" ht="15" customHeight="1" x14ac:dyDescent="0.3">
      <c r="B4" s="11" t="s">
        <v>45</v>
      </c>
      <c r="D4" s="6"/>
      <c r="E4" s="7" t="s">
        <v>46</v>
      </c>
      <c r="F4" s="12"/>
      <c r="G4" s="2"/>
      <c r="J4" s="7" t="s">
        <v>47</v>
      </c>
      <c r="K4" s="8"/>
    </row>
    <row r="5" spans="1:12" ht="19.5" customHeight="1" x14ac:dyDescent="0.3">
      <c r="B5" s="13"/>
      <c r="D5" s="6"/>
      <c r="E5" s="2" t="s">
        <v>178</v>
      </c>
      <c r="F5" s="2"/>
      <c r="G5" s="2"/>
      <c r="H5" s="2"/>
      <c r="I5" s="3"/>
      <c r="J5" s="2" t="s">
        <v>179</v>
      </c>
      <c r="K5" s="8"/>
    </row>
    <row r="6" spans="1:12" ht="15.75" customHeight="1" x14ac:dyDescent="0.3">
      <c r="B6" s="13"/>
      <c r="D6" s="6"/>
      <c r="E6" s="1"/>
      <c r="F6" s="2"/>
      <c r="G6" s="2"/>
      <c r="H6" s="2"/>
      <c r="I6" s="3"/>
      <c r="J6" s="2"/>
      <c r="K6" s="8"/>
    </row>
    <row r="7" spans="1:12" x14ac:dyDescent="0.3">
      <c r="B7" s="13" t="s">
        <v>139</v>
      </c>
      <c r="D7" s="6"/>
      <c r="E7" s="2" t="s">
        <v>180</v>
      </c>
      <c r="F7" s="2"/>
      <c r="G7" s="2"/>
      <c r="H7" s="2"/>
      <c r="I7" s="3"/>
      <c r="J7" s="2" t="s">
        <v>180</v>
      </c>
      <c r="K7" s="8"/>
    </row>
    <row r="8" spans="1:12" x14ac:dyDescent="0.3">
      <c r="D8" s="6"/>
      <c r="E8" s="6"/>
      <c r="F8" s="12"/>
      <c r="G8" s="2"/>
      <c r="J8" s="6"/>
      <c r="K8" s="8"/>
    </row>
    <row r="9" spans="1:12" ht="19.5" customHeight="1" x14ac:dyDescent="0.3">
      <c r="A9" s="134" t="s">
        <v>181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</row>
    <row r="10" spans="1:12" ht="21.75" customHeight="1" x14ac:dyDescent="0.3">
      <c r="A10" s="133" t="s">
        <v>157</v>
      </c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3"/>
    </row>
    <row r="12" spans="1:12" x14ac:dyDescent="0.3">
      <c r="A12" s="14" t="s">
        <v>0</v>
      </c>
      <c r="B12" s="15" t="s">
        <v>1</v>
      </c>
      <c r="C12" s="15" t="s">
        <v>29</v>
      </c>
      <c r="D12" s="15" t="s">
        <v>30</v>
      </c>
      <c r="E12" s="15" t="s">
        <v>11</v>
      </c>
      <c r="F12" s="16" t="s">
        <v>158</v>
      </c>
      <c r="G12" s="16" t="s">
        <v>159</v>
      </c>
      <c r="H12" s="17" t="s">
        <v>2</v>
      </c>
      <c r="I12" s="17" t="s">
        <v>8</v>
      </c>
      <c r="J12" s="17" t="s">
        <v>9</v>
      </c>
      <c r="K12" s="18" t="s">
        <v>10</v>
      </c>
      <c r="L12" s="18" t="s">
        <v>42</v>
      </c>
    </row>
    <row r="13" spans="1:12" ht="22.5" customHeight="1" x14ac:dyDescent="0.3">
      <c r="A13" s="19">
        <v>11</v>
      </c>
      <c r="B13" s="20" t="s">
        <v>12</v>
      </c>
      <c r="C13" s="21"/>
      <c r="D13" s="21"/>
      <c r="E13" s="21"/>
      <c r="F13" s="22"/>
      <c r="G13" s="22"/>
      <c r="H13" s="22"/>
      <c r="I13" s="22"/>
      <c r="J13" s="22"/>
      <c r="K13" s="23"/>
      <c r="L13" s="23"/>
    </row>
    <row r="14" spans="1:12" ht="22.5" customHeight="1" x14ac:dyDescent="0.3">
      <c r="A14" s="24" t="s">
        <v>23</v>
      </c>
      <c r="B14" s="25" t="s">
        <v>17</v>
      </c>
      <c r="C14" s="26"/>
      <c r="D14" s="26"/>
      <c r="E14" s="26"/>
      <c r="F14" s="27"/>
      <c r="G14" s="27"/>
      <c r="H14" s="27"/>
      <c r="I14" s="27"/>
      <c r="J14" s="27"/>
      <c r="K14" s="28"/>
      <c r="L14" s="28"/>
    </row>
    <row r="15" spans="1:12" ht="22.5" customHeight="1" x14ac:dyDescent="0.3">
      <c r="A15" s="29" t="s">
        <v>24</v>
      </c>
      <c r="B15" s="30" t="s">
        <v>13</v>
      </c>
      <c r="C15" s="31"/>
      <c r="D15" s="31"/>
      <c r="E15" s="31"/>
      <c r="F15" s="32"/>
      <c r="G15" s="32"/>
      <c r="H15" s="32"/>
      <c r="I15" s="32"/>
      <c r="J15" s="32"/>
      <c r="K15" s="33"/>
      <c r="L15" s="33"/>
    </row>
    <row r="16" spans="1:12" s="40" customFormat="1" ht="22.5" customHeight="1" outlineLevel="2" x14ac:dyDescent="0.3">
      <c r="A16" s="34" t="s">
        <v>98</v>
      </c>
      <c r="B16" s="35" t="s">
        <v>13</v>
      </c>
      <c r="C16" s="36"/>
      <c r="D16" s="36"/>
      <c r="E16" s="36"/>
      <c r="F16" s="37"/>
      <c r="G16" s="37"/>
      <c r="H16" s="37"/>
      <c r="I16" s="37"/>
      <c r="J16" s="37">
        <f>J17+J20</f>
        <v>0</v>
      </c>
      <c r="K16" s="38"/>
      <c r="L16" s="39"/>
    </row>
    <row r="17" spans="1:12" s="40" customFormat="1" ht="24.75" customHeight="1" outlineLevel="3" x14ac:dyDescent="0.3">
      <c r="A17" s="41"/>
      <c r="B17" s="25" t="s">
        <v>14</v>
      </c>
      <c r="C17" s="42"/>
      <c r="D17" s="42"/>
      <c r="E17" s="42"/>
      <c r="F17" s="43"/>
      <c r="G17" s="43"/>
      <c r="H17" s="27"/>
      <c r="I17" s="27"/>
      <c r="J17" s="27">
        <f>SUM(J18:J19)</f>
        <v>0</v>
      </c>
      <c r="K17" s="28"/>
      <c r="L17" s="28"/>
    </row>
    <row r="18" spans="1:12" s="40" customFormat="1" ht="24.75" customHeight="1" outlineLevel="3" x14ac:dyDescent="0.3">
      <c r="A18" s="41"/>
      <c r="B18" s="44" t="s">
        <v>95</v>
      </c>
      <c r="C18" s="45"/>
      <c r="D18" s="45"/>
      <c r="E18" s="45" t="s">
        <v>3</v>
      </c>
      <c r="F18" s="46">
        <f>SUM(F21:F27)</f>
        <v>2516</v>
      </c>
      <c r="G18" s="46">
        <f>SUM(G21:G27)</f>
        <v>4519</v>
      </c>
      <c r="H18" s="27">
        <f>SUM(F18:G18)</f>
        <v>7035</v>
      </c>
      <c r="I18" s="47">
        <f>VLOOKUP(B18,СМР!$B$3:$H$8,7,0)</f>
        <v>0</v>
      </c>
      <c r="J18" s="48">
        <f t="shared" ref="J18:J19" si="0">I18*H18</f>
        <v>0</v>
      </c>
      <c r="K18" s="28"/>
      <c r="L18" s="28"/>
    </row>
    <row r="19" spans="1:12" s="40" customFormat="1" ht="24.75" customHeight="1" outlineLevel="3" x14ac:dyDescent="0.3">
      <c r="A19" s="41"/>
      <c r="B19" s="44" t="s">
        <v>96</v>
      </c>
      <c r="C19" s="45"/>
      <c r="D19" s="45"/>
      <c r="E19" s="45" t="s">
        <v>3</v>
      </c>
      <c r="F19" s="46">
        <f>SUM(F28:F30)</f>
        <v>2164</v>
      </c>
      <c r="G19" s="46">
        <f>SUM(G28:G30)</f>
        <v>3890</v>
      </c>
      <c r="H19" s="27">
        <f>SUM(F19:G19)</f>
        <v>6054</v>
      </c>
      <c r="I19" s="47">
        <f>VLOOKUP(B19,СМР!$B$3:$H$8,7,0)</f>
        <v>0</v>
      </c>
      <c r="J19" s="48">
        <f t="shared" si="0"/>
        <v>0</v>
      </c>
      <c r="K19" s="28"/>
      <c r="L19" s="28"/>
    </row>
    <row r="20" spans="1:12" s="56" customFormat="1" ht="24.75" customHeight="1" outlineLevel="3" x14ac:dyDescent="0.3">
      <c r="A20" s="49"/>
      <c r="B20" s="50" t="s">
        <v>15</v>
      </c>
      <c r="C20" s="51"/>
      <c r="D20" s="51"/>
      <c r="E20" s="51"/>
      <c r="F20" s="52"/>
      <c r="G20" s="52"/>
      <c r="H20" s="53"/>
      <c r="I20" s="54"/>
      <c r="J20" s="53">
        <f>SUM(J21:J31)</f>
        <v>0</v>
      </c>
      <c r="K20" s="55"/>
      <c r="L20" s="55"/>
    </row>
    <row r="21" spans="1:12" s="67" customFormat="1" ht="34.5" customHeight="1" outlineLevel="3" x14ac:dyDescent="0.3">
      <c r="A21" s="57"/>
      <c r="B21" s="58" t="s">
        <v>31</v>
      </c>
      <c r="C21" s="59" t="s">
        <v>100</v>
      </c>
      <c r="D21" s="60" t="s">
        <v>99</v>
      </c>
      <c r="E21" s="59" t="s">
        <v>4</v>
      </c>
      <c r="F21" s="61">
        <v>290</v>
      </c>
      <c r="G21" s="61">
        <v>235</v>
      </c>
      <c r="H21" s="62">
        <f t="shared" ref="H21:H30" si="1">SUM(F21:G21)</f>
        <v>525</v>
      </c>
      <c r="I21" s="63">
        <f>VLOOKUP($B21,ТМЦ!$B$3:$L$83,8,0)</f>
        <v>0</v>
      </c>
      <c r="J21" s="64">
        <f>I21*H21</f>
        <v>0</v>
      </c>
      <c r="K21" s="65"/>
      <c r="L21" s="63">
        <f>VLOOKUP($B21,ТМЦ!$B$3:$L$83,11,0)</f>
        <v>0</v>
      </c>
    </row>
    <row r="22" spans="1:12" s="67" customFormat="1" ht="30" customHeight="1" outlineLevel="3" x14ac:dyDescent="0.3">
      <c r="A22" s="57"/>
      <c r="B22" s="58" t="s">
        <v>34</v>
      </c>
      <c r="C22" s="59"/>
      <c r="D22" s="60" t="s">
        <v>169</v>
      </c>
      <c r="E22" s="59" t="s">
        <v>4</v>
      </c>
      <c r="F22" s="61">
        <v>20</v>
      </c>
      <c r="G22" s="61">
        <v>20</v>
      </c>
      <c r="H22" s="62">
        <f t="shared" si="1"/>
        <v>40</v>
      </c>
      <c r="I22" s="63">
        <f>VLOOKUP($B22,ТМЦ!$B$3:$L$83,8,0)</f>
        <v>0</v>
      </c>
      <c r="J22" s="64">
        <f t="shared" ref="J22:J29" si="2">I22*H22</f>
        <v>0</v>
      </c>
      <c r="K22" s="65"/>
      <c r="L22" s="63">
        <f>VLOOKUP($B22,ТМЦ!$B$3:$L$83,11,0)</f>
        <v>0</v>
      </c>
    </row>
    <row r="23" spans="1:12" s="67" customFormat="1" ht="30" customHeight="1" outlineLevel="3" x14ac:dyDescent="0.3">
      <c r="A23" s="57"/>
      <c r="B23" s="58" t="s">
        <v>35</v>
      </c>
      <c r="C23" s="59"/>
      <c r="D23" s="68" t="s">
        <v>129</v>
      </c>
      <c r="E23" s="59" t="s">
        <v>4</v>
      </c>
      <c r="F23" s="61">
        <v>1936</v>
      </c>
      <c r="G23" s="61">
        <v>3744</v>
      </c>
      <c r="H23" s="62">
        <f t="shared" si="1"/>
        <v>5680</v>
      </c>
      <c r="I23" s="63">
        <f>VLOOKUP($B23,ТМЦ!$B$3:$L$83,8,0)</f>
        <v>0</v>
      </c>
      <c r="J23" s="64">
        <f t="shared" ref="J23" si="3">I23*H23</f>
        <v>0</v>
      </c>
      <c r="K23" s="65"/>
      <c r="L23" s="63">
        <f>VLOOKUP($B23,ТМЦ!$B$3:$L$83,11,0)</f>
        <v>0</v>
      </c>
    </row>
    <row r="24" spans="1:12" s="67" customFormat="1" ht="30" customHeight="1" outlineLevel="3" x14ac:dyDescent="0.3">
      <c r="A24" s="57"/>
      <c r="B24" s="58" t="s">
        <v>36</v>
      </c>
      <c r="C24" s="59"/>
      <c r="D24" s="60" t="s">
        <v>102</v>
      </c>
      <c r="E24" s="59" t="s">
        <v>4</v>
      </c>
      <c r="F24" s="61">
        <v>40</v>
      </c>
      <c r="G24" s="61">
        <v>40</v>
      </c>
      <c r="H24" s="62">
        <f t="shared" si="1"/>
        <v>80</v>
      </c>
      <c r="I24" s="63">
        <f>VLOOKUP($B24,ТМЦ!$B$3:$L$83,8,0)</f>
        <v>0</v>
      </c>
      <c r="J24" s="64">
        <f>I24*H24</f>
        <v>0</v>
      </c>
      <c r="K24" s="69" t="s">
        <v>149</v>
      </c>
      <c r="L24" s="63">
        <f>VLOOKUP($B24,ТМЦ!$B$3:$L$83,11,0)</f>
        <v>0</v>
      </c>
    </row>
    <row r="25" spans="1:12" s="76" customFormat="1" ht="41.25" customHeight="1" outlineLevel="3" x14ac:dyDescent="0.3">
      <c r="A25" s="70"/>
      <c r="B25" s="71" t="s">
        <v>128</v>
      </c>
      <c r="C25" s="72"/>
      <c r="D25" s="68" t="s">
        <v>133</v>
      </c>
      <c r="E25" s="72" t="s">
        <v>4</v>
      </c>
      <c r="F25" s="61">
        <v>0</v>
      </c>
      <c r="G25" s="61">
        <v>250</v>
      </c>
      <c r="H25" s="73">
        <f t="shared" si="1"/>
        <v>250</v>
      </c>
      <c r="I25" s="63">
        <f>VLOOKUP($B25,ТМЦ!$B$3:$L$83,8,0)</f>
        <v>0</v>
      </c>
      <c r="J25" s="63">
        <f>I25*H25</f>
        <v>0</v>
      </c>
      <c r="K25" s="74" t="s">
        <v>154</v>
      </c>
      <c r="L25" s="63">
        <f>VLOOKUP($B25,ТМЦ!$B$3:$L$83,11,0)</f>
        <v>0</v>
      </c>
    </row>
    <row r="26" spans="1:12" s="67" customFormat="1" ht="30" customHeight="1" outlineLevel="3" x14ac:dyDescent="0.3">
      <c r="A26" s="57"/>
      <c r="B26" s="58" t="s">
        <v>132</v>
      </c>
      <c r="C26" s="59"/>
      <c r="D26" s="59" t="s">
        <v>54</v>
      </c>
      <c r="E26" s="59" t="s">
        <v>4</v>
      </c>
      <c r="F26" s="61">
        <v>190</v>
      </c>
      <c r="G26" s="61">
        <v>190</v>
      </c>
      <c r="H26" s="62">
        <f t="shared" si="1"/>
        <v>380</v>
      </c>
      <c r="I26" s="63">
        <f>VLOOKUP($B26,ТМЦ!$B$3:$L$83,8,0)</f>
        <v>0</v>
      </c>
      <c r="J26" s="64">
        <f t="shared" si="2"/>
        <v>0</v>
      </c>
      <c r="K26" s="65"/>
      <c r="L26" s="63">
        <f>VLOOKUP($B26,ТМЦ!$B$3:$L$83,11,0)</f>
        <v>0</v>
      </c>
    </row>
    <row r="27" spans="1:12" s="67" customFormat="1" ht="30" customHeight="1" outlineLevel="3" x14ac:dyDescent="0.3">
      <c r="A27" s="57"/>
      <c r="B27" s="58" t="s">
        <v>151</v>
      </c>
      <c r="C27" s="59"/>
      <c r="D27" s="59" t="s">
        <v>152</v>
      </c>
      <c r="E27" s="59" t="s">
        <v>4</v>
      </c>
      <c r="F27" s="61">
        <v>40</v>
      </c>
      <c r="G27" s="61">
        <v>40</v>
      </c>
      <c r="H27" s="62">
        <f t="shared" si="1"/>
        <v>80</v>
      </c>
      <c r="I27" s="63">
        <f>VLOOKUP($B27,ТМЦ!$B$3:$L$83,8,0)</f>
        <v>0</v>
      </c>
      <c r="J27" s="64">
        <f t="shared" ref="J27" si="4">I27*H27</f>
        <v>0</v>
      </c>
      <c r="K27" s="65"/>
      <c r="L27" s="63">
        <f>VLOOKUP($B27,ТМЦ!$B$3:$L$83,11,0)</f>
        <v>0</v>
      </c>
    </row>
    <row r="28" spans="1:12" s="67" customFormat="1" ht="30" customHeight="1" outlineLevel="3" x14ac:dyDescent="0.3">
      <c r="A28" s="57"/>
      <c r="B28" s="58" t="s">
        <v>32</v>
      </c>
      <c r="C28" s="59"/>
      <c r="D28" s="60" t="s">
        <v>56</v>
      </c>
      <c r="E28" s="59" t="s">
        <v>4</v>
      </c>
      <c r="F28" s="61">
        <v>350</v>
      </c>
      <c r="G28" s="61">
        <v>370</v>
      </c>
      <c r="H28" s="62">
        <f t="shared" si="1"/>
        <v>720</v>
      </c>
      <c r="I28" s="63">
        <f>VLOOKUP($B28,ТМЦ!$B$3:$L$83,8,0)</f>
        <v>0</v>
      </c>
      <c r="J28" s="64">
        <f t="shared" si="2"/>
        <v>0</v>
      </c>
      <c r="K28" s="69" t="s">
        <v>170</v>
      </c>
      <c r="L28" s="63">
        <f>VLOOKUP($B28,ТМЦ!$B$3:$L$83,11,0)</f>
        <v>0</v>
      </c>
    </row>
    <row r="29" spans="1:12" s="67" customFormat="1" ht="30" customHeight="1" outlineLevel="3" x14ac:dyDescent="0.3">
      <c r="A29" s="57"/>
      <c r="B29" s="58" t="s">
        <v>33</v>
      </c>
      <c r="C29" s="59" t="s">
        <v>71</v>
      </c>
      <c r="D29" s="60" t="s">
        <v>164</v>
      </c>
      <c r="E29" s="59" t="s">
        <v>4</v>
      </c>
      <c r="F29" s="61">
        <v>10</v>
      </c>
      <c r="G29" s="61">
        <v>10</v>
      </c>
      <c r="H29" s="62">
        <f t="shared" si="1"/>
        <v>20</v>
      </c>
      <c r="I29" s="63">
        <f>VLOOKUP($B29,ТМЦ!$B$3:$L$83,8,0)</f>
        <v>0</v>
      </c>
      <c r="J29" s="64">
        <f t="shared" si="2"/>
        <v>0</v>
      </c>
      <c r="K29" s="65"/>
      <c r="L29" s="63">
        <f>VLOOKUP($B29,ТМЦ!$B$3:$L$83,11,0)</f>
        <v>0</v>
      </c>
    </row>
    <row r="30" spans="1:12" s="67" customFormat="1" ht="36" customHeight="1" outlineLevel="3" x14ac:dyDescent="0.3">
      <c r="A30" s="57"/>
      <c r="B30" s="58" t="s">
        <v>74</v>
      </c>
      <c r="C30" s="59"/>
      <c r="D30" s="68" t="s">
        <v>130</v>
      </c>
      <c r="E30" s="59" t="s">
        <v>4</v>
      </c>
      <c r="F30" s="61">
        <v>1804</v>
      </c>
      <c r="G30" s="61">
        <v>3510</v>
      </c>
      <c r="H30" s="62">
        <f t="shared" si="1"/>
        <v>5314</v>
      </c>
      <c r="I30" s="63">
        <f>VLOOKUP($B30,ТМЦ!$B$3:$L$83,8,0)</f>
        <v>0</v>
      </c>
      <c r="J30" s="64">
        <f t="shared" ref="J30" si="5">I30*H30</f>
        <v>0</v>
      </c>
      <c r="K30" s="65"/>
      <c r="L30" s="63">
        <f>VLOOKUP($B30,ТМЦ!$B$3:$L$83,11,0)</f>
        <v>0</v>
      </c>
    </row>
    <row r="31" spans="1:12" s="80" customFormat="1" ht="120.75" customHeight="1" outlineLevel="3" x14ac:dyDescent="0.3">
      <c r="A31" s="49"/>
      <c r="B31" s="50" t="s">
        <v>182</v>
      </c>
      <c r="C31" s="77"/>
      <c r="D31" s="51"/>
      <c r="E31" s="77" t="s">
        <v>97</v>
      </c>
      <c r="F31" s="78"/>
      <c r="G31" s="78"/>
      <c r="H31" s="62" t="e">
        <f>J31*100/J17</f>
        <v>#DIV/0!</v>
      </c>
      <c r="I31" s="73"/>
      <c r="J31" s="62">
        <f>SUM(J32:J44)</f>
        <v>0</v>
      </c>
      <c r="K31" s="79"/>
      <c r="L31" s="66"/>
    </row>
    <row r="32" spans="1:12" s="67" customFormat="1" ht="24.75" customHeight="1" outlineLevel="4" x14ac:dyDescent="0.3">
      <c r="A32" s="57"/>
      <c r="B32" s="81" t="s">
        <v>65</v>
      </c>
      <c r="C32" s="59"/>
      <c r="D32" s="60"/>
      <c r="E32" s="59" t="s">
        <v>5</v>
      </c>
      <c r="F32" s="61">
        <f>F28*2</f>
        <v>700</v>
      </c>
      <c r="G32" s="61">
        <f>G28*2</f>
        <v>740</v>
      </c>
      <c r="H32" s="62">
        <f t="shared" ref="H32:H44" si="6">SUM(F32:G32)</f>
        <v>1440</v>
      </c>
      <c r="I32" s="63">
        <f>VLOOKUP($B32,ТМЦ!$B$3:$L$83,8,0)</f>
        <v>0</v>
      </c>
      <c r="J32" s="64">
        <f t="shared" ref="J32:J38" si="7">I32*H32</f>
        <v>0</v>
      </c>
      <c r="K32" s="65"/>
      <c r="L32" s="63">
        <f>VLOOKUP($B32,ТМЦ!$B$3:$L$83,11,0)</f>
        <v>0</v>
      </c>
    </row>
    <row r="33" spans="1:12" s="67" customFormat="1" ht="24.75" customHeight="1" outlineLevel="4" x14ac:dyDescent="0.3">
      <c r="A33" s="57"/>
      <c r="B33" s="81" t="s">
        <v>66</v>
      </c>
      <c r="C33" s="59"/>
      <c r="D33" s="60"/>
      <c r="E33" s="59" t="s">
        <v>5</v>
      </c>
      <c r="F33" s="61">
        <f>F32</f>
        <v>700</v>
      </c>
      <c r="G33" s="61">
        <f>G32</f>
        <v>740</v>
      </c>
      <c r="H33" s="62">
        <f t="shared" si="6"/>
        <v>1440</v>
      </c>
      <c r="I33" s="63">
        <f>VLOOKUP($B33,ТМЦ!$B$3:$L$83,8,0)</f>
        <v>0</v>
      </c>
      <c r="J33" s="64">
        <f t="shared" si="7"/>
        <v>0</v>
      </c>
      <c r="K33" s="65"/>
      <c r="L33" s="63">
        <f>VLOOKUP($B33,ТМЦ!$B$3:$L$83,11,0)</f>
        <v>0</v>
      </c>
    </row>
    <row r="34" spans="1:12" s="67" customFormat="1" ht="24.75" customHeight="1" outlineLevel="4" x14ac:dyDescent="0.3">
      <c r="A34" s="57"/>
      <c r="B34" s="81" t="s">
        <v>101</v>
      </c>
      <c r="C34" s="59"/>
      <c r="D34" s="60"/>
      <c r="E34" s="59" t="s">
        <v>4</v>
      </c>
      <c r="F34" s="61">
        <v>2</v>
      </c>
      <c r="G34" s="61">
        <v>4</v>
      </c>
      <c r="H34" s="62">
        <f t="shared" si="6"/>
        <v>6</v>
      </c>
      <c r="I34" s="63">
        <f>VLOOKUP($B34,ТМЦ!$B$3:$L$83,8,0)</f>
        <v>0</v>
      </c>
      <c r="J34" s="64">
        <f t="shared" ref="J34" si="8">I34*H34</f>
        <v>0</v>
      </c>
      <c r="K34" s="65"/>
      <c r="L34" s="63">
        <f>VLOOKUP($B34,ТМЦ!$B$3:$L$83,11,0)</f>
        <v>0</v>
      </c>
    </row>
    <row r="35" spans="1:12" s="67" customFormat="1" ht="24.75" customHeight="1" outlineLevel="4" x14ac:dyDescent="0.3">
      <c r="A35" s="57"/>
      <c r="B35" s="81" t="s">
        <v>67</v>
      </c>
      <c r="C35" s="59"/>
      <c r="D35" s="60"/>
      <c r="E35" s="59" t="s">
        <v>5</v>
      </c>
      <c r="F35" s="61">
        <v>1</v>
      </c>
      <c r="G35" s="61">
        <v>1</v>
      </c>
      <c r="H35" s="62">
        <f t="shared" si="6"/>
        <v>2</v>
      </c>
      <c r="I35" s="63">
        <f>VLOOKUP($B35,ТМЦ!$B$3:$L$83,8,0)</f>
        <v>0</v>
      </c>
      <c r="J35" s="64">
        <f t="shared" si="7"/>
        <v>0</v>
      </c>
      <c r="K35" s="65"/>
      <c r="L35" s="63">
        <f>VLOOKUP($B35,ТМЦ!$B$3:$L$83,11,0)</f>
        <v>0</v>
      </c>
    </row>
    <row r="36" spans="1:12" s="67" customFormat="1" ht="24.75" customHeight="1" outlineLevel="4" x14ac:dyDescent="0.3">
      <c r="A36" s="57"/>
      <c r="B36" s="81" t="s">
        <v>68</v>
      </c>
      <c r="C36" s="59"/>
      <c r="D36" s="60"/>
      <c r="E36" s="59" t="s">
        <v>5</v>
      </c>
      <c r="F36" s="61">
        <v>3</v>
      </c>
      <c r="G36" s="61">
        <v>3</v>
      </c>
      <c r="H36" s="62">
        <f t="shared" si="6"/>
        <v>6</v>
      </c>
      <c r="I36" s="63">
        <f>VLOOKUP($B36,ТМЦ!$B$3:$L$83,8,0)</f>
        <v>0</v>
      </c>
      <c r="J36" s="64">
        <f t="shared" si="7"/>
        <v>0</v>
      </c>
      <c r="K36" s="65"/>
      <c r="L36" s="63">
        <f>VLOOKUP($B36,ТМЦ!$B$3:$L$83,11,0)</f>
        <v>0</v>
      </c>
    </row>
    <row r="37" spans="1:12" s="67" customFormat="1" ht="24.75" customHeight="1" outlineLevel="4" x14ac:dyDescent="0.3">
      <c r="A37" s="57"/>
      <c r="B37" s="81" t="s">
        <v>69</v>
      </c>
      <c r="C37" s="59"/>
      <c r="D37" s="60"/>
      <c r="E37" s="59" t="s">
        <v>4</v>
      </c>
      <c r="F37" s="61">
        <v>3</v>
      </c>
      <c r="G37" s="61">
        <v>3</v>
      </c>
      <c r="H37" s="62">
        <f t="shared" si="6"/>
        <v>6</v>
      </c>
      <c r="I37" s="63">
        <f>VLOOKUP($B37,ТМЦ!$B$3:$L$83,8,0)</f>
        <v>0</v>
      </c>
      <c r="J37" s="64">
        <f t="shared" ref="J37" si="9">I37*H37</f>
        <v>0</v>
      </c>
      <c r="K37" s="65"/>
      <c r="L37" s="63">
        <f>VLOOKUP($B37,ТМЦ!$B$3:$L$83,11,0)</f>
        <v>0</v>
      </c>
    </row>
    <row r="38" spans="1:12" s="67" customFormat="1" ht="24.75" customHeight="1" outlineLevel="4" x14ac:dyDescent="0.3">
      <c r="A38" s="57"/>
      <c r="B38" s="81" t="s">
        <v>70</v>
      </c>
      <c r="C38" s="59"/>
      <c r="D38" s="60"/>
      <c r="E38" s="59" t="s">
        <v>5</v>
      </c>
      <c r="F38" s="61">
        <v>1</v>
      </c>
      <c r="G38" s="61">
        <v>2</v>
      </c>
      <c r="H38" s="62">
        <f t="shared" si="6"/>
        <v>3</v>
      </c>
      <c r="I38" s="63">
        <f>VLOOKUP($B38,ТМЦ!$B$3:$L$83,8,0)</f>
        <v>0</v>
      </c>
      <c r="J38" s="64">
        <f t="shared" si="7"/>
        <v>0</v>
      </c>
      <c r="K38" s="65"/>
      <c r="L38" s="63">
        <f>VLOOKUP($B38,ТМЦ!$B$3:$L$83,11,0)</f>
        <v>0</v>
      </c>
    </row>
    <row r="39" spans="1:12" s="67" customFormat="1" ht="24.75" customHeight="1" outlineLevel="4" x14ac:dyDescent="0.3">
      <c r="A39" s="82"/>
      <c r="B39" s="81" t="s">
        <v>85</v>
      </c>
      <c r="C39" s="59"/>
      <c r="D39" s="68"/>
      <c r="E39" s="59" t="s">
        <v>4</v>
      </c>
      <c r="F39" s="61">
        <v>451</v>
      </c>
      <c r="G39" s="61">
        <v>877</v>
      </c>
      <c r="H39" s="62">
        <f t="shared" si="6"/>
        <v>1328</v>
      </c>
      <c r="I39" s="63">
        <f>VLOOKUP($B39,ТМЦ!$B$3:$L$83,8,0)</f>
        <v>0</v>
      </c>
      <c r="J39" s="64">
        <f t="shared" ref="J39:J41" si="10">I39*H39</f>
        <v>0</v>
      </c>
      <c r="K39" s="65"/>
      <c r="L39" s="63">
        <f>VLOOKUP($B39,ТМЦ!$B$3:$L$83,11,0)</f>
        <v>0</v>
      </c>
    </row>
    <row r="40" spans="1:12" s="67" customFormat="1" ht="24.75" customHeight="1" outlineLevel="4" x14ac:dyDescent="0.3">
      <c r="A40" s="82"/>
      <c r="B40" s="81" t="s">
        <v>86</v>
      </c>
      <c r="C40" s="59"/>
      <c r="D40" s="60"/>
      <c r="E40" s="59" t="s">
        <v>5</v>
      </c>
      <c r="F40" s="61">
        <v>8360</v>
      </c>
      <c r="G40" s="61">
        <v>15596</v>
      </c>
      <c r="H40" s="62">
        <f t="shared" si="6"/>
        <v>23956</v>
      </c>
      <c r="I40" s="63">
        <f>VLOOKUP($B40,ТМЦ!$B$3:$L$83,8,0)</f>
        <v>0</v>
      </c>
      <c r="J40" s="64">
        <f t="shared" si="10"/>
        <v>0</v>
      </c>
      <c r="K40" s="65"/>
      <c r="L40" s="63">
        <f>VLOOKUP($B40,ТМЦ!$B$3:$L$83,11,0)</f>
        <v>0</v>
      </c>
    </row>
    <row r="41" spans="1:12" s="67" customFormat="1" ht="24.75" customHeight="1" outlineLevel="4" x14ac:dyDescent="0.3">
      <c r="A41" s="82"/>
      <c r="B41" s="81" t="s">
        <v>87</v>
      </c>
      <c r="C41" s="59"/>
      <c r="D41" s="60"/>
      <c r="E41" s="59" t="s">
        <v>5</v>
      </c>
      <c r="F41" s="61">
        <v>608</v>
      </c>
      <c r="G41" s="61">
        <v>1016</v>
      </c>
      <c r="H41" s="62">
        <f t="shared" si="6"/>
        <v>1624</v>
      </c>
      <c r="I41" s="63">
        <f>VLOOKUP($B41,ТМЦ!$B$3:$L$83,8,0)</f>
        <v>0</v>
      </c>
      <c r="J41" s="64">
        <f t="shared" si="10"/>
        <v>0</v>
      </c>
      <c r="K41" s="65"/>
      <c r="L41" s="63">
        <f>VLOOKUP($B41,ТМЦ!$B$3:$L$83,11,0)</f>
        <v>0</v>
      </c>
    </row>
    <row r="42" spans="1:12" s="67" customFormat="1" ht="39.75" customHeight="1" outlineLevel="4" x14ac:dyDescent="0.3">
      <c r="A42" s="82"/>
      <c r="B42" s="81" t="s">
        <v>153</v>
      </c>
      <c r="C42" s="59"/>
      <c r="D42" s="60"/>
      <c r="E42" s="59" t="s">
        <v>4</v>
      </c>
      <c r="F42" s="61">
        <v>1.8</v>
      </c>
      <c r="G42" s="61">
        <v>1.2</v>
      </c>
      <c r="H42" s="62">
        <f t="shared" si="6"/>
        <v>3</v>
      </c>
      <c r="I42" s="63">
        <f>VLOOKUP($B42,ТМЦ!$B$3:$L$83,8,0)</f>
        <v>0</v>
      </c>
      <c r="J42" s="64">
        <f t="shared" ref="J42:J43" si="11">I42*H42</f>
        <v>0</v>
      </c>
      <c r="K42" s="83"/>
      <c r="L42" s="63">
        <f>VLOOKUP($B42,ТМЦ!$B$3:$L$83,11,0)</f>
        <v>0</v>
      </c>
    </row>
    <row r="43" spans="1:12" s="76" customFormat="1" ht="43.5" customHeight="1" outlineLevel="4" x14ac:dyDescent="0.3">
      <c r="A43" s="84"/>
      <c r="B43" s="81" t="s">
        <v>135</v>
      </c>
      <c r="C43" s="72"/>
      <c r="D43" s="68"/>
      <c r="E43" s="72" t="s">
        <v>5</v>
      </c>
      <c r="F43" s="61"/>
      <c r="G43" s="61">
        <v>2</v>
      </c>
      <c r="H43" s="73">
        <f t="shared" si="6"/>
        <v>2</v>
      </c>
      <c r="I43" s="63">
        <f>VLOOKUP($B43,ТМЦ!$B$3:$L$83,8,0)</f>
        <v>0</v>
      </c>
      <c r="J43" s="63">
        <f t="shared" si="11"/>
        <v>0</v>
      </c>
      <c r="K43" s="74" t="s">
        <v>154</v>
      </c>
      <c r="L43" s="63">
        <f>VLOOKUP($B43,ТМЦ!$B$3:$L$83,11,0)</f>
        <v>0</v>
      </c>
    </row>
    <row r="44" spans="1:12" s="76" customFormat="1" ht="43.5" customHeight="1" outlineLevel="4" x14ac:dyDescent="0.3">
      <c r="A44" s="84"/>
      <c r="B44" s="81" t="s">
        <v>136</v>
      </c>
      <c r="C44" s="72"/>
      <c r="D44" s="68"/>
      <c r="E44" s="72" t="s">
        <v>5</v>
      </c>
      <c r="F44" s="61"/>
      <c r="G44" s="61">
        <v>1</v>
      </c>
      <c r="H44" s="73">
        <f t="shared" si="6"/>
        <v>1</v>
      </c>
      <c r="I44" s="63">
        <f>VLOOKUP($B44,ТМЦ!$B$3:$L$83,8,0)</f>
        <v>0</v>
      </c>
      <c r="J44" s="63">
        <f t="shared" ref="J44" si="12">I44*H44</f>
        <v>0</v>
      </c>
      <c r="K44" s="74" t="s">
        <v>154</v>
      </c>
      <c r="L44" s="63">
        <f>VLOOKUP($B44,ТМЦ!$B$3:$L$83,11,0)</f>
        <v>0</v>
      </c>
    </row>
    <row r="45" spans="1:12" ht="23.25" customHeight="1" outlineLevel="1" x14ac:dyDescent="0.3">
      <c r="A45" s="29" t="s">
        <v>25</v>
      </c>
      <c r="B45" s="30" t="s">
        <v>16</v>
      </c>
      <c r="C45" s="31"/>
      <c r="D45" s="31"/>
      <c r="E45" s="31"/>
      <c r="F45" s="32"/>
      <c r="G45" s="32"/>
      <c r="H45" s="32"/>
      <c r="I45" s="32"/>
      <c r="J45" s="32"/>
      <c r="K45" s="33"/>
      <c r="L45" s="33"/>
    </row>
    <row r="46" spans="1:12" ht="23.25" customHeight="1" outlineLevel="2" x14ac:dyDescent="0.3">
      <c r="A46" s="34" t="s">
        <v>27</v>
      </c>
      <c r="B46" s="35" t="s">
        <v>16</v>
      </c>
      <c r="C46" s="36"/>
      <c r="D46" s="36"/>
      <c r="E46" s="36"/>
      <c r="F46" s="37"/>
      <c r="G46" s="37"/>
      <c r="H46" s="37"/>
      <c r="I46" s="37"/>
      <c r="J46" s="37">
        <f>J47+J50</f>
        <v>0</v>
      </c>
      <c r="K46" s="39"/>
      <c r="L46" s="39"/>
    </row>
    <row r="47" spans="1:12" ht="23.25" customHeight="1" outlineLevel="3" x14ac:dyDescent="0.3">
      <c r="A47" s="85"/>
      <c r="B47" s="25" t="s">
        <v>14</v>
      </c>
      <c r="C47" s="42"/>
      <c r="D47" s="42"/>
      <c r="E47" s="42"/>
      <c r="F47" s="43"/>
      <c r="G47" s="43"/>
      <c r="H47" s="27"/>
      <c r="I47" s="27"/>
      <c r="J47" s="27">
        <f>SUM(J48:J49)</f>
        <v>0</v>
      </c>
      <c r="K47" s="28"/>
      <c r="L47" s="28"/>
    </row>
    <row r="48" spans="1:12" ht="21.75" customHeight="1" outlineLevel="3" x14ac:dyDescent="0.3">
      <c r="A48" s="85"/>
      <c r="B48" s="44" t="s">
        <v>183</v>
      </c>
      <c r="C48" s="45"/>
      <c r="D48" s="45"/>
      <c r="E48" s="45" t="s">
        <v>6</v>
      </c>
      <c r="F48" s="46">
        <v>1</v>
      </c>
      <c r="G48" s="46"/>
      <c r="H48" s="27">
        <f>SUM(F48:G48)</f>
        <v>1</v>
      </c>
      <c r="I48" s="47">
        <f>VLOOKUP(B48,СМР!$B$3:$H$8,7,0)</f>
        <v>0</v>
      </c>
      <c r="J48" s="48">
        <f t="shared" ref="J48:J49" si="13">I48*H48</f>
        <v>0</v>
      </c>
      <c r="K48" s="86"/>
      <c r="L48" s="28"/>
    </row>
    <row r="49" spans="1:12" ht="21.75" customHeight="1" outlineLevel="3" x14ac:dyDescent="0.3">
      <c r="A49" s="85"/>
      <c r="B49" s="44" t="s">
        <v>184</v>
      </c>
      <c r="C49" s="45"/>
      <c r="D49" s="45"/>
      <c r="E49" s="45" t="s">
        <v>6</v>
      </c>
      <c r="F49" s="46"/>
      <c r="G49" s="46">
        <v>1</v>
      </c>
      <c r="H49" s="27">
        <f>SUM(F49:G49)</f>
        <v>1</v>
      </c>
      <c r="I49" s="47">
        <f>VLOOKUP(B49,СМР!$B$3:$H$8,7,0)</f>
        <v>0</v>
      </c>
      <c r="J49" s="48">
        <f t="shared" si="13"/>
        <v>0</v>
      </c>
      <c r="K49" s="86"/>
      <c r="L49" s="28"/>
    </row>
    <row r="50" spans="1:12" s="88" customFormat="1" ht="25.5" customHeight="1" outlineLevel="3" x14ac:dyDescent="0.3">
      <c r="A50" s="87"/>
      <c r="B50" s="50" t="s">
        <v>15</v>
      </c>
      <c r="C50" s="51"/>
      <c r="D50" s="51"/>
      <c r="E50" s="51"/>
      <c r="F50" s="52"/>
      <c r="G50" s="52"/>
      <c r="H50" s="53"/>
      <c r="I50" s="53"/>
      <c r="J50" s="53">
        <f>SUM(J51:J90)</f>
        <v>0</v>
      </c>
      <c r="K50" s="55"/>
      <c r="L50" s="55"/>
    </row>
    <row r="51" spans="1:12" s="88" customFormat="1" ht="19.5" customHeight="1" outlineLevel="3" x14ac:dyDescent="0.3">
      <c r="A51" s="70"/>
      <c r="B51" s="58" t="s">
        <v>57</v>
      </c>
      <c r="C51" s="72" t="s">
        <v>177</v>
      </c>
      <c r="D51" s="59" t="s">
        <v>41</v>
      </c>
      <c r="E51" s="59" t="s">
        <v>5</v>
      </c>
      <c r="F51" s="61">
        <v>2</v>
      </c>
      <c r="G51" s="61">
        <v>2</v>
      </c>
      <c r="H51" s="62">
        <f t="shared" ref="H51:H89" si="14">SUM(F51:G51)</f>
        <v>4</v>
      </c>
      <c r="I51" s="63">
        <f>VLOOKUP($B51,ТМЦ!$B$3:$L$83,8,0)</f>
        <v>0</v>
      </c>
      <c r="J51" s="64">
        <f>I51*H51</f>
        <v>0</v>
      </c>
      <c r="K51" s="66"/>
      <c r="L51" s="63">
        <f>VLOOKUP($B51,ТМЦ!$B$3:$L$83,11,0)</f>
        <v>0</v>
      </c>
    </row>
    <row r="52" spans="1:12" s="88" customFormat="1" ht="19.5" customHeight="1" outlineLevel="3" x14ac:dyDescent="0.3">
      <c r="A52" s="70"/>
      <c r="B52" s="58" t="s">
        <v>58</v>
      </c>
      <c r="C52" s="59" t="s">
        <v>59</v>
      </c>
      <c r="D52" s="59" t="s">
        <v>41</v>
      </c>
      <c r="E52" s="59" t="s">
        <v>5</v>
      </c>
      <c r="F52" s="61">
        <f>1+1+1</f>
        <v>3</v>
      </c>
      <c r="G52" s="61">
        <f t="shared" ref="G52" si="15">1+1+1</f>
        <v>3</v>
      </c>
      <c r="H52" s="62">
        <f t="shared" si="14"/>
        <v>6</v>
      </c>
      <c r="I52" s="63">
        <f>VLOOKUP($B52,ТМЦ!$B$3:$L$83,8,0)</f>
        <v>0</v>
      </c>
      <c r="J52" s="64">
        <f t="shared" ref="J52:J100" si="16">I52*H52</f>
        <v>0</v>
      </c>
      <c r="K52" s="89"/>
      <c r="L52" s="63">
        <f>VLOOKUP($B52,ТМЦ!$B$3:$L$83,11,0)</f>
        <v>0</v>
      </c>
    </row>
    <row r="53" spans="1:12" s="88" customFormat="1" ht="19.5" customHeight="1" outlineLevel="3" x14ac:dyDescent="0.3">
      <c r="A53" s="70"/>
      <c r="B53" s="58" t="s">
        <v>38</v>
      </c>
      <c r="C53" s="59" t="s">
        <v>41</v>
      </c>
      <c r="D53" s="59" t="s">
        <v>55</v>
      </c>
      <c r="E53" s="59" t="s">
        <v>5</v>
      </c>
      <c r="F53" s="61">
        <v>5</v>
      </c>
      <c r="G53" s="61">
        <v>5</v>
      </c>
      <c r="H53" s="62">
        <f t="shared" si="14"/>
        <v>10</v>
      </c>
      <c r="I53" s="63">
        <f>VLOOKUP($B53,ТМЦ!$B$3:$L$83,8,0)</f>
        <v>0</v>
      </c>
      <c r="J53" s="64">
        <f t="shared" si="16"/>
        <v>0</v>
      </c>
      <c r="K53" s="89"/>
      <c r="L53" s="63">
        <f>VLOOKUP($B53,ТМЦ!$B$3:$L$83,11,0)</f>
        <v>0</v>
      </c>
    </row>
    <row r="54" spans="1:12" s="88" customFormat="1" ht="19.5" customHeight="1" outlineLevel="3" x14ac:dyDescent="0.3">
      <c r="A54" s="70"/>
      <c r="B54" s="58" t="s">
        <v>104</v>
      </c>
      <c r="C54" s="59" t="s">
        <v>41</v>
      </c>
      <c r="D54" s="59" t="s">
        <v>60</v>
      </c>
      <c r="E54" s="59" t="s">
        <v>5</v>
      </c>
      <c r="F54" s="61">
        <v>2</v>
      </c>
      <c r="G54" s="61">
        <v>2</v>
      </c>
      <c r="H54" s="62">
        <f t="shared" si="14"/>
        <v>4</v>
      </c>
      <c r="I54" s="63">
        <f>VLOOKUP($B54,ТМЦ!$B$3:$L$83,8,0)</f>
        <v>0</v>
      </c>
      <c r="J54" s="64">
        <f t="shared" si="16"/>
        <v>0</v>
      </c>
      <c r="K54" s="89"/>
      <c r="L54" s="63">
        <f>VLOOKUP($B54,ТМЦ!$B$3:$L$83,11,0)</f>
        <v>0</v>
      </c>
    </row>
    <row r="55" spans="1:12" s="88" customFormat="1" ht="19.5" customHeight="1" outlineLevel="3" x14ac:dyDescent="0.3">
      <c r="A55" s="70"/>
      <c r="B55" s="58" t="s">
        <v>105</v>
      </c>
      <c r="C55" s="59" t="s">
        <v>41</v>
      </c>
      <c r="D55" s="59" t="s">
        <v>106</v>
      </c>
      <c r="E55" s="59"/>
      <c r="F55" s="61">
        <v>3</v>
      </c>
      <c r="G55" s="61">
        <v>3</v>
      </c>
      <c r="H55" s="62">
        <f t="shared" si="14"/>
        <v>6</v>
      </c>
      <c r="I55" s="63">
        <f>VLOOKUP($B55,ТМЦ!$B$3:$L$83,8,0)</f>
        <v>0</v>
      </c>
      <c r="J55" s="64">
        <f t="shared" ref="J55" si="17">I55*H55</f>
        <v>0</v>
      </c>
      <c r="K55" s="89"/>
      <c r="L55" s="63">
        <f>VLOOKUP($B55,ТМЦ!$B$3:$L$83,11,0)</f>
        <v>0</v>
      </c>
    </row>
    <row r="56" spans="1:12" s="88" customFormat="1" ht="49.5" customHeight="1" outlineLevel="3" x14ac:dyDescent="0.3">
      <c r="A56" s="70"/>
      <c r="B56" s="58" t="s">
        <v>79</v>
      </c>
      <c r="C56" s="59"/>
      <c r="D56" s="60" t="s">
        <v>167</v>
      </c>
      <c r="E56" s="59" t="s">
        <v>5</v>
      </c>
      <c r="F56" s="61">
        <v>11</v>
      </c>
      <c r="G56" s="61">
        <v>19</v>
      </c>
      <c r="H56" s="62">
        <f t="shared" si="14"/>
        <v>30</v>
      </c>
      <c r="I56" s="63">
        <f>VLOOKUP($B56,ТМЦ!$B$3:$L$83,8,0)</f>
        <v>0</v>
      </c>
      <c r="J56" s="64">
        <f>I56*H56</f>
        <v>0</v>
      </c>
      <c r="K56" s="90" t="s">
        <v>150</v>
      </c>
      <c r="L56" s="63">
        <f>VLOOKUP($B56,ТМЦ!$B$3:$L$83,11,0)</f>
        <v>0</v>
      </c>
    </row>
    <row r="57" spans="1:12" s="88" customFormat="1" ht="54" customHeight="1" outlineLevel="3" x14ac:dyDescent="0.3">
      <c r="A57" s="70"/>
      <c r="B57" s="58" t="s">
        <v>80</v>
      </c>
      <c r="C57" s="59"/>
      <c r="D57" s="60" t="s">
        <v>168</v>
      </c>
      <c r="E57" s="59" t="s">
        <v>5</v>
      </c>
      <c r="F57" s="61">
        <v>0</v>
      </c>
      <c r="G57" s="61">
        <v>2</v>
      </c>
      <c r="H57" s="62">
        <f t="shared" ref="H57" si="18">SUM(F57:G57)</f>
        <v>2</v>
      </c>
      <c r="I57" s="63">
        <f>VLOOKUP($B57,ТМЦ!$B$3:$L$83,8,0)</f>
        <v>0</v>
      </c>
      <c r="J57" s="64">
        <f>I57*H57</f>
        <v>0</v>
      </c>
      <c r="K57" s="83" t="s">
        <v>175</v>
      </c>
      <c r="L57" s="63">
        <f>VLOOKUP($B57,ТМЦ!$B$3:$L$83,11,0)</f>
        <v>0</v>
      </c>
    </row>
    <row r="58" spans="1:12" s="88" customFormat="1" ht="45" customHeight="1" outlineLevel="3" x14ac:dyDescent="0.3">
      <c r="A58" s="70"/>
      <c r="B58" s="58" t="s">
        <v>81</v>
      </c>
      <c r="C58" s="60" t="s">
        <v>48</v>
      </c>
      <c r="D58" s="60" t="s">
        <v>82</v>
      </c>
      <c r="E58" s="59" t="s">
        <v>5</v>
      </c>
      <c r="F58" s="61">
        <v>88</v>
      </c>
      <c r="G58" s="61">
        <v>156</v>
      </c>
      <c r="H58" s="62">
        <f t="shared" si="14"/>
        <v>244</v>
      </c>
      <c r="I58" s="63">
        <f>VLOOKUP($B58,ТМЦ!$B$3:$L$83,8,0)</f>
        <v>0</v>
      </c>
      <c r="J58" s="64">
        <f t="shared" ref="J58" si="19">I58*H58</f>
        <v>0</v>
      </c>
      <c r="K58" s="90" t="s">
        <v>150</v>
      </c>
      <c r="L58" s="63">
        <f>VLOOKUP($B58,ТМЦ!$B$3:$L$83,11,0)</f>
        <v>0</v>
      </c>
    </row>
    <row r="59" spans="1:12" s="88" customFormat="1" ht="79.5" customHeight="1" outlineLevel="3" x14ac:dyDescent="0.3">
      <c r="A59" s="70"/>
      <c r="B59" s="58" t="s">
        <v>125</v>
      </c>
      <c r="C59" s="59" t="s">
        <v>126</v>
      </c>
      <c r="D59" s="60" t="s">
        <v>127</v>
      </c>
      <c r="E59" s="59" t="s">
        <v>5</v>
      </c>
      <c r="F59" s="61">
        <f>F58*3</f>
        <v>264</v>
      </c>
      <c r="G59" s="61">
        <f>G58*3</f>
        <v>468</v>
      </c>
      <c r="H59" s="62">
        <f t="shared" si="14"/>
        <v>732</v>
      </c>
      <c r="I59" s="63">
        <f>VLOOKUP($B59,ТМЦ!$B$3:$L$83,8,0)</f>
        <v>0</v>
      </c>
      <c r="J59" s="64">
        <f>I59*H59</f>
        <v>0</v>
      </c>
      <c r="K59" s="90" t="s">
        <v>150</v>
      </c>
      <c r="L59" s="63">
        <f>VLOOKUP($B59,ТМЦ!$B$3:$L$83,11,0)</f>
        <v>0</v>
      </c>
    </row>
    <row r="60" spans="1:12" s="88" customFormat="1" ht="27.6" outlineLevel="3" x14ac:dyDescent="0.3">
      <c r="A60" s="70"/>
      <c r="B60" s="58" t="s">
        <v>107</v>
      </c>
      <c r="C60" s="59" t="s">
        <v>160</v>
      </c>
      <c r="D60" s="60" t="s">
        <v>161</v>
      </c>
      <c r="E60" s="59" t="s">
        <v>5</v>
      </c>
      <c r="F60" s="61">
        <v>1</v>
      </c>
      <c r="G60" s="61">
        <v>0</v>
      </c>
      <c r="H60" s="62">
        <f t="shared" si="14"/>
        <v>1</v>
      </c>
      <c r="I60" s="63">
        <f>VLOOKUP($B60,ТМЦ!$B$3:$L$83,8,0)</f>
        <v>0</v>
      </c>
      <c r="J60" s="64">
        <f t="shared" si="16"/>
        <v>0</v>
      </c>
      <c r="K60" s="83" t="s">
        <v>149</v>
      </c>
      <c r="L60" s="63">
        <f>VLOOKUP($B60,ТМЦ!$B$3:$L$83,11,0)</f>
        <v>0</v>
      </c>
    </row>
    <row r="61" spans="1:12" s="88" customFormat="1" ht="27.6" outlineLevel="3" x14ac:dyDescent="0.3">
      <c r="A61" s="70"/>
      <c r="B61" s="58" t="s">
        <v>108</v>
      </c>
      <c r="C61" s="59" t="s">
        <v>140</v>
      </c>
      <c r="D61" s="60" t="s">
        <v>141</v>
      </c>
      <c r="E61" s="59" t="s">
        <v>5</v>
      </c>
      <c r="F61" s="61">
        <v>0</v>
      </c>
      <c r="G61" s="61">
        <v>1</v>
      </c>
      <c r="H61" s="62">
        <f t="shared" si="14"/>
        <v>1</v>
      </c>
      <c r="I61" s="63">
        <f>VLOOKUP($B61,ТМЦ!$B$3:$L$83,8,0)</f>
        <v>0</v>
      </c>
      <c r="J61" s="64">
        <f t="shared" ref="J61" si="20">I61*H61</f>
        <v>0</v>
      </c>
      <c r="K61" s="83" t="s">
        <v>149</v>
      </c>
      <c r="L61" s="63">
        <f>VLOOKUP($B61,ТМЦ!$B$3:$L$83,11,0)</f>
        <v>0</v>
      </c>
    </row>
    <row r="62" spans="1:12" s="88" customFormat="1" outlineLevel="3" x14ac:dyDescent="0.3">
      <c r="A62" s="70"/>
      <c r="B62" s="58" t="s">
        <v>146</v>
      </c>
      <c r="C62" s="59"/>
      <c r="D62" s="60" t="s">
        <v>142</v>
      </c>
      <c r="E62" s="59" t="s">
        <v>5</v>
      </c>
      <c r="F62" s="61">
        <v>0</v>
      </c>
      <c r="G62" s="61">
        <v>1</v>
      </c>
      <c r="H62" s="62">
        <f t="shared" si="14"/>
        <v>1</v>
      </c>
      <c r="I62" s="63">
        <f>VLOOKUP($B62,ТМЦ!$B$3:$L$83,8,0)</f>
        <v>0</v>
      </c>
      <c r="J62" s="64">
        <f t="shared" si="16"/>
        <v>0</v>
      </c>
      <c r="K62" s="83" t="s">
        <v>149</v>
      </c>
      <c r="L62" s="63">
        <f>VLOOKUP($B62,ТМЦ!$B$3:$L$83,11,0)</f>
        <v>0</v>
      </c>
    </row>
    <row r="63" spans="1:12" s="88" customFormat="1" outlineLevel="3" x14ac:dyDescent="0.3">
      <c r="A63" s="70"/>
      <c r="B63" s="58" t="s">
        <v>143</v>
      </c>
      <c r="C63" s="59"/>
      <c r="D63" s="60"/>
      <c r="E63" s="59" t="s">
        <v>5</v>
      </c>
      <c r="F63" s="61">
        <v>1</v>
      </c>
      <c r="G63" s="61">
        <v>1</v>
      </c>
      <c r="H63" s="62">
        <f t="shared" si="14"/>
        <v>2</v>
      </c>
      <c r="I63" s="63">
        <f>VLOOKUP($B63,ТМЦ!$B$3:$L$83,8,0)</f>
        <v>0</v>
      </c>
      <c r="J63" s="64">
        <f t="shared" ref="J63" si="21">I63*H63</f>
        <v>0</v>
      </c>
      <c r="K63" s="83" t="s">
        <v>149</v>
      </c>
      <c r="L63" s="63">
        <f>VLOOKUP($B63,ТМЦ!$B$3:$L$83,11,0)</f>
        <v>0</v>
      </c>
    </row>
    <row r="64" spans="1:12" s="88" customFormat="1" outlineLevel="3" x14ac:dyDescent="0.3">
      <c r="A64" s="70"/>
      <c r="B64" s="58" t="s">
        <v>37</v>
      </c>
      <c r="C64" s="59"/>
      <c r="D64" s="60" t="s">
        <v>94</v>
      </c>
      <c r="E64" s="59" t="s">
        <v>5</v>
      </c>
      <c r="F64" s="61">
        <v>0</v>
      </c>
      <c r="G64" s="61">
        <v>1</v>
      </c>
      <c r="H64" s="62">
        <f t="shared" si="14"/>
        <v>1</v>
      </c>
      <c r="I64" s="63">
        <f>VLOOKUP($B64,ТМЦ!$B$3:$L$83,8,0)</f>
        <v>0</v>
      </c>
      <c r="J64" s="64">
        <f t="shared" si="16"/>
        <v>0</v>
      </c>
      <c r="K64" s="83" t="s">
        <v>149</v>
      </c>
      <c r="L64" s="63">
        <f>VLOOKUP($B64,ТМЦ!$B$3:$L$83,11,0)</f>
        <v>0</v>
      </c>
    </row>
    <row r="65" spans="1:12" s="88" customFormat="1" outlineLevel="3" x14ac:dyDescent="0.3">
      <c r="A65" s="70"/>
      <c r="B65" s="58" t="s">
        <v>124</v>
      </c>
      <c r="C65" s="59" t="s">
        <v>109</v>
      </c>
      <c r="D65" s="60" t="s">
        <v>110</v>
      </c>
      <c r="E65" s="59" t="s">
        <v>5</v>
      </c>
      <c r="F65" s="61">
        <v>1</v>
      </c>
      <c r="G65" s="61">
        <v>1</v>
      </c>
      <c r="H65" s="62">
        <f t="shared" si="14"/>
        <v>2</v>
      </c>
      <c r="I65" s="63">
        <f>VLOOKUP($B65,ТМЦ!$B$3:$L$83,8,0)</f>
        <v>0</v>
      </c>
      <c r="J65" s="64">
        <f t="shared" ref="J65:J66" si="22">I65*H65</f>
        <v>0</v>
      </c>
      <c r="K65" s="83" t="s">
        <v>149</v>
      </c>
      <c r="L65" s="63">
        <f>VLOOKUP($B65,ТМЦ!$B$3:$L$83,11,0)</f>
        <v>0</v>
      </c>
    </row>
    <row r="66" spans="1:12" s="88" customFormat="1" outlineLevel="3" x14ac:dyDescent="0.3">
      <c r="A66" s="70"/>
      <c r="B66" s="58" t="s">
        <v>145</v>
      </c>
      <c r="C66" s="59"/>
      <c r="D66" s="60" t="s">
        <v>144</v>
      </c>
      <c r="E66" s="59" t="s">
        <v>5</v>
      </c>
      <c r="F66" s="61">
        <v>1</v>
      </c>
      <c r="G66" s="61">
        <v>1</v>
      </c>
      <c r="H66" s="62">
        <f t="shared" si="14"/>
        <v>2</v>
      </c>
      <c r="I66" s="63">
        <f>VLOOKUP($B66,ТМЦ!$B$3:$L$83,8,0)</f>
        <v>0</v>
      </c>
      <c r="J66" s="64">
        <f t="shared" si="22"/>
        <v>0</v>
      </c>
      <c r="K66" s="83" t="s">
        <v>149</v>
      </c>
      <c r="L66" s="63">
        <f>VLOOKUP($B66,ТМЦ!$B$3:$L$83,11,0)</f>
        <v>0</v>
      </c>
    </row>
    <row r="67" spans="1:12" s="88" customFormat="1" outlineLevel="3" x14ac:dyDescent="0.3">
      <c r="A67" s="70"/>
      <c r="B67" s="58" t="s">
        <v>112</v>
      </c>
      <c r="C67" s="60" t="s">
        <v>111</v>
      </c>
      <c r="D67" s="60" t="s">
        <v>41</v>
      </c>
      <c r="E67" s="59" t="s">
        <v>5</v>
      </c>
      <c r="F67" s="61">
        <v>1</v>
      </c>
      <c r="G67" s="61">
        <v>1</v>
      </c>
      <c r="H67" s="62">
        <f t="shared" si="14"/>
        <v>2</v>
      </c>
      <c r="I67" s="63">
        <f>VLOOKUP($B67,ТМЦ!$B$3:$L$83,8,0)</f>
        <v>0</v>
      </c>
      <c r="J67" s="64">
        <f>I67*H67</f>
        <v>0</v>
      </c>
      <c r="K67" s="83" t="s">
        <v>149</v>
      </c>
      <c r="L67" s="63">
        <f>VLOOKUP($B67,ТМЦ!$B$3:$L$83,11,0)</f>
        <v>0</v>
      </c>
    </row>
    <row r="68" spans="1:12" s="88" customFormat="1" ht="27.6" outlineLevel="3" x14ac:dyDescent="0.3">
      <c r="A68" s="70"/>
      <c r="B68" s="58" t="s">
        <v>114</v>
      </c>
      <c r="C68" s="59" t="s">
        <v>113</v>
      </c>
      <c r="D68" s="60" t="s">
        <v>115</v>
      </c>
      <c r="E68" s="59" t="s">
        <v>5</v>
      </c>
      <c r="F68" s="61">
        <v>24</v>
      </c>
      <c r="G68" s="61">
        <v>24</v>
      </c>
      <c r="H68" s="62">
        <f t="shared" si="14"/>
        <v>48</v>
      </c>
      <c r="I68" s="63">
        <f>VLOOKUP($B68,ТМЦ!$B$3:$L$83,8,0)</f>
        <v>0</v>
      </c>
      <c r="J68" s="64">
        <f>I68*H68</f>
        <v>0</v>
      </c>
      <c r="K68" s="83" t="s">
        <v>149</v>
      </c>
      <c r="L68" s="63">
        <f>VLOOKUP($B68,ТМЦ!$B$3:$L$83,11,0)</f>
        <v>0</v>
      </c>
    </row>
    <row r="69" spans="1:12" s="88" customFormat="1" outlineLevel="3" x14ac:dyDescent="0.3">
      <c r="A69" s="70"/>
      <c r="B69" s="58" t="s">
        <v>117</v>
      </c>
      <c r="C69" s="59" t="s">
        <v>116</v>
      </c>
      <c r="D69" s="60" t="s">
        <v>118</v>
      </c>
      <c r="E69" s="59" t="s">
        <v>5</v>
      </c>
      <c r="F69" s="61">
        <v>1</v>
      </c>
      <c r="G69" s="61">
        <v>1</v>
      </c>
      <c r="H69" s="62">
        <f t="shared" si="14"/>
        <v>2</v>
      </c>
      <c r="I69" s="63">
        <f>VLOOKUP($B69,ТМЦ!$B$3:$L$83,8,0)</f>
        <v>0</v>
      </c>
      <c r="J69" s="64">
        <f>I69*H69</f>
        <v>0</v>
      </c>
      <c r="K69" s="83" t="s">
        <v>149</v>
      </c>
      <c r="L69" s="63">
        <f>VLOOKUP($B69,ТМЦ!$B$3:$L$83,11,0)</f>
        <v>0</v>
      </c>
    </row>
    <row r="70" spans="1:12" s="88" customFormat="1" outlineLevel="3" x14ac:dyDescent="0.3">
      <c r="A70" s="57"/>
      <c r="B70" s="71" t="s">
        <v>121</v>
      </c>
      <c r="C70" s="72"/>
      <c r="D70" s="68"/>
      <c r="E70" s="59" t="s">
        <v>5</v>
      </c>
      <c r="F70" s="61">
        <v>2</v>
      </c>
      <c r="G70" s="61">
        <v>4</v>
      </c>
      <c r="H70" s="62">
        <f t="shared" si="14"/>
        <v>6</v>
      </c>
      <c r="I70" s="63">
        <f>VLOOKUP($B70,ТМЦ!$B$3:$L$83,8,0)</f>
        <v>0</v>
      </c>
      <c r="J70" s="64">
        <f t="shared" ref="J70" si="23">I70*H70</f>
        <v>0</v>
      </c>
      <c r="K70" s="83" t="s">
        <v>149</v>
      </c>
      <c r="L70" s="63">
        <f>VLOOKUP($B70,ТМЦ!$B$3:$L$83,11,0)</f>
        <v>0</v>
      </c>
    </row>
    <row r="71" spans="1:12" s="88" customFormat="1" ht="27.6" outlineLevel="3" x14ac:dyDescent="0.3">
      <c r="A71" s="70"/>
      <c r="B71" s="58" t="s">
        <v>120</v>
      </c>
      <c r="C71" s="60" t="s">
        <v>41</v>
      </c>
      <c r="D71" s="60" t="s">
        <v>119</v>
      </c>
      <c r="E71" s="59" t="s">
        <v>5</v>
      </c>
      <c r="F71" s="61">
        <v>1</v>
      </c>
      <c r="G71" s="61">
        <v>1</v>
      </c>
      <c r="H71" s="62">
        <f t="shared" si="14"/>
        <v>2</v>
      </c>
      <c r="I71" s="63">
        <f>VLOOKUP($B71,ТМЦ!$B$3:$L$83,8,0)</f>
        <v>0</v>
      </c>
      <c r="J71" s="64">
        <f t="shared" ref="J71" si="24">I71*H71</f>
        <v>0</v>
      </c>
      <c r="K71" s="83" t="s">
        <v>149</v>
      </c>
      <c r="L71" s="63">
        <f>VLOOKUP($B71,ТМЦ!$B$3:$L$83,11,0)</f>
        <v>0</v>
      </c>
    </row>
    <row r="72" spans="1:12" s="88" customFormat="1" outlineLevel="3" x14ac:dyDescent="0.3">
      <c r="A72" s="70"/>
      <c r="B72" s="58" t="s">
        <v>88</v>
      </c>
      <c r="C72" s="59"/>
      <c r="D72" s="60"/>
      <c r="E72" s="59" t="s">
        <v>5</v>
      </c>
      <c r="F72" s="61">
        <v>2</v>
      </c>
      <c r="G72" s="61">
        <v>2</v>
      </c>
      <c r="H72" s="62">
        <f t="shared" si="14"/>
        <v>4</v>
      </c>
      <c r="I72" s="63">
        <f>VLOOKUP($B72,ТМЦ!$B$3:$L$83,8,0)</f>
        <v>0</v>
      </c>
      <c r="J72" s="64">
        <f t="shared" ref="J72:J79" si="25">I72*H72</f>
        <v>0</v>
      </c>
      <c r="K72" s="83" t="s">
        <v>149</v>
      </c>
      <c r="L72" s="63">
        <f>VLOOKUP($B72,ТМЦ!$B$3:$L$83,11,0)</f>
        <v>0</v>
      </c>
    </row>
    <row r="73" spans="1:12" s="88" customFormat="1" outlineLevel="3" x14ac:dyDescent="0.3">
      <c r="A73" s="70"/>
      <c r="B73" s="58" t="s">
        <v>89</v>
      </c>
      <c r="C73" s="59"/>
      <c r="D73" s="60"/>
      <c r="E73" s="59" t="s">
        <v>5</v>
      </c>
      <c r="F73" s="61">
        <v>3</v>
      </c>
      <c r="G73" s="61">
        <v>3</v>
      </c>
      <c r="H73" s="62">
        <f t="shared" si="14"/>
        <v>6</v>
      </c>
      <c r="I73" s="63">
        <f>VLOOKUP($B73,ТМЦ!$B$3:$L$83,8,0)</f>
        <v>0</v>
      </c>
      <c r="J73" s="64">
        <f t="shared" si="25"/>
        <v>0</v>
      </c>
      <c r="K73" s="83" t="s">
        <v>149</v>
      </c>
      <c r="L73" s="63">
        <f>VLOOKUP($B73,ТМЦ!$B$3:$L$83,11,0)</f>
        <v>0</v>
      </c>
    </row>
    <row r="74" spans="1:12" s="88" customFormat="1" outlineLevel="3" x14ac:dyDescent="0.3">
      <c r="A74" s="70"/>
      <c r="B74" s="58" t="s">
        <v>90</v>
      </c>
      <c r="C74" s="59"/>
      <c r="D74" s="60"/>
      <c r="E74" s="59" t="s">
        <v>5</v>
      </c>
      <c r="F74" s="61">
        <v>3</v>
      </c>
      <c r="G74" s="61">
        <v>3</v>
      </c>
      <c r="H74" s="62">
        <f t="shared" si="14"/>
        <v>6</v>
      </c>
      <c r="I74" s="63">
        <f>VLOOKUP($B74,ТМЦ!$B$3:$L$83,8,0)</f>
        <v>0</v>
      </c>
      <c r="J74" s="64">
        <f t="shared" si="25"/>
        <v>0</v>
      </c>
      <c r="K74" s="83" t="s">
        <v>149</v>
      </c>
      <c r="L74" s="63">
        <f>VLOOKUP($B74,ТМЦ!$B$3:$L$83,11,0)</f>
        <v>0</v>
      </c>
    </row>
    <row r="75" spans="1:12" s="88" customFormat="1" outlineLevel="3" x14ac:dyDescent="0.3">
      <c r="A75" s="70"/>
      <c r="B75" s="58" t="s">
        <v>72</v>
      </c>
      <c r="C75" s="59"/>
      <c r="D75" s="60"/>
      <c r="E75" s="59" t="s">
        <v>5</v>
      </c>
      <c r="F75" s="61">
        <v>5</v>
      </c>
      <c r="G75" s="61">
        <v>5</v>
      </c>
      <c r="H75" s="62">
        <f t="shared" si="14"/>
        <v>10</v>
      </c>
      <c r="I75" s="63">
        <f>VLOOKUP($B75,ТМЦ!$B$3:$L$83,8,0)</f>
        <v>0</v>
      </c>
      <c r="J75" s="64">
        <f t="shared" si="25"/>
        <v>0</v>
      </c>
      <c r="K75" s="83" t="s">
        <v>149</v>
      </c>
      <c r="L75" s="63">
        <f>VLOOKUP($B75,ТМЦ!$B$3:$L$83,11,0)</f>
        <v>0</v>
      </c>
    </row>
    <row r="76" spans="1:12" s="88" customFormat="1" outlineLevel="3" x14ac:dyDescent="0.3">
      <c r="A76" s="70"/>
      <c r="B76" s="58" t="s">
        <v>162</v>
      </c>
      <c r="C76" s="59"/>
      <c r="D76" s="60"/>
      <c r="E76" s="59" t="s">
        <v>5</v>
      </c>
      <c r="F76" s="61">
        <v>1</v>
      </c>
      <c r="G76" s="61">
        <v>1</v>
      </c>
      <c r="H76" s="62">
        <f t="shared" ref="H76" si="26">SUM(F76:G76)</f>
        <v>2</v>
      </c>
      <c r="I76" s="63">
        <f>VLOOKUP($B76,ТМЦ!$B$3:$L$83,8,0)</f>
        <v>0</v>
      </c>
      <c r="J76" s="64">
        <f t="shared" ref="J76" si="27">I76*H76</f>
        <v>0</v>
      </c>
      <c r="K76" s="83" t="s">
        <v>149</v>
      </c>
      <c r="L76" s="63">
        <f>VLOOKUP($B76,ТМЦ!$B$3:$L$83,11,0)</f>
        <v>0</v>
      </c>
    </row>
    <row r="77" spans="1:12" s="88" customFormat="1" outlineLevel="3" x14ac:dyDescent="0.3">
      <c r="A77" s="70"/>
      <c r="B77" s="58" t="s">
        <v>91</v>
      </c>
      <c r="C77" s="59"/>
      <c r="D77" s="60"/>
      <c r="E77" s="59" t="s">
        <v>5</v>
      </c>
      <c r="F77" s="61">
        <v>1</v>
      </c>
      <c r="G77" s="61">
        <v>1</v>
      </c>
      <c r="H77" s="62">
        <f t="shared" si="14"/>
        <v>2</v>
      </c>
      <c r="I77" s="63">
        <f>VLOOKUP($B77,ТМЦ!$B$3:$L$83,8,0)</f>
        <v>0</v>
      </c>
      <c r="J77" s="64">
        <f t="shared" si="25"/>
        <v>0</v>
      </c>
      <c r="K77" s="83" t="s">
        <v>149</v>
      </c>
      <c r="L77" s="63">
        <f>VLOOKUP($B77,ТМЦ!$B$3:$L$83,11,0)</f>
        <v>0</v>
      </c>
    </row>
    <row r="78" spans="1:12" s="88" customFormat="1" outlineLevel="3" x14ac:dyDescent="0.3">
      <c r="A78" s="70"/>
      <c r="B78" s="58" t="s">
        <v>92</v>
      </c>
      <c r="C78" s="59"/>
      <c r="D78" s="60"/>
      <c r="E78" s="59" t="s">
        <v>5</v>
      </c>
      <c r="F78" s="61">
        <v>3</v>
      </c>
      <c r="G78" s="61">
        <v>3</v>
      </c>
      <c r="H78" s="62">
        <f t="shared" si="14"/>
        <v>6</v>
      </c>
      <c r="I78" s="63">
        <f>VLOOKUP($B78,ТМЦ!$B$3:$L$83,8,0)</f>
        <v>0</v>
      </c>
      <c r="J78" s="64">
        <f t="shared" si="25"/>
        <v>0</v>
      </c>
      <c r="K78" s="83" t="s">
        <v>149</v>
      </c>
      <c r="L78" s="63">
        <f>VLOOKUP($B78,ТМЦ!$B$3:$L$83,11,0)</f>
        <v>0</v>
      </c>
    </row>
    <row r="79" spans="1:12" s="88" customFormat="1" outlineLevel="3" x14ac:dyDescent="0.3">
      <c r="A79" s="70"/>
      <c r="B79" s="58" t="s">
        <v>163</v>
      </c>
      <c r="C79" s="59"/>
      <c r="D79" s="60"/>
      <c r="E79" s="59" t="s">
        <v>5</v>
      </c>
      <c r="F79" s="61">
        <v>1</v>
      </c>
      <c r="G79" s="61">
        <v>1</v>
      </c>
      <c r="H79" s="62">
        <f t="shared" si="14"/>
        <v>2</v>
      </c>
      <c r="I79" s="63">
        <f>VLOOKUP($B79,ТМЦ!$B$3:$L$83,8,0)</f>
        <v>0</v>
      </c>
      <c r="J79" s="64">
        <f t="shared" si="25"/>
        <v>0</v>
      </c>
      <c r="K79" s="83" t="s">
        <v>149</v>
      </c>
      <c r="L79" s="63">
        <f>VLOOKUP($B79,ТМЦ!$B$3:$L$83,11,0)</f>
        <v>0</v>
      </c>
    </row>
    <row r="80" spans="1:12" s="88" customFormat="1" outlineLevel="3" x14ac:dyDescent="0.3">
      <c r="A80" s="70"/>
      <c r="B80" s="91" t="s">
        <v>147</v>
      </c>
      <c r="C80" s="59"/>
      <c r="D80" s="60"/>
      <c r="E80" s="59" t="s">
        <v>5</v>
      </c>
      <c r="F80" s="61">
        <v>2</v>
      </c>
      <c r="G80" s="61">
        <v>2</v>
      </c>
      <c r="H80" s="62">
        <f t="shared" si="14"/>
        <v>4</v>
      </c>
      <c r="I80" s="63">
        <f>VLOOKUP($B80,ТМЦ!$B$3:$L$83,8,0)</f>
        <v>0</v>
      </c>
      <c r="J80" s="64">
        <f t="shared" ref="J80" si="28">I80*H80</f>
        <v>0</v>
      </c>
      <c r="K80" s="83" t="s">
        <v>149</v>
      </c>
      <c r="L80" s="63">
        <f>VLOOKUP($B80,ТМЦ!$B$3:$L$83,11,0)</f>
        <v>0</v>
      </c>
    </row>
    <row r="81" spans="1:12" s="88" customFormat="1" outlineLevel="3" x14ac:dyDescent="0.3">
      <c r="A81" s="70"/>
      <c r="B81" s="91" t="s">
        <v>148</v>
      </c>
      <c r="C81" s="59"/>
      <c r="D81" s="60"/>
      <c r="E81" s="59" t="s">
        <v>5</v>
      </c>
      <c r="F81" s="61">
        <v>2</v>
      </c>
      <c r="G81" s="61">
        <v>2</v>
      </c>
      <c r="H81" s="62">
        <f t="shared" si="14"/>
        <v>4</v>
      </c>
      <c r="I81" s="63">
        <f>VLOOKUP($B81,ТМЦ!$B$3:$L$83,8,0)</f>
        <v>0</v>
      </c>
      <c r="J81" s="64">
        <f t="shared" ref="J81" si="29">I81*H81</f>
        <v>0</v>
      </c>
      <c r="K81" s="83" t="s">
        <v>149</v>
      </c>
      <c r="L81" s="63">
        <f>VLOOKUP($B81,ТМЦ!$B$3:$L$83,11,0)</f>
        <v>0</v>
      </c>
    </row>
    <row r="82" spans="1:12" s="88" customFormat="1" outlineLevel="3" x14ac:dyDescent="0.3">
      <c r="A82" s="70"/>
      <c r="B82" s="71" t="s">
        <v>131</v>
      </c>
      <c r="C82" s="59"/>
      <c r="D82" s="60"/>
      <c r="E82" s="59" t="s">
        <v>5</v>
      </c>
      <c r="F82" s="61">
        <v>0</v>
      </c>
      <c r="G82" s="61">
        <v>1</v>
      </c>
      <c r="H82" s="62">
        <f t="shared" si="14"/>
        <v>1</v>
      </c>
      <c r="I82" s="63">
        <f>VLOOKUP($B82,ТМЦ!$B$3:$L$83,8,0)</f>
        <v>0</v>
      </c>
      <c r="J82" s="64">
        <f t="shared" ref="J82" si="30">I82*H82</f>
        <v>0</v>
      </c>
      <c r="K82" s="83" t="s">
        <v>149</v>
      </c>
      <c r="L82" s="63">
        <f>VLOOKUP($B82,ТМЦ!$B$3:$L$83,11,0)</f>
        <v>0</v>
      </c>
    </row>
    <row r="83" spans="1:12" s="88" customFormat="1" outlineLevel="3" x14ac:dyDescent="0.3">
      <c r="A83" s="70"/>
      <c r="B83" s="58" t="s">
        <v>156</v>
      </c>
      <c r="C83" s="59"/>
      <c r="D83" s="60"/>
      <c r="E83" s="59" t="s">
        <v>5</v>
      </c>
      <c r="F83" s="61">
        <v>0</v>
      </c>
      <c r="G83" s="61">
        <v>1</v>
      </c>
      <c r="H83" s="62">
        <f t="shared" si="14"/>
        <v>1</v>
      </c>
      <c r="I83" s="63">
        <f>VLOOKUP($B83,ТМЦ!$B$3:$L$83,8,0)</f>
        <v>0</v>
      </c>
      <c r="J83" s="64">
        <f t="shared" ref="J83" si="31">I83*H83</f>
        <v>0</v>
      </c>
      <c r="K83" s="83" t="s">
        <v>149</v>
      </c>
      <c r="L83" s="63">
        <f>VLOOKUP($B83,ТМЦ!$B$3:$L$83,11,0)</f>
        <v>0</v>
      </c>
    </row>
    <row r="84" spans="1:12" s="76" customFormat="1" ht="39.75" customHeight="1" outlineLevel="3" x14ac:dyDescent="0.3">
      <c r="A84" s="84"/>
      <c r="B84" s="71" t="s">
        <v>137</v>
      </c>
      <c r="C84" s="72"/>
      <c r="D84" s="68"/>
      <c r="E84" s="72" t="s">
        <v>5</v>
      </c>
      <c r="F84" s="61">
        <v>0</v>
      </c>
      <c r="G84" s="61">
        <v>1</v>
      </c>
      <c r="H84" s="73">
        <f t="shared" ref="H84" si="32">SUM(F84:G84)</f>
        <v>1</v>
      </c>
      <c r="I84" s="63">
        <f>VLOOKUP($B84,ТМЦ!$B$3:$L$83,8,0)</f>
        <v>0</v>
      </c>
      <c r="J84" s="63">
        <f t="shared" ref="J84:J89" si="33">I84*H84</f>
        <v>0</v>
      </c>
      <c r="K84" s="74" t="s">
        <v>173</v>
      </c>
      <c r="L84" s="63">
        <f>VLOOKUP($B84,ТМЦ!$B$3:$L$83,11,0)</f>
        <v>0</v>
      </c>
    </row>
    <row r="85" spans="1:12" s="76" customFormat="1" ht="39.75" customHeight="1" outlineLevel="3" x14ac:dyDescent="0.3">
      <c r="A85" s="84"/>
      <c r="B85" s="71" t="s">
        <v>174</v>
      </c>
      <c r="C85" s="72"/>
      <c r="D85" s="68"/>
      <c r="E85" s="72" t="s">
        <v>5</v>
      </c>
      <c r="F85" s="61">
        <v>0</v>
      </c>
      <c r="G85" s="61">
        <v>1</v>
      </c>
      <c r="H85" s="73">
        <f t="shared" ref="H85:H86" si="34">SUM(F85:G85)</f>
        <v>1</v>
      </c>
      <c r="I85" s="63">
        <f>VLOOKUP($B85,ТМЦ!$B$3:$L$83,8,0)</f>
        <v>0</v>
      </c>
      <c r="J85" s="63">
        <f t="shared" si="33"/>
        <v>0</v>
      </c>
      <c r="K85" s="74" t="s">
        <v>173</v>
      </c>
      <c r="L85" s="63">
        <f>VLOOKUP($B85,ТМЦ!$B$3:$L$83,11,0)</f>
        <v>0</v>
      </c>
    </row>
    <row r="86" spans="1:12" s="76" customFormat="1" ht="39.75" customHeight="1" outlineLevel="3" x14ac:dyDescent="0.3">
      <c r="A86" s="84"/>
      <c r="B86" s="71" t="s">
        <v>138</v>
      </c>
      <c r="C86" s="72"/>
      <c r="D86" s="68"/>
      <c r="E86" s="72" t="s">
        <v>5</v>
      </c>
      <c r="F86" s="61">
        <v>0</v>
      </c>
      <c r="G86" s="61">
        <v>1</v>
      </c>
      <c r="H86" s="73">
        <f t="shared" si="34"/>
        <v>1</v>
      </c>
      <c r="I86" s="63">
        <f>VLOOKUP($B86,ТМЦ!$B$3:$L$83,8,0)</f>
        <v>0</v>
      </c>
      <c r="J86" s="63">
        <f t="shared" si="33"/>
        <v>0</v>
      </c>
      <c r="K86" s="74" t="s">
        <v>173</v>
      </c>
      <c r="L86" s="63">
        <f>VLOOKUP($B86,ТМЦ!$B$3:$L$83,11,0)</f>
        <v>0</v>
      </c>
    </row>
    <row r="87" spans="1:12" s="76" customFormat="1" ht="39.75" customHeight="1" outlineLevel="3" x14ac:dyDescent="0.3">
      <c r="A87" s="84"/>
      <c r="B87" s="71" t="s">
        <v>171</v>
      </c>
      <c r="C87" s="72"/>
      <c r="D87" s="68"/>
      <c r="E87" s="72" t="s">
        <v>5</v>
      </c>
      <c r="F87" s="61">
        <v>0</v>
      </c>
      <c r="G87" s="61">
        <v>1</v>
      </c>
      <c r="H87" s="73">
        <f t="shared" si="14"/>
        <v>1</v>
      </c>
      <c r="I87" s="63">
        <f>VLOOKUP($B87,ТМЦ!$B$3:$L$83,8,0)</f>
        <v>0</v>
      </c>
      <c r="J87" s="63">
        <f t="shared" si="33"/>
        <v>0</v>
      </c>
      <c r="K87" s="74" t="s">
        <v>154</v>
      </c>
      <c r="L87" s="63">
        <f>VLOOKUP($B87,ТМЦ!$B$3:$L$83,11,0)</f>
        <v>0</v>
      </c>
    </row>
    <row r="88" spans="1:12" s="76" customFormat="1" ht="39.75" customHeight="1" outlineLevel="3" x14ac:dyDescent="0.3">
      <c r="A88" s="84"/>
      <c r="B88" s="71" t="s">
        <v>172</v>
      </c>
      <c r="C88" s="72"/>
      <c r="D88" s="68"/>
      <c r="E88" s="72" t="s">
        <v>5</v>
      </c>
      <c r="F88" s="61">
        <v>0</v>
      </c>
      <c r="G88" s="61">
        <v>1</v>
      </c>
      <c r="H88" s="73">
        <f t="shared" ref="H88" si="35">SUM(F88:G88)</f>
        <v>1</v>
      </c>
      <c r="I88" s="63">
        <f>VLOOKUP($B88,ТМЦ!$B$3:$L$83,8,0)</f>
        <v>0</v>
      </c>
      <c r="J88" s="63">
        <f t="shared" si="33"/>
        <v>0</v>
      </c>
      <c r="K88" s="74" t="s">
        <v>154</v>
      </c>
      <c r="L88" s="63">
        <f>VLOOKUP($B88,ТМЦ!$B$3:$L$83,11,0)</f>
        <v>0</v>
      </c>
    </row>
    <row r="89" spans="1:12" s="76" customFormat="1" ht="42" customHeight="1" outlineLevel="3" x14ac:dyDescent="0.3">
      <c r="A89" s="84"/>
      <c r="B89" s="71" t="s">
        <v>134</v>
      </c>
      <c r="C89" s="72"/>
      <c r="D89" s="68"/>
      <c r="E89" s="72" t="s">
        <v>5</v>
      </c>
      <c r="F89" s="61">
        <v>0</v>
      </c>
      <c r="G89" s="61">
        <v>1</v>
      </c>
      <c r="H89" s="73">
        <f t="shared" si="14"/>
        <v>1</v>
      </c>
      <c r="I89" s="63">
        <f>VLOOKUP($B89,ТМЦ!$B$3:$L$83,8,0)</f>
        <v>0</v>
      </c>
      <c r="J89" s="63">
        <f t="shared" si="33"/>
        <v>0</v>
      </c>
      <c r="K89" s="74" t="s">
        <v>154</v>
      </c>
      <c r="L89" s="63">
        <f>VLOOKUP($B89,ТМЦ!$B$3:$L$83,11,0)</f>
        <v>0</v>
      </c>
    </row>
    <row r="90" spans="1:12" s="88" customFormat="1" ht="166.5" customHeight="1" outlineLevel="3" x14ac:dyDescent="0.3">
      <c r="A90" s="70"/>
      <c r="B90" s="58" t="s">
        <v>185</v>
      </c>
      <c r="C90" s="59"/>
      <c r="D90" s="60"/>
      <c r="E90" s="59" t="s">
        <v>97</v>
      </c>
      <c r="F90" s="61"/>
      <c r="G90" s="61"/>
      <c r="H90" s="62" t="e">
        <f>J90*100/J47</f>
        <v>#DIV/0!</v>
      </c>
      <c r="I90" s="64"/>
      <c r="J90" s="64">
        <f>SUM(J91:J100)</f>
        <v>0</v>
      </c>
      <c r="K90" s="89"/>
      <c r="L90" s="66"/>
    </row>
    <row r="91" spans="1:12" s="88" customFormat="1" ht="24" customHeight="1" outlineLevel="4" x14ac:dyDescent="0.3">
      <c r="A91" s="70"/>
      <c r="B91" s="81" t="s">
        <v>93</v>
      </c>
      <c r="C91" s="92"/>
      <c r="D91" s="93"/>
      <c r="E91" s="59" t="s">
        <v>5</v>
      </c>
      <c r="F91" s="61">
        <v>0</v>
      </c>
      <c r="G91" s="61">
        <v>1</v>
      </c>
      <c r="H91" s="62">
        <f t="shared" ref="H91:H100" si="36">SUM(F91:G91)</f>
        <v>1</v>
      </c>
      <c r="I91" s="63">
        <f>VLOOKUP($B91,ТМЦ!$B$3:$L$83,8,0)</f>
        <v>0</v>
      </c>
      <c r="J91" s="64">
        <f>I91*H91</f>
        <v>0</v>
      </c>
      <c r="K91" s="90" t="s">
        <v>155</v>
      </c>
      <c r="L91" s="63">
        <f>VLOOKUP($B91,ТМЦ!$B$3:$L$83,11,0)</f>
        <v>0</v>
      </c>
    </row>
    <row r="92" spans="1:12" s="88" customFormat="1" ht="28.5" customHeight="1" outlineLevel="4" x14ac:dyDescent="0.3">
      <c r="A92" s="70"/>
      <c r="B92" s="81" t="s">
        <v>122</v>
      </c>
      <c r="C92" s="92"/>
      <c r="D92" s="93"/>
      <c r="E92" s="59" t="s">
        <v>5</v>
      </c>
      <c r="F92" s="61">
        <v>21</v>
      </c>
      <c r="G92" s="61">
        <v>32</v>
      </c>
      <c r="H92" s="62">
        <f t="shared" si="36"/>
        <v>53</v>
      </c>
      <c r="I92" s="63">
        <f>VLOOKUP($B92,ТМЦ!$B$3:$L$83,8,0)</f>
        <v>0</v>
      </c>
      <c r="J92" s="64">
        <f>I92*H92</f>
        <v>0</v>
      </c>
      <c r="K92" s="89"/>
      <c r="L92" s="63">
        <f>VLOOKUP($B92,ТМЦ!$B$3:$L$83,11,0)</f>
        <v>0</v>
      </c>
    </row>
    <row r="93" spans="1:12" s="88" customFormat="1" ht="24" customHeight="1" outlineLevel="4" x14ac:dyDescent="0.3">
      <c r="A93" s="70"/>
      <c r="B93" s="81" t="s">
        <v>103</v>
      </c>
      <c r="C93" s="92"/>
      <c r="D93" s="93"/>
      <c r="E93" s="59" t="s">
        <v>5</v>
      </c>
      <c r="F93" s="63">
        <v>238</v>
      </c>
      <c r="G93" s="63">
        <v>322</v>
      </c>
      <c r="H93" s="62">
        <f t="shared" si="36"/>
        <v>560</v>
      </c>
      <c r="I93" s="63">
        <f>VLOOKUP($B93,ТМЦ!$B$3:$L$83,8,0)</f>
        <v>0</v>
      </c>
      <c r="J93" s="64">
        <f t="shared" ref="J93" si="37">I93*H93</f>
        <v>0</v>
      </c>
      <c r="K93" s="89"/>
      <c r="L93" s="63">
        <f>VLOOKUP($B93,ТМЦ!$B$3:$L$83,11,0)</f>
        <v>0</v>
      </c>
    </row>
    <row r="94" spans="1:12" s="88" customFormat="1" ht="24" customHeight="1" outlineLevel="4" x14ac:dyDescent="0.3">
      <c r="A94" s="57"/>
      <c r="B94" s="81" t="s">
        <v>18</v>
      </c>
      <c r="C94" s="92"/>
      <c r="D94" s="93"/>
      <c r="E94" s="59" t="s">
        <v>5</v>
      </c>
      <c r="F94" s="61">
        <v>4</v>
      </c>
      <c r="G94" s="61">
        <v>4</v>
      </c>
      <c r="H94" s="62">
        <f t="shared" si="36"/>
        <v>8</v>
      </c>
      <c r="I94" s="63">
        <f>VLOOKUP($B94,ТМЦ!$B$3:$L$83,8,0)</f>
        <v>0</v>
      </c>
      <c r="J94" s="64">
        <f t="shared" si="16"/>
        <v>0</v>
      </c>
      <c r="K94" s="89"/>
      <c r="L94" s="63">
        <f>VLOOKUP($B94,ТМЦ!$B$3:$L$83,11,0)</f>
        <v>0</v>
      </c>
    </row>
    <row r="95" spans="1:12" s="88" customFormat="1" ht="24" customHeight="1" outlineLevel="4" x14ac:dyDescent="0.3">
      <c r="A95" s="57"/>
      <c r="B95" s="81" t="s">
        <v>19</v>
      </c>
      <c r="C95" s="92"/>
      <c r="D95" s="93"/>
      <c r="E95" s="59" t="s">
        <v>5</v>
      </c>
      <c r="F95" s="61">
        <v>4</v>
      </c>
      <c r="G95" s="61">
        <v>4</v>
      </c>
      <c r="H95" s="62">
        <f t="shared" si="36"/>
        <v>8</v>
      </c>
      <c r="I95" s="63">
        <f>VLOOKUP($B95,ТМЦ!$B$3:$L$83,8,0)</f>
        <v>0</v>
      </c>
      <c r="J95" s="64">
        <f t="shared" si="16"/>
        <v>0</v>
      </c>
      <c r="K95" s="89"/>
      <c r="L95" s="63">
        <f>VLOOKUP($B95,ТМЦ!$B$3:$L$83,11,0)</f>
        <v>0</v>
      </c>
    </row>
    <row r="96" spans="1:12" s="88" customFormat="1" ht="24" customHeight="1" outlineLevel="4" x14ac:dyDescent="0.3">
      <c r="A96" s="57"/>
      <c r="B96" s="81" t="s">
        <v>123</v>
      </c>
      <c r="C96" s="92"/>
      <c r="D96" s="93"/>
      <c r="E96" s="59" t="s">
        <v>5</v>
      </c>
      <c r="F96" s="61">
        <v>36</v>
      </c>
      <c r="G96" s="61">
        <v>52</v>
      </c>
      <c r="H96" s="62">
        <f t="shared" si="36"/>
        <v>88</v>
      </c>
      <c r="I96" s="63">
        <f>VLOOKUP($B96,ТМЦ!$B$3:$L$83,8,0)</f>
        <v>0</v>
      </c>
      <c r="J96" s="64">
        <f t="shared" si="16"/>
        <v>0</v>
      </c>
      <c r="K96" s="89"/>
      <c r="L96" s="63">
        <f>VLOOKUP($B96,ТМЦ!$B$3:$L$83,11,0)</f>
        <v>0</v>
      </c>
    </row>
    <row r="97" spans="1:12" s="88" customFormat="1" ht="24" customHeight="1" outlineLevel="4" x14ac:dyDescent="0.3">
      <c r="A97" s="57"/>
      <c r="B97" s="81" t="s">
        <v>61</v>
      </c>
      <c r="C97" s="94"/>
      <c r="D97" s="94"/>
      <c r="E97" s="66" t="s">
        <v>5</v>
      </c>
      <c r="F97" s="63">
        <v>3</v>
      </c>
      <c r="G97" s="63">
        <v>3</v>
      </c>
      <c r="H97" s="62">
        <f t="shared" si="36"/>
        <v>6</v>
      </c>
      <c r="I97" s="63">
        <f>VLOOKUP($B97,ТМЦ!$B$3:$L$83,8,0)</f>
        <v>0</v>
      </c>
      <c r="J97" s="64">
        <f t="shared" si="16"/>
        <v>0</v>
      </c>
      <c r="K97" s="89"/>
      <c r="L97" s="63">
        <f>VLOOKUP($B97,ТМЦ!$B$3:$L$83,11,0)</f>
        <v>0</v>
      </c>
    </row>
    <row r="98" spans="1:12" s="88" customFormat="1" ht="24" customHeight="1" outlineLevel="4" x14ac:dyDescent="0.3">
      <c r="A98" s="57"/>
      <c r="B98" s="81" t="s">
        <v>62</v>
      </c>
      <c r="C98" s="94"/>
      <c r="D98" s="94"/>
      <c r="E98" s="66" t="s">
        <v>5</v>
      </c>
      <c r="F98" s="63">
        <v>10</v>
      </c>
      <c r="G98" s="63">
        <v>10</v>
      </c>
      <c r="H98" s="62">
        <f t="shared" si="36"/>
        <v>20</v>
      </c>
      <c r="I98" s="63">
        <f>VLOOKUP($B98,ТМЦ!$B$3:$L$83,8,0)</f>
        <v>0</v>
      </c>
      <c r="J98" s="64">
        <f t="shared" si="16"/>
        <v>0</v>
      </c>
      <c r="K98" s="89"/>
      <c r="L98" s="63">
        <f>VLOOKUP($B98,ТМЦ!$B$3:$L$83,11,0)</f>
        <v>0</v>
      </c>
    </row>
    <row r="99" spans="1:12" s="88" customFormat="1" ht="24" customHeight="1" outlineLevel="4" x14ac:dyDescent="0.3">
      <c r="A99" s="57"/>
      <c r="B99" s="81" t="s">
        <v>63</v>
      </c>
      <c r="C99" s="94"/>
      <c r="D99" s="94"/>
      <c r="E99" s="66" t="s">
        <v>5</v>
      </c>
      <c r="F99" s="63">
        <v>10</v>
      </c>
      <c r="G99" s="63">
        <v>10</v>
      </c>
      <c r="H99" s="62">
        <f t="shared" si="36"/>
        <v>20</v>
      </c>
      <c r="I99" s="63">
        <f>VLOOKUP($B99,ТМЦ!$B$3:$L$83,8,0)</f>
        <v>0</v>
      </c>
      <c r="J99" s="64">
        <f t="shared" si="16"/>
        <v>0</v>
      </c>
      <c r="K99" s="89"/>
      <c r="L99" s="63">
        <f>VLOOKUP($B99,ТМЦ!$B$3:$L$83,11,0)</f>
        <v>0</v>
      </c>
    </row>
    <row r="100" spans="1:12" s="88" customFormat="1" ht="30" customHeight="1" outlineLevel="4" x14ac:dyDescent="0.3">
      <c r="A100" s="57"/>
      <c r="B100" s="81" t="s">
        <v>83</v>
      </c>
      <c r="C100" s="94"/>
      <c r="D100" s="94"/>
      <c r="E100" s="66" t="s">
        <v>5</v>
      </c>
      <c r="F100" s="61">
        <v>88</v>
      </c>
      <c r="G100" s="61">
        <v>156</v>
      </c>
      <c r="H100" s="62">
        <f t="shared" si="36"/>
        <v>244</v>
      </c>
      <c r="I100" s="63">
        <f>VLOOKUP($B100,ТМЦ!$B$3:$L$83,8,0)</f>
        <v>0</v>
      </c>
      <c r="J100" s="64">
        <f t="shared" si="16"/>
        <v>0</v>
      </c>
      <c r="K100" s="90" t="s">
        <v>150</v>
      </c>
      <c r="L100" s="63">
        <f>VLOOKUP($B100,ТМЦ!$B$3:$L$83,11,0)</f>
        <v>0</v>
      </c>
    </row>
    <row r="101" spans="1:12" ht="21.75" customHeight="1" outlineLevel="1" x14ac:dyDescent="0.3">
      <c r="A101" s="29" t="s">
        <v>26</v>
      </c>
      <c r="B101" s="30" t="s">
        <v>22</v>
      </c>
      <c r="C101" s="31"/>
      <c r="D101" s="31"/>
      <c r="E101" s="31"/>
      <c r="F101" s="32"/>
      <c r="G101" s="32"/>
      <c r="H101" s="32"/>
      <c r="I101" s="32"/>
      <c r="J101" s="32"/>
      <c r="K101" s="33"/>
      <c r="L101" s="33"/>
    </row>
    <row r="102" spans="1:12" ht="21.75" customHeight="1" outlineLevel="2" x14ac:dyDescent="0.3">
      <c r="A102" s="34" t="s">
        <v>28</v>
      </c>
      <c r="B102" s="35" t="s">
        <v>22</v>
      </c>
      <c r="C102" s="36"/>
      <c r="D102" s="36"/>
      <c r="E102" s="36"/>
      <c r="F102" s="37"/>
      <c r="G102" s="37"/>
      <c r="H102" s="37"/>
      <c r="I102" s="37"/>
      <c r="J102" s="37">
        <f>J103+J106</f>
        <v>0</v>
      </c>
      <c r="K102" s="39"/>
      <c r="L102" s="39"/>
    </row>
    <row r="103" spans="1:12" ht="21.75" customHeight="1" outlineLevel="3" x14ac:dyDescent="0.3">
      <c r="A103" s="85"/>
      <c r="B103" s="25" t="s">
        <v>14</v>
      </c>
      <c r="C103" s="42"/>
      <c r="D103" s="42"/>
      <c r="E103" s="42"/>
      <c r="F103" s="43"/>
      <c r="G103" s="43"/>
      <c r="H103" s="27"/>
      <c r="I103" s="27"/>
      <c r="J103" s="27">
        <f>SUM(J104:J105)</f>
        <v>0</v>
      </c>
      <c r="K103" s="28"/>
      <c r="L103" s="28"/>
    </row>
    <row r="104" spans="1:12" ht="21.75" customHeight="1" outlineLevel="3" x14ac:dyDescent="0.3">
      <c r="A104" s="85"/>
      <c r="B104" s="44" t="s">
        <v>95</v>
      </c>
      <c r="C104" s="45"/>
      <c r="D104" s="45"/>
      <c r="E104" s="45" t="s">
        <v>3</v>
      </c>
      <c r="F104" s="46">
        <f>SUM(F107:F108)</f>
        <v>489</v>
      </c>
      <c r="G104" s="46">
        <f t="shared" ref="G104" si="38">SUM(G107:G108)</f>
        <v>1375</v>
      </c>
      <c r="H104" s="27">
        <f>SUM(F104:G104)</f>
        <v>1864</v>
      </c>
      <c r="I104" s="47">
        <f>VLOOKUP(B104,СМР!$B$3:$H$8,7,0)</f>
        <v>0</v>
      </c>
      <c r="J104" s="48">
        <f>I104*H104</f>
        <v>0</v>
      </c>
      <c r="K104" s="28"/>
      <c r="L104" s="28"/>
    </row>
    <row r="105" spans="1:12" ht="21.75" customHeight="1" outlineLevel="3" x14ac:dyDescent="0.3">
      <c r="A105" s="85"/>
      <c r="B105" s="44" t="s">
        <v>96</v>
      </c>
      <c r="C105" s="45"/>
      <c r="D105" s="45"/>
      <c r="E105" s="45" t="s">
        <v>3</v>
      </c>
      <c r="F105" s="46">
        <f>SUM(F109:F112)</f>
        <v>136.9</v>
      </c>
      <c r="G105" s="46">
        <f>SUM(G109:G112)</f>
        <v>206.3</v>
      </c>
      <c r="H105" s="27">
        <f>SUM(F105:G105)</f>
        <v>343.2</v>
      </c>
      <c r="I105" s="47">
        <f>VLOOKUP(B105,СМР!$B$3:$H$8,7,0)</f>
        <v>0</v>
      </c>
      <c r="J105" s="48">
        <f t="shared" ref="J105" si="39">I105*H105</f>
        <v>0</v>
      </c>
      <c r="K105" s="28"/>
      <c r="L105" s="28"/>
    </row>
    <row r="106" spans="1:12" s="88" customFormat="1" ht="21.75" customHeight="1" outlineLevel="3" x14ac:dyDescent="0.3">
      <c r="A106" s="87"/>
      <c r="B106" s="50" t="s">
        <v>15</v>
      </c>
      <c r="C106" s="51"/>
      <c r="D106" s="51"/>
      <c r="E106" s="51"/>
      <c r="F106" s="52"/>
      <c r="G106" s="52"/>
      <c r="H106" s="53"/>
      <c r="I106" s="53"/>
      <c r="J106" s="53">
        <f>SUM(J107:J113)</f>
        <v>0</v>
      </c>
      <c r="K106" s="55"/>
      <c r="L106" s="55"/>
    </row>
    <row r="107" spans="1:12" s="88" customFormat="1" ht="32.25" customHeight="1" outlineLevel="3" x14ac:dyDescent="0.3">
      <c r="A107" s="57"/>
      <c r="B107" s="58" t="s">
        <v>201</v>
      </c>
      <c r="C107" s="59"/>
      <c r="D107" s="60" t="s">
        <v>73</v>
      </c>
      <c r="E107" s="59" t="s">
        <v>4</v>
      </c>
      <c r="F107" s="61">
        <v>407</v>
      </c>
      <c r="G107" s="61">
        <v>1250</v>
      </c>
      <c r="H107" s="62">
        <f t="shared" ref="H107:H112" si="40">SUM(F107:G107)</f>
        <v>1657</v>
      </c>
      <c r="I107" s="63">
        <f>VLOOKUP($B107,ТМЦ!$B$3:$L$83,8,0)</f>
        <v>0</v>
      </c>
      <c r="J107" s="64">
        <f>I107*H107</f>
        <v>0</v>
      </c>
      <c r="K107" s="83" t="s">
        <v>176</v>
      </c>
      <c r="L107" s="63">
        <f>VLOOKUP($B107,ТМЦ!$B$3:$L$83,11,0)</f>
        <v>0</v>
      </c>
    </row>
    <row r="108" spans="1:12" s="88" customFormat="1" ht="32.25" customHeight="1" outlineLevel="3" x14ac:dyDescent="0.3">
      <c r="A108" s="57"/>
      <c r="B108" s="58" t="s">
        <v>202</v>
      </c>
      <c r="C108" s="59"/>
      <c r="D108" s="60" t="s">
        <v>53</v>
      </c>
      <c r="E108" s="59" t="s">
        <v>4</v>
      </c>
      <c r="F108" s="61">
        <v>82</v>
      </c>
      <c r="G108" s="61">
        <v>125</v>
      </c>
      <c r="H108" s="62">
        <f t="shared" si="40"/>
        <v>207</v>
      </c>
      <c r="I108" s="63">
        <f>VLOOKUP($B108,ТМЦ!$B$3:$L$83,8,0)</f>
        <v>0</v>
      </c>
      <c r="J108" s="64">
        <f>I108*H108</f>
        <v>0</v>
      </c>
      <c r="K108" s="66"/>
      <c r="L108" s="63">
        <f>VLOOKUP($B108,ТМЦ!$B$3:$L$83,11,0)</f>
        <v>0</v>
      </c>
    </row>
    <row r="109" spans="1:12" s="88" customFormat="1" ht="32.25" customHeight="1" outlineLevel="3" x14ac:dyDescent="0.3">
      <c r="A109" s="57"/>
      <c r="B109" s="58" t="s">
        <v>203</v>
      </c>
      <c r="C109" s="59" t="s">
        <v>64</v>
      </c>
      <c r="D109" s="60" t="s">
        <v>56</v>
      </c>
      <c r="E109" s="59" t="s">
        <v>4</v>
      </c>
      <c r="F109" s="61">
        <f>F108</f>
        <v>82</v>
      </c>
      <c r="G109" s="61">
        <f>G108</f>
        <v>125</v>
      </c>
      <c r="H109" s="62">
        <f t="shared" si="40"/>
        <v>207</v>
      </c>
      <c r="I109" s="63">
        <f>VLOOKUP($B109,ТМЦ!$B$3:$L$83,8,0)</f>
        <v>0</v>
      </c>
      <c r="J109" s="64">
        <f>I109*H109</f>
        <v>0</v>
      </c>
      <c r="K109" s="66"/>
      <c r="L109" s="63">
        <f>VLOOKUP($B109,ТМЦ!$B$3:$L$83,11,0)</f>
        <v>0</v>
      </c>
    </row>
    <row r="110" spans="1:12" s="88" customFormat="1" ht="32.25" customHeight="1" outlineLevel="3" x14ac:dyDescent="0.3">
      <c r="A110" s="57"/>
      <c r="B110" s="58" t="s">
        <v>75</v>
      </c>
      <c r="C110" s="59"/>
      <c r="D110" s="60" t="s">
        <v>165</v>
      </c>
      <c r="E110" s="59" t="s">
        <v>4</v>
      </c>
      <c r="F110" s="61">
        <v>39</v>
      </c>
      <c r="G110" s="61">
        <v>63</v>
      </c>
      <c r="H110" s="62">
        <f t="shared" si="40"/>
        <v>102</v>
      </c>
      <c r="I110" s="63">
        <f>VLOOKUP($B110,ТМЦ!$B$3:$L$83,8,0)</f>
        <v>0</v>
      </c>
      <c r="J110" s="64">
        <f>I110*H110</f>
        <v>0</v>
      </c>
      <c r="K110" s="95"/>
      <c r="L110" s="63">
        <f>VLOOKUP($B110,ТМЦ!$B$3:$L$83,11,0)</f>
        <v>0</v>
      </c>
    </row>
    <row r="111" spans="1:12" s="88" customFormat="1" ht="32.25" customHeight="1" outlineLevel="3" x14ac:dyDescent="0.3">
      <c r="A111" s="57"/>
      <c r="B111" s="58" t="s">
        <v>84</v>
      </c>
      <c r="C111" s="59"/>
      <c r="D111" s="60" t="s">
        <v>76</v>
      </c>
      <c r="E111" s="59" t="s">
        <v>4</v>
      </c>
      <c r="F111" s="61">
        <v>12</v>
      </c>
      <c r="G111" s="61">
        <v>12</v>
      </c>
      <c r="H111" s="62">
        <f t="shared" si="40"/>
        <v>24</v>
      </c>
      <c r="I111" s="63">
        <f>VLOOKUP($B111,ТМЦ!$B$3:$L$83,8,0)</f>
        <v>0</v>
      </c>
      <c r="J111" s="64">
        <f t="shared" ref="J111:J119" si="41">I111*H111</f>
        <v>0</v>
      </c>
      <c r="K111" s="95"/>
      <c r="L111" s="63">
        <f>VLOOKUP($B111,ТМЦ!$B$3:$L$83,11,0)</f>
        <v>0</v>
      </c>
    </row>
    <row r="112" spans="1:12" s="88" customFormat="1" ht="32.25" customHeight="1" outlineLevel="3" x14ac:dyDescent="0.3">
      <c r="A112" s="57"/>
      <c r="B112" s="71" t="s">
        <v>200</v>
      </c>
      <c r="C112" s="59"/>
      <c r="D112" s="60"/>
      <c r="E112" s="59" t="s">
        <v>3</v>
      </c>
      <c r="F112" s="61">
        <f>F110/3*0.3</f>
        <v>3.9</v>
      </c>
      <c r="G112" s="61">
        <f>G110/3*0.3</f>
        <v>6.3</v>
      </c>
      <c r="H112" s="62">
        <f t="shared" si="40"/>
        <v>10.199999999999999</v>
      </c>
      <c r="I112" s="63">
        <f>VLOOKUP($B112,ТМЦ!$B$3:$L$83,8,0)</f>
        <v>0</v>
      </c>
      <c r="J112" s="64">
        <f t="shared" ref="J112" si="42">I112*H112</f>
        <v>0</v>
      </c>
      <c r="K112" s="95"/>
      <c r="L112" s="63">
        <f>VLOOKUP($B112,ТМЦ!$B$3:$L$83,11,0)</f>
        <v>0</v>
      </c>
    </row>
    <row r="113" spans="1:12" s="88" customFormat="1" ht="99" customHeight="1" outlineLevel="3" x14ac:dyDescent="0.3">
      <c r="A113" s="57"/>
      <c r="B113" s="58" t="s">
        <v>186</v>
      </c>
      <c r="C113" s="59"/>
      <c r="D113" s="60"/>
      <c r="E113" s="59"/>
      <c r="F113" s="61"/>
      <c r="G113" s="61"/>
      <c r="H113" s="62" t="e">
        <f>J113*100/J103</f>
        <v>#DIV/0!</v>
      </c>
      <c r="I113" s="64"/>
      <c r="J113" s="64">
        <f>SUM(J114:J119)</f>
        <v>0</v>
      </c>
      <c r="K113" s="95"/>
      <c r="L113" s="66"/>
    </row>
    <row r="114" spans="1:12" s="88" customFormat="1" ht="23.25" customHeight="1" outlineLevel="4" x14ac:dyDescent="0.3">
      <c r="A114" s="57"/>
      <c r="B114" s="81" t="s">
        <v>65</v>
      </c>
      <c r="C114" s="92"/>
      <c r="D114" s="93"/>
      <c r="E114" s="59" t="s">
        <v>5</v>
      </c>
      <c r="F114" s="61">
        <f>F109*2</f>
        <v>164</v>
      </c>
      <c r="G114" s="61">
        <f>G109*2</f>
        <v>250</v>
      </c>
      <c r="H114" s="62">
        <f t="shared" ref="H114:H119" si="43">SUM(F114:G114)</f>
        <v>414</v>
      </c>
      <c r="I114" s="63">
        <f>VLOOKUP($B114,ТМЦ!$B$3:$L$83,8,0)</f>
        <v>0</v>
      </c>
      <c r="J114" s="64">
        <f t="shared" si="41"/>
        <v>0</v>
      </c>
      <c r="K114" s="95"/>
      <c r="L114" s="63">
        <f>VLOOKUP($B114,ТМЦ!$B$3:$L$83,11,0)</f>
        <v>0</v>
      </c>
    </row>
    <row r="115" spans="1:12" s="88" customFormat="1" ht="23.25" customHeight="1" outlineLevel="4" x14ac:dyDescent="0.3">
      <c r="A115" s="57"/>
      <c r="B115" s="81" t="s">
        <v>67</v>
      </c>
      <c r="C115" s="92"/>
      <c r="D115" s="93"/>
      <c r="E115" s="59" t="s">
        <v>5</v>
      </c>
      <c r="F115" s="61">
        <v>13</v>
      </c>
      <c r="G115" s="61">
        <v>21</v>
      </c>
      <c r="H115" s="62">
        <f t="shared" si="43"/>
        <v>34</v>
      </c>
      <c r="I115" s="63">
        <f>VLOOKUP($B115,ТМЦ!$B$3:$L$83,8,0)</f>
        <v>0</v>
      </c>
      <c r="J115" s="64">
        <f t="shared" si="41"/>
        <v>0</v>
      </c>
      <c r="K115" s="95"/>
      <c r="L115" s="63">
        <f>VLOOKUP($B115,ТМЦ!$B$3:$L$83,11,0)</f>
        <v>0</v>
      </c>
    </row>
    <row r="116" spans="1:12" s="88" customFormat="1" ht="23.25" customHeight="1" outlineLevel="4" x14ac:dyDescent="0.3">
      <c r="A116" s="57"/>
      <c r="B116" s="81" t="s">
        <v>166</v>
      </c>
      <c r="C116" s="92"/>
      <c r="D116" s="93"/>
      <c r="E116" s="59" t="s">
        <v>5</v>
      </c>
      <c r="F116" s="61">
        <v>13</v>
      </c>
      <c r="G116" s="61">
        <v>21</v>
      </c>
      <c r="H116" s="62">
        <f t="shared" si="43"/>
        <v>34</v>
      </c>
      <c r="I116" s="63">
        <f>VLOOKUP($B116,ТМЦ!$B$3:$L$83,8,0)</f>
        <v>0</v>
      </c>
      <c r="J116" s="64">
        <f t="shared" si="41"/>
        <v>0</v>
      </c>
      <c r="K116" s="95"/>
      <c r="L116" s="63">
        <f>VLOOKUP($B116,ТМЦ!$B$3:$L$83,11,0)</f>
        <v>0</v>
      </c>
    </row>
    <row r="117" spans="1:12" s="88" customFormat="1" ht="23.25" customHeight="1" outlineLevel="4" x14ac:dyDescent="0.3">
      <c r="A117" s="57"/>
      <c r="B117" s="81" t="s">
        <v>77</v>
      </c>
      <c r="C117" s="92"/>
      <c r="D117" s="92"/>
      <c r="E117" s="59" t="s">
        <v>5</v>
      </c>
      <c r="F117" s="61">
        <v>102</v>
      </c>
      <c r="G117" s="61">
        <v>150</v>
      </c>
      <c r="H117" s="62">
        <f t="shared" si="43"/>
        <v>252</v>
      </c>
      <c r="I117" s="63">
        <f>VLOOKUP($B117,ТМЦ!$B$3:$L$83,8,0)</f>
        <v>0</v>
      </c>
      <c r="J117" s="64">
        <f t="shared" si="41"/>
        <v>0</v>
      </c>
      <c r="K117" s="66"/>
      <c r="L117" s="63">
        <f>VLOOKUP($B117,ТМЦ!$B$3:$L$83,11,0)</f>
        <v>0</v>
      </c>
    </row>
    <row r="118" spans="1:12" s="88" customFormat="1" ht="23.25" customHeight="1" outlineLevel="4" x14ac:dyDescent="0.3">
      <c r="A118" s="57"/>
      <c r="B118" s="81" t="s">
        <v>78</v>
      </c>
      <c r="C118" s="92"/>
      <c r="D118" s="92"/>
      <c r="E118" s="59" t="s">
        <v>5</v>
      </c>
      <c r="F118" s="61">
        <v>39</v>
      </c>
      <c r="G118" s="61">
        <v>63</v>
      </c>
      <c r="H118" s="62">
        <f t="shared" si="43"/>
        <v>102</v>
      </c>
      <c r="I118" s="63">
        <f>VLOOKUP($B118,ТМЦ!$B$3:$L$83,8,0)</f>
        <v>0</v>
      </c>
      <c r="J118" s="64">
        <f t="shared" si="41"/>
        <v>0</v>
      </c>
      <c r="K118" s="66"/>
      <c r="L118" s="63">
        <f>VLOOKUP($B118,ТМЦ!$B$3:$L$83,11,0)</f>
        <v>0</v>
      </c>
    </row>
    <row r="119" spans="1:12" s="88" customFormat="1" ht="24" customHeight="1" outlineLevel="4" x14ac:dyDescent="0.3">
      <c r="A119" s="57"/>
      <c r="B119" s="81" t="s">
        <v>103</v>
      </c>
      <c r="C119" s="92"/>
      <c r="D119" s="92"/>
      <c r="E119" s="59" t="s">
        <v>5</v>
      </c>
      <c r="F119" s="61">
        <v>11</v>
      </c>
      <c r="G119" s="61">
        <v>20</v>
      </c>
      <c r="H119" s="62">
        <f t="shared" si="43"/>
        <v>31</v>
      </c>
      <c r="I119" s="63">
        <f>VLOOKUP($B119,ТМЦ!$B$3:$L$83,8,0)</f>
        <v>0</v>
      </c>
      <c r="J119" s="64">
        <f t="shared" si="41"/>
        <v>0</v>
      </c>
      <c r="K119" s="66"/>
      <c r="L119" s="63">
        <f>VLOOKUP($B119,ТМЦ!$B$3:$L$83,11,0)</f>
        <v>0</v>
      </c>
    </row>
    <row r="120" spans="1:12" ht="21.75" customHeight="1" outlineLevel="1" x14ac:dyDescent="0.3">
      <c r="A120" s="29" t="s">
        <v>39</v>
      </c>
      <c r="B120" s="30" t="s">
        <v>7</v>
      </c>
      <c r="C120" s="31"/>
      <c r="D120" s="31"/>
      <c r="E120" s="31"/>
      <c r="F120" s="32"/>
      <c r="G120" s="32"/>
      <c r="H120" s="32"/>
      <c r="I120" s="32"/>
      <c r="J120" s="32"/>
      <c r="K120" s="33"/>
      <c r="L120" s="33"/>
    </row>
    <row r="121" spans="1:12" ht="21.75" customHeight="1" outlineLevel="2" x14ac:dyDescent="0.3">
      <c r="A121" s="34" t="s">
        <v>40</v>
      </c>
      <c r="B121" s="35" t="s">
        <v>7</v>
      </c>
      <c r="C121" s="36"/>
      <c r="D121" s="36"/>
      <c r="E121" s="36"/>
      <c r="F121" s="37"/>
      <c r="G121" s="37"/>
      <c r="H121" s="37"/>
      <c r="I121" s="37"/>
      <c r="J121" s="37">
        <f>J122+J125</f>
        <v>0</v>
      </c>
      <c r="K121" s="39"/>
      <c r="L121" s="39"/>
    </row>
    <row r="122" spans="1:12" ht="21.75" customHeight="1" outlineLevel="3" x14ac:dyDescent="0.3">
      <c r="A122" s="85"/>
      <c r="B122" s="25" t="s">
        <v>14</v>
      </c>
      <c r="C122" s="42"/>
      <c r="D122" s="42"/>
      <c r="E122" s="42"/>
      <c r="F122" s="43"/>
      <c r="G122" s="43"/>
      <c r="H122" s="27"/>
      <c r="I122" s="27"/>
      <c r="J122" s="27">
        <f>SUM(J123:J124)</f>
        <v>0</v>
      </c>
      <c r="K122" s="28"/>
      <c r="L122" s="28"/>
    </row>
    <row r="123" spans="1:12" ht="21.75" customHeight="1" outlineLevel="3" x14ac:dyDescent="0.3">
      <c r="A123" s="85"/>
      <c r="B123" s="44" t="s">
        <v>196</v>
      </c>
      <c r="C123" s="45"/>
      <c r="D123" s="45"/>
      <c r="E123" s="45" t="s">
        <v>6</v>
      </c>
      <c r="F123" s="46">
        <v>1</v>
      </c>
      <c r="G123" s="46"/>
      <c r="H123" s="27">
        <f t="shared" ref="H123:H124" si="44">SUM(F123:G123)</f>
        <v>1</v>
      </c>
      <c r="I123" s="47">
        <f>VLOOKUP(B123,СМР!$B$3:$H$8,7,0)</f>
        <v>0</v>
      </c>
      <c r="J123" s="48">
        <f t="shared" ref="J123:J124" si="45">I123*H123</f>
        <v>0</v>
      </c>
      <c r="K123" s="28"/>
      <c r="L123" s="28"/>
    </row>
    <row r="124" spans="1:12" ht="21.75" customHeight="1" outlineLevel="3" x14ac:dyDescent="0.3">
      <c r="A124" s="85"/>
      <c r="B124" s="44" t="s">
        <v>197</v>
      </c>
      <c r="C124" s="45"/>
      <c r="D124" s="45"/>
      <c r="E124" s="45" t="s">
        <v>6</v>
      </c>
      <c r="F124" s="46"/>
      <c r="G124" s="46">
        <v>1</v>
      </c>
      <c r="H124" s="27">
        <f t="shared" si="44"/>
        <v>1</v>
      </c>
      <c r="I124" s="47">
        <f>VLOOKUP(B124,СМР!$B$3:$H$8,7,0)</f>
        <v>0</v>
      </c>
      <c r="J124" s="48">
        <f t="shared" si="45"/>
        <v>0</v>
      </c>
      <c r="K124" s="28"/>
      <c r="L124" s="28"/>
    </row>
    <row r="125" spans="1:12" s="88" customFormat="1" ht="21.75" customHeight="1" outlineLevel="3" x14ac:dyDescent="0.3">
      <c r="A125" s="87"/>
      <c r="B125" s="50" t="s">
        <v>15</v>
      </c>
      <c r="C125" s="51"/>
      <c r="D125" s="51"/>
      <c r="E125" s="51"/>
      <c r="F125" s="52"/>
      <c r="G125" s="52"/>
      <c r="H125" s="53"/>
      <c r="I125" s="53"/>
      <c r="J125" s="53">
        <f>SUM(J126:J126)</f>
        <v>0</v>
      </c>
      <c r="K125" s="55"/>
      <c r="L125" s="55"/>
    </row>
    <row r="126" spans="1:12" s="5" customFormat="1" ht="21.75" customHeight="1" outlineLevel="3" x14ac:dyDescent="0.3">
      <c r="A126" s="70"/>
      <c r="B126" s="71" t="s">
        <v>41</v>
      </c>
      <c r="C126" s="72"/>
      <c r="D126" s="72"/>
      <c r="E126" s="72"/>
      <c r="F126" s="61"/>
      <c r="G126" s="61"/>
      <c r="H126" s="73"/>
      <c r="I126" s="63"/>
      <c r="J126" s="63">
        <f>I126*H126</f>
        <v>0</v>
      </c>
      <c r="K126" s="96"/>
      <c r="L126" s="96"/>
    </row>
    <row r="127" spans="1:12" ht="21.75" customHeight="1" x14ac:dyDescent="0.3">
      <c r="A127" s="34"/>
      <c r="B127" s="138" t="s">
        <v>187</v>
      </c>
      <c r="C127" s="139"/>
      <c r="D127" s="139"/>
      <c r="E127" s="139"/>
      <c r="F127" s="139"/>
      <c r="G127" s="139"/>
      <c r="H127" s="139"/>
      <c r="I127" s="140"/>
      <c r="J127" s="97">
        <f>J46+J102+J16+J121</f>
        <v>0</v>
      </c>
      <c r="K127" s="98"/>
      <c r="L127" s="98"/>
    </row>
    <row r="128" spans="1:12" ht="21.75" customHeight="1" x14ac:dyDescent="0.3">
      <c r="A128" s="99"/>
      <c r="B128" s="135" t="s">
        <v>20</v>
      </c>
      <c r="C128" s="136"/>
      <c r="D128" s="136"/>
      <c r="E128" s="136"/>
      <c r="F128" s="136"/>
      <c r="G128" s="136"/>
      <c r="H128" s="136"/>
      <c r="I128" s="137"/>
      <c r="J128" s="100">
        <f>SUMIF($B$13:$B$126,"Работа:",J$13:J$126)</f>
        <v>0</v>
      </c>
      <c r="K128" s="101"/>
      <c r="L128" s="101"/>
    </row>
    <row r="129" spans="1:12" ht="21.75" customHeight="1" x14ac:dyDescent="0.3">
      <c r="A129" s="99"/>
      <c r="B129" s="135" t="s">
        <v>21</v>
      </c>
      <c r="C129" s="136"/>
      <c r="D129" s="136"/>
      <c r="E129" s="136"/>
      <c r="F129" s="136"/>
      <c r="G129" s="136"/>
      <c r="H129" s="136"/>
      <c r="I129" s="137"/>
      <c r="J129" s="100">
        <f>SUMIF($B$13:$B$126,"Материалы:",J$13:J$126)</f>
        <v>0</v>
      </c>
      <c r="K129" s="101"/>
      <c r="L129" s="101"/>
    </row>
    <row r="130" spans="1:12" ht="21.75" customHeight="1" x14ac:dyDescent="0.3">
      <c r="A130" s="99"/>
      <c r="B130" s="135" t="s">
        <v>188</v>
      </c>
      <c r="C130" s="136"/>
      <c r="D130" s="136"/>
      <c r="E130" s="136"/>
      <c r="F130" s="136"/>
      <c r="G130" s="136"/>
      <c r="H130" s="136"/>
      <c r="I130" s="137"/>
      <c r="J130" s="100">
        <f>J127*22/122</f>
        <v>0</v>
      </c>
      <c r="K130" s="101"/>
      <c r="L130" s="101"/>
    </row>
    <row r="132" spans="1:12" s="103" customFormat="1" x14ac:dyDescent="0.3">
      <c r="A132" s="2"/>
      <c r="B132" s="102" t="s">
        <v>49</v>
      </c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s="103" customFormat="1" ht="24" customHeight="1" x14ac:dyDescent="0.3">
      <c r="A133" s="104" t="s">
        <v>41</v>
      </c>
      <c r="B133" s="132" t="s">
        <v>50</v>
      </c>
      <c r="C133" s="132"/>
      <c r="D133" s="132"/>
      <c r="E133" s="132"/>
      <c r="F133" s="132"/>
      <c r="G133" s="132"/>
      <c r="H133" s="132"/>
      <c r="I133" s="132"/>
      <c r="J133" s="132"/>
      <c r="K133" s="132"/>
      <c r="L133" s="132"/>
    </row>
    <row r="134" spans="1:12" s="103" customFormat="1" ht="40.5" customHeight="1" x14ac:dyDescent="0.3">
      <c r="A134" s="105" t="s">
        <v>41</v>
      </c>
      <c r="B134" s="132" t="s">
        <v>51</v>
      </c>
      <c r="C134" s="132"/>
      <c r="D134" s="132"/>
      <c r="E134" s="132"/>
      <c r="F134" s="132"/>
      <c r="G134" s="132"/>
      <c r="H134" s="132"/>
      <c r="I134" s="132"/>
      <c r="J134" s="132"/>
      <c r="K134" s="132"/>
      <c r="L134" s="132"/>
    </row>
    <row r="135" spans="1:12" s="103" customFormat="1" ht="24.75" customHeight="1" x14ac:dyDescent="0.3">
      <c r="A135" s="104" t="s">
        <v>41</v>
      </c>
      <c r="B135" s="131" t="s">
        <v>52</v>
      </c>
      <c r="C135" s="131"/>
      <c r="D135" s="131"/>
      <c r="E135" s="131"/>
      <c r="F135" s="131"/>
      <c r="G135" s="131"/>
      <c r="H135" s="131"/>
      <c r="I135" s="131"/>
      <c r="J135" s="131"/>
      <c r="K135" s="131"/>
      <c r="L135" s="131"/>
    </row>
  </sheetData>
  <sheetProtection selectLockedCells="1" selectUnlockedCells="1"/>
  <autoFilter ref="A12:L130" xr:uid="{00000000-0001-0000-0000-000000000000}"/>
  <mergeCells count="9">
    <mergeCell ref="B135:L135"/>
    <mergeCell ref="B134:L134"/>
    <mergeCell ref="B133:L133"/>
    <mergeCell ref="A10:L10"/>
    <mergeCell ref="A9:L9"/>
    <mergeCell ref="B130:I130"/>
    <mergeCell ref="B129:I129"/>
    <mergeCell ref="B128:I128"/>
    <mergeCell ref="B127:I127"/>
  </mergeCells>
  <phoneticPr fontId="7" type="noConversion"/>
  <conditionalFormatting sqref="L21:L30 L32:L44 L51:L89 L91:L100 L107:L112">
    <cfRule type="cellIs" dxfId="3" priority="1" operator="equal">
      <formula>0</formula>
    </cfRule>
  </conditionalFormatting>
  <conditionalFormatting sqref="L114:L119">
    <cfRule type="cellIs" dxfId="2" priority="2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2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3F0B5-8C46-4E72-BF84-9EC85B1889AE}">
  <dimension ref="A1:M15"/>
  <sheetViews>
    <sheetView workbookViewId="0">
      <pane xSplit="10" ySplit="2" topLeftCell="K3" activePane="bottomRight" state="frozen"/>
      <selection activeCell="E3" sqref="E3:G8"/>
      <selection pane="topRight" activeCell="E3" sqref="E3:G8"/>
      <selection pane="bottomLeft" activeCell="E3" sqref="E3:G8"/>
      <selection pane="bottomRight" activeCell="H3" sqref="H3:H8"/>
    </sheetView>
  </sheetViews>
  <sheetFormatPr defaultRowHeight="13.8" outlineLevelCol="1" x14ac:dyDescent="0.3"/>
  <cols>
    <col min="1" max="1" width="7.44140625" style="2" customWidth="1"/>
    <col min="2" max="2" width="26.21875" style="2" customWidth="1"/>
    <col min="3" max="3" width="30.5546875" style="2" customWidth="1"/>
    <col min="4" max="4" width="8.88671875" style="2"/>
    <col min="5" max="6" width="8.88671875" style="2" outlineLevel="1"/>
    <col min="7" max="8" width="8.88671875" style="2"/>
    <col min="9" max="9" width="15" style="2" customWidth="1"/>
    <col min="10" max="10" width="17.44140625" style="2" customWidth="1"/>
    <col min="11" max="16384" width="8.88671875" style="2"/>
  </cols>
  <sheetData>
    <row r="1" spans="1:13" x14ac:dyDescent="0.3">
      <c r="A1" s="2" t="s">
        <v>189</v>
      </c>
    </row>
    <row r="2" spans="1:13" x14ac:dyDescent="0.3">
      <c r="A2" s="91" t="s">
        <v>190</v>
      </c>
      <c r="B2" s="106" t="s">
        <v>1</v>
      </c>
      <c r="C2" s="106" t="s">
        <v>30</v>
      </c>
      <c r="D2" s="106" t="s">
        <v>11</v>
      </c>
      <c r="E2" s="106" t="s">
        <v>191</v>
      </c>
      <c r="F2" s="106" t="s">
        <v>192</v>
      </c>
      <c r="G2" s="54" t="s">
        <v>2</v>
      </c>
      <c r="H2" s="107" t="s">
        <v>8</v>
      </c>
      <c r="I2" s="107" t="s">
        <v>9</v>
      </c>
      <c r="J2" s="107" t="s">
        <v>10</v>
      </c>
    </row>
    <row r="3" spans="1:13" x14ac:dyDescent="0.3">
      <c r="A3" s="75">
        <f>ROW()-2</f>
        <v>1</v>
      </c>
      <c r="B3" s="91" t="s">
        <v>95</v>
      </c>
      <c r="C3" s="91"/>
      <c r="D3" s="75" t="s">
        <v>3</v>
      </c>
      <c r="E3" s="108">
        <f>SUMIF('11.11 Домофония'!$B$13:$B$126,СМР!$B3,'11.11 Домофония'!F$13:F$126)</f>
        <v>3005</v>
      </c>
      <c r="F3" s="108">
        <f>SUMIF('11.11 Домофония'!$B$13:$B$126,СМР!$B3,'11.11 Домофония'!G$13:G$126)</f>
        <v>5894</v>
      </c>
      <c r="G3" s="108">
        <f>SUMIF('11.11 Домофония'!$B$13:$B$126,СМР!$B3,'11.11 Домофония'!H$13:H$126)</f>
        <v>8899</v>
      </c>
      <c r="H3" s="108"/>
      <c r="I3" s="108">
        <f>H3*G3</f>
        <v>0</v>
      </c>
      <c r="J3" s="91"/>
    </row>
    <row r="4" spans="1:13" x14ac:dyDescent="0.3">
      <c r="A4" s="75">
        <f t="shared" ref="A4:A8" si="0">ROW()-2</f>
        <v>2</v>
      </c>
      <c r="B4" s="91" t="s">
        <v>96</v>
      </c>
      <c r="C4" s="109"/>
      <c r="D4" s="75" t="s">
        <v>3</v>
      </c>
      <c r="E4" s="108">
        <f>SUMIF('11.11 Домофония'!$B$13:$B$126,СМР!$B4,'11.11 Домофония'!F$13:F$126)</f>
        <v>2300.9</v>
      </c>
      <c r="F4" s="108">
        <f>SUMIF('11.11 Домофония'!$B$13:$B$126,СМР!$B4,'11.11 Домофония'!G$13:G$126)</f>
        <v>4096.3</v>
      </c>
      <c r="G4" s="108">
        <f>SUMIF('11.11 Домофония'!$B$13:$B$126,СМР!$B4,'11.11 Домофония'!H$13:H$126)</f>
        <v>6397.2</v>
      </c>
      <c r="H4" s="108"/>
      <c r="I4" s="108">
        <f t="shared" ref="I4:I8" si="1">H4*G4</f>
        <v>0</v>
      </c>
      <c r="J4" s="91"/>
    </row>
    <row r="5" spans="1:13" x14ac:dyDescent="0.3">
      <c r="A5" s="75">
        <f t="shared" si="0"/>
        <v>3</v>
      </c>
      <c r="B5" s="110" t="s">
        <v>198</v>
      </c>
      <c r="C5" s="109"/>
      <c r="D5" s="75" t="s">
        <v>6</v>
      </c>
      <c r="E5" s="108">
        <f>SUMIF('11.11 Домофония'!$B$13:$B$126,СМР!$B5,'11.11 Домофония'!F$13:F$126)</f>
        <v>1</v>
      </c>
      <c r="F5" s="108">
        <f>SUMIF('11.11 Домофония'!$B$13:$B$126,СМР!$B5,'11.11 Домофония'!G$13:G$126)</f>
        <v>0</v>
      </c>
      <c r="G5" s="108">
        <f>SUMIF('11.11 Домофония'!$B$13:$B$126,СМР!$B5,'11.11 Домофония'!H$13:H$126)</f>
        <v>1</v>
      </c>
      <c r="H5" s="108"/>
      <c r="I5" s="108">
        <f t="shared" si="1"/>
        <v>0</v>
      </c>
      <c r="J5" s="91"/>
    </row>
    <row r="6" spans="1:13" x14ac:dyDescent="0.3">
      <c r="A6" s="75">
        <f t="shared" si="0"/>
        <v>4</v>
      </c>
      <c r="B6" s="110" t="s">
        <v>199</v>
      </c>
      <c r="C6" s="109"/>
      <c r="D6" s="75" t="s">
        <v>6</v>
      </c>
      <c r="E6" s="108">
        <f>SUMIF('11.11 Домофония'!$B$13:$B$126,СМР!$B6,'11.11 Домофония'!F$13:F$126)</f>
        <v>0</v>
      </c>
      <c r="F6" s="108">
        <f>SUMIF('11.11 Домофония'!$B$13:$B$126,СМР!$B6,'11.11 Домофония'!G$13:G$126)</f>
        <v>1</v>
      </c>
      <c r="G6" s="108">
        <f>SUMIF('11.11 Домофония'!$B$13:$B$126,СМР!$B6,'11.11 Домофония'!H$13:H$126)</f>
        <v>1</v>
      </c>
      <c r="H6" s="108"/>
      <c r="I6" s="108">
        <f t="shared" si="1"/>
        <v>0</v>
      </c>
      <c r="J6" s="91"/>
    </row>
    <row r="7" spans="1:13" x14ac:dyDescent="0.3">
      <c r="A7" s="75">
        <f t="shared" si="0"/>
        <v>5</v>
      </c>
      <c r="B7" s="91" t="s">
        <v>196</v>
      </c>
      <c r="C7" s="91"/>
      <c r="D7" s="75" t="s">
        <v>6</v>
      </c>
      <c r="E7" s="108">
        <f>SUMIF('11.11 Домофония'!$B$13:$B$126,СМР!$B7,'11.11 Домофония'!F$13:F$126)</f>
        <v>1</v>
      </c>
      <c r="F7" s="108">
        <f>SUMIF('11.11 Домофония'!$B$13:$B$126,СМР!$B7,'11.11 Домофония'!G$13:G$126)</f>
        <v>0</v>
      </c>
      <c r="G7" s="108">
        <f>SUMIF('11.11 Домофония'!$B$13:$B$126,СМР!$B7,'11.11 Домофония'!H$13:H$126)</f>
        <v>1</v>
      </c>
      <c r="H7" s="108"/>
      <c r="I7" s="108">
        <f t="shared" si="1"/>
        <v>0</v>
      </c>
      <c r="J7" s="91"/>
    </row>
    <row r="8" spans="1:13" x14ac:dyDescent="0.3">
      <c r="A8" s="75">
        <f t="shared" si="0"/>
        <v>6</v>
      </c>
      <c r="B8" s="91" t="s">
        <v>197</v>
      </c>
      <c r="C8" s="91"/>
      <c r="D8" s="75" t="s">
        <v>6</v>
      </c>
      <c r="E8" s="108">
        <f>SUMIF('11.11 Домофония'!$B$13:$B$126,СМР!$B8,'11.11 Домофония'!F$13:F$126)</f>
        <v>0</v>
      </c>
      <c r="F8" s="108">
        <f>SUMIF('11.11 Домофония'!$B$13:$B$126,СМР!$B8,'11.11 Домофония'!G$13:G$126)</f>
        <v>1</v>
      </c>
      <c r="G8" s="108">
        <f>SUMIF('11.11 Домофония'!$B$13:$B$126,СМР!$B8,'11.11 Домофония'!H$13:H$126)</f>
        <v>1</v>
      </c>
      <c r="H8" s="108"/>
      <c r="I8" s="108">
        <f t="shared" si="1"/>
        <v>0</v>
      </c>
      <c r="J8" s="91"/>
    </row>
    <row r="9" spans="1:13" x14ac:dyDescent="0.3">
      <c r="H9" s="111" t="s">
        <v>193</v>
      </c>
      <c r="I9" s="112">
        <f>SUM(I3:I8)</f>
        <v>0</v>
      </c>
    </row>
    <row r="10" spans="1:13" x14ac:dyDescent="0.3">
      <c r="H10" s="111" t="s">
        <v>194</v>
      </c>
      <c r="I10" s="113">
        <f>I9-'11.11 Домофония'!J128</f>
        <v>0</v>
      </c>
    </row>
    <row r="12" spans="1:13" x14ac:dyDescent="0.3">
      <c r="B12" s="114" t="s">
        <v>49</v>
      </c>
      <c r="C12" s="114"/>
      <c r="D12" s="1"/>
      <c r="E12" s="1"/>
      <c r="I12" s="115"/>
      <c r="K12" s="116"/>
      <c r="L12" s="117"/>
      <c r="M12" s="116"/>
    </row>
    <row r="13" spans="1:13" ht="41.25" customHeight="1" x14ac:dyDescent="0.3">
      <c r="A13" s="118" t="s">
        <v>41</v>
      </c>
      <c r="B13" s="141" t="s">
        <v>50</v>
      </c>
      <c r="C13" s="141"/>
      <c r="D13" s="141"/>
      <c r="E13" s="141"/>
      <c r="F13" s="141"/>
      <c r="G13" s="141"/>
      <c r="H13" s="141"/>
      <c r="I13" s="141"/>
      <c r="J13" s="141"/>
      <c r="K13" s="119"/>
      <c r="L13" s="119"/>
      <c r="M13" s="120"/>
    </row>
    <row r="14" spans="1:13" ht="73.2" customHeight="1" x14ac:dyDescent="0.3">
      <c r="A14" s="121" t="s">
        <v>41</v>
      </c>
      <c r="B14" s="141" t="s">
        <v>51</v>
      </c>
      <c r="C14" s="141"/>
      <c r="D14" s="141"/>
      <c r="E14" s="141"/>
      <c r="F14" s="141"/>
      <c r="G14" s="141"/>
      <c r="H14" s="141"/>
      <c r="I14" s="141"/>
      <c r="J14" s="141"/>
      <c r="K14" s="119"/>
      <c r="L14" s="119"/>
      <c r="M14" s="122"/>
    </row>
    <row r="15" spans="1:13" ht="13.8" customHeight="1" x14ac:dyDescent="0.3">
      <c r="A15" s="118" t="s">
        <v>41</v>
      </c>
      <c r="B15" s="123" t="s">
        <v>52</v>
      </c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4"/>
    </row>
  </sheetData>
  <mergeCells count="2">
    <mergeCell ref="B13:J13"/>
    <mergeCell ref="B14:J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9B178-49C9-44BE-BB38-B0955699A508}">
  <dimension ref="A1:M90"/>
  <sheetViews>
    <sheetView workbookViewId="0">
      <pane xSplit="12" ySplit="2" topLeftCell="M3" activePane="bottomRight" state="frozen"/>
      <selection activeCell="E3" sqref="E3:G8"/>
      <selection pane="topRight" activeCell="E3" sqref="E3:G8"/>
      <selection pane="bottomLeft" activeCell="E3" sqref="E3:G8"/>
      <selection pane="bottomRight" activeCell="I3" sqref="I3:I83"/>
    </sheetView>
  </sheetViews>
  <sheetFormatPr defaultRowHeight="14.4" outlineLevelCol="1" x14ac:dyDescent="0.3"/>
  <cols>
    <col min="2" max="2" width="35.6640625" customWidth="1"/>
    <col min="3" max="3" width="24.21875" customWidth="1"/>
    <col min="4" max="4" width="33.77734375" customWidth="1"/>
    <col min="6" max="7" width="8.88671875" outlineLevel="1"/>
    <col min="10" max="10" width="15.88671875" customWidth="1"/>
    <col min="11" max="11" width="32.109375" customWidth="1"/>
    <col min="12" max="12" width="17.88671875" customWidth="1"/>
  </cols>
  <sheetData>
    <row r="1" spans="1:12" x14ac:dyDescent="0.3">
      <c r="A1" t="s">
        <v>195</v>
      </c>
    </row>
    <row r="2" spans="1:12" ht="27.6" x14ac:dyDescent="0.3">
      <c r="A2" s="125" t="s">
        <v>190</v>
      </c>
      <c r="B2" s="106" t="s">
        <v>1</v>
      </c>
      <c r="C2" s="106" t="s">
        <v>29</v>
      </c>
      <c r="D2" s="106" t="s">
        <v>30</v>
      </c>
      <c r="E2" s="106" t="s">
        <v>11</v>
      </c>
      <c r="F2" s="106" t="s">
        <v>191</v>
      </c>
      <c r="G2" s="106" t="s">
        <v>192</v>
      </c>
      <c r="H2" s="54" t="s">
        <v>2</v>
      </c>
      <c r="I2" s="107" t="s">
        <v>8</v>
      </c>
      <c r="J2" s="107" t="s">
        <v>9</v>
      </c>
      <c r="K2" s="107" t="s">
        <v>10</v>
      </c>
      <c r="L2" s="107" t="s">
        <v>42</v>
      </c>
    </row>
    <row r="3" spans="1:12" ht="43.2" x14ac:dyDescent="0.3">
      <c r="A3" s="75">
        <f>ROW()-2</f>
        <v>1</v>
      </c>
      <c r="B3" s="126" t="s">
        <v>131</v>
      </c>
      <c r="C3" s="127"/>
      <c r="D3" s="128"/>
      <c r="E3" s="128" t="s">
        <v>5</v>
      </c>
      <c r="F3" s="108">
        <f>SUMIF('11.11 Домофония'!$B$13:$B$126,$B3,'11.11 Домофония'!F$13:F$126)</f>
        <v>0</v>
      </c>
      <c r="G3" s="108">
        <f>SUMIF('11.11 Домофония'!$B$13:$B$126,$B3,'11.11 Домофония'!G$13:G$126)</f>
        <v>1</v>
      </c>
      <c r="H3" s="108">
        <f>SUMIF('11.11 Домофония'!$B$13:$B$126,$B3,'11.11 Домофония'!H$13:H$126)</f>
        <v>1</v>
      </c>
      <c r="I3" s="129"/>
      <c r="J3" s="129">
        <f>I3*H3</f>
        <v>0</v>
      </c>
      <c r="K3" s="130"/>
      <c r="L3" s="127"/>
    </row>
    <row r="4" spans="1:12" ht="28.8" x14ac:dyDescent="0.3">
      <c r="A4" s="75">
        <f t="shared" ref="A4:A64" si="0">ROW()-2</f>
        <v>2</v>
      </c>
      <c r="B4" s="126" t="s">
        <v>101</v>
      </c>
      <c r="C4" s="127"/>
      <c r="D4" s="128"/>
      <c r="E4" s="128" t="s">
        <v>4</v>
      </c>
      <c r="F4" s="108">
        <f>SUMIF('11.11 Домофония'!$B$13:$B$126,$B4,'11.11 Домофония'!F$13:F$126)</f>
        <v>2</v>
      </c>
      <c r="G4" s="108">
        <f>SUMIF('11.11 Домофония'!$B$13:$B$126,$B4,'11.11 Домофония'!G$13:G$126)</f>
        <v>4</v>
      </c>
      <c r="H4" s="108">
        <f>SUMIF('11.11 Домофония'!$B$13:$B$126,$B4,'11.11 Домофония'!H$13:H$126)</f>
        <v>6</v>
      </c>
      <c r="I4" s="129"/>
      <c r="J4" s="129">
        <f t="shared" ref="J4:J64" si="1">I4*H4</f>
        <v>0</v>
      </c>
      <c r="K4" s="130"/>
      <c r="L4" s="127"/>
    </row>
    <row r="5" spans="1:12" ht="28.8" x14ac:dyDescent="0.3">
      <c r="A5" s="75">
        <f t="shared" si="0"/>
        <v>3</v>
      </c>
      <c r="B5" s="126" t="s">
        <v>162</v>
      </c>
      <c r="C5" s="127"/>
      <c r="D5" s="128"/>
      <c r="E5" s="128" t="s">
        <v>5</v>
      </c>
      <c r="F5" s="108">
        <f>SUMIF('11.11 Домофония'!$B$13:$B$126,$B5,'11.11 Домофония'!F$13:F$126)</f>
        <v>1</v>
      </c>
      <c r="G5" s="108">
        <f>SUMIF('11.11 Домофония'!$B$13:$B$126,$B5,'11.11 Домофония'!G$13:G$126)</f>
        <v>1</v>
      </c>
      <c r="H5" s="108">
        <f>SUMIF('11.11 Домофония'!$B$13:$B$126,$B5,'11.11 Домофония'!H$13:H$126)</f>
        <v>2</v>
      </c>
      <c r="I5" s="129"/>
      <c r="J5" s="129">
        <f t="shared" si="1"/>
        <v>0</v>
      </c>
      <c r="K5" s="130"/>
      <c r="L5" s="127"/>
    </row>
    <row r="6" spans="1:12" ht="28.8" x14ac:dyDescent="0.3">
      <c r="A6" s="75">
        <f t="shared" si="0"/>
        <v>4</v>
      </c>
      <c r="B6" s="126" t="s">
        <v>91</v>
      </c>
      <c r="C6" s="127"/>
      <c r="D6" s="128"/>
      <c r="E6" s="128" t="s">
        <v>5</v>
      </c>
      <c r="F6" s="108">
        <f>SUMIF('11.11 Домофония'!$B$13:$B$126,$B6,'11.11 Домофония'!F$13:F$126)</f>
        <v>1</v>
      </c>
      <c r="G6" s="108">
        <f>SUMIF('11.11 Домофония'!$B$13:$B$126,$B6,'11.11 Домофония'!G$13:G$126)</f>
        <v>1</v>
      </c>
      <c r="H6" s="108">
        <f>SUMIF('11.11 Домофония'!$B$13:$B$126,$B6,'11.11 Домофония'!H$13:H$126)</f>
        <v>2</v>
      </c>
      <c r="I6" s="129"/>
      <c r="J6" s="129">
        <f t="shared" si="1"/>
        <v>0</v>
      </c>
      <c r="K6" s="128" t="str">
        <f>VLOOKUP(B6,'11.11 Домофония'!$B$13:$K$126,10,0)</f>
        <v>Состав коммутационного шкафа домофонии</v>
      </c>
      <c r="L6" s="127"/>
    </row>
    <row r="7" spans="1:12" ht="28.8" x14ac:dyDescent="0.3">
      <c r="A7" s="75">
        <f t="shared" si="0"/>
        <v>5</v>
      </c>
      <c r="B7" s="126" t="s">
        <v>72</v>
      </c>
      <c r="C7" s="127"/>
      <c r="D7" s="128"/>
      <c r="E7" s="128" t="s">
        <v>5</v>
      </c>
      <c r="F7" s="108">
        <f>SUMIF('11.11 Домофония'!$B$13:$B$126,$B7,'11.11 Домофония'!F$13:F$126)</f>
        <v>5</v>
      </c>
      <c r="G7" s="108">
        <f>SUMIF('11.11 Домофония'!$B$13:$B$126,$B7,'11.11 Домофония'!G$13:G$126)</f>
        <v>5</v>
      </c>
      <c r="H7" s="108">
        <f>SUMIF('11.11 Домофония'!$B$13:$B$126,$B7,'11.11 Домофония'!H$13:H$126)</f>
        <v>10</v>
      </c>
      <c r="I7" s="129"/>
      <c r="J7" s="129">
        <f t="shared" si="1"/>
        <v>0</v>
      </c>
      <c r="K7" s="128" t="str">
        <f>VLOOKUP(B7,'11.11 Домофония'!$B$13:$K$126,10,0)</f>
        <v>Состав коммутационного шкафа домофонии</v>
      </c>
      <c r="L7" s="127"/>
    </row>
    <row r="8" spans="1:12" ht="31.2" customHeight="1" x14ac:dyDescent="0.3">
      <c r="A8" s="75">
        <f t="shared" si="0"/>
        <v>6</v>
      </c>
      <c r="B8" s="126" t="s">
        <v>90</v>
      </c>
      <c r="C8" s="127"/>
      <c r="D8" s="128"/>
      <c r="E8" s="128" t="s">
        <v>5</v>
      </c>
      <c r="F8" s="108">
        <f>SUMIF('11.11 Домофония'!$B$13:$B$126,$B8,'11.11 Домофония'!F$13:F$126)</f>
        <v>3</v>
      </c>
      <c r="G8" s="108">
        <f>SUMIF('11.11 Домофония'!$B$13:$B$126,$B8,'11.11 Домофония'!G$13:G$126)</f>
        <v>3</v>
      </c>
      <c r="H8" s="108">
        <f>SUMIF('11.11 Домофония'!$B$13:$B$126,$B8,'11.11 Домофония'!H$13:H$126)</f>
        <v>6</v>
      </c>
      <c r="I8" s="129"/>
      <c r="J8" s="129">
        <f t="shared" si="1"/>
        <v>0</v>
      </c>
      <c r="K8" s="128" t="str">
        <f>VLOOKUP(B8,'11.11 Домофония'!$B$13:$K$126,10,0)</f>
        <v>Состав коммутационного шкафа домофонии</v>
      </c>
      <c r="L8" s="127"/>
    </row>
    <row r="9" spans="1:12" x14ac:dyDescent="0.3">
      <c r="A9" s="75">
        <f t="shared" si="0"/>
        <v>7</v>
      </c>
      <c r="B9" s="126" t="s">
        <v>104</v>
      </c>
      <c r="C9" s="127" t="s">
        <v>41</v>
      </c>
      <c r="D9" s="128" t="s">
        <v>60</v>
      </c>
      <c r="E9" s="128" t="s">
        <v>5</v>
      </c>
      <c r="F9" s="108">
        <f>SUMIF('11.11 Домофония'!$B$13:$B$126,$B9,'11.11 Домофония'!F$13:F$126)</f>
        <v>2</v>
      </c>
      <c r="G9" s="108">
        <f>SUMIF('11.11 Домофония'!$B$13:$B$126,$B9,'11.11 Домофония'!G$13:G$126)</f>
        <v>2</v>
      </c>
      <c r="H9" s="108">
        <f>SUMIF('11.11 Домофония'!$B$13:$B$126,$B9,'11.11 Домофония'!H$13:H$126)</f>
        <v>4</v>
      </c>
      <c r="I9" s="129"/>
      <c r="J9" s="129">
        <f t="shared" si="1"/>
        <v>0</v>
      </c>
      <c r="K9" s="128">
        <f>VLOOKUP(B9,'11.11 Домофония'!$B$13:$K$126,10,0)</f>
        <v>0</v>
      </c>
      <c r="L9" s="127"/>
    </row>
    <row r="10" spans="1:12" x14ac:dyDescent="0.3">
      <c r="A10" s="75">
        <f t="shared" si="0"/>
        <v>8</v>
      </c>
      <c r="B10" s="126" t="s">
        <v>105</v>
      </c>
      <c r="C10" s="127" t="s">
        <v>41</v>
      </c>
      <c r="D10" s="128" t="s">
        <v>106</v>
      </c>
      <c r="E10" s="128"/>
      <c r="F10" s="108">
        <f>SUMIF('11.11 Домофония'!$B$13:$B$126,$B10,'11.11 Домофония'!F$13:F$126)</f>
        <v>3</v>
      </c>
      <c r="G10" s="108">
        <f>SUMIF('11.11 Домофония'!$B$13:$B$126,$B10,'11.11 Домофония'!G$13:G$126)</f>
        <v>3</v>
      </c>
      <c r="H10" s="108">
        <f>SUMIF('11.11 Домофония'!$B$13:$B$126,$B10,'11.11 Домофония'!H$13:H$126)</f>
        <v>6</v>
      </c>
      <c r="I10" s="129"/>
      <c r="J10" s="129">
        <f t="shared" si="1"/>
        <v>0</v>
      </c>
      <c r="K10" s="128">
        <f>VLOOKUP(B10,'11.11 Домофония'!$B$13:$K$126,10,0)</f>
        <v>0</v>
      </c>
      <c r="L10" s="127"/>
    </row>
    <row r="11" spans="1:12" ht="86.4" x14ac:dyDescent="0.3">
      <c r="A11" s="75">
        <f t="shared" si="0"/>
        <v>9</v>
      </c>
      <c r="B11" s="126" t="s">
        <v>125</v>
      </c>
      <c r="C11" s="127" t="s">
        <v>126</v>
      </c>
      <c r="D11" s="128" t="s">
        <v>127</v>
      </c>
      <c r="E11" s="128" t="s">
        <v>5</v>
      </c>
      <c r="F11" s="108">
        <f>SUMIF('11.11 Домофония'!$B$13:$B$126,$B11,'11.11 Домофония'!F$13:F$126)</f>
        <v>264</v>
      </c>
      <c r="G11" s="108">
        <f>SUMIF('11.11 Домофония'!$B$13:$B$126,$B11,'11.11 Домофония'!G$13:G$126)</f>
        <v>468</v>
      </c>
      <c r="H11" s="108">
        <f>SUMIF('11.11 Домофония'!$B$13:$B$126,$B11,'11.11 Домофония'!H$13:H$126)</f>
        <v>732</v>
      </c>
      <c r="I11" s="129"/>
      <c r="J11" s="129">
        <f t="shared" si="1"/>
        <v>0</v>
      </c>
      <c r="K11" s="128" t="str">
        <f>VLOOKUP(B11,'11.11 Домофония'!$B$13:$K$126,10,0)</f>
        <v xml:space="preserve">на жилых этажах </v>
      </c>
      <c r="L11" s="127"/>
    </row>
    <row r="12" spans="1:12" ht="28.8" x14ac:dyDescent="0.3">
      <c r="A12" s="75">
        <f t="shared" si="0"/>
        <v>10</v>
      </c>
      <c r="B12" s="126" t="s">
        <v>89</v>
      </c>
      <c r="C12" s="127"/>
      <c r="D12" s="128"/>
      <c r="E12" s="128" t="s">
        <v>5</v>
      </c>
      <c r="F12" s="108">
        <f>SUMIF('11.11 Домофония'!$B$13:$B$126,$B12,'11.11 Домофония'!F$13:F$126)</f>
        <v>3</v>
      </c>
      <c r="G12" s="108">
        <f>SUMIF('11.11 Домофония'!$B$13:$B$126,$B12,'11.11 Домофония'!G$13:G$126)</f>
        <v>3</v>
      </c>
      <c r="H12" s="108">
        <f>SUMIF('11.11 Домофония'!$B$13:$B$126,$B12,'11.11 Домофония'!H$13:H$126)</f>
        <v>6</v>
      </c>
      <c r="I12" s="129"/>
      <c r="J12" s="129">
        <f t="shared" si="1"/>
        <v>0</v>
      </c>
      <c r="K12" s="128" t="str">
        <f>VLOOKUP(B12,'11.11 Домофония'!$B$13:$K$126,10,0)</f>
        <v>Состав коммутационного шкафа домофонии</v>
      </c>
      <c r="L12" s="127"/>
    </row>
    <row r="13" spans="1:12" ht="33.6" customHeight="1" x14ac:dyDescent="0.3">
      <c r="A13" s="75">
        <f t="shared" si="0"/>
        <v>11</v>
      </c>
      <c r="B13" s="126" t="s">
        <v>88</v>
      </c>
      <c r="C13" s="127"/>
      <c r="D13" s="128"/>
      <c r="E13" s="128" t="s">
        <v>5</v>
      </c>
      <c r="F13" s="108">
        <f>SUMIF('11.11 Домофония'!$B$13:$B$126,$B13,'11.11 Домофония'!F$13:F$126)</f>
        <v>2</v>
      </c>
      <c r="G13" s="108">
        <f>SUMIF('11.11 Домофония'!$B$13:$B$126,$B13,'11.11 Домофония'!G$13:G$126)</f>
        <v>2</v>
      </c>
      <c r="H13" s="108">
        <f>SUMIF('11.11 Домофония'!$B$13:$B$126,$B13,'11.11 Домофония'!H$13:H$126)</f>
        <v>4</v>
      </c>
      <c r="I13" s="129"/>
      <c r="J13" s="129">
        <f t="shared" si="1"/>
        <v>0</v>
      </c>
      <c r="K13" s="128" t="str">
        <f>VLOOKUP(B13,'11.11 Домофония'!$B$13:$K$126,10,0)</f>
        <v>Состав коммутационного шкафа домофонии</v>
      </c>
      <c r="L13" s="127"/>
    </row>
    <row r="14" spans="1:12" ht="28.8" x14ac:dyDescent="0.3">
      <c r="A14" s="75">
        <f t="shared" si="0"/>
        <v>12</v>
      </c>
      <c r="B14" s="126" t="s">
        <v>117</v>
      </c>
      <c r="C14" s="127" t="s">
        <v>116</v>
      </c>
      <c r="D14" s="128" t="s">
        <v>118</v>
      </c>
      <c r="E14" s="128" t="s">
        <v>5</v>
      </c>
      <c r="F14" s="108">
        <f>SUMIF('11.11 Домофония'!$B$13:$B$126,$B14,'11.11 Домофония'!F$13:F$126)</f>
        <v>1</v>
      </c>
      <c r="G14" s="108">
        <f>SUMIF('11.11 Домофония'!$B$13:$B$126,$B14,'11.11 Домофония'!G$13:G$126)</f>
        <v>1</v>
      </c>
      <c r="H14" s="108">
        <f>SUMIF('11.11 Домофония'!$B$13:$B$126,$B14,'11.11 Домофония'!H$13:H$126)</f>
        <v>2</v>
      </c>
      <c r="I14" s="129"/>
      <c r="J14" s="129">
        <f t="shared" si="1"/>
        <v>0</v>
      </c>
      <c r="K14" s="128" t="str">
        <f>VLOOKUP(B14,'11.11 Домофония'!$B$13:$K$126,10,0)</f>
        <v>Состав коммутационного шкафа домофонии</v>
      </c>
      <c r="L14" s="127"/>
    </row>
    <row r="15" spans="1:12" ht="43.2" x14ac:dyDescent="0.3">
      <c r="A15" s="75">
        <f t="shared" si="0"/>
        <v>13</v>
      </c>
      <c r="B15" s="126" t="s">
        <v>63</v>
      </c>
      <c r="C15" s="127"/>
      <c r="D15" s="128"/>
      <c r="E15" s="128" t="s">
        <v>5</v>
      </c>
      <c r="F15" s="108">
        <f>SUMIF('11.11 Домофония'!$B$13:$B$126,$B15,'11.11 Домофония'!F$13:F$126)</f>
        <v>10</v>
      </c>
      <c r="G15" s="108">
        <f>SUMIF('11.11 Домофония'!$B$13:$B$126,$B15,'11.11 Домофония'!G$13:G$126)</f>
        <v>10</v>
      </c>
      <c r="H15" s="108">
        <f>SUMIF('11.11 Домофония'!$B$13:$B$126,$B15,'11.11 Домофония'!H$13:H$126)</f>
        <v>20</v>
      </c>
      <c r="I15" s="129"/>
      <c r="J15" s="129">
        <f t="shared" si="1"/>
        <v>0</v>
      </c>
      <c r="K15" s="128">
        <f>VLOOKUP(B15,'11.11 Домофония'!$B$13:$K$126,10,0)</f>
        <v>0</v>
      </c>
      <c r="L15" s="127"/>
    </row>
    <row r="16" spans="1:12" x14ac:dyDescent="0.3">
      <c r="A16" s="75">
        <f t="shared" si="0"/>
        <v>14</v>
      </c>
      <c r="B16" s="126" t="s">
        <v>57</v>
      </c>
      <c r="C16" s="127" t="s">
        <v>177</v>
      </c>
      <c r="D16" s="128" t="s">
        <v>41</v>
      </c>
      <c r="E16" s="128" t="s">
        <v>5</v>
      </c>
      <c r="F16" s="108">
        <f>SUMIF('11.11 Домофония'!$B$13:$B$126,$B16,'11.11 Домофония'!F$13:F$126)</f>
        <v>2</v>
      </c>
      <c r="G16" s="108">
        <f>SUMIF('11.11 Домофония'!$B$13:$B$126,$B16,'11.11 Домофония'!G$13:G$126)</f>
        <v>2</v>
      </c>
      <c r="H16" s="108">
        <f>SUMIF('11.11 Домофония'!$B$13:$B$126,$B16,'11.11 Домофония'!H$13:H$126)</f>
        <v>4</v>
      </c>
      <c r="I16" s="129"/>
      <c r="J16" s="129">
        <f t="shared" si="1"/>
        <v>0</v>
      </c>
      <c r="K16" s="128">
        <f>VLOOKUP(B16,'11.11 Домофония'!$B$13:$K$126,10,0)</f>
        <v>0</v>
      </c>
      <c r="L16" s="127"/>
    </row>
    <row r="17" spans="1:12" ht="43.2" x14ac:dyDescent="0.3">
      <c r="A17" s="75">
        <f t="shared" si="0"/>
        <v>15</v>
      </c>
      <c r="B17" s="126" t="s">
        <v>66</v>
      </c>
      <c r="C17" s="127"/>
      <c r="D17" s="128"/>
      <c r="E17" s="128" t="s">
        <v>5</v>
      </c>
      <c r="F17" s="108">
        <f>SUMIF('11.11 Домофония'!$B$13:$B$126,$B17,'11.11 Домофония'!F$13:F$126)</f>
        <v>700</v>
      </c>
      <c r="G17" s="108">
        <f>SUMIF('11.11 Домофония'!$B$13:$B$126,$B17,'11.11 Домофония'!G$13:G$126)</f>
        <v>740</v>
      </c>
      <c r="H17" s="108">
        <f>SUMIF('11.11 Домофония'!$B$13:$B$126,$B17,'11.11 Домофония'!H$13:H$126)</f>
        <v>1440</v>
      </c>
      <c r="I17" s="129"/>
      <c r="J17" s="129">
        <f t="shared" si="1"/>
        <v>0</v>
      </c>
      <c r="K17" s="128">
        <f>VLOOKUP(B17,'11.11 Домофония'!$B$13:$K$126,10,0)</f>
        <v>0</v>
      </c>
      <c r="L17" s="127"/>
    </row>
    <row r="18" spans="1:12" ht="43.2" x14ac:dyDescent="0.3">
      <c r="A18" s="75">
        <f t="shared" si="0"/>
        <v>16</v>
      </c>
      <c r="B18" s="126" t="s">
        <v>86</v>
      </c>
      <c r="C18" s="127"/>
      <c r="D18" s="128"/>
      <c r="E18" s="128" t="s">
        <v>5</v>
      </c>
      <c r="F18" s="108">
        <f>SUMIF('11.11 Домофония'!$B$13:$B$126,$B18,'11.11 Домофония'!F$13:F$126)</f>
        <v>8360</v>
      </c>
      <c r="G18" s="108">
        <f>SUMIF('11.11 Домофония'!$B$13:$B$126,$B18,'11.11 Домофония'!G$13:G$126)</f>
        <v>15596</v>
      </c>
      <c r="H18" s="108">
        <f>SUMIF('11.11 Домофония'!$B$13:$B$126,$B18,'11.11 Домофония'!H$13:H$126)</f>
        <v>23956</v>
      </c>
      <c r="I18" s="129"/>
      <c r="J18" s="129">
        <f t="shared" si="1"/>
        <v>0</v>
      </c>
      <c r="K18" s="128">
        <f>VLOOKUP(B18,'11.11 Домофония'!$B$13:$K$126,10,0)</f>
        <v>0</v>
      </c>
      <c r="L18" s="127"/>
    </row>
    <row r="19" spans="1:12" ht="28.8" x14ac:dyDescent="0.3">
      <c r="A19" s="75">
        <f t="shared" si="0"/>
        <v>17</v>
      </c>
      <c r="B19" s="126" t="s">
        <v>138</v>
      </c>
      <c r="C19" s="127"/>
      <c r="D19" s="128"/>
      <c r="E19" s="128" t="s">
        <v>5</v>
      </c>
      <c r="F19" s="108">
        <f>SUMIF('11.11 Домофония'!$B$13:$B$126,$B19,'11.11 Домофония'!F$13:F$126)</f>
        <v>0</v>
      </c>
      <c r="G19" s="108">
        <f>SUMIF('11.11 Домофония'!$B$13:$B$126,$B19,'11.11 Домофония'!G$13:G$126)</f>
        <v>1</v>
      </c>
      <c r="H19" s="108">
        <f>SUMIF('11.11 Домофония'!$B$13:$B$126,$B19,'11.11 Домофония'!H$13:H$126)</f>
        <v>1</v>
      </c>
      <c r="I19" s="129"/>
      <c r="J19" s="129">
        <f t="shared" si="1"/>
        <v>0</v>
      </c>
      <c r="K19" s="128" t="str">
        <f>VLOOKUP(B19,'11.11 Домофония'!$B$13:$K$126,10,0)</f>
        <v>LTE комплект</v>
      </c>
      <c r="L19" s="127"/>
    </row>
    <row r="20" spans="1:12" ht="28.8" x14ac:dyDescent="0.3">
      <c r="A20" s="75">
        <f t="shared" si="0"/>
        <v>18</v>
      </c>
      <c r="B20" s="126" t="s">
        <v>153</v>
      </c>
      <c r="C20" s="127"/>
      <c r="D20" s="128"/>
      <c r="E20" s="128" t="s">
        <v>4</v>
      </c>
      <c r="F20" s="108">
        <f>SUMIF('11.11 Домофония'!$B$13:$B$126,$B20,'11.11 Домофония'!F$13:F$126)</f>
        <v>1.8</v>
      </c>
      <c r="G20" s="108">
        <f>SUMIF('11.11 Домофония'!$B$13:$B$126,$B20,'11.11 Домофония'!G$13:G$126)</f>
        <v>1.2</v>
      </c>
      <c r="H20" s="108">
        <f>SUMIF('11.11 Домофония'!$B$13:$B$126,$B20,'11.11 Домофония'!H$13:H$126)</f>
        <v>3</v>
      </c>
      <c r="I20" s="129"/>
      <c r="J20" s="129">
        <f t="shared" si="1"/>
        <v>0</v>
      </c>
      <c r="K20" s="128">
        <f>VLOOKUP(B20,'11.11 Домофония'!$B$13:$K$126,10,0)</f>
        <v>0</v>
      </c>
      <c r="L20" s="127"/>
    </row>
    <row r="21" spans="1:12" ht="28.8" x14ac:dyDescent="0.3">
      <c r="A21" s="75">
        <f t="shared" si="0"/>
        <v>19</v>
      </c>
      <c r="B21" s="126" t="s">
        <v>87</v>
      </c>
      <c r="C21" s="127"/>
      <c r="D21" s="128"/>
      <c r="E21" s="128" t="s">
        <v>5</v>
      </c>
      <c r="F21" s="108">
        <f>SUMIF('11.11 Домофония'!$B$13:$B$126,$B21,'11.11 Домофония'!F$13:F$126)</f>
        <v>608</v>
      </c>
      <c r="G21" s="108">
        <f>SUMIF('11.11 Домофония'!$B$13:$B$126,$B21,'11.11 Домофония'!G$13:G$126)</f>
        <v>1016</v>
      </c>
      <c r="H21" s="108">
        <f>SUMIF('11.11 Домофония'!$B$13:$B$126,$B21,'11.11 Домофония'!H$13:H$126)</f>
        <v>1624</v>
      </c>
      <c r="I21" s="129"/>
      <c r="J21" s="129">
        <f t="shared" si="1"/>
        <v>0</v>
      </c>
      <c r="K21" s="128">
        <f>VLOOKUP(B21,'11.11 Домофония'!$B$13:$K$126,10,0)</f>
        <v>0</v>
      </c>
      <c r="L21" s="127"/>
    </row>
    <row r="22" spans="1:12" ht="28.8" x14ac:dyDescent="0.3">
      <c r="A22" s="75">
        <f t="shared" si="0"/>
        <v>20</v>
      </c>
      <c r="B22" s="126" t="s">
        <v>62</v>
      </c>
      <c r="C22" s="127"/>
      <c r="D22" s="128"/>
      <c r="E22" s="128" t="s">
        <v>5</v>
      </c>
      <c r="F22" s="108">
        <f>SUMIF('11.11 Домофония'!$B$13:$B$126,$B22,'11.11 Домофония'!F$13:F$126)</f>
        <v>10</v>
      </c>
      <c r="G22" s="108">
        <f>SUMIF('11.11 Домофония'!$B$13:$B$126,$B22,'11.11 Домофония'!G$13:G$126)</f>
        <v>10</v>
      </c>
      <c r="H22" s="108">
        <f>SUMIF('11.11 Домофония'!$B$13:$B$126,$B22,'11.11 Домофония'!H$13:H$126)</f>
        <v>20</v>
      </c>
      <c r="I22" s="129"/>
      <c r="J22" s="129">
        <f t="shared" si="1"/>
        <v>0</v>
      </c>
      <c r="K22" s="128">
        <f>VLOOKUP(B22,'11.11 Домофония'!$B$13:$K$126,10,0)</f>
        <v>0</v>
      </c>
      <c r="L22" s="127"/>
    </row>
    <row r="23" spans="1:12" x14ac:dyDescent="0.3">
      <c r="A23" s="75">
        <f t="shared" si="0"/>
        <v>21</v>
      </c>
      <c r="B23" s="126" t="s">
        <v>38</v>
      </c>
      <c r="C23" s="127" t="s">
        <v>41</v>
      </c>
      <c r="D23" s="128" t="s">
        <v>55</v>
      </c>
      <c r="E23" s="128" t="s">
        <v>5</v>
      </c>
      <c r="F23" s="108">
        <f>SUMIF('11.11 Домофония'!$B$13:$B$126,$B23,'11.11 Домофония'!F$13:F$126)</f>
        <v>5</v>
      </c>
      <c r="G23" s="108">
        <f>SUMIF('11.11 Домофония'!$B$13:$B$126,$B23,'11.11 Домофония'!G$13:G$126)</f>
        <v>5</v>
      </c>
      <c r="H23" s="108">
        <f>SUMIF('11.11 Домофония'!$B$13:$B$126,$B23,'11.11 Домофония'!H$13:H$126)</f>
        <v>10</v>
      </c>
      <c r="I23" s="129"/>
      <c r="J23" s="129">
        <f t="shared" si="1"/>
        <v>0</v>
      </c>
      <c r="K23" s="128">
        <f>VLOOKUP(B23,'11.11 Домофония'!$B$13:$K$126,10,0)</f>
        <v>0</v>
      </c>
      <c r="L23" s="127"/>
    </row>
    <row r="24" spans="1:12" ht="28.8" x14ac:dyDescent="0.3">
      <c r="A24" s="75">
        <f t="shared" si="0"/>
        <v>22</v>
      </c>
      <c r="B24" s="126" t="s">
        <v>136</v>
      </c>
      <c r="C24" s="127"/>
      <c r="D24" s="128"/>
      <c r="E24" s="128" t="s">
        <v>5</v>
      </c>
      <c r="F24" s="108">
        <f>SUMIF('11.11 Домофония'!$B$13:$B$126,$B24,'11.11 Домофония'!F$13:F$126)</f>
        <v>0</v>
      </c>
      <c r="G24" s="108">
        <f>SUMIF('11.11 Домофония'!$B$13:$B$126,$B24,'11.11 Домофония'!G$13:G$126)</f>
        <v>1</v>
      </c>
      <c r="H24" s="108">
        <f>SUMIF('11.11 Домофония'!$B$13:$B$126,$B24,'11.11 Домофония'!H$13:H$126)</f>
        <v>1</v>
      </c>
      <c r="I24" s="129"/>
      <c r="J24" s="129">
        <f t="shared" si="1"/>
        <v>0</v>
      </c>
      <c r="K24" s="128" t="str">
        <f>VLOOKUP(B24,'11.11 Домофония'!$B$13:$K$126,10,0)</f>
        <v xml:space="preserve">Оптика между домами </v>
      </c>
      <c r="L24" s="127"/>
    </row>
    <row r="25" spans="1:12" ht="28.8" x14ac:dyDescent="0.3">
      <c r="A25" s="75">
        <f t="shared" si="0"/>
        <v>23</v>
      </c>
      <c r="B25" s="126" t="s">
        <v>31</v>
      </c>
      <c r="C25" s="127" t="s">
        <v>100</v>
      </c>
      <c r="D25" s="128" t="s">
        <v>99</v>
      </c>
      <c r="E25" s="128" t="s">
        <v>4</v>
      </c>
      <c r="F25" s="108">
        <f>SUMIF('11.11 Домофония'!$B$13:$B$126,$B25,'11.11 Домофония'!F$13:F$126)</f>
        <v>290</v>
      </c>
      <c r="G25" s="108">
        <f>SUMIF('11.11 Домофония'!$B$13:$B$126,$B25,'11.11 Домофония'!G$13:G$126)</f>
        <v>235</v>
      </c>
      <c r="H25" s="108">
        <f>SUMIF('11.11 Домофония'!$B$13:$B$126,$B25,'11.11 Домофония'!H$13:H$126)</f>
        <v>525</v>
      </c>
      <c r="I25" s="129"/>
      <c r="J25" s="129">
        <f t="shared" si="1"/>
        <v>0</v>
      </c>
      <c r="K25" s="128">
        <f>VLOOKUP(B25,'11.11 Домофония'!$B$13:$K$126,10,0)</f>
        <v>0</v>
      </c>
      <c r="L25" s="127"/>
    </row>
    <row r="26" spans="1:12" ht="28.8" x14ac:dyDescent="0.3">
      <c r="A26" s="75">
        <f t="shared" si="0"/>
        <v>24</v>
      </c>
      <c r="B26" s="126" t="s">
        <v>34</v>
      </c>
      <c r="C26" s="127"/>
      <c r="D26" s="128" t="s">
        <v>169</v>
      </c>
      <c r="E26" s="128" t="s">
        <v>4</v>
      </c>
      <c r="F26" s="108">
        <f>SUMIF('11.11 Домофония'!$B$13:$B$126,$B26,'11.11 Домофония'!F$13:F$126)</f>
        <v>20</v>
      </c>
      <c r="G26" s="108">
        <f>SUMIF('11.11 Домофония'!$B$13:$B$126,$B26,'11.11 Домофония'!G$13:G$126)</f>
        <v>20</v>
      </c>
      <c r="H26" s="108">
        <f>SUMIF('11.11 Домофония'!$B$13:$B$126,$B26,'11.11 Домофония'!H$13:H$126)</f>
        <v>40</v>
      </c>
      <c r="I26" s="129"/>
      <c r="J26" s="129">
        <f t="shared" si="1"/>
        <v>0</v>
      </c>
      <c r="K26" s="128">
        <f>VLOOKUP(B26,'11.11 Домофония'!$B$13:$K$126,10,0)</f>
        <v>0</v>
      </c>
      <c r="L26" s="127"/>
    </row>
    <row r="27" spans="1:12" ht="28.8" x14ac:dyDescent="0.3">
      <c r="A27" s="75">
        <f t="shared" si="0"/>
        <v>25</v>
      </c>
      <c r="B27" s="126" t="s">
        <v>202</v>
      </c>
      <c r="C27" s="127"/>
      <c r="D27" s="128" t="s">
        <v>53</v>
      </c>
      <c r="E27" s="128" t="s">
        <v>4</v>
      </c>
      <c r="F27" s="108">
        <f>SUMIF('11.11 Домофония'!$B$13:$B$126,$B27,'11.11 Домофония'!F$13:F$126)</f>
        <v>82</v>
      </c>
      <c r="G27" s="108">
        <f>SUMIF('11.11 Домофония'!$B$13:$B$126,$B27,'11.11 Домофония'!G$13:G$126)</f>
        <v>125</v>
      </c>
      <c r="H27" s="108">
        <f>SUMIF('11.11 Домофония'!$B$13:$B$126,$B27,'11.11 Домофония'!H$13:H$126)</f>
        <v>207</v>
      </c>
      <c r="I27" s="129"/>
      <c r="J27" s="129">
        <f t="shared" si="1"/>
        <v>0</v>
      </c>
      <c r="K27" s="128">
        <f>VLOOKUP(B27,'11.11 Домофония'!$B$13:$K$126,10,0)</f>
        <v>0</v>
      </c>
      <c r="L27" s="127"/>
    </row>
    <row r="28" spans="1:12" ht="28.8" x14ac:dyDescent="0.3">
      <c r="A28" s="75">
        <f t="shared" si="0"/>
        <v>26</v>
      </c>
      <c r="B28" s="126" t="s">
        <v>35</v>
      </c>
      <c r="C28" s="127"/>
      <c r="D28" s="128" t="s">
        <v>129</v>
      </c>
      <c r="E28" s="128" t="s">
        <v>4</v>
      </c>
      <c r="F28" s="108">
        <f>SUMIF('11.11 Домофония'!$B$13:$B$126,$B28,'11.11 Домофония'!F$13:F$126)</f>
        <v>1936</v>
      </c>
      <c r="G28" s="108">
        <f>SUMIF('11.11 Домофония'!$B$13:$B$126,$B28,'11.11 Домофония'!G$13:G$126)</f>
        <v>3744</v>
      </c>
      <c r="H28" s="108">
        <f>SUMIF('11.11 Домофония'!$B$13:$B$126,$B28,'11.11 Домофония'!H$13:H$126)</f>
        <v>5680</v>
      </c>
      <c r="I28" s="129"/>
      <c r="J28" s="129">
        <f t="shared" si="1"/>
        <v>0</v>
      </c>
      <c r="K28" s="128">
        <f>VLOOKUP(B28,'11.11 Домофония'!$B$13:$K$126,10,0)</f>
        <v>0</v>
      </c>
      <c r="L28" s="127"/>
    </row>
    <row r="29" spans="1:12" ht="31.8" customHeight="1" x14ac:dyDescent="0.3">
      <c r="A29" s="75">
        <f t="shared" si="0"/>
        <v>27</v>
      </c>
      <c r="B29" s="126" t="s">
        <v>36</v>
      </c>
      <c r="C29" s="127"/>
      <c r="D29" s="128" t="s">
        <v>102</v>
      </c>
      <c r="E29" s="128" t="s">
        <v>4</v>
      </c>
      <c r="F29" s="108">
        <f>SUMIF('11.11 Домофония'!$B$13:$B$126,$B29,'11.11 Домофония'!F$13:F$126)</f>
        <v>40</v>
      </c>
      <c r="G29" s="108">
        <f>SUMIF('11.11 Домофония'!$B$13:$B$126,$B29,'11.11 Домофония'!G$13:G$126)</f>
        <v>40</v>
      </c>
      <c r="H29" s="108">
        <f>SUMIF('11.11 Домофония'!$B$13:$B$126,$B29,'11.11 Домофония'!H$13:H$126)</f>
        <v>80</v>
      </c>
      <c r="I29" s="129"/>
      <c r="J29" s="129">
        <f t="shared" si="1"/>
        <v>0</v>
      </c>
      <c r="K29" s="128" t="str">
        <f>VLOOKUP(B29,'11.11 Домофония'!$B$13:$K$126,10,0)</f>
        <v>Состав коммутационного шкафа домофонии</v>
      </c>
      <c r="L29" s="127"/>
    </row>
    <row r="30" spans="1:12" ht="43.2" x14ac:dyDescent="0.3">
      <c r="A30" s="75">
        <f t="shared" si="0"/>
        <v>28</v>
      </c>
      <c r="B30" s="126" t="s">
        <v>128</v>
      </c>
      <c r="C30" s="127"/>
      <c r="D30" s="128" t="s">
        <v>133</v>
      </c>
      <c r="E30" s="128" t="s">
        <v>4</v>
      </c>
      <c r="F30" s="108">
        <f>SUMIF('11.11 Домофония'!$B$13:$B$126,$B30,'11.11 Домофония'!F$13:F$126)</f>
        <v>0</v>
      </c>
      <c r="G30" s="108">
        <f>SUMIF('11.11 Домофония'!$B$13:$B$126,$B30,'11.11 Домофония'!G$13:G$126)</f>
        <v>250</v>
      </c>
      <c r="H30" s="108">
        <f>SUMIF('11.11 Домофония'!$B$13:$B$126,$B30,'11.11 Домофония'!H$13:H$126)</f>
        <v>250</v>
      </c>
      <c r="I30" s="129"/>
      <c r="J30" s="129">
        <f t="shared" si="1"/>
        <v>0</v>
      </c>
      <c r="K30" s="128" t="str">
        <f>VLOOKUP(B30,'11.11 Домофония'!$B$13:$K$126,10,0)</f>
        <v xml:space="preserve">Оптика между домами </v>
      </c>
      <c r="L30" s="127"/>
    </row>
    <row r="31" spans="1:12" x14ac:dyDescent="0.3">
      <c r="A31" s="75">
        <f t="shared" si="0"/>
        <v>29</v>
      </c>
      <c r="B31" s="126" t="s">
        <v>132</v>
      </c>
      <c r="C31" s="127"/>
      <c r="D31" s="128" t="s">
        <v>54</v>
      </c>
      <c r="E31" s="128" t="s">
        <v>4</v>
      </c>
      <c r="F31" s="108">
        <f>SUMIF('11.11 Домофония'!$B$13:$B$126,$B31,'11.11 Домофония'!F$13:F$126)</f>
        <v>190</v>
      </c>
      <c r="G31" s="108">
        <f>SUMIF('11.11 Домофония'!$B$13:$B$126,$B31,'11.11 Домофония'!G$13:G$126)</f>
        <v>190</v>
      </c>
      <c r="H31" s="108">
        <f>SUMIF('11.11 Домофония'!$B$13:$B$126,$B31,'11.11 Домофония'!H$13:H$126)</f>
        <v>380</v>
      </c>
      <c r="I31" s="129"/>
      <c r="J31" s="129">
        <f t="shared" si="1"/>
        <v>0</v>
      </c>
      <c r="K31" s="128">
        <f>VLOOKUP(B31,'11.11 Домофония'!$B$13:$K$126,10,0)</f>
        <v>0</v>
      </c>
      <c r="L31" s="127"/>
    </row>
    <row r="32" spans="1:12" x14ac:dyDescent="0.3">
      <c r="A32" s="75">
        <f t="shared" si="0"/>
        <v>30</v>
      </c>
      <c r="B32" s="126" t="s">
        <v>201</v>
      </c>
      <c r="C32" s="127"/>
      <c r="D32" s="128" t="s">
        <v>73</v>
      </c>
      <c r="E32" s="128" t="s">
        <v>4</v>
      </c>
      <c r="F32" s="108">
        <f>SUMIF('11.11 Домофония'!$B$13:$B$126,$B32,'11.11 Домофония'!F$13:F$126)</f>
        <v>407</v>
      </c>
      <c r="G32" s="108">
        <f>SUMIF('11.11 Домофония'!$B$13:$B$126,$B32,'11.11 Домофония'!G$13:G$126)</f>
        <v>1250</v>
      </c>
      <c r="H32" s="108">
        <f>SUMIF('11.11 Домофония'!$B$13:$B$126,$B32,'11.11 Домофония'!H$13:H$126)</f>
        <v>1657</v>
      </c>
      <c r="I32" s="129"/>
      <c r="J32" s="129">
        <f t="shared" si="1"/>
        <v>0</v>
      </c>
      <c r="K32" s="128" t="str">
        <f>VLOOKUP(B32,'11.11 Домофония'!$B$13:$K$126,10,0)</f>
        <v>100м - LTE комплект</v>
      </c>
      <c r="L32" s="127"/>
    </row>
    <row r="33" spans="1:12" x14ac:dyDescent="0.3">
      <c r="A33" s="75">
        <f t="shared" si="0"/>
        <v>31</v>
      </c>
      <c r="B33" s="126" t="s">
        <v>151</v>
      </c>
      <c r="C33" s="127"/>
      <c r="D33" s="128" t="s">
        <v>152</v>
      </c>
      <c r="E33" s="128" t="s">
        <v>4</v>
      </c>
      <c r="F33" s="108">
        <f>SUMIF('11.11 Домофония'!$B$13:$B$126,$B33,'11.11 Домофония'!F$13:F$126)</f>
        <v>40</v>
      </c>
      <c r="G33" s="108">
        <f>SUMIF('11.11 Домофония'!$B$13:$B$126,$B33,'11.11 Домофония'!G$13:G$126)</f>
        <v>40</v>
      </c>
      <c r="H33" s="108">
        <f>SUMIF('11.11 Домофония'!$B$13:$B$126,$B33,'11.11 Домофония'!H$13:H$126)</f>
        <v>80</v>
      </c>
      <c r="I33" s="129"/>
      <c r="J33" s="129">
        <f t="shared" si="1"/>
        <v>0</v>
      </c>
      <c r="K33" s="128">
        <f>VLOOKUP(B33,'11.11 Домофония'!$B$13:$K$126,10,0)</f>
        <v>0</v>
      </c>
      <c r="L33" s="127"/>
    </row>
    <row r="34" spans="1:12" ht="43.2" x14ac:dyDescent="0.3">
      <c r="A34" s="75">
        <f t="shared" si="0"/>
        <v>32</v>
      </c>
      <c r="B34" s="126" t="s">
        <v>68</v>
      </c>
      <c r="C34" s="127"/>
      <c r="D34" s="128"/>
      <c r="E34" s="128" t="s">
        <v>5</v>
      </c>
      <c r="F34" s="108">
        <f>SUMIF('11.11 Домофония'!$B$13:$B$126,$B34,'11.11 Домофония'!F$13:F$126)</f>
        <v>3</v>
      </c>
      <c r="G34" s="108">
        <f>SUMIF('11.11 Домофония'!$B$13:$B$126,$B34,'11.11 Домофония'!G$13:G$126)</f>
        <v>3</v>
      </c>
      <c r="H34" s="108">
        <f>SUMIF('11.11 Домофония'!$B$13:$B$126,$B34,'11.11 Домофония'!H$13:H$126)</f>
        <v>6</v>
      </c>
      <c r="I34" s="129"/>
      <c r="J34" s="129">
        <f t="shared" si="1"/>
        <v>0</v>
      </c>
      <c r="K34" s="128">
        <f>VLOOKUP(B34,'11.11 Домофония'!$B$13:$K$126,10,0)</f>
        <v>0</v>
      </c>
      <c r="L34" s="127"/>
    </row>
    <row r="35" spans="1:12" ht="43.2" x14ac:dyDescent="0.3">
      <c r="A35" s="75">
        <f t="shared" si="0"/>
        <v>33</v>
      </c>
      <c r="B35" s="126" t="s">
        <v>78</v>
      </c>
      <c r="C35" s="127"/>
      <c r="D35" s="128"/>
      <c r="E35" s="128" t="s">
        <v>5</v>
      </c>
      <c r="F35" s="108">
        <f>SUMIF('11.11 Домофония'!$B$13:$B$126,$B35,'11.11 Домофония'!F$13:F$126)</f>
        <v>39</v>
      </c>
      <c r="G35" s="108">
        <f>SUMIF('11.11 Домофония'!$B$13:$B$126,$B35,'11.11 Домофония'!G$13:G$126)</f>
        <v>63</v>
      </c>
      <c r="H35" s="108">
        <f>SUMIF('11.11 Домофония'!$B$13:$B$126,$B35,'11.11 Домофония'!H$13:H$126)</f>
        <v>102</v>
      </c>
      <c r="I35" s="129"/>
      <c r="J35" s="129">
        <f t="shared" si="1"/>
        <v>0</v>
      </c>
      <c r="K35" s="128">
        <f>VLOOKUP(B35,'11.11 Домофония'!$B$13:$K$126,10,0)</f>
        <v>0</v>
      </c>
      <c r="L35" s="127"/>
    </row>
    <row r="36" spans="1:12" ht="28.8" x14ac:dyDescent="0.3">
      <c r="A36" s="75">
        <f t="shared" si="0"/>
        <v>34</v>
      </c>
      <c r="B36" s="126" t="s">
        <v>148</v>
      </c>
      <c r="C36" s="127"/>
      <c r="D36" s="128"/>
      <c r="E36" s="128" t="s">
        <v>5</v>
      </c>
      <c r="F36" s="108">
        <f>SUMIF('11.11 Домофония'!$B$13:$B$126,$B36,'11.11 Домофония'!F$13:F$126)</f>
        <v>2</v>
      </c>
      <c r="G36" s="108">
        <f>SUMIF('11.11 Домофония'!$B$13:$B$126,$B36,'11.11 Домофония'!G$13:G$126)</f>
        <v>2</v>
      </c>
      <c r="H36" s="108">
        <f>SUMIF('11.11 Домофония'!$B$13:$B$126,$B36,'11.11 Домофония'!H$13:H$126)</f>
        <v>4</v>
      </c>
      <c r="I36" s="129"/>
      <c r="J36" s="129">
        <f t="shared" si="1"/>
        <v>0</v>
      </c>
      <c r="K36" s="128" t="str">
        <f>VLOOKUP(B36,'11.11 Домофония'!$B$13:$K$126,10,0)</f>
        <v>Состав коммутационного шкафа домофонии</v>
      </c>
      <c r="L36" s="127"/>
    </row>
    <row r="37" spans="1:12" ht="57.6" x14ac:dyDescent="0.3">
      <c r="A37" s="75">
        <f t="shared" si="0"/>
        <v>35</v>
      </c>
      <c r="B37" s="126" t="s">
        <v>79</v>
      </c>
      <c r="C37" s="127"/>
      <c r="D37" s="128" t="s">
        <v>167</v>
      </c>
      <c r="E37" s="128" t="s">
        <v>5</v>
      </c>
      <c r="F37" s="108">
        <f>SUMIF('11.11 Домофония'!$B$13:$B$126,$B37,'11.11 Домофония'!F$13:F$126)</f>
        <v>11</v>
      </c>
      <c r="G37" s="108">
        <f>SUMIF('11.11 Домофония'!$B$13:$B$126,$B37,'11.11 Домофония'!G$13:G$126)</f>
        <v>19</v>
      </c>
      <c r="H37" s="108">
        <f>SUMIF('11.11 Домофония'!$B$13:$B$126,$B37,'11.11 Домофония'!H$13:H$126)</f>
        <v>30</v>
      </c>
      <c r="I37" s="129"/>
      <c r="J37" s="129">
        <f t="shared" si="1"/>
        <v>0</v>
      </c>
      <c r="K37" s="128" t="str">
        <f>VLOOKUP(B37,'11.11 Домофония'!$B$13:$K$126,10,0)</f>
        <v xml:space="preserve">на жилых этажах </v>
      </c>
      <c r="L37" s="127"/>
    </row>
    <row r="38" spans="1:12" ht="57.6" x14ac:dyDescent="0.3">
      <c r="A38" s="75">
        <f t="shared" si="0"/>
        <v>36</v>
      </c>
      <c r="B38" s="126" t="s">
        <v>80</v>
      </c>
      <c r="C38" s="127"/>
      <c r="D38" s="128" t="s">
        <v>168</v>
      </c>
      <c r="E38" s="128" t="s">
        <v>5</v>
      </c>
      <c r="F38" s="108">
        <f>SUMIF('11.11 Домофония'!$B$13:$B$126,$B38,'11.11 Домофония'!F$13:F$126)</f>
        <v>0</v>
      </c>
      <c r="G38" s="108">
        <f>SUMIF('11.11 Домофония'!$B$13:$B$126,$B38,'11.11 Домофония'!G$13:G$126)</f>
        <v>2</v>
      </c>
      <c r="H38" s="108">
        <f>SUMIF('11.11 Домофония'!$B$13:$B$126,$B38,'11.11 Домофония'!H$13:H$126)</f>
        <v>2</v>
      </c>
      <c r="I38" s="129"/>
      <c r="J38" s="129">
        <f t="shared" si="1"/>
        <v>0</v>
      </c>
      <c r="K38" s="128" t="str">
        <f>VLOOKUP(B38,'11.11 Домофония'!$B$13:$K$126,10,0)</f>
        <v xml:space="preserve">1шт - на жилых этажах, 1шт - LTE комплект </v>
      </c>
      <c r="L38" s="127"/>
    </row>
    <row r="39" spans="1:12" ht="28.8" x14ac:dyDescent="0.3">
      <c r="A39" s="75">
        <f t="shared" si="0"/>
        <v>37</v>
      </c>
      <c r="B39" s="126" t="s">
        <v>124</v>
      </c>
      <c r="C39" s="127" t="s">
        <v>109</v>
      </c>
      <c r="D39" s="128" t="s">
        <v>110</v>
      </c>
      <c r="E39" s="128" t="s">
        <v>5</v>
      </c>
      <c r="F39" s="108">
        <f>SUMIF('11.11 Домофония'!$B$13:$B$126,$B39,'11.11 Домофония'!F$13:F$126)</f>
        <v>1</v>
      </c>
      <c r="G39" s="108">
        <f>SUMIF('11.11 Домофония'!$B$13:$B$126,$B39,'11.11 Домофония'!G$13:G$126)</f>
        <v>1</v>
      </c>
      <c r="H39" s="108">
        <f>SUMIF('11.11 Домофония'!$B$13:$B$126,$B39,'11.11 Домофония'!H$13:H$126)</f>
        <v>2</v>
      </c>
      <c r="I39" s="129"/>
      <c r="J39" s="129">
        <f t="shared" si="1"/>
        <v>0</v>
      </c>
      <c r="K39" s="128" t="str">
        <f>VLOOKUP(B39,'11.11 Домофония'!$B$13:$K$126,10,0)</f>
        <v>Состав коммутационного шкафа домофонии</v>
      </c>
      <c r="L39" s="127"/>
    </row>
    <row r="40" spans="1:12" ht="28.8" x14ac:dyDescent="0.3">
      <c r="A40" s="75">
        <f t="shared" si="0"/>
        <v>38</v>
      </c>
      <c r="B40" s="126" t="s">
        <v>93</v>
      </c>
      <c r="C40" s="127"/>
      <c r="D40" s="128"/>
      <c r="E40" s="128" t="s">
        <v>5</v>
      </c>
      <c r="F40" s="108">
        <f>SUMIF('11.11 Домофония'!$B$13:$B$126,$B40,'11.11 Домофония'!F$13:F$126)</f>
        <v>0</v>
      </c>
      <c r="G40" s="108">
        <f>SUMIF('11.11 Домофония'!$B$13:$B$126,$B40,'11.11 Домофония'!G$13:G$126)</f>
        <v>1</v>
      </c>
      <c r="H40" s="108">
        <f>SUMIF('11.11 Домофония'!$B$13:$B$126,$B40,'11.11 Домофония'!H$13:H$126)</f>
        <v>1</v>
      </c>
      <c r="I40" s="129"/>
      <c r="J40" s="129">
        <f t="shared" si="1"/>
        <v>0</v>
      </c>
      <c r="K40" s="128" t="str">
        <f>VLOOKUP(B40,'11.11 Домофония'!$B$13:$K$126,10,0)</f>
        <v>для Camkeeper</v>
      </c>
      <c r="L40" s="127"/>
    </row>
    <row r="41" spans="1:12" ht="43.2" x14ac:dyDescent="0.3">
      <c r="A41" s="75">
        <f t="shared" si="0"/>
        <v>39</v>
      </c>
      <c r="B41" s="126" t="s">
        <v>122</v>
      </c>
      <c r="C41" s="127"/>
      <c r="D41" s="128"/>
      <c r="E41" s="128" t="s">
        <v>5</v>
      </c>
      <c r="F41" s="108">
        <f>SUMIF('11.11 Домофония'!$B$13:$B$126,$B41,'11.11 Домофония'!F$13:F$126)</f>
        <v>21</v>
      </c>
      <c r="G41" s="108">
        <f>SUMIF('11.11 Домофония'!$B$13:$B$126,$B41,'11.11 Домофония'!G$13:G$126)</f>
        <v>32</v>
      </c>
      <c r="H41" s="108">
        <f>SUMIF('11.11 Домофония'!$B$13:$B$126,$B41,'11.11 Домофония'!H$13:H$126)</f>
        <v>53</v>
      </c>
      <c r="I41" s="129"/>
      <c r="J41" s="129">
        <f t="shared" si="1"/>
        <v>0</v>
      </c>
      <c r="K41" s="128">
        <f>VLOOKUP(B41,'11.11 Домофония'!$B$13:$K$126,10,0)</f>
        <v>0</v>
      </c>
      <c r="L41" s="127"/>
    </row>
    <row r="42" spans="1:12" ht="43.2" x14ac:dyDescent="0.3">
      <c r="A42" s="75">
        <f t="shared" si="0"/>
        <v>40</v>
      </c>
      <c r="B42" s="126" t="s">
        <v>103</v>
      </c>
      <c r="C42" s="127"/>
      <c r="D42" s="128"/>
      <c r="E42" s="128" t="s">
        <v>5</v>
      </c>
      <c r="F42" s="108">
        <f>SUMIF('11.11 Домофония'!$B$13:$B$126,$B42,'11.11 Домофония'!F$13:F$126)</f>
        <v>249</v>
      </c>
      <c r="G42" s="108">
        <f>SUMIF('11.11 Домофония'!$B$13:$B$126,$B42,'11.11 Домофония'!G$13:G$126)</f>
        <v>342</v>
      </c>
      <c r="H42" s="108">
        <f>SUMIF('11.11 Домофония'!$B$13:$B$126,$B42,'11.11 Домофония'!H$13:H$126)</f>
        <v>591</v>
      </c>
      <c r="I42" s="129"/>
      <c r="J42" s="129">
        <f t="shared" si="1"/>
        <v>0</v>
      </c>
      <c r="K42" s="128">
        <f>VLOOKUP(B42,'11.11 Домофония'!$B$13:$K$126,10,0)</f>
        <v>0</v>
      </c>
      <c r="L42" s="127"/>
    </row>
    <row r="43" spans="1:12" ht="43.2" x14ac:dyDescent="0.3">
      <c r="A43" s="75">
        <f t="shared" si="0"/>
        <v>41</v>
      </c>
      <c r="B43" s="126" t="s">
        <v>65</v>
      </c>
      <c r="C43" s="127"/>
      <c r="D43" s="128"/>
      <c r="E43" s="128" t="s">
        <v>5</v>
      </c>
      <c r="F43" s="108">
        <f>SUMIF('11.11 Домофония'!$B$13:$B$126,$B43,'11.11 Домофония'!F$13:F$126)</f>
        <v>864</v>
      </c>
      <c r="G43" s="108">
        <f>SUMIF('11.11 Домофония'!$B$13:$B$126,$B43,'11.11 Домофония'!G$13:G$126)</f>
        <v>990</v>
      </c>
      <c r="H43" s="108">
        <f>SUMIF('11.11 Домофония'!$B$13:$B$126,$B43,'11.11 Домофония'!H$13:H$126)</f>
        <v>1854</v>
      </c>
      <c r="I43" s="129"/>
      <c r="J43" s="129">
        <f t="shared" si="1"/>
        <v>0</v>
      </c>
      <c r="K43" s="128">
        <f>VLOOKUP(B43,'11.11 Домофония'!$B$13:$K$126,10,0)</f>
        <v>0</v>
      </c>
      <c r="L43" s="127"/>
    </row>
    <row r="44" spans="1:12" ht="28.8" x14ac:dyDescent="0.3">
      <c r="A44" s="75">
        <f t="shared" si="0"/>
        <v>42</v>
      </c>
      <c r="B44" s="126" t="s">
        <v>123</v>
      </c>
      <c r="C44" s="127"/>
      <c r="D44" s="128"/>
      <c r="E44" s="128" t="s">
        <v>5</v>
      </c>
      <c r="F44" s="108">
        <f>SUMIF('11.11 Домофония'!$B$13:$B$126,$B44,'11.11 Домофония'!F$13:F$126)</f>
        <v>36</v>
      </c>
      <c r="G44" s="108">
        <f>SUMIF('11.11 Домофония'!$B$13:$B$126,$B44,'11.11 Домофония'!G$13:G$126)</f>
        <v>52</v>
      </c>
      <c r="H44" s="108">
        <f>SUMIF('11.11 Домофония'!$B$13:$B$126,$B44,'11.11 Домофония'!H$13:H$126)</f>
        <v>88</v>
      </c>
      <c r="I44" s="129"/>
      <c r="J44" s="129">
        <f t="shared" si="1"/>
        <v>0</v>
      </c>
      <c r="K44" s="128">
        <f>VLOOKUP(B44,'11.11 Домофония'!$B$13:$K$126,10,0)</f>
        <v>0</v>
      </c>
      <c r="L44" s="127"/>
    </row>
    <row r="45" spans="1:12" ht="28.8" x14ac:dyDescent="0.3">
      <c r="A45" s="75">
        <f t="shared" si="0"/>
        <v>43</v>
      </c>
      <c r="B45" s="126" t="s">
        <v>156</v>
      </c>
      <c r="C45" s="127"/>
      <c r="D45" s="128"/>
      <c r="E45" s="128" t="s">
        <v>5</v>
      </c>
      <c r="F45" s="108">
        <f>SUMIF('11.11 Домофония'!$B$13:$B$126,$B45,'11.11 Домофония'!F$13:F$126)</f>
        <v>0</v>
      </c>
      <c r="G45" s="108">
        <f>SUMIF('11.11 Домофония'!$B$13:$B$126,$B45,'11.11 Домофония'!G$13:G$126)</f>
        <v>1</v>
      </c>
      <c r="H45" s="108">
        <f>SUMIF('11.11 Домофония'!$B$13:$B$126,$B45,'11.11 Домофония'!H$13:H$126)</f>
        <v>1</v>
      </c>
      <c r="I45" s="129"/>
      <c r="J45" s="129">
        <f t="shared" si="1"/>
        <v>0</v>
      </c>
      <c r="K45" s="128" t="str">
        <f>VLOOKUP(B45,'11.11 Домофония'!$B$13:$K$126,10,0)</f>
        <v>Состав коммутационного шкафа домофонии</v>
      </c>
      <c r="L45" s="127"/>
    </row>
    <row r="46" spans="1:12" ht="28.8" x14ac:dyDescent="0.3">
      <c r="A46" s="75">
        <f t="shared" si="0"/>
        <v>44</v>
      </c>
      <c r="B46" s="126" t="s">
        <v>37</v>
      </c>
      <c r="C46" s="127"/>
      <c r="D46" s="128" t="s">
        <v>94</v>
      </c>
      <c r="E46" s="128" t="s">
        <v>5</v>
      </c>
      <c r="F46" s="108">
        <f>SUMIF('11.11 Домофония'!$B$13:$B$126,$B46,'11.11 Домофония'!F$13:F$126)</f>
        <v>0</v>
      </c>
      <c r="G46" s="108">
        <f>SUMIF('11.11 Домофония'!$B$13:$B$126,$B46,'11.11 Домофония'!G$13:G$126)</f>
        <v>1</v>
      </c>
      <c r="H46" s="108">
        <f>SUMIF('11.11 Домофония'!$B$13:$B$126,$B46,'11.11 Домофония'!H$13:H$126)</f>
        <v>1</v>
      </c>
      <c r="I46" s="129"/>
      <c r="J46" s="129">
        <f t="shared" si="1"/>
        <v>0</v>
      </c>
      <c r="K46" s="128" t="str">
        <f>VLOOKUP(B46,'11.11 Домофония'!$B$13:$K$126,10,0)</f>
        <v>Состав коммутационного шкафа домофонии</v>
      </c>
      <c r="L46" s="127"/>
    </row>
    <row r="47" spans="1:12" ht="28.8" x14ac:dyDescent="0.3">
      <c r="A47" s="75">
        <f t="shared" si="0"/>
        <v>45</v>
      </c>
      <c r="B47" s="126" t="s">
        <v>114</v>
      </c>
      <c r="C47" s="127" t="s">
        <v>113</v>
      </c>
      <c r="D47" s="128" t="s">
        <v>115</v>
      </c>
      <c r="E47" s="128" t="s">
        <v>5</v>
      </c>
      <c r="F47" s="108">
        <f>SUMIF('11.11 Домофония'!$B$13:$B$126,$B47,'11.11 Домофония'!F$13:F$126)</f>
        <v>24</v>
      </c>
      <c r="G47" s="108">
        <f>SUMIF('11.11 Домофония'!$B$13:$B$126,$B47,'11.11 Домофония'!G$13:G$126)</f>
        <v>24</v>
      </c>
      <c r="H47" s="108">
        <f>SUMIF('11.11 Домофония'!$B$13:$B$126,$B47,'11.11 Домофония'!H$13:H$126)</f>
        <v>48</v>
      </c>
      <c r="I47" s="129"/>
      <c r="J47" s="129">
        <f t="shared" si="1"/>
        <v>0</v>
      </c>
      <c r="K47" s="128" t="str">
        <f>VLOOKUP(B47,'11.11 Домофония'!$B$13:$K$126,10,0)</f>
        <v>Состав коммутационного шкафа домофонии</v>
      </c>
      <c r="L47" s="127"/>
    </row>
    <row r="48" spans="1:12" x14ac:dyDescent="0.3">
      <c r="A48" s="75">
        <f t="shared" si="0"/>
        <v>46</v>
      </c>
      <c r="B48" s="126" t="s">
        <v>81</v>
      </c>
      <c r="C48" s="127" t="s">
        <v>48</v>
      </c>
      <c r="D48" s="128" t="s">
        <v>82</v>
      </c>
      <c r="E48" s="128" t="s">
        <v>5</v>
      </c>
      <c r="F48" s="108">
        <f>SUMIF('11.11 Домофония'!$B$13:$B$126,$B48,'11.11 Домофония'!F$13:F$126)</f>
        <v>88</v>
      </c>
      <c r="G48" s="108">
        <f>SUMIF('11.11 Домофония'!$B$13:$B$126,$B48,'11.11 Домофония'!G$13:G$126)</f>
        <v>156</v>
      </c>
      <c r="H48" s="108">
        <f>SUMIF('11.11 Домофония'!$B$13:$B$126,$B48,'11.11 Домофония'!H$13:H$126)</f>
        <v>244</v>
      </c>
      <c r="I48" s="129"/>
      <c r="J48" s="129">
        <f t="shared" si="1"/>
        <v>0</v>
      </c>
      <c r="K48" s="128" t="str">
        <f>VLOOKUP(B48,'11.11 Домофония'!$B$13:$K$126,10,0)</f>
        <v xml:space="preserve">на жилых этажах </v>
      </c>
      <c r="L48" s="127"/>
    </row>
    <row r="49" spans="1:12" ht="28.8" x14ac:dyDescent="0.3">
      <c r="A49" s="75">
        <f t="shared" si="0"/>
        <v>47</v>
      </c>
      <c r="B49" s="126" t="s">
        <v>61</v>
      </c>
      <c r="C49" s="127"/>
      <c r="D49" s="128"/>
      <c r="E49" s="128" t="s">
        <v>5</v>
      </c>
      <c r="F49" s="108">
        <f>SUMIF('11.11 Домофония'!$B$13:$B$126,$B49,'11.11 Домофония'!F$13:F$126)</f>
        <v>3</v>
      </c>
      <c r="G49" s="108">
        <f>SUMIF('11.11 Домофония'!$B$13:$B$126,$B49,'11.11 Домофония'!G$13:G$126)</f>
        <v>3</v>
      </c>
      <c r="H49" s="108">
        <f>SUMIF('11.11 Домофония'!$B$13:$B$126,$B49,'11.11 Домофония'!H$13:H$126)</f>
        <v>6</v>
      </c>
      <c r="I49" s="129"/>
      <c r="J49" s="129">
        <f t="shared" si="1"/>
        <v>0</v>
      </c>
      <c r="K49" s="128">
        <f>VLOOKUP(B49,'11.11 Домофония'!$B$13:$K$126,10,0)</f>
        <v>0</v>
      </c>
      <c r="L49" s="127"/>
    </row>
    <row r="50" spans="1:12" ht="28.8" x14ac:dyDescent="0.3">
      <c r="A50" s="75">
        <f t="shared" si="0"/>
        <v>48</v>
      </c>
      <c r="B50" s="126" t="s">
        <v>69</v>
      </c>
      <c r="C50" s="127"/>
      <c r="D50" s="128"/>
      <c r="E50" s="128" t="s">
        <v>4</v>
      </c>
      <c r="F50" s="108">
        <f>SUMIF('11.11 Домофония'!$B$13:$B$126,$B50,'11.11 Домофония'!F$13:F$126)</f>
        <v>3</v>
      </c>
      <c r="G50" s="108">
        <f>SUMIF('11.11 Домофония'!$B$13:$B$126,$B50,'11.11 Домофония'!G$13:G$126)</f>
        <v>3</v>
      </c>
      <c r="H50" s="108">
        <f>SUMIF('11.11 Домофония'!$B$13:$B$126,$B50,'11.11 Домофония'!H$13:H$126)</f>
        <v>6</v>
      </c>
      <c r="I50" s="129"/>
      <c r="J50" s="129">
        <f t="shared" si="1"/>
        <v>0</v>
      </c>
      <c r="K50" s="128">
        <f>VLOOKUP(B50,'11.11 Домофония'!$B$13:$K$126,10,0)</f>
        <v>0</v>
      </c>
      <c r="L50" s="127"/>
    </row>
    <row r="51" spans="1:12" ht="28.8" x14ac:dyDescent="0.3">
      <c r="A51" s="75">
        <f t="shared" si="0"/>
        <v>49</v>
      </c>
      <c r="B51" s="126" t="s">
        <v>85</v>
      </c>
      <c r="C51" s="127"/>
      <c r="D51" s="128"/>
      <c r="E51" s="128" t="s">
        <v>4</v>
      </c>
      <c r="F51" s="108">
        <f>SUMIF('11.11 Домофония'!$B$13:$B$126,$B51,'11.11 Домофония'!F$13:F$126)</f>
        <v>451</v>
      </c>
      <c r="G51" s="108">
        <f>SUMIF('11.11 Домофония'!$B$13:$B$126,$B51,'11.11 Домофония'!G$13:G$126)</f>
        <v>877</v>
      </c>
      <c r="H51" s="108">
        <f>SUMIF('11.11 Домофония'!$B$13:$B$126,$B51,'11.11 Домофония'!H$13:H$126)</f>
        <v>1328</v>
      </c>
      <c r="I51" s="129"/>
      <c r="J51" s="129">
        <f t="shared" si="1"/>
        <v>0</v>
      </c>
      <c r="K51" s="128">
        <f>VLOOKUP(B51,'11.11 Домофония'!$B$13:$K$126,10,0)</f>
        <v>0</v>
      </c>
      <c r="L51" s="127"/>
    </row>
    <row r="52" spans="1:12" ht="28.8" x14ac:dyDescent="0.3">
      <c r="A52" s="75">
        <f t="shared" si="0"/>
        <v>50</v>
      </c>
      <c r="B52" s="126" t="s">
        <v>70</v>
      </c>
      <c r="C52" s="127"/>
      <c r="D52" s="128"/>
      <c r="E52" s="128" t="s">
        <v>5</v>
      </c>
      <c r="F52" s="108">
        <f>SUMIF('11.11 Домофония'!$B$13:$B$126,$B52,'11.11 Домофония'!F$13:F$126)</f>
        <v>1</v>
      </c>
      <c r="G52" s="108">
        <f>SUMIF('11.11 Домофония'!$B$13:$B$126,$B52,'11.11 Домофония'!G$13:G$126)</f>
        <v>2</v>
      </c>
      <c r="H52" s="108">
        <f>SUMIF('11.11 Домофония'!$B$13:$B$126,$B52,'11.11 Домофония'!H$13:H$126)</f>
        <v>3</v>
      </c>
      <c r="I52" s="129"/>
      <c r="J52" s="129">
        <f t="shared" si="1"/>
        <v>0</v>
      </c>
      <c r="K52" s="128">
        <f>VLOOKUP(B52,'11.11 Домофония'!$B$13:$K$126,10,0)</f>
        <v>0</v>
      </c>
      <c r="L52" s="127"/>
    </row>
    <row r="53" spans="1:12" ht="28.8" x14ac:dyDescent="0.3">
      <c r="A53" s="75">
        <f t="shared" si="0"/>
        <v>51</v>
      </c>
      <c r="B53" s="126" t="s">
        <v>166</v>
      </c>
      <c r="C53" s="127"/>
      <c r="D53" s="128"/>
      <c r="E53" s="128" t="s">
        <v>5</v>
      </c>
      <c r="F53" s="108">
        <f>SUMIF('11.11 Домофония'!$B$13:$B$126,$B53,'11.11 Домофония'!F$13:F$126)</f>
        <v>13</v>
      </c>
      <c r="G53" s="108">
        <f>SUMIF('11.11 Домофония'!$B$13:$B$126,$B53,'11.11 Домофония'!G$13:G$126)</f>
        <v>21</v>
      </c>
      <c r="H53" s="108">
        <f>SUMIF('11.11 Домофония'!$B$13:$B$126,$B53,'11.11 Домофония'!H$13:H$126)</f>
        <v>34</v>
      </c>
      <c r="I53" s="129"/>
      <c r="J53" s="129">
        <f t="shared" si="1"/>
        <v>0</v>
      </c>
      <c r="K53" s="128">
        <f>VLOOKUP(B53,'11.11 Домофония'!$B$13:$K$126,10,0)</f>
        <v>0</v>
      </c>
      <c r="L53" s="127"/>
    </row>
    <row r="54" spans="1:12" ht="28.8" x14ac:dyDescent="0.3">
      <c r="A54" s="75">
        <f t="shared" si="0"/>
        <v>52</v>
      </c>
      <c r="B54" s="126" t="s">
        <v>171</v>
      </c>
      <c r="C54" s="127"/>
      <c r="D54" s="128"/>
      <c r="E54" s="128" t="s">
        <v>5</v>
      </c>
      <c r="F54" s="108">
        <f>SUMIF('11.11 Домофония'!$B$13:$B$126,$B54,'11.11 Домофония'!F$13:F$126)</f>
        <v>0</v>
      </c>
      <c r="G54" s="108">
        <f>SUMIF('11.11 Домофония'!$B$13:$B$126,$B54,'11.11 Домофония'!G$13:G$126)</f>
        <v>1</v>
      </c>
      <c r="H54" s="108">
        <f>SUMIF('11.11 Домофония'!$B$13:$B$126,$B54,'11.11 Домофония'!H$13:H$126)</f>
        <v>1</v>
      </c>
      <c r="I54" s="129"/>
      <c r="J54" s="129">
        <f t="shared" si="1"/>
        <v>0</v>
      </c>
      <c r="K54" s="128" t="str">
        <f>VLOOKUP(B54,'11.11 Домофония'!$B$13:$K$126,10,0)</f>
        <v xml:space="preserve">Оптика между домами </v>
      </c>
      <c r="L54" s="127"/>
    </row>
    <row r="55" spans="1:12" ht="28.8" x14ac:dyDescent="0.3">
      <c r="A55" s="75">
        <f t="shared" si="0"/>
        <v>53</v>
      </c>
      <c r="B55" s="126" t="s">
        <v>172</v>
      </c>
      <c r="C55" s="127"/>
      <c r="D55" s="128"/>
      <c r="E55" s="128" t="s">
        <v>5</v>
      </c>
      <c r="F55" s="108">
        <f>SUMIF('11.11 Домофония'!$B$13:$B$126,$B55,'11.11 Домофония'!F$13:F$126)</f>
        <v>0</v>
      </c>
      <c r="G55" s="108">
        <f>SUMIF('11.11 Домофония'!$B$13:$B$126,$B55,'11.11 Домофония'!G$13:G$126)</f>
        <v>1</v>
      </c>
      <c r="H55" s="108">
        <f>SUMIF('11.11 Домофония'!$B$13:$B$126,$B55,'11.11 Домофония'!H$13:H$126)</f>
        <v>1</v>
      </c>
      <c r="I55" s="129"/>
      <c r="J55" s="129">
        <f t="shared" si="1"/>
        <v>0</v>
      </c>
      <c r="K55" s="128" t="str">
        <f>VLOOKUP(B55,'11.11 Домофония'!$B$13:$K$126,10,0)</f>
        <v xml:space="preserve">Оптика между домами </v>
      </c>
      <c r="L55" s="127"/>
    </row>
    <row r="56" spans="1:12" ht="57.6" x14ac:dyDescent="0.3">
      <c r="A56" s="75">
        <f t="shared" si="0"/>
        <v>54</v>
      </c>
      <c r="B56" s="126" t="s">
        <v>134</v>
      </c>
      <c r="C56" s="127"/>
      <c r="D56" s="128"/>
      <c r="E56" s="128" t="s">
        <v>5</v>
      </c>
      <c r="F56" s="108">
        <f>SUMIF('11.11 Домофония'!$B$13:$B$126,$B56,'11.11 Домофония'!F$13:F$126)</f>
        <v>0</v>
      </c>
      <c r="G56" s="108">
        <f>SUMIF('11.11 Домофония'!$B$13:$B$126,$B56,'11.11 Домофония'!G$13:G$126)</f>
        <v>1</v>
      </c>
      <c r="H56" s="108">
        <f>SUMIF('11.11 Домофония'!$B$13:$B$126,$B56,'11.11 Домофония'!H$13:H$126)</f>
        <v>1</v>
      </c>
      <c r="I56" s="129"/>
      <c r="J56" s="129">
        <f t="shared" si="1"/>
        <v>0</v>
      </c>
      <c r="K56" s="128" t="str">
        <f>VLOOKUP(B56,'11.11 Домофония'!$B$13:$K$126,10,0)</f>
        <v xml:space="preserve">Оптика между домами </v>
      </c>
      <c r="L56" s="127"/>
    </row>
    <row r="57" spans="1:12" ht="43.2" x14ac:dyDescent="0.3">
      <c r="A57" s="75">
        <f t="shared" si="0"/>
        <v>55</v>
      </c>
      <c r="B57" s="126" t="s">
        <v>121</v>
      </c>
      <c r="C57" s="127"/>
      <c r="D57" s="128"/>
      <c r="E57" s="128" t="s">
        <v>5</v>
      </c>
      <c r="F57" s="108">
        <f>SUMIF('11.11 Домофония'!$B$13:$B$126,$B57,'11.11 Домофония'!F$13:F$126)</f>
        <v>2</v>
      </c>
      <c r="G57" s="108">
        <f>SUMIF('11.11 Домофония'!$B$13:$B$126,$B57,'11.11 Домофония'!G$13:G$126)</f>
        <v>4</v>
      </c>
      <c r="H57" s="108">
        <f>SUMIF('11.11 Домофония'!$B$13:$B$126,$B57,'11.11 Домофония'!H$13:H$126)</f>
        <v>6</v>
      </c>
      <c r="I57" s="129"/>
      <c r="J57" s="129">
        <f t="shared" si="1"/>
        <v>0</v>
      </c>
      <c r="K57" s="128" t="str">
        <f>VLOOKUP(B57,'11.11 Домофония'!$B$13:$K$126,10,0)</f>
        <v>Состав коммутационного шкафа домофонии</v>
      </c>
      <c r="L57" s="127"/>
    </row>
    <row r="58" spans="1:12" ht="43.2" x14ac:dyDescent="0.3">
      <c r="A58" s="75">
        <f t="shared" si="0"/>
        <v>56</v>
      </c>
      <c r="B58" s="126" t="s">
        <v>120</v>
      </c>
      <c r="C58" s="127" t="s">
        <v>41</v>
      </c>
      <c r="D58" s="128" t="s">
        <v>119</v>
      </c>
      <c r="E58" s="128" t="s">
        <v>5</v>
      </c>
      <c r="F58" s="108">
        <f>SUMIF('11.11 Домофония'!$B$13:$B$126,$B58,'11.11 Домофония'!F$13:F$126)</f>
        <v>1</v>
      </c>
      <c r="G58" s="108">
        <f>SUMIF('11.11 Домофония'!$B$13:$B$126,$B58,'11.11 Домофония'!G$13:G$126)</f>
        <v>1</v>
      </c>
      <c r="H58" s="108">
        <f>SUMIF('11.11 Домофония'!$B$13:$B$126,$B58,'11.11 Домофония'!H$13:H$126)</f>
        <v>2</v>
      </c>
      <c r="I58" s="129"/>
      <c r="J58" s="129">
        <f t="shared" si="1"/>
        <v>0</v>
      </c>
      <c r="K58" s="128" t="str">
        <f>VLOOKUP(B58,'11.11 Домофония'!$B$13:$K$126,10,0)</f>
        <v>Состав коммутационного шкафа домофонии</v>
      </c>
      <c r="L58" s="127"/>
    </row>
    <row r="59" spans="1:12" ht="43.2" x14ac:dyDescent="0.3">
      <c r="A59" s="75">
        <f t="shared" si="0"/>
        <v>57</v>
      </c>
      <c r="B59" s="126" t="s">
        <v>174</v>
      </c>
      <c r="C59" s="127"/>
      <c r="D59" s="128"/>
      <c r="E59" s="128" t="s">
        <v>5</v>
      </c>
      <c r="F59" s="108">
        <f>SUMIF('11.11 Домофония'!$B$13:$B$126,$B59,'11.11 Домофония'!F$13:F$126)</f>
        <v>0</v>
      </c>
      <c r="G59" s="108">
        <f>SUMIF('11.11 Домофония'!$B$13:$B$126,$B59,'11.11 Домофония'!G$13:G$126)</f>
        <v>1</v>
      </c>
      <c r="H59" s="108">
        <f>SUMIF('11.11 Домофония'!$B$13:$B$126,$B59,'11.11 Домофония'!H$13:H$126)</f>
        <v>1</v>
      </c>
      <c r="I59" s="129"/>
      <c r="J59" s="129">
        <f t="shared" si="1"/>
        <v>0</v>
      </c>
      <c r="K59" s="128" t="str">
        <f>VLOOKUP(B59,'11.11 Домофония'!$B$13:$K$126,10,0)</f>
        <v>LTE комплект</v>
      </c>
      <c r="L59" s="127"/>
    </row>
    <row r="60" spans="1:12" ht="28.8" x14ac:dyDescent="0.3">
      <c r="A60" s="75">
        <f t="shared" si="0"/>
        <v>58</v>
      </c>
      <c r="B60" s="126" t="s">
        <v>112</v>
      </c>
      <c r="C60" s="127" t="s">
        <v>111</v>
      </c>
      <c r="D60" s="128" t="s">
        <v>41</v>
      </c>
      <c r="E60" s="128" t="s">
        <v>5</v>
      </c>
      <c r="F60" s="108">
        <f>SUMIF('11.11 Домофония'!$B$13:$B$126,$B60,'11.11 Домофония'!F$13:F$126)</f>
        <v>1</v>
      </c>
      <c r="G60" s="108">
        <f>SUMIF('11.11 Домофония'!$B$13:$B$126,$B60,'11.11 Домофония'!G$13:G$126)</f>
        <v>1</v>
      </c>
      <c r="H60" s="108">
        <f>SUMIF('11.11 Домофония'!$B$13:$B$126,$B60,'11.11 Домофония'!H$13:H$126)</f>
        <v>2</v>
      </c>
      <c r="I60" s="129"/>
      <c r="J60" s="129">
        <f t="shared" si="1"/>
        <v>0</v>
      </c>
      <c r="K60" s="128" t="str">
        <f>VLOOKUP(B60,'11.11 Домофония'!$B$13:$K$126,10,0)</f>
        <v>Состав коммутационного шкафа домофонии</v>
      </c>
      <c r="L60" s="127"/>
    </row>
    <row r="61" spans="1:12" ht="43.2" x14ac:dyDescent="0.3">
      <c r="A61" s="75">
        <f t="shared" si="0"/>
        <v>59</v>
      </c>
      <c r="B61" s="126" t="s">
        <v>163</v>
      </c>
      <c r="C61" s="127"/>
      <c r="D61" s="128"/>
      <c r="E61" s="128" t="s">
        <v>5</v>
      </c>
      <c r="F61" s="108">
        <f>SUMIF('11.11 Домофония'!$B$13:$B$126,$B61,'11.11 Домофония'!F$13:F$126)</f>
        <v>1</v>
      </c>
      <c r="G61" s="108">
        <f>SUMIF('11.11 Домофония'!$B$13:$B$126,$B61,'11.11 Домофония'!G$13:G$126)</f>
        <v>1</v>
      </c>
      <c r="H61" s="108">
        <f>SUMIF('11.11 Домофония'!$B$13:$B$126,$B61,'11.11 Домофония'!H$13:H$126)</f>
        <v>2</v>
      </c>
      <c r="I61" s="129"/>
      <c r="J61" s="129">
        <f t="shared" si="1"/>
        <v>0</v>
      </c>
      <c r="K61" s="128" t="str">
        <f>VLOOKUP(B61,'11.11 Домофония'!$B$13:$K$126,10,0)</f>
        <v>Состав коммутационного шкафа домофонии</v>
      </c>
      <c r="L61" s="127"/>
    </row>
    <row r="62" spans="1:12" ht="28.8" x14ac:dyDescent="0.3">
      <c r="A62" s="75">
        <f t="shared" si="0"/>
        <v>60</v>
      </c>
      <c r="B62" s="126" t="s">
        <v>67</v>
      </c>
      <c r="C62" s="127"/>
      <c r="D62" s="128"/>
      <c r="E62" s="128" t="s">
        <v>5</v>
      </c>
      <c r="F62" s="108">
        <f>SUMIF('11.11 Домофония'!$B$13:$B$126,$B62,'11.11 Домофония'!F$13:F$126)</f>
        <v>14</v>
      </c>
      <c r="G62" s="108">
        <f>SUMIF('11.11 Домофония'!$B$13:$B$126,$B62,'11.11 Домофония'!G$13:G$126)</f>
        <v>22</v>
      </c>
      <c r="H62" s="108">
        <f>SUMIF('11.11 Домофония'!$B$13:$B$126,$B62,'11.11 Домофония'!H$13:H$126)</f>
        <v>36</v>
      </c>
      <c r="I62" s="129"/>
      <c r="J62" s="129">
        <f t="shared" si="1"/>
        <v>0</v>
      </c>
      <c r="K62" s="128">
        <f>VLOOKUP(B62,'11.11 Домофония'!$B$13:$K$126,10,0)</f>
        <v>0</v>
      </c>
      <c r="L62" s="127"/>
    </row>
    <row r="63" spans="1:12" x14ac:dyDescent="0.3">
      <c r="A63" s="75">
        <f t="shared" si="0"/>
        <v>61</v>
      </c>
      <c r="B63" s="126" t="s">
        <v>18</v>
      </c>
      <c r="C63" s="127"/>
      <c r="D63" s="128"/>
      <c r="E63" s="128" t="s">
        <v>5</v>
      </c>
      <c r="F63" s="108">
        <f>SUMIF('11.11 Домофония'!$B$13:$B$126,$B63,'11.11 Домофония'!F$13:F$126)</f>
        <v>4</v>
      </c>
      <c r="G63" s="108">
        <f>SUMIF('11.11 Домофония'!$B$13:$B$126,$B63,'11.11 Домофония'!G$13:G$126)</f>
        <v>4</v>
      </c>
      <c r="H63" s="108">
        <f>SUMIF('11.11 Домофония'!$B$13:$B$126,$B63,'11.11 Домофония'!H$13:H$126)</f>
        <v>8</v>
      </c>
      <c r="I63" s="129"/>
      <c r="J63" s="129">
        <f t="shared" si="1"/>
        <v>0</v>
      </c>
      <c r="K63" s="128">
        <f>VLOOKUP(B63,'11.11 Домофония'!$B$13:$K$126,10,0)</f>
        <v>0</v>
      </c>
      <c r="L63" s="127"/>
    </row>
    <row r="64" spans="1:12" ht="28.8" x14ac:dyDescent="0.3">
      <c r="A64" s="75">
        <f t="shared" si="0"/>
        <v>62</v>
      </c>
      <c r="B64" s="126" t="s">
        <v>92</v>
      </c>
      <c r="C64" s="127"/>
      <c r="D64" s="128"/>
      <c r="E64" s="128" t="s">
        <v>5</v>
      </c>
      <c r="F64" s="108">
        <f>SUMIF('11.11 Домофония'!$B$13:$B$126,$B64,'11.11 Домофония'!F$13:F$126)</f>
        <v>3</v>
      </c>
      <c r="G64" s="108">
        <f>SUMIF('11.11 Домофония'!$B$13:$B$126,$B64,'11.11 Домофония'!G$13:G$126)</f>
        <v>3</v>
      </c>
      <c r="H64" s="108">
        <f>SUMIF('11.11 Домофония'!$B$13:$B$126,$B64,'11.11 Домофония'!H$13:H$126)</f>
        <v>6</v>
      </c>
      <c r="I64" s="129"/>
      <c r="J64" s="129">
        <f t="shared" si="1"/>
        <v>0</v>
      </c>
      <c r="K64" s="128" t="str">
        <f>VLOOKUP(B64,'11.11 Домофония'!$B$13:$K$126,10,0)</f>
        <v>Состав коммутационного шкафа домофонии</v>
      </c>
      <c r="L64" s="127"/>
    </row>
    <row r="65" spans="1:12" ht="28.8" x14ac:dyDescent="0.3">
      <c r="A65" s="75">
        <f t="shared" ref="A65" si="2">ROW()-2</f>
        <v>63</v>
      </c>
      <c r="B65" s="126" t="s">
        <v>147</v>
      </c>
      <c r="C65" s="127"/>
      <c r="D65" s="128"/>
      <c r="E65" s="128" t="s">
        <v>5</v>
      </c>
      <c r="F65" s="108">
        <f>SUMIF('11.11 Домофония'!$B$13:$B$126,$B65,'11.11 Домофония'!F$13:F$126)</f>
        <v>2</v>
      </c>
      <c r="G65" s="108">
        <f>SUMIF('11.11 Домофония'!$B$13:$B$126,$B65,'11.11 Домофония'!G$13:G$126)</f>
        <v>2</v>
      </c>
      <c r="H65" s="108">
        <f>SUMIF('11.11 Домофония'!$B$13:$B$126,$B65,'11.11 Домофония'!H$13:H$126)</f>
        <v>4</v>
      </c>
      <c r="I65" s="129"/>
      <c r="J65" s="129">
        <f t="shared" ref="J65:J83" si="3">I65*H65</f>
        <v>0</v>
      </c>
      <c r="K65" s="128" t="str">
        <f>VLOOKUP(B65,'11.11 Домофония'!$B$13:$K$126,10,0)</f>
        <v>Состав коммутационного шкафа домофонии</v>
      </c>
      <c r="L65" s="127"/>
    </row>
    <row r="66" spans="1:12" ht="57.6" x14ac:dyDescent="0.3">
      <c r="A66" s="75"/>
      <c r="B66" s="126" t="s">
        <v>137</v>
      </c>
      <c r="C66" s="127"/>
      <c r="D66" s="128"/>
      <c r="E66" s="128" t="s">
        <v>5</v>
      </c>
      <c r="F66" s="108">
        <f>SUMIF('11.11 Домофония'!$B$13:$B$126,$B66,'11.11 Домофония'!F$13:F$126)</f>
        <v>0</v>
      </c>
      <c r="G66" s="108">
        <f>SUMIF('11.11 Домофония'!$B$13:$B$126,$B66,'11.11 Домофония'!G$13:G$126)</f>
        <v>1</v>
      </c>
      <c r="H66" s="108">
        <f>SUMIF('11.11 Домофония'!$B$13:$B$126,$B66,'11.11 Домофония'!H$13:H$126)</f>
        <v>1</v>
      </c>
      <c r="I66" s="129"/>
      <c r="J66" s="129">
        <f t="shared" si="3"/>
        <v>0</v>
      </c>
      <c r="K66" s="128" t="str">
        <f>VLOOKUP(B66,'11.11 Домофония'!$B$13:$K$126,10,0)</f>
        <v>LTE комплект</v>
      </c>
      <c r="L66" s="127"/>
    </row>
    <row r="67" spans="1:12" ht="28.8" x14ac:dyDescent="0.3">
      <c r="A67" s="75"/>
      <c r="B67" s="126" t="s">
        <v>77</v>
      </c>
      <c r="C67" s="127"/>
      <c r="D67" s="128"/>
      <c r="E67" s="128" t="s">
        <v>5</v>
      </c>
      <c r="F67" s="108">
        <f>SUMIF('11.11 Домофония'!$B$13:$B$126,$B67,'11.11 Домофония'!F$13:F$126)</f>
        <v>102</v>
      </c>
      <c r="G67" s="108">
        <f>SUMIF('11.11 Домофония'!$B$13:$B$126,$B67,'11.11 Домофония'!G$13:G$126)</f>
        <v>150</v>
      </c>
      <c r="H67" s="108">
        <f>SUMIF('11.11 Домофония'!$B$13:$B$126,$B67,'11.11 Домофония'!H$13:H$126)</f>
        <v>252</v>
      </c>
      <c r="I67" s="129"/>
      <c r="J67" s="129">
        <f t="shared" si="3"/>
        <v>0</v>
      </c>
      <c r="K67" s="128">
        <f>VLOOKUP(B67,'11.11 Домофония'!$B$13:$K$126,10,0)</f>
        <v>0</v>
      </c>
      <c r="L67" s="127"/>
    </row>
    <row r="68" spans="1:12" x14ac:dyDescent="0.3">
      <c r="A68" s="75"/>
      <c r="B68" s="126" t="s">
        <v>58</v>
      </c>
      <c r="C68" s="127" t="s">
        <v>59</v>
      </c>
      <c r="D68" s="128" t="s">
        <v>41</v>
      </c>
      <c r="E68" s="128" t="s">
        <v>5</v>
      </c>
      <c r="F68" s="108">
        <f>SUMIF('11.11 Домофония'!$B$13:$B$126,$B68,'11.11 Домофония'!F$13:F$126)</f>
        <v>3</v>
      </c>
      <c r="G68" s="108">
        <f>SUMIF('11.11 Домофония'!$B$13:$B$126,$B68,'11.11 Домофония'!G$13:G$126)</f>
        <v>3</v>
      </c>
      <c r="H68" s="108">
        <f>SUMIF('11.11 Домофония'!$B$13:$B$126,$B68,'11.11 Домофония'!H$13:H$126)</f>
        <v>6</v>
      </c>
      <c r="I68" s="129"/>
      <c r="J68" s="129">
        <f t="shared" si="3"/>
        <v>0</v>
      </c>
      <c r="K68" s="128">
        <f>VLOOKUP(B68,'11.11 Домофония'!$B$13:$K$126,10,0)</f>
        <v>0</v>
      </c>
      <c r="L68" s="127"/>
    </row>
    <row r="69" spans="1:12" ht="28.8" x14ac:dyDescent="0.3">
      <c r="A69" s="75"/>
      <c r="B69" s="126" t="s">
        <v>32</v>
      </c>
      <c r="C69" s="127"/>
      <c r="D69" s="128" t="s">
        <v>56</v>
      </c>
      <c r="E69" s="128" t="s">
        <v>4</v>
      </c>
      <c r="F69" s="108">
        <f>SUMIF('11.11 Домофония'!$B$13:$B$126,$B69,'11.11 Домофония'!F$13:F$126)</f>
        <v>350</v>
      </c>
      <c r="G69" s="108">
        <f>SUMIF('11.11 Домофония'!$B$13:$B$126,$B69,'11.11 Домофония'!G$13:G$126)</f>
        <v>370</v>
      </c>
      <c r="H69" s="108">
        <f>SUMIF('11.11 Домофония'!$B$13:$B$126,$B69,'11.11 Домофония'!H$13:H$126)</f>
        <v>720</v>
      </c>
      <c r="I69" s="129"/>
      <c r="J69" s="129">
        <f t="shared" si="3"/>
        <v>0</v>
      </c>
      <c r="K69" s="128" t="str">
        <f>VLOOKUP(B69,'11.11 Домофония'!$B$13:$K$126,10,0)</f>
        <v>75 метров для оптики</v>
      </c>
      <c r="L69" s="127"/>
    </row>
    <row r="70" spans="1:12" ht="28.8" x14ac:dyDescent="0.3">
      <c r="A70" s="75"/>
      <c r="B70" s="126" t="s">
        <v>203</v>
      </c>
      <c r="C70" s="127" t="s">
        <v>64</v>
      </c>
      <c r="D70" s="128" t="s">
        <v>56</v>
      </c>
      <c r="E70" s="128" t="s">
        <v>4</v>
      </c>
      <c r="F70" s="108">
        <f>SUMIF('11.11 Домофония'!$B$13:$B$126,$B70,'11.11 Домофония'!F$13:F$126)</f>
        <v>82</v>
      </c>
      <c r="G70" s="108">
        <f>SUMIF('11.11 Домофония'!$B$13:$B$126,$B70,'11.11 Домофония'!G$13:G$126)</f>
        <v>125</v>
      </c>
      <c r="H70" s="108">
        <f>SUMIF('11.11 Домофония'!$B$13:$B$126,$B70,'11.11 Домофония'!H$13:H$126)</f>
        <v>207</v>
      </c>
      <c r="I70" s="129"/>
      <c r="J70" s="129">
        <f t="shared" si="3"/>
        <v>0</v>
      </c>
      <c r="K70" s="128">
        <f>VLOOKUP(B70,'11.11 Домофония'!$B$13:$K$126,10,0)</f>
        <v>0</v>
      </c>
      <c r="L70" s="127"/>
    </row>
    <row r="71" spans="1:12" ht="28.8" x14ac:dyDescent="0.3">
      <c r="A71" s="75"/>
      <c r="B71" s="126" t="s">
        <v>33</v>
      </c>
      <c r="C71" s="127" t="s">
        <v>71</v>
      </c>
      <c r="D71" s="128" t="s">
        <v>164</v>
      </c>
      <c r="E71" s="128" t="s">
        <v>4</v>
      </c>
      <c r="F71" s="108">
        <f>SUMIF('11.11 Домофония'!$B$13:$B$126,$B71,'11.11 Домофония'!F$13:F$126)</f>
        <v>10</v>
      </c>
      <c r="G71" s="108">
        <f>SUMIF('11.11 Домофония'!$B$13:$B$126,$B71,'11.11 Домофония'!G$13:G$126)</f>
        <v>10</v>
      </c>
      <c r="H71" s="108">
        <f>SUMIF('11.11 Домофония'!$B$13:$B$126,$B71,'11.11 Домофония'!H$13:H$126)</f>
        <v>20</v>
      </c>
      <c r="I71" s="129"/>
      <c r="J71" s="129">
        <f t="shared" si="3"/>
        <v>0</v>
      </c>
      <c r="K71" s="128">
        <f>VLOOKUP(B71,'11.11 Домофония'!$B$13:$K$126,10,0)</f>
        <v>0</v>
      </c>
      <c r="L71" s="127"/>
    </row>
    <row r="72" spans="1:12" ht="28.8" x14ac:dyDescent="0.3">
      <c r="A72" s="75"/>
      <c r="B72" s="126" t="s">
        <v>74</v>
      </c>
      <c r="C72" s="127"/>
      <c r="D72" s="128" t="s">
        <v>130</v>
      </c>
      <c r="E72" s="128" t="s">
        <v>4</v>
      </c>
      <c r="F72" s="108">
        <f>SUMIF('11.11 Домофония'!$B$13:$B$126,$B72,'11.11 Домофония'!F$13:F$126)</f>
        <v>1804</v>
      </c>
      <c r="G72" s="108">
        <f>SUMIF('11.11 Домофония'!$B$13:$B$126,$B72,'11.11 Домофония'!G$13:G$126)</f>
        <v>3510</v>
      </c>
      <c r="H72" s="108">
        <f>SUMIF('11.11 Домофония'!$B$13:$B$126,$B72,'11.11 Домофония'!H$13:H$126)</f>
        <v>5314</v>
      </c>
      <c r="I72" s="129"/>
      <c r="J72" s="129">
        <f t="shared" si="3"/>
        <v>0</v>
      </c>
      <c r="K72" s="128">
        <f>VLOOKUP(B72,'11.11 Домофония'!$B$13:$K$126,10,0)</f>
        <v>0</v>
      </c>
      <c r="L72" s="127"/>
    </row>
    <row r="73" spans="1:12" ht="28.8" x14ac:dyDescent="0.3">
      <c r="A73" s="75"/>
      <c r="B73" s="126" t="s">
        <v>75</v>
      </c>
      <c r="C73" s="127"/>
      <c r="D73" s="128" t="s">
        <v>165</v>
      </c>
      <c r="E73" s="128" t="s">
        <v>4</v>
      </c>
      <c r="F73" s="108">
        <f>SUMIF('11.11 Домофония'!$B$13:$B$126,$B73,'11.11 Домофония'!F$13:F$126)</f>
        <v>39</v>
      </c>
      <c r="G73" s="108">
        <f>SUMIF('11.11 Домофония'!$B$13:$B$126,$B73,'11.11 Домофония'!G$13:G$126)</f>
        <v>63</v>
      </c>
      <c r="H73" s="108">
        <f>SUMIF('11.11 Домофония'!$B$13:$B$126,$B73,'11.11 Домофония'!H$13:H$126)</f>
        <v>102</v>
      </c>
      <c r="I73" s="129"/>
      <c r="J73" s="129">
        <f t="shared" si="3"/>
        <v>0</v>
      </c>
      <c r="K73" s="128">
        <f>VLOOKUP(B73,'11.11 Домофония'!$B$13:$K$126,10,0)</f>
        <v>0</v>
      </c>
      <c r="L73" s="127"/>
    </row>
    <row r="74" spans="1:12" ht="28.8" x14ac:dyDescent="0.3">
      <c r="A74" s="75"/>
      <c r="B74" s="126" t="s">
        <v>84</v>
      </c>
      <c r="C74" s="127"/>
      <c r="D74" s="128" t="s">
        <v>76</v>
      </c>
      <c r="E74" s="128" t="s">
        <v>4</v>
      </c>
      <c r="F74" s="108">
        <f>SUMIF('11.11 Домофония'!$B$13:$B$126,$B74,'11.11 Домофония'!F$13:F$126)</f>
        <v>12</v>
      </c>
      <c r="G74" s="108">
        <f>SUMIF('11.11 Домофония'!$B$13:$B$126,$B74,'11.11 Домофония'!G$13:G$126)</f>
        <v>12</v>
      </c>
      <c r="H74" s="108">
        <f>SUMIF('11.11 Домофония'!$B$13:$B$126,$B74,'11.11 Домофония'!H$13:H$126)</f>
        <v>24</v>
      </c>
      <c r="I74" s="129"/>
      <c r="J74" s="129">
        <f t="shared" si="3"/>
        <v>0</v>
      </c>
      <c r="K74" s="128">
        <f>VLOOKUP(B74,'11.11 Домофония'!$B$13:$K$126,10,0)</f>
        <v>0</v>
      </c>
      <c r="L74" s="127"/>
    </row>
    <row r="75" spans="1:12" x14ac:dyDescent="0.3">
      <c r="A75" s="75"/>
      <c r="B75" s="126" t="s">
        <v>200</v>
      </c>
      <c r="C75" s="127"/>
      <c r="D75" s="128"/>
      <c r="E75" s="128" t="s">
        <v>3</v>
      </c>
      <c r="F75" s="108">
        <f>SUMIF('11.11 Домофония'!$B$13:$B$126,$B75,'11.11 Домофония'!F$13:F$126)</f>
        <v>3.9</v>
      </c>
      <c r="G75" s="108">
        <f>SUMIF('11.11 Домофония'!$B$13:$B$126,$B75,'11.11 Домофония'!G$13:G$126)</f>
        <v>6.3</v>
      </c>
      <c r="H75" s="108">
        <f>SUMIF('11.11 Домофония'!$B$13:$B$126,$B75,'11.11 Домофония'!H$13:H$126)</f>
        <v>10.199999999999999</v>
      </c>
      <c r="I75" s="129"/>
      <c r="J75" s="129">
        <f t="shared" si="3"/>
        <v>0</v>
      </c>
      <c r="K75" s="128">
        <f>VLOOKUP(B75,'11.11 Домофония'!$B$13:$K$126,10,0)</f>
        <v>0</v>
      </c>
      <c r="L75" s="127"/>
    </row>
    <row r="76" spans="1:12" ht="28.8" x14ac:dyDescent="0.3">
      <c r="A76" s="75"/>
      <c r="B76" s="126" t="s">
        <v>143</v>
      </c>
      <c r="C76" s="127"/>
      <c r="D76" s="128"/>
      <c r="E76" s="128" t="s">
        <v>5</v>
      </c>
      <c r="F76" s="108">
        <f>SUMIF('11.11 Домофония'!$B$13:$B$126,$B76,'11.11 Домофония'!F$13:F$126)</f>
        <v>1</v>
      </c>
      <c r="G76" s="108">
        <f>SUMIF('11.11 Домофония'!$B$13:$B$126,$B76,'11.11 Домофония'!G$13:G$126)</f>
        <v>1</v>
      </c>
      <c r="H76" s="108">
        <f>SUMIF('11.11 Домофония'!$B$13:$B$126,$B76,'11.11 Домофония'!H$13:H$126)</f>
        <v>2</v>
      </c>
      <c r="I76" s="129"/>
      <c r="J76" s="129">
        <f t="shared" si="3"/>
        <v>0</v>
      </c>
      <c r="K76" s="128" t="str">
        <f>VLOOKUP(B76,'11.11 Домофония'!$B$13:$K$126,10,0)</f>
        <v>Состав коммутационного шкафа домофонии</v>
      </c>
      <c r="L76" s="127"/>
    </row>
    <row r="77" spans="1:12" ht="28.8" x14ac:dyDescent="0.3">
      <c r="A77" s="75"/>
      <c r="B77" s="126" t="s">
        <v>146</v>
      </c>
      <c r="C77" s="127"/>
      <c r="D77" s="128" t="s">
        <v>142</v>
      </c>
      <c r="E77" s="128" t="s">
        <v>5</v>
      </c>
      <c r="F77" s="108">
        <f>SUMIF('11.11 Домофония'!$B$13:$B$126,$B77,'11.11 Домофония'!F$13:F$126)</f>
        <v>0</v>
      </c>
      <c r="G77" s="108">
        <f>SUMIF('11.11 Домофония'!$B$13:$B$126,$B77,'11.11 Домофония'!G$13:G$126)</f>
        <v>1</v>
      </c>
      <c r="H77" s="108">
        <f>SUMIF('11.11 Домофония'!$B$13:$B$126,$B77,'11.11 Домофония'!H$13:H$126)</f>
        <v>1</v>
      </c>
      <c r="I77" s="129"/>
      <c r="J77" s="129">
        <f t="shared" si="3"/>
        <v>0</v>
      </c>
      <c r="K77" s="128" t="str">
        <f>VLOOKUP(B77,'11.11 Домофония'!$B$13:$K$126,10,0)</f>
        <v>Состав коммутационного шкафа домофонии</v>
      </c>
      <c r="L77" s="127"/>
    </row>
    <row r="78" spans="1:12" ht="28.8" x14ac:dyDescent="0.3">
      <c r="A78" s="75"/>
      <c r="B78" s="126" t="s">
        <v>145</v>
      </c>
      <c r="C78" s="127"/>
      <c r="D78" s="128" t="s">
        <v>144</v>
      </c>
      <c r="E78" s="128" t="s">
        <v>5</v>
      </c>
      <c r="F78" s="108">
        <f>SUMIF('11.11 Домофония'!$B$13:$B$126,$B78,'11.11 Домофония'!F$13:F$126)</f>
        <v>1</v>
      </c>
      <c r="G78" s="108">
        <f>SUMIF('11.11 Домофония'!$B$13:$B$126,$B78,'11.11 Домофония'!G$13:G$126)</f>
        <v>1</v>
      </c>
      <c r="H78" s="108">
        <f>SUMIF('11.11 Домофония'!$B$13:$B$126,$B78,'11.11 Домофония'!H$13:H$126)</f>
        <v>2</v>
      </c>
      <c r="I78" s="129"/>
      <c r="J78" s="129">
        <f t="shared" si="3"/>
        <v>0</v>
      </c>
      <c r="K78" s="128" t="str">
        <f>VLOOKUP(B78,'11.11 Домофония'!$B$13:$K$126,10,0)</f>
        <v>Состав коммутационного шкафа домофонии</v>
      </c>
      <c r="L78" s="127"/>
    </row>
    <row r="79" spans="1:12" ht="57.6" x14ac:dyDescent="0.3">
      <c r="A79" s="75"/>
      <c r="B79" s="126" t="s">
        <v>83</v>
      </c>
      <c r="C79" s="127"/>
      <c r="D79" s="128"/>
      <c r="E79" s="128" t="s">
        <v>5</v>
      </c>
      <c r="F79" s="108">
        <f>SUMIF('11.11 Домофония'!$B$13:$B$126,$B79,'11.11 Домофония'!F$13:F$126)</f>
        <v>88</v>
      </c>
      <c r="G79" s="108">
        <f>SUMIF('11.11 Домофония'!$B$13:$B$126,$B79,'11.11 Домофония'!G$13:G$126)</f>
        <v>156</v>
      </c>
      <c r="H79" s="108">
        <f>SUMIF('11.11 Домофония'!$B$13:$B$126,$B79,'11.11 Домофония'!H$13:H$126)</f>
        <v>244</v>
      </c>
      <c r="I79" s="129"/>
      <c r="J79" s="129">
        <f t="shared" si="3"/>
        <v>0</v>
      </c>
      <c r="K79" s="128" t="str">
        <f>VLOOKUP(B79,'11.11 Домофония'!$B$13:$K$126,10,0)</f>
        <v xml:space="preserve">на жилых этажах </v>
      </c>
      <c r="L79" s="127"/>
    </row>
    <row r="80" spans="1:12" ht="43.2" x14ac:dyDescent="0.3">
      <c r="A80" s="75"/>
      <c r="B80" s="126" t="s">
        <v>107</v>
      </c>
      <c r="C80" s="127" t="s">
        <v>160</v>
      </c>
      <c r="D80" s="128" t="s">
        <v>161</v>
      </c>
      <c r="E80" s="128" t="s">
        <v>5</v>
      </c>
      <c r="F80" s="108">
        <f>SUMIF('11.11 Домофония'!$B$13:$B$126,$B80,'11.11 Домофония'!F$13:F$126)</f>
        <v>1</v>
      </c>
      <c r="G80" s="108">
        <f>SUMIF('11.11 Домофония'!$B$13:$B$126,$B80,'11.11 Домофония'!G$13:G$126)</f>
        <v>0</v>
      </c>
      <c r="H80" s="108">
        <f>SUMIF('11.11 Домофония'!$B$13:$B$126,$B80,'11.11 Домофония'!H$13:H$126)</f>
        <v>1</v>
      </c>
      <c r="I80" s="129"/>
      <c r="J80" s="129">
        <f t="shared" si="3"/>
        <v>0</v>
      </c>
      <c r="K80" s="128" t="str">
        <f>VLOOKUP(B80,'11.11 Домофония'!$B$13:$K$126,10,0)</f>
        <v>Состав коммутационного шкафа домофонии</v>
      </c>
      <c r="L80" s="127"/>
    </row>
    <row r="81" spans="1:13" ht="43.2" x14ac:dyDescent="0.3">
      <c r="A81" s="75"/>
      <c r="B81" s="126" t="s">
        <v>108</v>
      </c>
      <c r="C81" s="127" t="s">
        <v>140</v>
      </c>
      <c r="D81" s="128" t="s">
        <v>141</v>
      </c>
      <c r="E81" s="128" t="s">
        <v>5</v>
      </c>
      <c r="F81" s="108">
        <f>SUMIF('11.11 Домофония'!$B$13:$B$126,$B81,'11.11 Домофония'!F$13:F$126)</f>
        <v>0</v>
      </c>
      <c r="G81" s="108">
        <f>SUMIF('11.11 Домофония'!$B$13:$B$126,$B81,'11.11 Домофония'!G$13:G$126)</f>
        <v>1</v>
      </c>
      <c r="H81" s="108">
        <f>SUMIF('11.11 Домофония'!$B$13:$B$126,$B81,'11.11 Домофония'!H$13:H$126)</f>
        <v>1</v>
      </c>
      <c r="I81" s="129"/>
      <c r="J81" s="129">
        <f t="shared" si="3"/>
        <v>0</v>
      </c>
      <c r="K81" s="128" t="str">
        <f>VLOOKUP(B81,'11.11 Домофония'!$B$13:$K$126,10,0)</f>
        <v>Состав коммутационного шкафа домофонии</v>
      </c>
      <c r="L81" s="127"/>
    </row>
    <row r="82" spans="1:13" ht="57.6" x14ac:dyDescent="0.3">
      <c r="A82" s="75"/>
      <c r="B82" s="126" t="s">
        <v>135</v>
      </c>
      <c r="C82" s="127"/>
      <c r="D82" s="128"/>
      <c r="E82" s="128" t="s">
        <v>5</v>
      </c>
      <c r="F82" s="108">
        <f>SUMIF('11.11 Домофония'!$B$13:$B$126,$B82,'11.11 Домофония'!F$13:F$126)</f>
        <v>0</v>
      </c>
      <c r="G82" s="108">
        <f>SUMIF('11.11 Домофония'!$B$13:$B$126,$B82,'11.11 Домофония'!G$13:G$126)</f>
        <v>2</v>
      </c>
      <c r="H82" s="108">
        <f>SUMIF('11.11 Домофония'!$B$13:$B$126,$B82,'11.11 Домофония'!H$13:H$126)</f>
        <v>2</v>
      </c>
      <c r="I82" s="129"/>
      <c r="J82" s="129">
        <f t="shared" si="3"/>
        <v>0</v>
      </c>
      <c r="K82" s="128" t="str">
        <f>VLOOKUP(B82,'11.11 Домофония'!$B$13:$K$126,10,0)</f>
        <v xml:space="preserve">Оптика между домами </v>
      </c>
      <c r="L82" s="127"/>
    </row>
    <row r="83" spans="1:13" x14ac:dyDescent="0.3">
      <c r="A83" s="75"/>
      <c r="B83" s="126" t="s">
        <v>19</v>
      </c>
      <c r="C83" s="127"/>
      <c r="D83" s="128"/>
      <c r="E83" s="128" t="s">
        <v>5</v>
      </c>
      <c r="F83" s="108">
        <f>SUMIF('11.11 Домофония'!$B$13:$B$126,$B83,'11.11 Домофония'!F$13:F$126)</f>
        <v>4</v>
      </c>
      <c r="G83" s="108">
        <f>SUMIF('11.11 Домофония'!$B$13:$B$126,$B83,'11.11 Домофония'!G$13:G$126)</f>
        <v>4</v>
      </c>
      <c r="H83" s="108">
        <f>SUMIF('11.11 Домофония'!$B$13:$B$126,$B83,'11.11 Домофония'!H$13:H$126)</f>
        <v>8</v>
      </c>
      <c r="I83" s="129"/>
      <c r="J83" s="129">
        <f t="shared" si="3"/>
        <v>0</v>
      </c>
      <c r="K83" s="128">
        <f>VLOOKUP(B83,'11.11 Домофония'!$B$13:$K$126,10,0)</f>
        <v>0</v>
      </c>
      <c r="L83" s="127"/>
    </row>
    <row r="84" spans="1:13" x14ac:dyDescent="0.3">
      <c r="I84" s="111" t="s">
        <v>193</v>
      </c>
      <c r="J84" s="112">
        <f>SUM(J3:J83)</f>
        <v>0</v>
      </c>
    </row>
    <row r="85" spans="1:13" x14ac:dyDescent="0.3">
      <c r="I85" s="111" t="s">
        <v>194</v>
      </c>
      <c r="J85" s="113">
        <f>J84-'11.11 Домофония'!J129</f>
        <v>0</v>
      </c>
    </row>
    <row r="87" spans="1:13" s="2" customFormat="1" ht="13.8" x14ac:dyDescent="0.3">
      <c r="B87" s="114" t="s">
        <v>49</v>
      </c>
      <c r="C87" s="114"/>
      <c r="D87" s="1"/>
      <c r="E87" s="1"/>
      <c r="I87" s="115"/>
      <c r="K87" s="116"/>
      <c r="L87" s="117"/>
      <c r="M87" s="116"/>
    </row>
    <row r="88" spans="1:13" s="2" customFormat="1" ht="41.25" customHeight="1" x14ac:dyDescent="0.3">
      <c r="A88" s="118" t="s">
        <v>41</v>
      </c>
      <c r="B88" s="141" t="s">
        <v>50</v>
      </c>
      <c r="C88" s="141"/>
      <c r="D88" s="141"/>
      <c r="E88" s="141"/>
      <c r="F88" s="141"/>
      <c r="G88" s="141"/>
      <c r="H88" s="141"/>
      <c r="I88" s="141"/>
      <c r="J88" s="141"/>
      <c r="K88" s="119"/>
      <c r="L88" s="119"/>
      <c r="M88" s="120"/>
    </row>
    <row r="89" spans="1:13" s="2" customFormat="1" ht="73.2" customHeight="1" x14ac:dyDescent="0.3">
      <c r="A89" s="121" t="s">
        <v>41</v>
      </c>
      <c r="B89" s="141" t="s">
        <v>51</v>
      </c>
      <c r="C89" s="141"/>
      <c r="D89" s="141"/>
      <c r="E89" s="141"/>
      <c r="F89" s="141"/>
      <c r="G89" s="141"/>
      <c r="H89" s="141"/>
      <c r="I89" s="141"/>
      <c r="J89" s="141"/>
      <c r="K89" s="119"/>
      <c r="L89" s="119"/>
      <c r="M89" s="122"/>
    </row>
    <row r="90" spans="1:13" s="2" customFormat="1" ht="13.8" customHeight="1" x14ac:dyDescent="0.3">
      <c r="A90" s="118" t="s">
        <v>41</v>
      </c>
      <c r="B90" s="123" t="s">
        <v>52</v>
      </c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4"/>
    </row>
  </sheetData>
  <sortState xmlns:xlrd2="http://schemas.microsoft.com/office/spreadsheetml/2017/richdata2" ref="B3:E83">
    <sortCondition ref="B3:B83"/>
  </sortState>
  <mergeCells count="2">
    <mergeCell ref="B88:J88"/>
    <mergeCell ref="B89:J89"/>
  </mergeCells>
  <conditionalFormatting sqref="B1:B1048576">
    <cfRule type="duplicateValues" dxfId="1" priority="2"/>
  </conditionalFormatting>
  <conditionalFormatting sqref="K6:K83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11.11 Домофония</vt:lpstr>
      <vt:lpstr>СМР</vt:lpstr>
      <vt:lpstr>ТМЦ</vt:lpstr>
      <vt:lpstr>'11.11 Домофония'!Область_печати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2026-02-17T17:35:07Z</dcterms:modified>
</cp:coreProperties>
</file>