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D1E9C272-4D67-4C29-BF65-31DFDC799C27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11.11 Домофония" sheetId="16" r:id="rId1"/>
    <sheet name="СМР" sheetId="22" r:id="rId2"/>
    <sheet name="ТМЦ" sheetId="23" r:id="rId3"/>
  </sheets>
  <externalReferences>
    <externalReference r:id="rId4"/>
  </externalReferences>
  <definedNames>
    <definedName name="_xlnm._FilterDatabase" localSheetId="0" hidden="1">'11.11 Домофония'!$A$12:$K$120</definedName>
    <definedName name="_xlnm._FilterDatabase" localSheetId="2" hidden="1">ТМЦ!$A$2:$M$77</definedName>
    <definedName name="Данные">[1]Тестовый!$F$10:$H$14</definedName>
    <definedName name="_xlnm.Print_Area" localSheetId="0">'11.11 Домофония'!$A$8:$K$125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0" i="16" l="1"/>
  <c r="K109" i="16"/>
  <c r="K108" i="16"/>
  <c r="K107" i="16"/>
  <c r="K106" i="16"/>
  <c r="K105" i="16"/>
  <c r="K103" i="16"/>
  <c r="K102" i="16"/>
  <c r="K101" i="16"/>
  <c r="K100" i="16"/>
  <c r="K99" i="16"/>
  <c r="K98" i="16"/>
  <c r="K91" i="16"/>
  <c r="K90" i="16"/>
  <c r="K89" i="16"/>
  <c r="K88" i="16"/>
  <c r="K87" i="16"/>
  <c r="K86" i="16"/>
  <c r="K85" i="16"/>
  <c r="K84" i="16"/>
  <c r="K82" i="16"/>
  <c r="K81" i="16"/>
  <c r="K80" i="16"/>
  <c r="K79" i="16"/>
  <c r="K78" i="16"/>
  <c r="K77" i="16"/>
  <c r="K76" i="16"/>
  <c r="K75" i="16"/>
  <c r="K74" i="16"/>
  <c r="K73" i="16"/>
  <c r="K72" i="16"/>
  <c r="K71" i="16"/>
  <c r="K70" i="16"/>
  <c r="K69" i="16"/>
  <c r="K68" i="16"/>
  <c r="K67" i="16"/>
  <c r="K66" i="16"/>
  <c r="K65" i="16"/>
  <c r="K64" i="16"/>
  <c r="K63" i="16"/>
  <c r="K62" i="16"/>
  <c r="K61" i="16"/>
  <c r="K60" i="16"/>
  <c r="K59" i="16"/>
  <c r="K58" i="16"/>
  <c r="K57" i="16"/>
  <c r="K56" i="16"/>
  <c r="K55" i="16"/>
  <c r="K54" i="16"/>
  <c r="K53" i="16"/>
  <c r="K52" i="16"/>
  <c r="K51" i="16"/>
  <c r="K50" i="16"/>
  <c r="K44" i="16"/>
  <c r="K43" i="16"/>
  <c r="K42" i="16"/>
  <c r="K41" i="16"/>
  <c r="K40" i="16"/>
  <c r="K39" i="16"/>
  <c r="K38" i="16"/>
  <c r="K37" i="16"/>
  <c r="K36" i="16"/>
  <c r="K35" i="16"/>
  <c r="K34" i="16"/>
  <c r="K33" i="16"/>
  <c r="K32" i="16"/>
  <c r="K22" i="16"/>
  <c r="K23" i="16"/>
  <c r="K24" i="16"/>
  <c r="K25" i="16"/>
  <c r="K26" i="16"/>
  <c r="K27" i="16"/>
  <c r="K28" i="16"/>
  <c r="K29" i="16"/>
  <c r="K30" i="16"/>
  <c r="K21" i="16"/>
  <c r="I4" i="23"/>
  <c r="I5" i="23"/>
  <c r="I6" i="23"/>
  <c r="I7" i="23"/>
  <c r="I8" i="23"/>
  <c r="I9" i="23"/>
  <c r="I10" i="23"/>
  <c r="I11" i="23"/>
  <c r="I12" i="23"/>
  <c r="I13" i="23"/>
  <c r="I14" i="23"/>
  <c r="I15" i="23"/>
  <c r="I16" i="23"/>
  <c r="I17" i="23"/>
  <c r="I18" i="23"/>
  <c r="I19" i="23"/>
  <c r="I20" i="23"/>
  <c r="I21" i="23"/>
  <c r="I22" i="23"/>
  <c r="I23" i="23"/>
  <c r="I24" i="23"/>
  <c r="I25" i="23"/>
  <c r="I26" i="23"/>
  <c r="I27" i="23"/>
  <c r="I28" i="23"/>
  <c r="I29" i="23"/>
  <c r="I30" i="23"/>
  <c r="I31" i="23"/>
  <c r="I32" i="23"/>
  <c r="I33" i="23"/>
  <c r="I34" i="23"/>
  <c r="I35" i="23"/>
  <c r="I36" i="23"/>
  <c r="I37" i="23"/>
  <c r="I38" i="23"/>
  <c r="I39" i="23"/>
  <c r="I40" i="23"/>
  <c r="I41" i="23"/>
  <c r="I42" i="23"/>
  <c r="I43" i="23"/>
  <c r="I44" i="23"/>
  <c r="I45" i="23"/>
  <c r="I46" i="23"/>
  <c r="I47" i="23"/>
  <c r="I48" i="23"/>
  <c r="I49" i="23"/>
  <c r="I50" i="23"/>
  <c r="I51" i="23"/>
  <c r="I52" i="23"/>
  <c r="I53" i="23"/>
  <c r="I54" i="23"/>
  <c r="I55" i="23"/>
  <c r="I56" i="23"/>
  <c r="I57" i="23"/>
  <c r="I58" i="23"/>
  <c r="I59" i="23"/>
  <c r="I60" i="23"/>
  <c r="I61" i="23"/>
  <c r="I62" i="23"/>
  <c r="I63" i="23"/>
  <c r="I64" i="23"/>
  <c r="I65" i="23"/>
  <c r="I66" i="23"/>
  <c r="I67" i="23"/>
  <c r="I68" i="23"/>
  <c r="I69" i="23"/>
  <c r="I70" i="23"/>
  <c r="I71" i="23"/>
  <c r="I72" i="23"/>
  <c r="I73" i="23"/>
  <c r="I74" i="23"/>
  <c r="I75" i="23"/>
  <c r="I3" i="23"/>
  <c r="G43" i="16"/>
  <c r="F75" i="23"/>
  <c r="H75" i="23"/>
  <c r="H48" i="16"/>
  <c r="H96" i="16"/>
  <c r="H95" i="16"/>
  <c r="G114" i="16"/>
  <c r="H114" i="16"/>
  <c r="H110" i="16"/>
  <c r="H109" i="16"/>
  <c r="H108" i="16"/>
  <c r="H107" i="16"/>
  <c r="H106" i="16"/>
  <c r="H105" i="16"/>
  <c r="H103" i="16"/>
  <c r="H102" i="16"/>
  <c r="H101" i="16"/>
  <c r="H100" i="16"/>
  <c r="H99" i="16"/>
  <c r="H98" i="16"/>
  <c r="H91" i="16"/>
  <c r="H90" i="16"/>
  <c r="H89" i="16"/>
  <c r="H88" i="16"/>
  <c r="H87" i="16"/>
  <c r="H86" i="16"/>
  <c r="H85" i="16"/>
  <c r="H84" i="16"/>
  <c r="H82" i="16"/>
  <c r="H81" i="16"/>
  <c r="H80" i="16"/>
  <c r="H79" i="16"/>
  <c r="H78" i="16"/>
  <c r="H77" i="16"/>
  <c r="H76" i="16"/>
  <c r="H75" i="16"/>
  <c r="H74" i="16"/>
  <c r="H73" i="16"/>
  <c r="H72" i="16"/>
  <c r="H71" i="16"/>
  <c r="H70" i="16"/>
  <c r="H69" i="16"/>
  <c r="H68" i="16"/>
  <c r="H67" i="16"/>
  <c r="H66" i="16"/>
  <c r="H65" i="16"/>
  <c r="H64" i="16"/>
  <c r="H63" i="16"/>
  <c r="H62" i="16"/>
  <c r="H61" i="16"/>
  <c r="H60" i="16"/>
  <c r="H59" i="16"/>
  <c r="H58" i="16"/>
  <c r="H57" i="16"/>
  <c r="H56" i="16"/>
  <c r="H55" i="16"/>
  <c r="H54" i="16"/>
  <c r="H53" i="16"/>
  <c r="H52" i="16"/>
  <c r="H51" i="16"/>
  <c r="H50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H32" i="16"/>
  <c r="H22" i="16"/>
  <c r="H23" i="16"/>
  <c r="H24" i="16"/>
  <c r="H25" i="16"/>
  <c r="H26" i="16"/>
  <c r="H27" i="16"/>
  <c r="H28" i="16"/>
  <c r="H29" i="16"/>
  <c r="H30" i="16"/>
  <c r="H19" i="16"/>
  <c r="H21" i="16"/>
  <c r="H18" i="16"/>
  <c r="F4" i="23"/>
  <c r="H4" i="23" s="1"/>
  <c r="F5" i="23"/>
  <c r="H5" i="23" s="1"/>
  <c r="F6" i="23"/>
  <c r="H6" i="23" s="1"/>
  <c r="F7" i="23"/>
  <c r="H7" i="23" s="1"/>
  <c r="F8" i="23"/>
  <c r="H8" i="23" s="1"/>
  <c r="F9" i="23"/>
  <c r="H9" i="23" s="1"/>
  <c r="F10" i="23"/>
  <c r="H10" i="23" s="1"/>
  <c r="F11" i="23"/>
  <c r="H11" i="23" s="1"/>
  <c r="F13" i="23"/>
  <c r="H13" i="23" s="1"/>
  <c r="F14" i="23"/>
  <c r="H14" i="23" s="1"/>
  <c r="F15" i="23"/>
  <c r="H15" i="23" s="1"/>
  <c r="F16" i="23"/>
  <c r="H16" i="23" s="1"/>
  <c r="F17" i="23"/>
  <c r="H17" i="23" s="1"/>
  <c r="F19" i="23"/>
  <c r="H19" i="23" s="1"/>
  <c r="F20" i="23"/>
  <c r="H20" i="23" s="1"/>
  <c r="F21" i="23"/>
  <c r="H21" i="23" s="1"/>
  <c r="F22" i="23"/>
  <c r="H22" i="23" s="1"/>
  <c r="F23" i="23"/>
  <c r="H23" i="23" s="1"/>
  <c r="F24" i="23"/>
  <c r="H24" i="23" s="1"/>
  <c r="F25" i="23"/>
  <c r="H25" i="23" s="1"/>
  <c r="F26" i="23"/>
  <c r="H26" i="23" s="1"/>
  <c r="F27" i="23"/>
  <c r="H27" i="23" s="1"/>
  <c r="F28" i="23"/>
  <c r="H28" i="23" s="1"/>
  <c r="F29" i="23"/>
  <c r="H29" i="23" s="1"/>
  <c r="F30" i="23"/>
  <c r="H30" i="23" s="1"/>
  <c r="F31" i="23"/>
  <c r="H31" i="23" s="1"/>
  <c r="F32" i="23"/>
  <c r="H32" i="23" s="1"/>
  <c r="F33" i="23"/>
  <c r="H33" i="23" s="1"/>
  <c r="F34" i="23"/>
  <c r="H34" i="23" s="1"/>
  <c r="F35" i="23"/>
  <c r="H35" i="23" s="1"/>
  <c r="F36" i="23"/>
  <c r="H36" i="23" s="1"/>
  <c r="F37" i="23"/>
  <c r="H37" i="23" s="1"/>
  <c r="F38" i="23"/>
  <c r="H38" i="23" s="1"/>
  <c r="F39" i="23"/>
  <c r="H39" i="23" s="1"/>
  <c r="F40" i="23"/>
  <c r="H40" i="23" s="1"/>
  <c r="F41" i="23"/>
  <c r="H41" i="23" s="1"/>
  <c r="F42" i="23"/>
  <c r="H42" i="23" s="1"/>
  <c r="F44" i="23"/>
  <c r="H44" i="23" s="1"/>
  <c r="F45" i="23"/>
  <c r="H45" i="23" s="1"/>
  <c r="F46" i="23"/>
  <c r="H46" i="23" s="1"/>
  <c r="F47" i="23"/>
  <c r="H47" i="23" s="1"/>
  <c r="F48" i="23"/>
  <c r="H48" i="23" s="1"/>
  <c r="F49" i="23"/>
  <c r="H49" i="23" s="1"/>
  <c r="F50" i="23"/>
  <c r="H50" i="23" s="1"/>
  <c r="F51" i="23"/>
  <c r="H51" i="23" s="1"/>
  <c r="F52" i="23"/>
  <c r="H52" i="23" s="1"/>
  <c r="F53" i="23"/>
  <c r="H53" i="23" s="1"/>
  <c r="F54" i="23"/>
  <c r="H54" i="23" s="1"/>
  <c r="F55" i="23"/>
  <c r="H55" i="23" s="1"/>
  <c r="F56" i="23"/>
  <c r="H56" i="23" s="1"/>
  <c r="F57" i="23"/>
  <c r="H57" i="23" s="1"/>
  <c r="F58" i="23"/>
  <c r="H58" i="23" s="1"/>
  <c r="F59" i="23"/>
  <c r="H59" i="23" s="1"/>
  <c r="F60" i="23"/>
  <c r="H60" i="23" s="1"/>
  <c r="F61" i="23"/>
  <c r="H61" i="23" s="1"/>
  <c r="F62" i="23"/>
  <c r="H62" i="23" s="1"/>
  <c r="F63" i="23"/>
  <c r="H63" i="23" s="1"/>
  <c r="F64" i="23"/>
  <c r="H64" i="23" s="1"/>
  <c r="F65" i="23"/>
  <c r="H65" i="23" s="1"/>
  <c r="F66" i="23"/>
  <c r="H66" i="23" s="1"/>
  <c r="F68" i="23"/>
  <c r="H68" i="23" s="1"/>
  <c r="F69" i="23"/>
  <c r="H69" i="23" s="1"/>
  <c r="F70" i="23"/>
  <c r="H70" i="23" s="1"/>
  <c r="F71" i="23"/>
  <c r="H71" i="23" s="1"/>
  <c r="F72" i="23"/>
  <c r="H72" i="23" s="1"/>
  <c r="F73" i="23"/>
  <c r="H73" i="23" s="1"/>
  <c r="F74" i="23"/>
  <c r="H74" i="23" s="1"/>
  <c r="E5" i="22"/>
  <c r="G5" i="22" s="1"/>
  <c r="E6" i="22"/>
  <c r="G6" i="22" s="1"/>
  <c r="A61" i="23"/>
  <c r="A60" i="23"/>
  <c r="A59" i="23"/>
  <c r="A58" i="23"/>
  <c r="A57" i="23"/>
  <c r="A56" i="23"/>
  <c r="A55" i="23"/>
  <c r="A54" i="23"/>
  <c r="A53" i="23"/>
  <c r="A52" i="23"/>
  <c r="A51" i="23"/>
  <c r="A50" i="23"/>
  <c r="A49" i="23"/>
  <c r="A48" i="23"/>
  <c r="A47" i="23"/>
  <c r="A46" i="23"/>
  <c r="A45" i="23"/>
  <c r="A44" i="23"/>
  <c r="A43" i="23"/>
  <c r="A42" i="23"/>
  <c r="A41" i="23"/>
  <c r="A40" i="23"/>
  <c r="A39" i="23"/>
  <c r="A38" i="23"/>
  <c r="A37" i="23"/>
  <c r="A36" i="23"/>
  <c r="A35" i="23"/>
  <c r="A34" i="23"/>
  <c r="A33" i="23"/>
  <c r="A32" i="23"/>
  <c r="A31" i="23"/>
  <c r="A30" i="23"/>
  <c r="A29" i="23"/>
  <c r="A28" i="23"/>
  <c r="A27" i="23"/>
  <c r="A26" i="23"/>
  <c r="A25" i="23"/>
  <c r="A24" i="23"/>
  <c r="A23" i="23"/>
  <c r="A22" i="23"/>
  <c r="A21" i="23"/>
  <c r="A20" i="23"/>
  <c r="A19" i="23"/>
  <c r="A18" i="23"/>
  <c r="A17" i="23"/>
  <c r="A16" i="23"/>
  <c r="A15" i="23"/>
  <c r="A14" i="23"/>
  <c r="A13" i="23"/>
  <c r="A12" i="23"/>
  <c r="A11" i="23"/>
  <c r="A10" i="23"/>
  <c r="A9" i="23"/>
  <c r="A8" i="23"/>
  <c r="A7" i="23"/>
  <c r="A6" i="23"/>
  <c r="A5" i="23"/>
  <c r="A4" i="23"/>
  <c r="A3" i="23"/>
  <c r="A6" i="22"/>
  <c r="A5" i="22"/>
  <c r="A4" i="22"/>
  <c r="A3" i="22"/>
  <c r="G30" i="16"/>
  <c r="F103" i="16" l="1"/>
  <c r="F3" i="23" s="1"/>
  <c r="H3" i="23" s="1"/>
  <c r="G81" i="16" l="1"/>
  <c r="I81" i="16" s="1"/>
  <c r="G82" i="16"/>
  <c r="I82" i="16" s="1"/>
  <c r="G51" i="16" l="1"/>
  <c r="I51" i="16" s="1"/>
  <c r="G67" i="16"/>
  <c r="G56" i="16" l="1"/>
  <c r="I56" i="16" s="1"/>
  <c r="F100" i="16"/>
  <c r="F32" i="16"/>
  <c r="G72" i="16"/>
  <c r="I72" i="16" s="1"/>
  <c r="F105" i="16" l="1"/>
  <c r="F67" i="23"/>
  <c r="H67" i="23" s="1"/>
  <c r="F33" i="16"/>
  <c r="F18" i="23" s="1"/>
  <c r="H18" i="23" s="1"/>
  <c r="F43" i="23"/>
  <c r="H43" i="23" s="1"/>
  <c r="F58" i="16"/>
  <c r="F12" i="23" s="1"/>
  <c r="H12" i="23" s="1"/>
  <c r="G79" i="16"/>
  <c r="I79" i="16" s="1"/>
  <c r="G85" i="16"/>
  <c r="I85" i="16" s="1"/>
  <c r="G86" i="16"/>
  <c r="I86" i="16" s="1"/>
  <c r="G84" i="16"/>
  <c r="I84" i="16" s="1"/>
  <c r="G78" i="16"/>
  <c r="I78" i="16" s="1"/>
  <c r="G27" i="16"/>
  <c r="I27" i="16" s="1"/>
  <c r="G103" i="16"/>
  <c r="I103" i="16" s="1"/>
  <c r="G77" i="16"/>
  <c r="I77" i="16" s="1"/>
  <c r="G76" i="16"/>
  <c r="I76" i="16" s="1"/>
  <c r="G62" i="16"/>
  <c r="I62" i="16" s="1"/>
  <c r="G61" i="16"/>
  <c r="I61" i="16" s="1"/>
  <c r="H76" i="23" l="1"/>
  <c r="G80" i="16"/>
  <c r="I80" i="16" s="1"/>
  <c r="I43" i="16"/>
  <c r="G44" i="16"/>
  <c r="I44" i="16" s="1"/>
  <c r="G42" i="16"/>
  <c r="G25" i="16"/>
  <c r="I42" i="16" l="1"/>
  <c r="I25" i="16"/>
  <c r="F19" i="16"/>
  <c r="E4" i="22" s="1"/>
  <c r="G4" i="22" s="1"/>
  <c r="F18" i="16"/>
  <c r="E3" i="22" s="1"/>
  <c r="G3" i="22" s="1"/>
  <c r="G7" i="22" s="1"/>
  <c r="G39" i="16"/>
  <c r="G40" i="16"/>
  <c r="G41" i="16"/>
  <c r="G23" i="16"/>
  <c r="G58" i="16"/>
  <c r="G57" i="16"/>
  <c r="G66" i="16"/>
  <c r="G65" i="16"/>
  <c r="G54" i="16"/>
  <c r="F96" i="16"/>
  <c r="F95" i="16"/>
  <c r="G98" i="16"/>
  <c r="G21" i="16"/>
  <c r="G34" i="16"/>
  <c r="G48" i="16"/>
  <c r="G52" i="16"/>
  <c r="G53" i="16"/>
  <c r="G63" i="16"/>
  <c r="G64" i="16"/>
  <c r="G59" i="16"/>
  <c r="G60" i="16"/>
  <c r="G55" i="16"/>
  <c r="G68" i="16"/>
  <c r="G69" i="16"/>
  <c r="G70" i="16"/>
  <c r="G71" i="16"/>
  <c r="G73" i="16"/>
  <c r="G74" i="16"/>
  <c r="G75" i="16"/>
  <c r="G87" i="16"/>
  <c r="G88" i="16"/>
  <c r="G89" i="16"/>
  <c r="G90" i="16"/>
  <c r="I90" i="16" s="1"/>
  <c r="G91" i="16"/>
  <c r="I41" i="16" l="1"/>
  <c r="I39" i="16"/>
  <c r="I65" i="16"/>
  <c r="I58" i="16"/>
  <c r="I57" i="16"/>
  <c r="I54" i="16"/>
  <c r="I66" i="16"/>
  <c r="I30" i="16"/>
  <c r="I67" i="16"/>
  <c r="I23" i="16"/>
  <c r="I40" i="16"/>
  <c r="I87" i="16"/>
  <c r="I73" i="16"/>
  <c r="I68" i="16"/>
  <c r="G50" i="16"/>
  <c r="I50" i="16" s="1"/>
  <c r="I48" i="16"/>
  <c r="I64" i="16"/>
  <c r="I74" i="16"/>
  <c r="I69" i="16"/>
  <c r="I59" i="16"/>
  <c r="I34" i="16"/>
  <c r="I70" i="16"/>
  <c r="I63" i="16"/>
  <c r="I52" i="16"/>
  <c r="I71" i="16"/>
  <c r="I60" i="16"/>
  <c r="I91" i="16"/>
  <c r="I88" i="16"/>
  <c r="I75" i="16"/>
  <c r="I55" i="16"/>
  <c r="I53" i="16"/>
  <c r="I89" i="16"/>
  <c r="G24" i="16"/>
  <c r="G38" i="16"/>
  <c r="I83" i="16" l="1"/>
  <c r="I49" i="16" s="1"/>
  <c r="I47" i="16"/>
  <c r="G18" i="16"/>
  <c r="G19" i="16"/>
  <c r="I46" i="16" l="1"/>
  <c r="G83" i="16"/>
  <c r="G95" i="16" l="1"/>
  <c r="I95" i="16" s="1"/>
  <c r="G96" i="16"/>
  <c r="I24" i="16" l="1"/>
  <c r="G110" i="16" l="1"/>
  <c r="G109" i="16"/>
  <c r="G108" i="16"/>
  <c r="G107" i="16"/>
  <c r="G106" i="16"/>
  <c r="I106" i="16" s="1"/>
  <c r="G105" i="16"/>
  <c r="I105" i="16" s="1"/>
  <c r="G37" i="16"/>
  <c r="G36" i="16"/>
  <c r="G102" i="16"/>
  <c r="G101" i="16"/>
  <c r="G100" i="16"/>
  <c r="I100" i="16" s="1"/>
  <c r="G99" i="16"/>
  <c r="I99" i="16" s="1"/>
  <c r="I110" i="16" l="1"/>
  <c r="I102" i="16"/>
  <c r="I37" i="16"/>
  <c r="I107" i="16"/>
  <c r="I108" i="16"/>
  <c r="I109" i="16"/>
  <c r="I101" i="16"/>
  <c r="I36" i="16"/>
  <c r="G35" i="16"/>
  <c r="G33" i="16"/>
  <c r="G32" i="16"/>
  <c r="G29" i="16"/>
  <c r="G22" i="16"/>
  <c r="G26" i="16"/>
  <c r="G28" i="16"/>
  <c r="I116" i="16"/>
  <c r="I115" i="16" s="1"/>
  <c r="I114" i="16"/>
  <c r="I113" i="16" s="1"/>
  <c r="I98" i="16"/>
  <c r="I96" i="16"/>
  <c r="I94" i="16" s="1"/>
  <c r="I112" i="16" l="1"/>
  <c r="I104" i="16"/>
  <c r="I35" i="16"/>
  <c r="I28" i="16"/>
  <c r="I26" i="16"/>
  <c r="I38" i="16"/>
  <c r="I32" i="16"/>
  <c r="I22" i="16"/>
  <c r="I29" i="16"/>
  <c r="I33" i="16"/>
  <c r="I21" i="16"/>
  <c r="I97" i="16" l="1"/>
  <c r="I93" i="16" s="1"/>
  <c r="G104" i="16"/>
  <c r="I31" i="16"/>
  <c r="I20" i="16" s="1"/>
  <c r="I119" i="16" s="1"/>
  <c r="I19" i="16"/>
  <c r="I18" i="16"/>
  <c r="I17" i="16" l="1"/>
  <c r="I118" i="16" s="1"/>
  <c r="H77" i="23"/>
  <c r="G8" i="22" l="1"/>
  <c r="I16" i="16"/>
  <c r="I117" i="16" s="1"/>
  <c r="I120" i="16" s="1"/>
  <c r="G31" i="16"/>
</calcChain>
</file>

<file path=xl/sharedStrings.xml><?xml version="1.0" encoding="utf-8"?>
<sst xmlns="http://schemas.openxmlformats.org/spreadsheetml/2006/main" count="552" uniqueCount="183">
  <si>
    <t>№</t>
  </si>
  <si>
    <t>Наименование</t>
  </si>
  <si>
    <t>Кол-во</t>
  </si>
  <si>
    <t>м</t>
  </si>
  <si>
    <t>м.</t>
  </si>
  <si>
    <t>шт.</t>
  </si>
  <si>
    <t>комплекс</t>
  </si>
  <si>
    <t>ПНР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</si>
  <si>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</si>
  <si>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</si>
  <si>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</si>
  <si>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</si>
  <si>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</si>
  <si>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Прокладка КПП, трубы</t>
  </si>
  <si>
    <t>Работа:</t>
  </si>
  <si>
    <t>Материалы:</t>
  </si>
  <si>
    <t>Установка оборудования</t>
  </si>
  <si>
    <t>Устройство домофонии</t>
  </si>
  <si>
    <t>в тч стоимость работ:</t>
  </si>
  <si>
    <t>в тч стоимость материалов:</t>
  </si>
  <si>
    <t>Вертикальные стояки</t>
  </si>
  <si>
    <t>11.11</t>
  </si>
  <si>
    <t>11.11.01</t>
  </si>
  <si>
    <t>11.11.02</t>
  </si>
  <si>
    <t>11.11.03</t>
  </si>
  <si>
    <t>11.11.02.00.</t>
  </si>
  <si>
    <t>11.11.03.00.</t>
  </si>
  <si>
    <t>Марка</t>
  </si>
  <si>
    <t>Характеристика</t>
  </si>
  <si>
    <t>Кабель тип 1</t>
  </si>
  <si>
    <t>Труба тип 1</t>
  </si>
  <si>
    <t>Труба тип 2</t>
  </si>
  <si>
    <t>Кабель тип 2</t>
  </si>
  <si>
    <t>Кабель тип 3</t>
  </si>
  <si>
    <t>Кабель тип 4</t>
  </si>
  <si>
    <t xml:space="preserve">Маршрутизатор </t>
  </si>
  <si>
    <t xml:space="preserve">Замок электромагнитный </t>
  </si>
  <si>
    <t>11.11.04</t>
  </si>
  <si>
    <t>11.11.04.00.</t>
  </si>
  <si>
    <t>-</t>
  </si>
  <si>
    <t>Форма закупа материала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</si>
  <si>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</si>
  <si>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</si>
  <si>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</si>
  <si>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</si>
  <si>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</si>
  <si>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Akuvox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</si>
  <si>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</si>
  <si>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</si>
  <si>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</si>
  <si>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</si>
  <si>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 xml:space="preserve">силовой ВВГнг(А)-LS 3х1.5 плоский ГОСТ </t>
  </si>
  <si>
    <t xml:space="preserve">ШВВП 2х0,75 белый ГОСТ </t>
  </si>
  <si>
    <t>М2-400 серый (ОЛЭВС)</t>
  </si>
  <si>
    <t>гофрированная ПВХ 20мм с протяжкой</t>
  </si>
  <si>
    <t>Вызывная панель тип 1</t>
  </si>
  <si>
    <t>Терминал контроля доступа тип 1</t>
  </si>
  <si>
    <t xml:space="preserve"> врезная DR-04 </t>
  </si>
  <si>
    <t>Монтажная коробка (подрозетник) для выключателей Aqara</t>
  </si>
  <si>
    <t>Заклепка резьбовая шестигранная с плоским бортом М6 L15,0</t>
  </si>
  <si>
    <t>Болт М6х25 оцинкованный с внутренним шестигранником, класс прочности 8.8, DIN 912</t>
  </si>
  <si>
    <t xml:space="preserve">ДКС </t>
  </si>
  <si>
    <t xml:space="preserve">Крепеж-клипса для труб для монтажного пистолета Промрукав серая D-20 </t>
  </si>
  <si>
    <t>Гвозди по бетону усиленные Toua 3.05x19 мм, под пистолет (1000шт. в пч.)</t>
  </si>
  <si>
    <t>Промрукав Коробка распаячная под пистолет 80х80х40 IP66</t>
  </si>
  <si>
    <t>Клемма DIY YOU PCT-213, быстрозажимной кабельный соединитель</t>
  </si>
  <si>
    <t xml:space="preserve">Монтажная лента Госкреп волна, 0,55х12 </t>
  </si>
  <si>
    <t>Монтажная пена Технониколь 240 PROFESSIONAL, огнестойкая, TN528380</t>
  </si>
  <si>
    <t xml:space="preserve">ЭРА </t>
  </si>
  <si>
    <t>Автоматический выключатель 1P 5А (В) 4,5kA ВА 47-63 EKF PROxima</t>
  </si>
  <si>
    <t>UTP внутренний LSZH 2*2*0.48</t>
  </si>
  <si>
    <t>Труба тип 3</t>
  </si>
  <si>
    <t>Труба тип 4</t>
  </si>
  <si>
    <t>гофрированная ПВХ 50 мм с протяжкой легкая серая</t>
  </si>
  <si>
    <t>Скоба металлическая 2-х лапковая с внутр. d 48-50 мм</t>
  </si>
  <si>
    <t>Клемма DIY YOU PCT-213, быстрозажимной кабельный соединитель, 3 общих проводника L</t>
  </si>
  <si>
    <t>Коммутатор тип 1</t>
  </si>
  <si>
    <t>Коммутатор тип 2</t>
  </si>
  <si>
    <t>Монитор</t>
  </si>
  <si>
    <t xml:space="preserve"> IP монитор (интерком-панель) C313S</t>
  </si>
  <si>
    <t>Установочная коробка Schneider Electric для сплошных стен 68(65)x60 DIY IMT351011 (установка под монитор)</t>
  </si>
  <si>
    <t>Труба тип 5</t>
  </si>
  <si>
    <t>Монтажная лента текстильная под пистолет</t>
  </si>
  <si>
    <t>Гвозди по бетону усиленные Toua 3.05x19 мм, под пистолет.  (1000шт. в пч.)</t>
  </si>
  <si>
    <t>Дюбель-хомут 5-10мм нейлон (100шт. в пч.)</t>
  </si>
  <si>
    <t>Блок питания Mean-Well HDR-30-12</t>
  </si>
  <si>
    <t>Блок питания AC-DC DRC-60A, с функцией UPS, 60Вт, 13.8В</t>
  </si>
  <si>
    <t>Аккумулятор Delta DT 1207 (12V 7Аh)</t>
  </si>
  <si>
    <t>Автоматический выключатель 1P 25А (C) 4,5kA ВА 47-63 EKF PROxima</t>
  </si>
  <si>
    <t>Распределительный блок РБД-125А 8 контактов 125А ИЭК</t>
  </si>
  <si>
    <t>Коммутационный шнур U/UTP 4-х парный cat.5e 1м LSZH</t>
  </si>
  <si>
    <t>MikroTik RB4011iGS+RM</t>
  </si>
  <si>
    <t>Пусконаладочные работы</t>
  </si>
  <si>
    <t>Прокладка КПП</t>
  </si>
  <si>
    <t>Прокладка трубы</t>
  </si>
  <si>
    <t>%</t>
  </si>
  <si>
    <t>11.11.01.00.</t>
  </si>
  <si>
    <t xml:space="preserve">NETLAN U/UTP 4 пары, категория 5e, внутренний, PVC, серый, 305м </t>
  </si>
  <si>
    <t>EC-UU004-5E-PVC-GY</t>
  </si>
  <si>
    <t>INSTA 100х55 Короб с крышкой(80мм) 100х55мм</t>
  </si>
  <si>
    <t>огнестойкий КПСнг(А)-FRHF 1х2х0,5</t>
  </si>
  <si>
    <t>Коннектор NETLAN RJ45/8P8C, категория 5e EC-UP8P8C-5E-003-TR-1000</t>
  </si>
  <si>
    <t>Бесконтактная-ИК кнопка выхода тип 1</t>
  </si>
  <si>
    <t>Бесконтактная-ИК кнопка выхода тип 2</t>
  </si>
  <si>
    <t>накладная DR-03</t>
  </si>
  <si>
    <t>Шкаф тип 1</t>
  </si>
  <si>
    <t>GL-SW-F005-04P</t>
  </si>
  <si>
    <t>сетевой PoE коммутатор 4 POE + Uplink</t>
  </si>
  <si>
    <t>1U NMC-RP24-BLANK-1U-MT</t>
  </si>
  <si>
    <t>Патч-панель наборная</t>
  </si>
  <si>
    <t>NMC-KJUD2-FT-WT</t>
  </si>
  <si>
    <t xml:space="preserve">Модуль </t>
  </si>
  <si>
    <t xml:space="preserve">Keystone, Кат.5e, RJ45/8P8C, для FT-TOOL, неэкран., белый </t>
  </si>
  <si>
    <t>TLK-RSC09-M-04-BK</t>
  </si>
  <si>
    <t xml:space="preserve">Блок электрических розеток </t>
  </si>
  <si>
    <t xml:space="preserve">TLK, 19" на 9 гнезд "евророзетка", 16 A </t>
  </si>
  <si>
    <t>19" с DIN-рейкой 3U SNR-PDR-19-B (для установки РБД и блоков питания)</t>
  </si>
  <si>
    <t>Панель</t>
  </si>
  <si>
    <t>Органайзер 19", 1U, кольца 58мм, металлический, с крышкой, черный NMC-OK580C-1U-BK</t>
  </si>
  <si>
    <t>Коммутационный шнур U/UTP 4-х парный cat.5e 1м LSZH EC-PC4UD55B-BC-LSZH-010-GY-10</t>
  </si>
  <si>
    <t>Крепежный комплект TLK (винт, шайба, гайка)</t>
  </si>
  <si>
    <t>Коммутатор тип 3</t>
  </si>
  <si>
    <t xml:space="preserve">Бесконтактный брендированный ключ </t>
  </si>
  <si>
    <t>"СТРАНА КАРТ"</t>
  </si>
  <si>
    <t>Чип SMARTTAG, кодировка для Akuvox,  адаптация реестра UID и клиента для загрузки шаблоном в базу Akuvox, нумерация ключа строго по базе, стикер с номерацией квартиры на каждом ключе</t>
  </si>
  <si>
    <t>Кабель тип 5</t>
  </si>
  <si>
    <t>UTP Внутренний 4*2*0.48 медь серый PVC</t>
  </si>
  <si>
    <t xml:space="preserve"> гофрированная ПНД легкая безгалогенная (HF) зонд д16</t>
  </si>
  <si>
    <t>Camkeeper LINE 2.0 SHC-1-5 диагностика технического состояния IP-устройств</t>
  </si>
  <si>
    <t>Кабель тип 6</t>
  </si>
  <si>
    <t>оптический негорючий для прокладки в канализацию 4 волокона</t>
  </si>
  <si>
    <t>Оптический кросс NIKOMAX 19" Essential Line, 1U, укомплектованный на 8 портов SC/UPC NMF-RP08SCUS2-WS-ES-1U-GY</t>
  </si>
  <si>
    <t>Шнур оптический переходной, OS2, SC/UPC-LC/UPC, одинарный, нг(А)-HF, 2мм, желтый, 1м NMF-PC1S2C2-SCU-LCU-001</t>
  </si>
  <si>
    <t>Кабель прямого подключения SFP/SFP+ MikroTik XS+DA0001</t>
  </si>
  <si>
    <t>_________________/</t>
  </si>
  <si>
    <t xml:space="preserve">24 портаовый (24x100Мбит/с) Origo OS1326 </t>
  </si>
  <si>
    <t>Управляемый коммутатор тип 2</t>
  </si>
  <si>
    <t xml:space="preserve">Реле 12VDC/10A/240VAC 4PDT (4 переключения) HHC68A-4Z-12D </t>
  </si>
  <si>
    <t>Колодка реле PTF14A</t>
  </si>
  <si>
    <t>Состав коммутационного шкафа домофонии</t>
  </si>
  <si>
    <t xml:space="preserve">на жилых этажах </t>
  </si>
  <si>
    <t>Кабель тип 7</t>
  </si>
  <si>
    <t>КСПВ 4х0,5</t>
  </si>
  <si>
    <t>Гофрированная труба REXANT ПП 4,6 мм, разрезная, бухтa 5 м/уп. 15-0505</t>
  </si>
  <si>
    <t xml:space="preserve">Оптика между домами </t>
  </si>
  <si>
    <t>для Camkeeper</t>
  </si>
  <si>
    <t>Лицензия Akuvox Cloud Premium</t>
  </si>
  <si>
    <t>Автоматический выключатель 1P 16А (C) 4,5kA ВА 47-63 EKF PROxima</t>
  </si>
  <si>
    <t>Полка фронтальная TLK, 19", 2U, глубиной 400мм, крепеж в комплекте, черная TLK-SHFR-400-BK</t>
  </si>
  <si>
    <t>ПНД гладкая жесткая, черная, d 20 мм</t>
  </si>
  <si>
    <t>гладкая жесткая ПВХ 50 мм легкая серая (3м)</t>
  </si>
  <si>
    <t>Муфта соединительная для труб ПВХ д.50мм</t>
  </si>
  <si>
    <t>Тюменский коммутатор Т1008 с защитой коммутации 8*10/100M PoE IEEE 802.3af/at,+2*10/100M uplink RJ45</t>
  </si>
  <si>
    <t>Тюменский коммутатор Т1004 с защитой коммутации 4*10/100M PoE IEEE 802.3af/at,+2*10/100M uplink RJ45</t>
  </si>
  <si>
    <t>Устройство системы Домофония. ГП-72.215</t>
  </si>
  <si>
    <t>72.215</t>
  </si>
  <si>
    <t>Akuvox A01S</t>
  </si>
  <si>
    <t>Напольный шкаф серии Lite II 19", цельнометал-е двери, 24U, Ш600хВ1241хГ800мм.</t>
  </si>
  <si>
    <t xml:space="preserve"> TFI-246080-MMMM-R-GY</t>
  </si>
  <si>
    <t xml:space="preserve">силовой ВВГнг(А)-LS 3х2.5 плоский ГОСТ </t>
  </si>
  <si>
    <t>75 метров для оптики</t>
  </si>
  <si>
    <t>Одноволоконный модуль OFM330R/3KM</t>
  </si>
  <si>
    <t>Одноволоконный модуль OFM330T/3KM</t>
  </si>
  <si>
    <t xml:space="preserve"> Труба электросварная 76х3,5</t>
  </si>
  <si>
    <t xml:space="preserve">Akuvox X912S </t>
  </si>
  <si>
    <t>Ведомость объемов работ</t>
  </si>
  <si>
    <t>№ п/п</t>
  </si>
  <si>
    <t>ИТОГО:</t>
  </si>
  <si>
    <t>проверка:</t>
  </si>
  <si>
    <t>Спецификация материалов</t>
  </si>
  <si>
    <t>Кабель тип 9</t>
  </si>
  <si>
    <t>Кабель тип 8</t>
  </si>
  <si>
    <t xml:space="preserve">Труба тип 1 </t>
  </si>
  <si>
    <t>ООО "ЭНКО СТРОЙ"</t>
  </si>
  <si>
    <t>ООО "Технический заказчик "ЭНКО"</t>
  </si>
  <si>
    <t>___________/С.И. Ярков</t>
  </si>
  <si>
    <r>
      <t xml:space="preserve">Прочие материалы </t>
    </r>
    <r>
      <rPr>
        <sz val="10"/>
        <color theme="1"/>
        <rFont val="Arial Narrow"/>
        <family val="2"/>
        <charset val="204"/>
      </rPr>
      <t>(Крепеж-клипса для труб для монтажного пистолета Промрукав серая D-20, Гвозди по бетону усиленные Toua 3.05x19 мм, под пистолет (1000шт. в пч.), INSTA 100х55 Короб с крышкой(80мм) 100х55мм, Устройство коммутационное УК-ВК/01, Промрукав Коробка распаячная под пистолет 80х80х40 IP66, Клемма DIY YOU PCT-213, быстрозажимной кабельный соединитель, Монтажная лента, Коннектор NETLAN RJ45/8P8C, категория 5e EC-UP8P8C-5E-003-TR-1000, Клей монтажный Peter Paul All in One, 290мл, Дюбель-хомут 5-10мм нейлон (100шт. в пч.)</t>
    </r>
    <r>
      <rPr>
        <b/>
        <sz val="10"/>
        <color theme="1"/>
        <rFont val="Arial Narrow"/>
        <family val="2"/>
        <charset val="204"/>
      </rPr>
      <t>)</t>
    </r>
  </si>
  <si>
    <r>
      <rPr>
        <b/>
        <sz val="10"/>
        <color theme="1"/>
        <rFont val="Arial Narrow"/>
        <family val="2"/>
        <charset val="204"/>
      </rPr>
      <t>Прочие материалы</t>
    </r>
    <r>
      <rPr>
        <sz val="10"/>
        <color theme="1"/>
        <rFont val="Arial Narrow"/>
        <family val="2"/>
        <charset val="204"/>
      </rPr>
      <t xml:space="preserve"> (Коммутационный шнур U/UTP 4-х парный cat.5e 1м LSZH EC-PC4UD55B-BC-LSZH-010-GY-10, Коннектор NETLAN RJ45/8P8C, категория 5e EC-UP8P8C-5E-003-TR-1000, Промрукав Коробка распаячная под пистолет 80х80х40 IP66, Клемма DIY YOU PCT-213, быстрозажимной кабельный соединитель, Распорный дюбель Чапай 8х50, Шуруп-глухарь 6х60, Крепежный комплект TLK (винт, шайба, гайка), Органайзер 19", 1U, кольца 58мм, металлический, с крышкой, черный NMC-OK580C-1U-BK, Монтажная коробка (подрозетник) для выключателей Aqara, Заклепка резьбовая шестигранная с плоским бортом М6 L15,0, Болт М6х25 оцинкованный с внутренним шестигранником, класс прочности 8.8, DIN 912, Установочная коробка Schneider Electric для сплошных стен 68(65)x60 DIY IMT351011 (установка под монитор))</t>
    </r>
  </si>
  <si>
    <r>
      <rPr>
        <b/>
        <sz val="10"/>
        <color theme="1"/>
        <rFont val="Arial Narrow"/>
        <family val="2"/>
        <charset val="204"/>
      </rPr>
      <t>Прочие материалы</t>
    </r>
    <r>
      <rPr>
        <sz val="10"/>
        <color theme="1"/>
        <rFont val="Arial Narrow"/>
        <family val="2"/>
        <charset val="204"/>
      </rPr>
      <t xml:space="preserve"> (Крепеж-клипса для труб для монтажного пистолета Промрукав серая D-20, Промрукав Коробка распаячная под пистолет 80х80х40 IP66, Муфта соединительная для труб ПВХ д.40мм, Скоба металлическая 2-х лапковая с внутр. d 38-40 мм, Скоба металлическая 2-х лапковая с внутр. d 48-50 мм, Клемма DIY YOU PCT-213, быстрозажимной кабельный соединитель, 3 общих проводника L, Розетка накладная с заземлением, Коннектор RJ-45 (8P8C), категория 5е)</t>
    </r>
  </si>
  <si>
    <t>Монтажные работы</t>
  </si>
  <si>
    <t>Итого по ЛСР, в т.ч. НДС:</t>
  </si>
  <si>
    <t>в тч НДС 22%:</t>
  </si>
  <si>
    <t>Локальный сметный расчет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</si>
</sst>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_₽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10"/>
      <name val="Arial Narrow"/>
      <family val="2"/>
      <charset val="204"/>
    </font>
    <font>
      <sz val="10"/>
      <color rgb="FFFF0000"/>
      <name val="Arial Narrow"/>
      <family val="2"/>
      <charset val="204"/>
    </font>
    <font>
      <sz val="10"/>
      <color rgb="FF7030A0"/>
      <name val="Arial Narrow"/>
      <family val="2"/>
      <charset val="204"/>
    </font>
    <font>
      <i/>
      <sz val="10"/>
      <color theme="1"/>
      <name val="Arial Narrow"/>
      <family val="2"/>
      <charset val="204"/>
    </font>
    <font>
      <b/>
      <sz val="10"/>
      <color rgb="FF7030A0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b/>
      <i/>
      <u/>
      <sz val="10"/>
      <color theme="1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E78D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7" fillId="0" borderId="0"/>
    <xf numFmtId="0" fontId="5" fillId="0" borderId="0"/>
    <xf numFmtId="0" fontId="8" fillId="0" borderId="0"/>
    <xf numFmtId="0" fontId="7" fillId="0" borderId="0"/>
    <xf numFmtId="0" fontId="4" fillId="0" borderId="0"/>
    <xf numFmtId="0" fontId="4" fillId="0" borderId="0"/>
    <xf numFmtId="0" fontId="3" fillId="0" borderId="0"/>
    <xf numFmtId="43" fontId="9" fillId="0" borderId="0" applyFont="0" applyFill="0" applyBorder="0" applyAlignment="0" applyProtection="0"/>
    <xf numFmtId="0" fontId="2" fillId="0" borderId="0"/>
    <xf numFmtId="0" fontId="1" fillId="0" borderId="0"/>
  </cellStyleXfs>
  <cellXfs count="132">
    <xf numFmtId="0" fontId="0" fillId="0" borderId="0" xfId="0"/>
    <xf numFmtId="0" fontId="10" fillId="0" borderId="0" xfId="0" applyFont="1"/>
    <xf numFmtId="0" fontId="10" fillId="0" borderId="1" xfId="0" applyFont="1" applyBorder="1"/>
    <xf numFmtId="0" fontId="11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right"/>
    </xf>
    <xf numFmtId="4" fontId="12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12" fillId="0" borderId="0" xfId="0" applyFont="1"/>
    <xf numFmtId="4" fontId="10" fillId="0" borderId="0" xfId="0" applyNumberFormat="1" applyFont="1"/>
    <xf numFmtId="4" fontId="10" fillId="0" borderId="0" xfId="0" applyNumberFormat="1" applyFont="1" applyAlignment="1">
      <alignment wrapText="1"/>
    </xf>
    <xf numFmtId="49" fontId="14" fillId="0" borderId="0" xfId="0" applyNumberFormat="1" applyFont="1" applyAlignment="1">
      <alignment horizontal="center" vertical="center"/>
    </xf>
    <xf numFmtId="0" fontId="14" fillId="0" borderId="0" xfId="10" applyFont="1" applyAlignment="1">
      <alignment vertical="center" wrapText="1"/>
    </xf>
    <xf numFmtId="0" fontId="15" fillId="0" borderId="0" xfId="10" applyFont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5" fillId="0" borderId="0" xfId="10" applyFont="1" applyAlignment="1">
      <alignment vertical="top" wrapText="1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top" wrapText="1"/>
    </xf>
    <xf numFmtId="49" fontId="11" fillId="0" borderId="1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10" fillId="0" borderId="0" xfId="0" applyFont="1" applyAlignment="1">
      <alignment vertical="center"/>
    </xf>
    <xf numFmtId="4" fontId="10" fillId="0" borderId="0" xfId="7" applyNumberFormat="1" applyFont="1"/>
    <xf numFmtId="4" fontId="12" fillId="0" borderId="0" xfId="7" applyNumberFormat="1" applyFont="1"/>
    <xf numFmtId="164" fontId="12" fillId="0" borderId="0" xfId="0" applyNumberFormat="1" applyFont="1"/>
    <xf numFmtId="164" fontId="10" fillId="0" borderId="0" xfId="0" applyNumberFormat="1" applyFont="1"/>
    <xf numFmtId="0" fontId="10" fillId="0" borderId="0" xfId="7" applyFont="1" applyAlignment="1">
      <alignment horizontal="right"/>
    </xf>
    <xf numFmtId="0" fontId="12" fillId="0" borderId="0" xfId="7" applyFont="1" applyAlignment="1">
      <alignment vertical="center"/>
    </xf>
    <xf numFmtId="0" fontId="12" fillId="0" borderId="0" xfId="7" applyFont="1"/>
    <xf numFmtId="0" fontId="10" fillId="0" borderId="0" xfId="0" applyFont="1" applyAlignment="1">
      <alignment vertical="center" wrapText="1"/>
    </xf>
    <xf numFmtId="4" fontId="12" fillId="0" borderId="0" xfId="0" applyNumberFormat="1" applyFont="1"/>
    <xf numFmtId="49" fontId="12" fillId="0" borderId="5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64" fontId="12" fillId="0" borderId="4" xfId="0" applyNumberFormat="1" applyFont="1" applyBorder="1" applyAlignment="1">
      <alignment horizontal="center" vertical="center" wrapText="1"/>
    </xf>
    <xf numFmtId="4" fontId="12" fillId="0" borderId="4" xfId="0" applyNumberFormat="1" applyFont="1" applyBorder="1" applyAlignment="1">
      <alignment horizontal="center" vertical="center" wrapText="1"/>
    </xf>
    <xf numFmtId="49" fontId="12" fillId="6" borderId="7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center" vertical="center" wrapText="1"/>
    </xf>
    <xf numFmtId="164" fontId="12" fillId="6" borderId="1" xfId="0" applyNumberFormat="1" applyFont="1" applyFill="1" applyBorder="1" applyAlignment="1">
      <alignment horizontal="center" vertical="center" wrapText="1"/>
    </xf>
    <xf numFmtId="4" fontId="12" fillId="6" borderId="1" xfId="0" applyNumberFormat="1" applyFont="1" applyFill="1" applyBorder="1" applyAlignment="1">
      <alignment horizontal="center" vertical="center" wrapText="1"/>
    </xf>
    <xf numFmtId="49" fontId="12" fillId="2" borderId="7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2" fillId="4" borderId="1" xfId="0" applyNumberFormat="1" applyFont="1" applyFill="1" applyBorder="1" applyAlignment="1">
      <alignment horizontal="center" vertical="center" wrapText="1"/>
    </xf>
    <xf numFmtId="4" fontId="12" fillId="4" borderId="1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164" fontId="12" fillId="3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/>
    <xf numFmtId="49" fontId="12" fillId="2" borderId="1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164" fontId="12" fillId="2" borderId="2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164" fontId="10" fillId="2" borderId="2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left" vertical="center" wrapText="1"/>
    </xf>
    <xf numFmtId="49" fontId="10" fillId="2" borderId="1" xfId="0" applyNumberFormat="1" applyFont="1" applyFill="1" applyBorder="1"/>
    <xf numFmtId="4" fontId="10" fillId="2" borderId="1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164" fontId="12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49" fontId="19" fillId="2" borderId="1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164" fontId="19" fillId="2" borderId="6" xfId="0" applyNumberFormat="1" applyFont="1" applyFill="1" applyBorder="1" applyAlignment="1">
      <alignment horizontal="right" vertical="center"/>
    </xf>
    <xf numFmtId="164" fontId="12" fillId="3" borderId="6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4" fillId="0" borderId="0" xfId="10" applyFont="1" applyAlignment="1">
      <alignment horizontal="left" vertical="top" wrapText="1"/>
    </xf>
    <xf numFmtId="164" fontId="19" fillId="2" borderId="2" xfId="0" applyNumberFormat="1" applyFont="1" applyFill="1" applyBorder="1" applyAlignment="1">
      <alignment vertical="center"/>
    </xf>
    <xf numFmtId="164" fontId="19" fillId="2" borderId="3" xfId="0" applyNumberFormat="1" applyFont="1" applyFill="1" applyBorder="1" applyAlignment="1">
      <alignment vertical="center"/>
    </xf>
    <xf numFmtId="164" fontId="12" fillId="3" borderId="2" xfId="0" applyNumberFormat="1" applyFont="1" applyFill="1" applyBorder="1" applyAlignment="1">
      <alignment vertical="center"/>
    </xf>
    <xf numFmtId="164" fontId="12" fillId="3" borderId="3" xfId="0" applyNumberFormat="1" applyFont="1" applyFill="1" applyBorder="1" applyAlignment="1">
      <alignment vertical="center"/>
    </xf>
    <xf numFmtId="49" fontId="10" fillId="0" borderId="1" xfId="0" applyNumberFormat="1" applyFont="1" applyFill="1" applyBorder="1"/>
    <xf numFmtId="0" fontId="12" fillId="0" borderId="1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164" fontId="12" fillId="0" borderId="2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/>
    </xf>
    <xf numFmtId="164" fontId="10" fillId="0" borderId="2" xfId="0" applyNumberFormat="1" applyFont="1" applyFill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20" fillId="0" borderId="0" xfId="0" applyFont="1" applyFill="1" applyAlignment="1">
      <alignment vertical="center" wrapText="1"/>
    </xf>
    <xf numFmtId="0" fontId="14" fillId="0" borderId="0" xfId="0" applyFont="1" applyFill="1"/>
    <xf numFmtId="49" fontId="10" fillId="0" borderId="0" xfId="0" applyNumberFormat="1" applyFont="1" applyFill="1" applyAlignment="1">
      <alignment horizontal="center" vertical="center"/>
    </xf>
    <xf numFmtId="0" fontId="10" fillId="0" borderId="0" xfId="7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wrapText="1"/>
    </xf>
    <xf numFmtId="49" fontId="10" fillId="0" borderId="0" xfId="0" applyNumberFormat="1" applyFont="1" applyFill="1"/>
    <xf numFmtId="0" fontId="10" fillId="0" borderId="0" xfId="0" applyFont="1" applyFill="1" applyAlignment="1">
      <alignment wrapText="1"/>
    </xf>
    <xf numFmtId="164" fontId="10" fillId="0" borderId="0" xfId="0" applyNumberFormat="1" applyFont="1" applyFill="1"/>
    <xf numFmtId="164" fontId="12" fillId="0" borderId="0" xfId="0" applyNumberFormat="1" applyFont="1" applyFill="1"/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/>
    <xf numFmtId="49" fontId="10" fillId="0" borderId="7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/>
    <xf numFmtId="0" fontId="10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/>
    </xf>
    <xf numFmtId="164" fontId="12" fillId="0" borderId="2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vertical="center"/>
    </xf>
    <xf numFmtId="164" fontId="12" fillId="2" borderId="1" xfId="0" applyNumberFormat="1" applyFont="1" applyFill="1" applyBorder="1" applyAlignment="1">
      <alignment horizontal="center" vertical="center"/>
    </xf>
  </cellXfs>
  <cellStyles count="11">
    <cellStyle name="Обычный" xfId="0" builtinId="0"/>
    <cellStyle name="Обычный 2" xfId="1" xr:uid="{00000000-0005-0000-0000-000001000000}"/>
    <cellStyle name="Обычный 2 2 2" xfId="3" xr:uid="{00000000-0005-0000-0000-000002000000}"/>
    <cellStyle name="Обычный 2 3 2" xfId="4" xr:uid="{00000000-0005-0000-0000-000003000000}"/>
    <cellStyle name="Обычный 3" xfId="2" xr:uid="{00000000-0005-0000-0000-000004000000}"/>
    <cellStyle name="Обычный 3 2 2" xfId="10" xr:uid="{535D2280-F3C4-4500-BBF7-CDBDB130B02A}"/>
    <cellStyle name="Обычный 3 2 2 2" xfId="7" xr:uid="{00000000-0005-0000-0000-000005000000}"/>
    <cellStyle name="Обычный 3 2 2 2 2" xfId="9" xr:uid="{00000000-0005-0000-0000-000006000000}"/>
    <cellStyle name="Обычный 4" xfId="6" xr:uid="{00000000-0005-0000-0000-000007000000}"/>
    <cellStyle name="Обычный 6 3 7 2 3" xfId="5" xr:uid="{00000000-0005-0000-0000-000008000000}"/>
    <cellStyle name="Финансовый 2" xfId="8" xr:uid="{00000000-0005-0000-0000-000009000000}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7;&#1074;&#1077;&#1090;&#1083;&#1072;&#1085;&#1072;/AppData/Roaming/Microsoft/Excel/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7"/>
  <sheetViews>
    <sheetView zoomScale="55" zoomScaleNormal="55" zoomScaleSheetLayoutView="70" workbookViewId="0">
      <pane ySplit="12" topLeftCell="A112" activePane="bottomLeft" state="frozen"/>
      <selection pane="bottomLeft" activeCell="G6" sqref="G6"/>
    </sheetView>
  </sheetViews>
  <sheetFormatPr defaultColWidth="9.109375" defaultRowHeight="13.8" outlineLevelRow="4" outlineLevelCol="1" x14ac:dyDescent="0.3"/>
  <cols>
    <col min="1" max="1" width="17.6640625" style="26" customWidth="1"/>
    <col min="2" max="2" width="94.6640625" style="14" customWidth="1"/>
    <col min="3" max="3" width="26.33203125" style="1" customWidth="1"/>
    <col min="4" max="4" width="44.6640625" style="1" customWidth="1"/>
    <col min="5" max="5" width="15.88671875" style="1" bestFit="1" customWidth="1"/>
    <col min="6" max="6" width="15.88671875" style="31" customWidth="1" outlineLevel="1"/>
    <col min="7" max="7" width="21.5546875" style="30" customWidth="1"/>
    <col min="8" max="8" width="19" style="31" customWidth="1"/>
    <col min="9" max="9" width="21" style="31" customWidth="1"/>
    <col min="10" max="10" width="40.88671875" style="1" customWidth="1"/>
    <col min="11" max="11" width="24.88671875" style="1" customWidth="1"/>
    <col min="12" max="16384" width="9.109375" style="1"/>
  </cols>
  <sheetData>
    <row r="1" spans="1:11" x14ac:dyDescent="0.3">
      <c r="C1" s="27"/>
      <c r="D1" s="28"/>
      <c r="F1" s="29"/>
      <c r="G1" s="1"/>
      <c r="H1" s="30"/>
      <c r="J1" s="31"/>
      <c r="K1" s="32" t="s">
        <v>41</v>
      </c>
    </row>
    <row r="2" spans="1:11" x14ac:dyDescent="0.3">
      <c r="C2" s="27"/>
      <c r="D2" s="28"/>
      <c r="F2" s="29"/>
      <c r="G2" s="1"/>
      <c r="H2" s="30"/>
      <c r="J2" s="31"/>
      <c r="K2" s="32" t="s">
        <v>42</v>
      </c>
    </row>
    <row r="3" spans="1:11" x14ac:dyDescent="0.3">
      <c r="C3" s="27"/>
      <c r="D3" s="28"/>
      <c r="F3" s="29"/>
      <c r="G3" s="1"/>
      <c r="H3" s="30"/>
      <c r="J3" s="31"/>
    </row>
    <row r="4" spans="1:11" ht="15" customHeight="1" x14ac:dyDescent="0.3">
      <c r="B4" s="33" t="s">
        <v>43</v>
      </c>
      <c r="D4" s="28"/>
      <c r="E4" s="29" t="s">
        <v>44</v>
      </c>
      <c r="F4" s="34"/>
      <c r="G4" s="1"/>
      <c r="H4" s="30"/>
      <c r="J4" s="29" t="s">
        <v>45</v>
      </c>
      <c r="K4" s="30"/>
    </row>
    <row r="5" spans="1:11" ht="19.5" customHeight="1" x14ac:dyDescent="0.3">
      <c r="B5" s="35"/>
      <c r="D5" s="28"/>
      <c r="E5" s="1" t="s">
        <v>173</v>
      </c>
      <c r="F5" s="1"/>
      <c r="G5" s="1"/>
      <c r="H5" s="1"/>
      <c r="I5" s="36"/>
      <c r="J5" s="1" t="s">
        <v>174</v>
      </c>
      <c r="K5" s="30"/>
    </row>
    <row r="6" spans="1:11" ht="15.75" customHeight="1" x14ac:dyDescent="0.3">
      <c r="B6" s="35"/>
      <c r="D6" s="28"/>
      <c r="E6" s="14"/>
      <c r="F6" s="1"/>
      <c r="G6" s="1"/>
      <c r="H6" s="1"/>
      <c r="I6" s="36"/>
      <c r="K6" s="30"/>
    </row>
    <row r="7" spans="1:11" x14ac:dyDescent="0.3">
      <c r="B7" s="35" t="s">
        <v>134</v>
      </c>
      <c r="D7" s="28"/>
      <c r="E7" s="1" t="s">
        <v>175</v>
      </c>
      <c r="F7" s="1"/>
      <c r="G7" s="1"/>
      <c r="H7" s="1"/>
      <c r="I7" s="36"/>
      <c r="J7" s="1" t="s">
        <v>175</v>
      </c>
      <c r="K7" s="30"/>
    </row>
    <row r="9" spans="1:11" ht="19.5" customHeight="1" x14ac:dyDescent="0.3">
      <c r="A9" s="84" t="s">
        <v>182</v>
      </c>
      <c r="B9" s="84"/>
      <c r="C9" s="84"/>
      <c r="D9" s="84"/>
      <c r="E9" s="84"/>
      <c r="F9" s="84"/>
      <c r="G9" s="84"/>
      <c r="H9" s="84"/>
      <c r="I9" s="84"/>
      <c r="J9" s="84"/>
      <c r="K9" s="84"/>
    </row>
    <row r="10" spans="1:11" ht="21.75" customHeight="1" x14ac:dyDescent="0.3">
      <c r="A10" s="83" t="s">
        <v>154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</row>
    <row r="12" spans="1:11" x14ac:dyDescent="0.3">
      <c r="A12" s="37" t="s">
        <v>0</v>
      </c>
      <c r="B12" s="38" t="s">
        <v>1</v>
      </c>
      <c r="C12" s="38" t="s">
        <v>27</v>
      </c>
      <c r="D12" s="38" t="s">
        <v>28</v>
      </c>
      <c r="E12" s="38" t="s">
        <v>11</v>
      </c>
      <c r="F12" s="39" t="s">
        <v>155</v>
      </c>
      <c r="G12" s="40" t="s">
        <v>2</v>
      </c>
      <c r="H12" s="40" t="s">
        <v>8</v>
      </c>
      <c r="I12" s="40" t="s">
        <v>9</v>
      </c>
      <c r="J12" s="41" t="s">
        <v>10</v>
      </c>
      <c r="K12" s="41" t="s">
        <v>40</v>
      </c>
    </row>
    <row r="13" spans="1:11" ht="22.5" customHeight="1" x14ac:dyDescent="0.3">
      <c r="A13" s="42">
        <v>11</v>
      </c>
      <c r="B13" s="43" t="s">
        <v>12</v>
      </c>
      <c r="C13" s="44"/>
      <c r="D13" s="44"/>
      <c r="E13" s="44"/>
      <c r="F13" s="45"/>
      <c r="G13" s="45"/>
      <c r="H13" s="45"/>
      <c r="I13" s="45"/>
      <c r="J13" s="46"/>
      <c r="K13" s="46"/>
    </row>
    <row r="14" spans="1:11" ht="22.5" customHeight="1" x14ac:dyDescent="0.3">
      <c r="A14" s="47" t="s">
        <v>21</v>
      </c>
      <c r="B14" s="48" t="s">
        <v>17</v>
      </c>
      <c r="C14" s="49"/>
      <c r="D14" s="49"/>
      <c r="E14" s="49"/>
      <c r="F14" s="50"/>
      <c r="G14" s="50"/>
      <c r="H14" s="50"/>
      <c r="I14" s="50"/>
      <c r="J14" s="51"/>
      <c r="K14" s="51"/>
    </row>
    <row r="15" spans="1:11" ht="22.5" customHeight="1" x14ac:dyDescent="0.3">
      <c r="A15" s="52" t="s">
        <v>22</v>
      </c>
      <c r="B15" s="53" t="s">
        <v>13</v>
      </c>
      <c r="C15" s="54"/>
      <c r="D15" s="54"/>
      <c r="E15" s="54"/>
      <c r="F15" s="55"/>
      <c r="G15" s="55"/>
      <c r="H15" s="55"/>
      <c r="I15" s="55"/>
      <c r="J15" s="56"/>
      <c r="K15" s="56"/>
    </row>
    <row r="16" spans="1:11" s="63" customFormat="1" ht="22.5" customHeight="1" outlineLevel="2" x14ac:dyDescent="0.3">
      <c r="A16" s="57" t="s">
        <v>96</v>
      </c>
      <c r="B16" s="58" t="s">
        <v>13</v>
      </c>
      <c r="C16" s="59"/>
      <c r="D16" s="59"/>
      <c r="E16" s="59"/>
      <c r="F16" s="60"/>
      <c r="G16" s="60"/>
      <c r="H16" s="60"/>
      <c r="I16" s="60">
        <f>I17+I20</f>
        <v>0</v>
      </c>
      <c r="J16" s="61"/>
      <c r="K16" s="62"/>
    </row>
    <row r="17" spans="1:11" s="63" customFormat="1" ht="24.75" customHeight="1" outlineLevel="3" x14ac:dyDescent="0.3">
      <c r="A17" s="64"/>
      <c r="B17" s="48" t="s">
        <v>14</v>
      </c>
      <c r="C17" s="65"/>
      <c r="D17" s="65"/>
      <c r="E17" s="65"/>
      <c r="F17" s="66"/>
      <c r="G17" s="50"/>
      <c r="H17" s="50"/>
      <c r="I17" s="50">
        <f>SUM(I18:I19)</f>
        <v>0</v>
      </c>
      <c r="J17" s="51"/>
      <c r="K17" s="51"/>
    </row>
    <row r="18" spans="1:11" s="63" customFormat="1" ht="24.75" customHeight="1" outlineLevel="3" x14ac:dyDescent="0.3">
      <c r="A18" s="64"/>
      <c r="B18" s="67" t="s">
        <v>93</v>
      </c>
      <c r="C18" s="68"/>
      <c r="D18" s="68"/>
      <c r="E18" s="68" t="s">
        <v>3</v>
      </c>
      <c r="F18" s="69">
        <f>SUM(F21:F26)</f>
        <v>4499</v>
      </c>
      <c r="G18" s="50">
        <f>SUM(F18:F18)</f>
        <v>4499</v>
      </c>
      <c r="H18" s="70">
        <f>VLOOKUP(B18,СМР!$B$3:$F$6,5,0)</f>
        <v>0</v>
      </c>
      <c r="I18" s="71">
        <f t="shared" ref="I18:I19" si="0">H18*G18</f>
        <v>0</v>
      </c>
      <c r="J18" s="51"/>
      <c r="K18" s="51"/>
    </row>
    <row r="19" spans="1:11" s="63" customFormat="1" ht="24.75" customHeight="1" outlineLevel="3" x14ac:dyDescent="0.3">
      <c r="A19" s="64"/>
      <c r="B19" s="67" t="s">
        <v>94</v>
      </c>
      <c r="C19" s="68"/>
      <c r="D19" s="68"/>
      <c r="E19" s="68" t="s">
        <v>3</v>
      </c>
      <c r="F19" s="69">
        <f>SUM(F28:F30)</f>
        <v>3977</v>
      </c>
      <c r="G19" s="50">
        <f>SUM(F19:F19)</f>
        <v>3977</v>
      </c>
      <c r="H19" s="70">
        <f>VLOOKUP(B19,СМР!$B$3:$F$6,5,0)</f>
        <v>0</v>
      </c>
      <c r="I19" s="71">
        <f t="shared" si="0"/>
        <v>0</v>
      </c>
      <c r="J19" s="51"/>
      <c r="K19" s="51"/>
    </row>
    <row r="20" spans="1:11" s="124" customFormat="1" ht="24.75" customHeight="1" outlineLevel="3" x14ac:dyDescent="0.3">
      <c r="A20" s="123"/>
      <c r="B20" s="91" t="s">
        <v>15</v>
      </c>
      <c r="C20" s="92"/>
      <c r="D20" s="92"/>
      <c r="E20" s="92"/>
      <c r="F20" s="93"/>
      <c r="G20" s="94"/>
      <c r="H20" s="94"/>
      <c r="I20" s="94">
        <f>SUM(I21:I31)</f>
        <v>0</v>
      </c>
      <c r="J20" s="95"/>
      <c r="K20" s="95"/>
    </row>
    <row r="21" spans="1:11" s="122" customFormat="1" ht="34.5" customHeight="1" outlineLevel="3" x14ac:dyDescent="0.3">
      <c r="A21" s="97"/>
      <c r="B21" s="98" t="s">
        <v>29</v>
      </c>
      <c r="C21" s="99" t="s">
        <v>98</v>
      </c>
      <c r="D21" s="115" t="s">
        <v>97</v>
      </c>
      <c r="E21" s="99" t="s">
        <v>4</v>
      </c>
      <c r="F21" s="100">
        <v>270</v>
      </c>
      <c r="G21" s="101">
        <f t="shared" ref="G21:G30" si="1">SUM(F21:F21)</f>
        <v>270</v>
      </c>
      <c r="H21" s="102">
        <f>VLOOKUP($B21,ТМЦ!$B$3:$J$75,6,0)</f>
        <v>0</v>
      </c>
      <c r="I21" s="102">
        <f>H21*G21</f>
        <v>0</v>
      </c>
      <c r="J21" s="125"/>
      <c r="K21" s="102">
        <f>VLOOKUP($B21,ТМЦ!$B$3:$J$75,9,0)</f>
        <v>0</v>
      </c>
    </row>
    <row r="22" spans="1:11" s="122" customFormat="1" ht="30" customHeight="1" outlineLevel="3" x14ac:dyDescent="0.3">
      <c r="A22" s="97"/>
      <c r="B22" s="98" t="s">
        <v>32</v>
      </c>
      <c r="C22" s="99"/>
      <c r="D22" s="115" t="s">
        <v>159</v>
      </c>
      <c r="E22" s="99" t="s">
        <v>4</v>
      </c>
      <c r="F22" s="100">
        <v>38</v>
      </c>
      <c r="G22" s="101">
        <f t="shared" si="1"/>
        <v>38</v>
      </c>
      <c r="H22" s="102">
        <f>VLOOKUP($B22,ТМЦ!$B$3:$J$75,6,0)</f>
        <v>0</v>
      </c>
      <c r="I22" s="102">
        <f t="shared" ref="I22:I29" si="2">H22*G22</f>
        <v>0</v>
      </c>
      <c r="J22" s="125"/>
      <c r="K22" s="102">
        <f>VLOOKUP($B22,ТМЦ!$B$3:$J$75,9,0)</f>
        <v>0</v>
      </c>
    </row>
    <row r="23" spans="1:11" s="122" customFormat="1" ht="30" customHeight="1" outlineLevel="3" x14ac:dyDescent="0.3">
      <c r="A23" s="97"/>
      <c r="B23" s="98" t="s">
        <v>33</v>
      </c>
      <c r="C23" s="99"/>
      <c r="D23" s="115" t="s">
        <v>126</v>
      </c>
      <c r="E23" s="99" t="s">
        <v>4</v>
      </c>
      <c r="F23" s="100">
        <v>3773</v>
      </c>
      <c r="G23" s="101">
        <f t="shared" si="1"/>
        <v>3773</v>
      </c>
      <c r="H23" s="102">
        <f>VLOOKUP($B23,ТМЦ!$B$3:$J$75,6,0)</f>
        <v>0</v>
      </c>
      <c r="I23" s="102">
        <f t="shared" ref="I23" si="3">H23*G23</f>
        <v>0</v>
      </c>
      <c r="J23" s="125"/>
      <c r="K23" s="102">
        <f>VLOOKUP($B23,ТМЦ!$B$3:$J$75,9,0)</f>
        <v>0</v>
      </c>
    </row>
    <row r="24" spans="1:11" s="122" customFormat="1" ht="30" customHeight="1" outlineLevel="3" x14ac:dyDescent="0.3">
      <c r="A24" s="97"/>
      <c r="B24" s="98" t="s">
        <v>34</v>
      </c>
      <c r="C24" s="99"/>
      <c r="D24" s="115" t="s">
        <v>100</v>
      </c>
      <c r="E24" s="99" t="s">
        <v>4</v>
      </c>
      <c r="F24" s="100">
        <v>40</v>
      </c>
      <c r="G24" s="101">
        <f t="shared" si="1"/>
        <v>40</v>
      </c>
      <c r="H24" s="102">
        <f>VLOOKUP($B24,ТМЦ!$B$3:$J$75,6,0)</f>
        <v>0</v>
      </c>
      <c r="I24" s="102">
        <f>H24*G24</f>
        <v>0</v>
      </c>
      <c r="J24" s="126" t="s">
        <v>139</v>
      </c>
      <c r="K24" s="102">
        <f>VLOOKUP($B24,ТМЦ!$B$3:$J$75,9,0)</f>
        <v>0</v>
      </c>
    </row>
    <row r="25" spans="1:11" s="122" customFormat="1" ht="41.25" customHeight="1" outlineLevel="3" x14ac:dyDescent="0.3">
      <c r="A25" s="97"/>
      <c r="B25" s="98" t="s">
        <v>125</v>
      </c>
      <c r="C25" s="99"/>
      <c r="D25" s="115" t="s">
        <v>130</v>
      </c>
      <c r="E25" s="99" t="s">
        <v>4</v>
      </c>
      <c r="F25" s="100">
        <v>150</v>
      </c>
      <c r="G25" s="101">
        <f t="shared" si="1"/>
        <v>150</v>
      </c>
      <c r="H25" s="102">
        <f>VLOOKUP($B25,ТМЦ!$B$3:$J$75,6,0)</f>
        <v>0</v>
      </c>
      <c r="I25" s="102">
        <f>H25*G25</f>
        <v>0</v>
      </c>
      <c r="J25" s="119" t="s">
        <v>144</v>
      </c>
      <c r="K25" s="102">
        <f>VLOOKUP($B25,ТМЦ!$B$3:$J$75,9,0)</f>
        <v>0</v>
      </c>
    </row>
    <row r="26" spans="1:11" s="122" customFormat="1" ht="30" customHeight="1" outlineLevel="3" x14ac:dyDescent="0.3">
      <c r="A26" s="97"/>
      <c r="B26" s="98" t="s">
        <v>129</v>
      </c>
      <c r="C26" s="99"/>
      <c r="D26" s="99" t="s">
        <v>52</v>
      </c>
      <c r="E26" s="99" t="s">
        <v>4</v>
      </c>
      <c r="F26" s="100">
        <v>228</v>
      </c>
      <c r="G26" s="101">
        <f t="shared" si="1"/>
        <v>228</v>
      </c>
      <c r="H26" s="102">
        <f>VLOOKUP($B26,ТМЦ!$B$3:$J$75,6,0)</f>
        <v>0</v>
      </c>
      <c r="I26" s="102">
        <f t="shared" si="2"/>
        <v>0</v>
      </c>
      <c r="J26" s="125"/>
      <c r="K26" s="102">
        <f>VLOOKUP($B26,ТМЦ!$B$3:$J$75,9,0)</f>
        <v>0</v>
      </c>
    </row>
    <row r="27" spans="1:11" s="122" customFormat="1" ht="30" customHeight="1" outlineLevel="3" x14ac:dyDescent="0.3">
      <c r="A27" s="97"/>
      <c r="B27" s="98" t="s">
        <v>141</v>
      </c>
      <c r="C27" s="99"/>
      <c r="D27" s="99" t="s">
        <v>142</v>
      </c>
      <c r="E27" s="99" t="s">
        <v>4</v>
      </c>
      <c r="F27" s="100">
        <v>48</v>
      </c>
      <c r="G27" s="101">
        <f t="shared" si="1"/>
        <v>48</v>
      </c>
      <c r="H27" s="102">
        <f>VLOOKUP($B27,ТМЦ!$B$3:$J$75,6,0)</f>
        <v>0</v>
      </c>
      <c r="I27" s="102">
        <f t="shared" ref="I27" si="4">H27*G27</f>
        <v>0</v>
      </c>
      <c r="J27" s="125"/>
      <c r="K27" s="102">
        <f>VLOOKUP($B27,ТМЦ!$B$3:$J$75,9,0)</f>
        <v>0</v>
      </c>
    </row>
    <row r="28" spans="1:11" s="122" customFormat="1" ht="30" customHeight="1" outlineLevel="3" x14ac:dyDescent="0.3">
      <c r="A28" s="97"/>
      <c r="B28" s="98" t="s">
        <v>30</v>
      </c>
      <c r="C28" s="99"/>
      <c r="D28" s="115" t="s">
        <v>54</v>
      </c>
      <c r="E28" s="99" t="s">
        <v>4</v>
      </c>
      <c r="F28" s="100">
        <v>423</v>
      </c>
      <c r="G28" s="101">
        <f t="shared" si="1"/>
        <v>423</v>
      </c>
      <c r="H28" s="102">
        <f>VLOOKUP($B28,ТМЦ!$B$3:$J$75,6,0)</f>
        <v>0</v>
      </c>
      <c r="I28" s="102">
        <f t="shared" si="2"/>
        <v>0</v>
      </c>
      <c r="J28" s="126" t="s">
        <v>160</v>
      </c>
      <c r="K28" s="102">
        <f>VLOOKUP($B28,ТМЦ!$B$3:$J$75,9,0)</f>
        <v>0</v>
      </c>
    </row>
    <row r="29" spans="1:11" s="122" customFormat="1" ht="30" customHeight="1" outlineLevel="3" x14ac:dyDescent="0.3">
      <c r="A29" s="97"/>
      <c r="B29" s="98" t="s">
        <v>31</v>
      </c>
      <c r="C29" s="99" t="s">
        <v>68</v>
      </c>
      <c r="D29" s="115" t="s">
        <v>149</v>
      </c>
      <c r="E29" s="99" t="s">
        <v>4</v>
      </c>
      <c r="F29" s="100">
        <v>12</v>
      </c>
      <c r="G29" s="101">
        <f t="shared" si="1"/>
        <v>12</v>
      </c>
      <c r="H29" s="102">
        <f>VLOOKUP($B29,ТМЦ!$B$3:$J$75,6,0)</f>
        <v>0</v>
      </c>
      <c r="I29" s="102">
        <f t="shared" si="2"/>
        <v>0</v>
      </c>
      <c r="J29" s="125"/>
      <c r="K29" s="102">
        <f>VLOOKUP($B29,ТМЦ!$B$3:$J$75,9,0)</f>
        <v>0</v>
      </c>
    </row>
    <row r="30" spans="1:11" s="122" customFormat="1" ht="36" customHeight="1" outlineLevel="3" x14ac:dyDescent="0.3">
      <c r="A30" s="97"/>
      <c r="B30" s="98" t="s">
        <v>71</v>
      </c>
      <c r="C30" s="99"/>
      <c r="D30" s="115" t="s">
        <v>127</v>
      </c>
      <c r="E30" s="99" t="s">
        <v>4</v>
      </c>
      <c r="F30" s="100">
        <v>3542</v>
      </c>
      <c r="G30" s="101">
        <f t="shared" si="1"/>
        <v>3542</v>
      </c>
      <c r="H30" s="102">
        <f>VLOOKUP($B30,ТМЦ!$B$3:$J$75,6,0)</f>
        <v>0</v>
      </c>
      <c r="I30" s="102">
        <f t="shared" ref="I30" si="5">H30*G30</f>
        <v>0</v>
      </c>
      <c r="J30" s="125"/>
      <c r="K30" s="102">
        <f>VLOOKUP($B30,ТМЦ!$B$3:$J$75,9,0)</f>
        <v>0</v>
      </c>
    </row>
    <row r="31" spans="1:11" s="130" customFormat="1" ht="120.75" customHeight="1" outlineLevel="3" x14ac:dyDescent="0.3">
      <c r="A31" s="123"/>
      <c r="B31" s="91" t="s">
        <v>176</v>
      </c>
      <c r="C31" s="127"/>
      <c r="D31" s="92"/>
      <c r="E31" s="127" t="s">
        <v>95</v>
      </c>
      <c r="F31" s="128"/>
      <c r="G31" s="101" t="e">
        <f>I31*100/I17</f>
        <v>#DIV/0!</v>
      </c>
      <c r="H31" s="101"/>
      <c r="I31" s="101">
        <f>SUM(I32:I44)</f>
        <v>0</v>
      </c>
      <c r="J31" s="129"/>
      <c r="K31" s="116"/>
    </row>
    <row r="32" spans="1:11" s="122" customFormat="1" ht="24.75" customHeight="1" outlineLevel="4" x14ac:dyDescent="0.3">
      <c r="A32" s="97"/>
      <c r="B32" s="72" t="s">
        <v>62</v>
      </c>
      <c r="C32" s="99"/>
      <c r="D32" s="115"/>
      <c r="E32" s="99" t="s">
        <v>5</v>
      </c>
      <c r="F32" s="100">
        <f>F28*2</f>
        <v>846</v>
      </c>
      <c r="G32" s="101">
        <f t="shared" ref="G32:G44" si="6">SUM(F32:F32)</f>
        <v>846</v>
      </c>
      <c r="H32" s="102">
        <f>VLOOKUP($B32,ТМЦ!$B$3:$J$75,6,0)</f>
        <v>0</v>
      </c>
      <c r="I32" s="102">
        <f t="shared" ref="I32:I38" si="7">H32*G32</f>
        <v>0</v>
      </c>
      <c r="J32" s="125"/>
      <c r="K32" s="102">
        <f>VLOOKUP($B32,ТМЦ!$B$3:$J$75,9,0)</f>
        <v>0</v>
      </c>
    </row>
    <row r="33" spans="1:11" s="122" customFormat="1" ht="24.75" customHeight="1" outlineLevel="4" x14ac:dyDescent="0.3">
      <c r="A33" s="97"/>
      <c r="B33" s="72" t="s">
        <v>63</v>
      </c>
      <c r="C33" s="99"/>
      <c r="D33" s="115"/>
      <c r="E33" s="99" t="s">
        <v>5</v>
      </c>
      <c r="F33" s="100">
        <f>F32</f>
        <v>846</v>
      </c>
      <c r="G33" s="101">
        <f t="shared" si="6"/>
        <v>846</v>
      </c>
      <c r="H33" s="102">
        <f>VLOOKUP($B33,ТМЦ!$B$3:$J$75,6,0)</f>
        <v>0</v>
      </c>
      <c r="I33" s="102">
        <f t="shared" si="7"/>
        <v>0</v>
      </c>
      <c r="J33" s="125"/>
      <c r="K33" s="102">
        <f>VLOOKUP($B33,ТМЦ!$B$3:$J$75,9,0)</f>
        <v>0</v>
      </c>
    </row>
    <row r="34" spans="1:11" s="122" customFormat="1" ht="24.75" customHeight="1" outlineLevel="4" x14ac:dyDescent="0.3">
      <c r="A34" s="97"/>
      <c r="B34" s="72" t="s">
        <v>99</v>
      </c>
      <c r="C34" s="99"/>
      <c r="D34" s="115"/>
      <c r="E34" s="99" t="s">
        <v>4</v>
      </c>
      <c r="F34" s="100">
        <v>4</v>
      </c>
      <c r="G34" s="101">
        <f t="shared" si="6"/>
        <v>4</v>
      </c>
      <c r="H34" s="102">
        <f>VLOOKUP($B34,ТМЦ!$B$3:$J$75,6,0)</f>
        <v>0</v>
      </c>
      <c r="I34" s="102">
        <f t="shared" ref="I34" si="8">H34*G34</f>
        <v>0</v>
      </c>
      <c r="J34" s="125"/>
      <c r="K34" s="102">
        <f>VLOOKUP($B34,ТМЦ!$B$3:$J$75,9,0)</f>
        <v>0</v>
      </c>
    </row>
    <row r="35" spans="1:11" s="122" customFormat="1" ht="24.75" customHeight="1" outlineLevel="4" x14ac:dyDescent="0.3">
      <c r="A35" s="97"/>
      <c r="B35" s="72" t="s">
        <v>64</v>
      </c>
      <c r="C35" s="99"/>
      <c r="D35" s="115"/>
      <c r="E35" s="99" t="s">
        <v>5</v>
      </c>
      <c r="F35" s="100">
        <v>1</v>
      </c>
      <c r="G35" s="101">
        <f t="shared" si="6"/>
        <v>1</v>
      </c>
      <c r="H35" s="102">
        <f>VLOOKUP($B35,ТМЦ!$B$3:$J$75,6,0)</f>
        <v>0</v>
      </c>
      <c r="I35" s="102">
        <f t="shared" si="7"/>
        <v>0</v>
      </c>
      <c r="J35" s="125"/>
      <c r="K35" s="102">
        <f>VLOOKUP($B35,ТМЦ!$B$3:$J$75,9,0)</f>
        <v>0</v>
      </c>
    </row>
    <row r="36" spans="1:11" s="122" customFormat="1" ht="24.75" customHeight="1" outlineLevel="4" x14ac:dyDescent="0.3">
      <c r="A36" s="97"/>
      <c r="B36" s="72" t="s">
        <v>65</v>
      </c>
      <c r="C36" s="99"/>
      <c r="D36" s="115"/>
      <c r="E36" s="99" t="s">
        <v>5</v>
      </c>
      <c r="F36" s="100">
        <v>3</v>
      </c>
      <c r="G36" s="101">
        <f t="shared" si="6"/>
        <v>3</v>
      </c>
      <c r="H36" s="102">
        <f>VLOOKUP($B36,ТМЦ!$B$3:$J$75,6,0)</f>
        <v>0</v>
      </c>
      <c r="I36" s="102">
        <f t="shared" si="7"/>
        <v>0</v>
      </c>
      <c r="J36" s="125"/>
      <c r="K36" s="102">
        <f>VLOOKUP($B36,ТМЦ!$B$3:$J$75,9,0)</f>
        <v>0</v>
      </c>
    </row>
    <row r="37" spans="1:11" s="122" customFormat="1" ht="24.75" customHeight="1" outlineLevel="4" x14ac:dyDescent="0.3">
      <c r="A37" s="97"/>
      <c r="B37" s="72" t="s">
        <v>66</v>
      </c>
      <c r="C37" s="99"/>
      <c r="D37" s="115"/>
      <c r="E37" s="99" t="s">
        <v>4</v>
      </c>
      <c r="F37" s="100">
        <v>4</v>
      </c>
      <c r="G37" s="101">
        <f t="shared" si="6"/>
        <v>4</v>
      </c>
      <c r="H37" s="102">
        <f>VLOOKUP($B37,ТМЦ!$B$3:$J$75,6,0)</f>
        <v>0</v>
      </c>
      <c r="I37" s="102">
        <f t="shared" ref="I37" si="9">H37*G37</f>
        <v>0</v>
      </c>
      <c r="J37" s="125"/>
      <c r="K37" s="102">
        <f>VLOOKUP($B37,ТМЦ!$B$3:$J$75,9,0)</f>
        <v>0</v>
      </c>
    </row>
    <row r="38" spans="1:11" s="122" customFormat="1" ht="24.75" customHeight="1" outlineLevel="4" x14ac:dyDescent="0.3">
      <c r="A38" s="97"/>
      <c r="B38" s="72" t="s">
        <v>67</v>
      </c>
      <c r="C38" s="99"/>
      <c r="D38" s="115"/>
      <c r="E38" s="99" t="s">
        <v>5</v>
      </c>
      <c r="F38" s="100">
        <v>1</v>
      </c>
      <c r="G38" s="101">
        <f t="shared" si="6"/>
        <v>1</v>
      </c>
      <c r="H38" s="102">
        <f>VLOOKUP($B38,ТМЦ!$B$3:$J$75,6,0)</f>
        <v>0</v>
      </c>
      <c r="I38" s="102">
        <f t="shared" si="7"/>
        <v>0</v>
      </c>
      <c r="J38" s="125"/>
      <c r="K38" s="102">
        <f>VLOOKUP($B38,ТМЦ!$B$3:$J$75,9,0)</f>
        <v>0</v>
      </c>
    </row>
    <row r="39" spans="1:11" s="122" customFormat="1" ht="24.75" customHeight="1" outlineLevel="4" x14ac:dyDescent="0.3">
      <c r="A39" s="121"/>
      <c r="B39" s="72" t="s">
        <v>82</v>
      </c>
      <c r="C39" s="99"/>
      <c r="D39" s="115"/>
      <c r="E39" s="99" t="s">
        <v>4</v>
      </c>
      <c r="F39" s="100">
        <v>808</v>
      </c>
      <c r="G39" s="101">
        <f t="shared" si="6"/>
        <v>808</v>
      </c>
      <c r="H39" s="102">
        <f>VLOOKUP($B39,ТМЦ!$B$3:$J$75,6,0)</f>
        <v>0</v>
      </c>
      <c r="I39" s="102">
        <f t="shared" ref="I39:I41" si="10">H39*G39</f>
        <v>0</v>
      </c>
      <c r="J39" s="125"/>
      <c r="K39" s="102">
        <f>VLOOKUP($B39,ТМЦ!$B$3:$J$75,9,0)</f>
        <v>0</v>
      </c>
    </row>
    <row r="40" spans="1:11" s="122" customFormat="1" ht="24.75" customHeight="1" outlineLevel="4" x14ac:dyDescent="0.3">
      <c r="A40" s="121"/>
      <c r="B40" s="72" t="s">
        <v>83</v>
      </c>
      <c r="C40" s="99"/>
      <c r="D40" s="115"/>
      <c r="E40" s="99" t="s">
        <v>5</v>
      </c>
      <c r="F40" s="100">
        <v>16553</v>
      </c>
      <c r="G40" s="101">
        <f t="shared" si="6"/>
        <v>16553</v>
      </c>
      <c r="H40" s="102">
        <f>VLOOKUP($B40,ТМЦ!$B$3:$J$75,6,0)</f>
        <v>0</v>
      </c>
      <c r="I40" s="102">
        <f t="shared" si="10"/>
        <v>0</v>
      </c>
      <c r="J40" s="125"/>
      <c r="K40" s="102">
        <f>VLOOKUP($B40,ТМЦ!$B$3:$J$75,9,0)</f>
        <v>0</v>
      </c>
    </row>
    <row r="41" spans="1:11" s="122" customFormat="1" ht="24.75" customHeight="1" outlineLevel="4" x14ac:dyDescent="0.3">
      <c r="A41" s="121"/>
      <c r="B41" s="72" t="s">
        <v>84</v>
      </c>
      <c r="C41" s="99"/>
      <c r="D41" s="115"/>
      <c r="E41" s="99" t="s">
        <v>5</v>
      </c>
      <c r="F41" s="100">
        <v>1020</v>
      </c>
      <c r="G41" s="101">
        <f t="shared" si="6"/>
        <v>1020</v>
      </c>
      <c r="H41" s="102">
        <f>VLOOKUP($B41,ТМЦ!$B$3:$J$75,6,0)</f>
        <v>0</v>
      </c>
      <c r="I41" s="102">
        <f t="shared" si="10"/>
        <v>0</v>
      </c>
      <c r="J41" s="125"/>
      <c r="K41" s="102">
        <f>VLOOKUP($B41,ТМЦ!$B$3:$J$75,9,0)</f>
        <v>0</v>
      </c>
    </row>
    <row r="42" spans="1:11" s="122" customFormat="1" ht="39.75" customHeight="1" outlineLevel="4" x14ac:dyDescent="0.3">
      <c r="A42" s="121"/>
      <c r="B42" s="72" t="s">
        <v>143</v>
      </c>
      <c r="C42" s="99"/>
      <c r="D42" s="115"/>
      <c r="E42" s="99" t="s">
        <v>4</v>
      </c>
      <c r="F42" s="100">
        <v>1.8</v>
      </c>
      <c r="G42" s="101">
        <f t="shared" si="6"/>
        <v>1.8</v>
      </c>
      <c r="H42" s="102">
        <f>VLOOKUP($B42,ТМЦ!$B$3:$J$75,6,0)</f>
        <v>0</v>
      </c>
      <c r="I42" s="102">
        <f t="shared" ref="I42:I43" si="11">H42*G42</f>
        <v>0</v>
      </c>
      <c r="J42" s="119"/>
      <c r="K42" s="102">
        <f>VLOOKUP($B42,ТМЦ!$B$3:$J$75,9,0)</f>
        <v>0</v>
      </c>
    </row>
    <row r="43" spans="1:11" s="122" customFormat="1" ht="43.5" customHeight="1" outlineLevel="4" x14ac:dyDescent="0.3">
      <c r="A43" s="121"/>
      <c r="B43" s="72" t="s">
        <v>132</v>
      </c>
      <c r="C43" s="99"/>
      <c r="D43" s="115"/>
      <c r="E43" s="99" t="s">
        <v>5</v>
      </c>
      <c r="F43" s="100">
        <v>2</v>
      </c>
      <c r="G43" s="101">
        <f t="shared" si="6"/>
        <v>2</v>
      </c>
      <c r="H43" s="102">
        <f>VLOOKUP($B43,ТМЦ!$B$3:$J$75,6,0)</f>
        <v>0</v>
      </c>
      <c r="I43" s="102">
        <f t="shared" si="11"/>
        <v>0</v>
      </c>
      <c r="J43" s="119" t="s">
        <v>144</v>
      </c>
      <c r="K43" s="102">
        <f>VLOOKUP($B43,ТМЦ!$B$3:$J$75,9,0)</f>
        <v>0</v>
      </c>
    </row>
    <row r="44" spans="1:11" s="122" customFormat="1" ht="43.5" customHeight="1" outlineLevel="4" x14ac:dyDescent="0.3">
      <c r="A44" s="121"/>
      <c r="B44" s="72" t="s">
        <v>133</v>
      </c>
      <c r="C44" s="99"/>
      <c r="D44" s="115"/>
      <c r="E44" s="99" t="s">
        <v>5</v>
      </c>
      <c r="F44" s="100">
        <v>1</v>
      </c>
      <c r="G44" s="101">
        <f t="shared" si="6"/>
        <v>1</v>
      </c>
      <c r="H44" s="102">
        <f>VLOOKUP($B44,ТМЦ!$B$3:$J$75,6,0)</f>
        <v>0</v>
      </c>
      <c r="I44" s="102">
        <f t="shared" ref="I44" si="12">H44*G44</f>
        <v>0</v>
      </c>
      <c r="J44" s="119" t="s">
        <v>144</v>
      </c>
      <c r="K44" s="102">
        <f>VLOOKUP($B44,ТМЦ!$B$3:$J$75,9,0)</f>
        <v>0</v>
      </c>
    </row>
    <row r="45" spans="1:11" ht="23.25" customHeight="1" outlineLevel="1" x14ac:dyDescent="0.3">
      <c r="A45" s="52" t="s">
        <v>23</v>
      </c>
      <c r="B45" s="53" t="s">
        <v>16</v>
      </c>
      <c r="C45" s="54"/>
      <c r="D45" s="54"/>
      <c r="E45" s="54"/>
      <c r="F45" s="55"/>
      <c r="G45" s="55"/>
      <c r="H45" s="55"/>
      <c r="I45" s="55"/>
      <c r="J45" s="56"/>
      <c r="K45" s="56"/>
    </row>
    <row r="46" spans="1:11" ht="23.25" customHeight="1" outlineLevel="2" x14ac:dyDescent="0.3">
      <c r="A46" s="57" t="s">
        <v>25</v>
      </c>
      <c r="B46" s="58" t="s">
        <v>16</v>
      </c>
      <c r="C46" s="59"/>
      <c r="D46" s="59"/>
      <c r="E46" s="59"/>
      <c r="F46" s="60"/>
      <c r="G46" s="60"/>
      <c r="H46" s="60"/>
      <c r="I46" s="60">
        <f>I47+I49</f>
        <v>0</v>
      </c>
      <c r="J46" s="62"/>
      <c r="K46" s="62"/>
    </row>
    <row r="47" spans="1:11" ht="23.25" customHeight="1" outlineLevel="3" x14ac:dyDescent="0.3">
      <c r="A47" s="73"/>
      <c r="B47" s="48" t="s">
        <v>14</v>
      </c>
      <c r="C47" s="65"/>
      <c r="D47" s="65"/>
      <c r="E47" s="65"/>
      <c r="F47" s="66"/>
      <c r="G47" s="50"/>
      <c r="H47" s="50"/>
      <c r="I47" s="50">
        <f>SUM(I48:I48)</f>
        <v>0</v>
      </c>
      <c r="J47" s="51"/>
      <c r="K47" s="51"/>
    </row>
    <row r="48" spans="1:11" ht="21.75" customHeight="1" outlineLevel="3" x14ac:dyDescent="0.3">
      <c r="A48" s="73"/>
      <c r="B48" s="67" t="s">
        <v>179</v>
      </c>
      <c r="C48" s="68"/>
      <c r="D48" s="68"/>
      <c r="E48" s="68" t="s">
        <v>6</v>
      </c>
      <c r="F48" s="69">
        <v>1</v>
      </c>
      <c r="G48" s="50">
        <f>SUM(F48:F48)</f>
        <v>1</v>
      </c>
      <c r="H48" s="70">
        <f>VLOOKUP(B48,СМР!$B$3:$F$6,5,0)</f>
        <v>0</v>
      </c>
      <c r="I48" s="71">
        <f t="shared" ref="I48" si="13">H48*G48</f>
        <v>0</v>
      </c>
      <c r="J48" s="74"/>
      <c r="K48" s="51"/>
    </row>
    <row r="49" spans="1:11" s="96" customFormat="1" ht="25.5" customHeight="1" outlineLevel="3" x14ac:dyDescent="0.3">
      <c r="A49" s="90"/>
      <c r="B49" s="91" t="s">
        <v>15</v>
      </c>
      <c r="C49" s="92"/>
      <c r="D49" s="92"/>
      <c r="E49" s="92"/>
      <c r="F49" s="93"/>
      <c r="G49" s="94"/>
      <c r="H49" s="94"/>
      <c r="I49" s="94">
        <f>SUM(I50:I83)</f>
        <v>0</v>
      </c>
      <c r="J49" s="95"/>
      <c r="K49" s="95"/>
    </row>
    <row r="50" spans="1:11" s="96" customFormat="1" ht="19.5" customHeight="1" outlineLevel="3" x14ac:dyDescent="0.3">
      <c r="A50" s="97"/>
      <c r="B50" s="98" t="s">
        <v>55</v>
      </c>
      <c r="C50" s="99" t="s">
        <v>164</v>
      </c>
      <c r="D50" s="99" t="s">
        <v>39</v>
      </c>
      <c r="E50" s="99" t="s">
        <v>5</v>
      </c>
      <c r="F50" s="100">
        <v>2</v>
      </c>
      <c r="G50" s="101">
        <f t="shared" ref="G50:G82" si="14">SUM(F50:F50)</f>
        <v>2</v>
      </c>
      <c r="H50" s="102">
        <f>VLOOKUP($B50,ТМЦ!$B$3:$J$75,6,0)</f>
        <v>0</v>
      </c>
      <c r="I50" s="102">
        <f>H50*G50</f>
        <v>0</v>
      </c>
      <c r="J50" s="116"/>
      <c r="K50" s="102">
        <f>VLOOKUP($B50,ТМЦ!$B$3:$J$75,9,0)</f>
        <v>0</v>
      </c>
    </row>
    <row r="51" spans="1:11" s="96" customFormat="1" ht="19.5" customHeight="1" outlineLevel="3" x14ac:dyDescent="0.3">
      <c r="A51" s="97"/>
      <c r="B51" s="98" t="s">
        <v>56</v>
      </c>
      <c r="C51" s="99" t="s">
        <v>156</v>
      </c>
      <c r="D51" s="99" t="s">
        <v>39</v>
      </c>
      <c r="E51" s="99" t="s">
        <v>5</v>
      </c>
      <c r="F51" s="100">
        <v>3</v>
      </c>
      <c r="G51" s="101">
        <f t="shared" si="14"/>
        <v>3</v>
      </c>
      <c r="H51" s="102">
        <f>VLOOKUP($B51,ТМЦ!$B$3:$J$75,6,0)</f>
        <v>0</v>
      </c>
      <c r="I51" s="102">
        <f t="shared" ref="I51" si="15">H51*G51</f>
        <v>0</v>
      </c>
      <c r="J51" s="117"/>
      <c r="K51" s="102">
        <f>VLOOKUP($B51,ТМЦ!$B$3:$J$75,9,0)</f>
        <v>0</v>
      </c>
    </row>
    <row r="52" spans="1:11" s="96" customFormat="1" ht="19.5" customHeight="1" outlineLevel="3" x14ac:dyDescent="0.3">
      <c r="A52" s="97"/>
      <c r="B52" s="98" t="s">
        <v>36</v>
      </c>
      <c r="C52" s="99" t="s">
        <v>39</v>
      </c>
      <c r="D52" s="99" t="s">
        <v>53</v>
      </c>
      <c r="E52" s="99" t="s">
        <v>5</v>
      </c>
      <c r="F52" s="100">
        <v>5</v>
      </c>
      <c r="G52" s="101">
        <f t="shared" si="14"/>
        <v>5</v>
      </c>
      <c r="H52" s="102">
        <f>VLOOKUP($B52,ТМЦ!$B$3:$J$75,6,0)</f>
        <v>0</v>
      </c>
      <c r="I52" s="102">
        <f t="shared" ref="I52:I91" si="16">H52*G52</f>
        <v>0</v>
      </c>
      <c r="J52" s="117"/>
      <c r="K52" s="102">
        <f>VLOOKUP($B52,ТМЦ!$B$3:$J$75,9,0)</f>
        <v>0</v>
      </c>
    </row>
    <row r="53" spans="1:11" s="96" customFormat="1" ht="19.5" customHeight="1" outlineLevel="3" x14ac:dyDescent="0.3">
      <c r="A53" s="97"/>
      <c r="B53" s="98" t="s">
        <v>102</v>
      </c>
      <c r="C53" s="99" t="s">
        <v>39</v>
      </c>
      <c r="D53" s="99" t="s">
        <v>57</v>
      </c>
      <c r="E53" s="99" t="s">
        <v>5</v>
      </c>
      <c r="F53" s="100">
        <v>2</v>
      </c>
      <c r="G53" s="101">
        <f t="shared" si="14"/>
        <v>2</v>
      </c>
      <c r="H53" s="102">
        <f>VLOOKUP($B53,ТМЦ!$B$3:$J$75,6,0)</f>
        <v>0</v>
      </c>
      <c r="I53" s="102">
        <f t="shared" si="16"/>
        <v>0</v>
      </c>
      <c r="J53" s="117"/>
      <c r="K53" s="102">
        <f>VLOOKUP($B53,ТМЦ!$B$3:$J$75,9,0)</f>
        <v>0</v>
      </c>
    </row>
    <row r="54" spans="1:11" s="96" customFormat="1" ht="19.5" customHeight="1" outlineLevel="3" x14ac:dyDescent="0.3">
      <c r="A54" s="97"/>
      <c r="B54" s="98" t="s">
        <v>103</v>
      </c>
      <c r="C54" s="99" t="s">
        <v>39</v>
      </c>
      <c r="D54" s="99" t="s">
        <v>104</v>
      </c>
      <c r="E54" s="99"/>
      <c r="F54" s="100">
        <v>3</v>
      </c>
      <c r="G54" s="101">
        <f t="shared" si="14"/>
        <v>3</v>
      </c>
      <c r="H54" s="102">
        <f>VLOOKUP($B54,ТМЦ!$B$3:$J$75,6,0)</f>
        <v>0</v>
      </c>
      <c r="I54" s="102">
        <f t="shared" ref="I54" si="17">H54*G54</f>
        <v>0</v>
      </c>
      <c r="J54" s="117"/>
      <c r="K54" s="102">
        <f>VLOOKUP($B54,ТМЦ!$B$3:$J$75,9,0)</f>
        <v>0</v>
      </c>
    </row>
    <row r="55" spans="1:11" s="96" customFormat="1" ht="49.5" customHeight="1" outlineLevel="3" x14ac:dyDescent="0.3">
      <c r="A55" s="97"/>
      <c r="B55" s="98" t="s">
        <v>76</v>
      </c>
      <c r="C55" s="99"/>
      <c r="D55" s="115" t="s">
        <v>152</v>
      </c>
      <c r="E55" s="99" t="s">
        <v>5</v>
      </c>
      <c r="F55" s="100">
        <v>19</v>
      </c>
      <c r="G55" s="101">
        <f t="shared" si="14"/>
        <v>19</v>
      </c>
      <c r="H55" s="102">
        <f>VLOOKUP($B55,ТМЦ!$B$3:$J$75,6,0)</f>
        <v>0</v>
      </c>
      <c r="I55" s="102">
        <f>H55*G55</f>
        <v>0</v>
      </c>
      <c r="J55" s="118" t="s">
        <v>140</v>
      </c>
      <c r="K55" s="102">
        <f>VLOOKUP($B55,ТМЦ!$B$3:$J$75,9,0)</f>
        <v>0</v>
      </c>
    </row>
    <row r="56" spans="1:11" s="96" customFormat="1" ht="54" customHeight="1" outlineLevel="3" x14ac:dyDescent="0.3">
      <c r="A56" s="97"/>
      <c r="B56" s="98" t="s">
        <v>77</v>
      </c>
      <c r="C56" s="99"/>
      <c r="D56" s="115" t="s">
        <v>153</v>
      </c>
      <c r="E56" s="99" t="s">
        <v>5</v>
      </c>
      <c r="F56" s="100">
        <v>1</v>
      </c>
      <c r="G56" s="101">
        <f t="shared" si="14"/>
        <v>1</v>
      </c>
      <c r="H56" s="102">
        <f>VLOOKUP($B56,ТМЦ!$B$3:$J$75,6,0)</f>
        <v>0</v>
      </c>
      <c r="I56" s="102">
        <f>H56*G56</f>
        <v>0</v>
      </c>
      <c r="J56" s="118" t="s">
        <v>140</v>
      </c>
      <c r="K56" s="102">
        <f>VLOOKUP($B56,ТМЦ!$B$3:$J$75,9,0)</f>
        <v>0</v>
      </c>
    </row>
    <row r="57" spans="1:11" s="96" customFormat="1" ht="45" customHeight="1" outlineLevel="3" x14ac:dyDescent="0.3">
      <c r="A57" s="97"/>
      <c r="B57" s="98" t="s">
        <v>78</v>
      </c>
      <c r="C57" s="115" t="s">
        <v>46</v>
      </c>
      <c r="D57" s="115" t="s">
        <v>79</v>
      </c>
      <c r="E57" s="99" t="s">
        <v>5</v>
      </c>
      <c r="F57" s="100">
        <v>154</v>
      </c>
      <c r="G57" s="101">
        <f t="shared" si="14"/>
        <v>154</v>
      </c>
      <c r="H57" s="102">
        <f>VLOOKUP($B57,ТМЦ!$B$3:$J$75,6,0)</f>
        <v>0</v>
      </c>
      <c r="I57" s="102">
        <f t="shared" ref="I57" si="18">H57*G57</f>
        <v>0</v>
      </c>
      <c r="J57" s="118" t="s">
        <v>140</v>
      </c>
      <c r="K57" s="102">
        <f>VLOOKUP($B57,ТМЦ!$B$3:$J$75,9,0)</f>
        <v>0</v>
      </c>
    </row>
    <row r="58" spans="1:11" s="96" customFormat="1" ht="79.5" customHeight="1" outlineLevel="3" x14ac:dyDescent="0.3">
      <c r="A58" s="97"/>
      <c r="B58" s="98" t="s">
        <v>122</v>
      </c>
      <c r="C58" s="99" t="s">
        <v>123</v>
      </c>
      <c r="D58" s="115" t="s">
        <v>124</v>
      </c>
      <c r="E58" s="99" t="s">
        <v>5</v>
      </c>
      <c r="F58" s="100">
        <f>F57*3</f>
        <v>462</v>
      </c>
      <c r="G58" s="101">
        <f t="shared" si="14"/>
        <v>462</v>
      </c>
      <c r="H58" s="102">
        <f>VLOOKUP($B58,ТМЦ!$B$3:$J$75,6,0)</f>
        <v>0</v>
      </c>
      <c r="I58" s="102">
        <f>H58*G58</f>
        <v>0</v>
      </c>
      <c r="J58" s="118" t="s">
        <v>140</v>
      </c>
      <c r="K58" s="102">
        <f>VLOOKUP($B58,ТМЦ!$B$3:$J$75,9,0)</f>
        <v>0</v>
      </c>
    </row>
    <row r="59" spans="1:11" s="96" customFormat="1" ht="27.6" outlineLevel="3" x14ac:dyDescent="0.3">
      <c r="A59" s="97"/>
      <c r="B59" s="98" t="s">
        <v>105</v>
      </c>
      <c r="C59" s="99" t="s">
        <v>158</v>
      </c>
      <c r="D59" s="115" t="s">
        <v>157</v>
      </c>
      <c r="E59" s="99" t="s">
        <v>5</v>
      </c>
      <c r="F59" s="100">
        <v>1</v>
      </c>
      <c r="G59" s="101">
        <f t="shared" si="14"/>
        <v>1</v>
      </c>
      <c r="H59" s="102">
        <f>VLOOKUP($B59,ТМЦ!$B$3:$J$75,6,0)</f>
        <v>0</v>
      </c>
      <c r="I59" s="102">
        <f t="shared" si="16"/>
        <v>0</v>
      </c>
      <c r="J59" s="119" t="s">
        <v>139</v>
      </c>
      <c r="K59" s="102">
        <f>VLOOKUP($B59,ТМЦ!$B$3:$J$75,9,0)</f>
        <v>0</v>
      </c>
    </row>
    <row r="60" spans="1:11" s="96" customFormat="1" outlineLevel="3" x14ac:dyDescent="0.3">
      <c r="A60" s="97"/>
      <c r="B60" s="98" t="s">
        <v>35</v>
      </c>
      <c r="C60" s="99"/>
      <c r="D60" s="115" t="s">
        <v>91</v>
      </c>
      <c r="E60" s="99" t="s">
        <v>5</v>
      </c>
      <c r="F60" s="100">
        <v>1</v>
      </c>
      <c r="G60" s="101">
        <f t="shared" si="14"/>
        <v>1</v>
      </c>
      <c r="H60" s="102">
        <f>VLOOKUP($B60,ТМЦ!$B$3:$J$75,6,0)</f>
        <v>0</v>
      </c>
      <c r="I60" s="102">
        <f t="shared" si="16"/>
        <v>0</v>
      </c>
      <c r="J60" s="119" t="s">
        <v>139</v>
      </c>
      <c r="K60" s="102">
        <f>VLOOKUP($B60,ТМЦ!$B$3:$J$75,9,0)</f>
        <v>0</v>
      </c>
    </row>
    <row r="61" spans="1:11" s="96" customFormat="1" outlineLevel="3" x14ac:dyDescent="0.3">
      <c r="A61" s="97"/>
      <c r="B61" s="98" t="s">
        <v>121</v>
      </c>
      <c r="C61" s="99" t="s">
        <v>106</v>
      </c>
      <c r="D61" s="115" t="s">
        <v>107</v>
      </c>
      <c r="E61" s="99" t="s">
        <v>5</v>
      </c>
      <c r="F61" s="100">
        <v>1</v>
      </c>
      <c r="G61" s="101">
        <f t="shared" si="14"/>
        <v>1</v>
      </c>
      <c r="H61" s="102">
        <f>VLOOKUP($B61,ТМЦ!$B$3:$J$75,6,0)</f>
        <v>0</v>
      </c>
      <c r="I61" s="102">
        <f t="shared" ref="I61:I62" si="19">H61*G61</f>
        <v>0</v>
      </c>
      <c r="J61" s="119" t="s">
        <v>139</v>
      </c>
      <c r="K61" s="102">
        <f>VLOOKUP($B61,ТМЦ!$B$3:$J$75,9,0)</f>
        <v>0</v>
      </c>
    </row>
    <row r="62" spans="1:11" s="96" customFormat="1" outlineLevel="3" x14ac:dyDescent="0.3">
      <c r="A62" s="97"/>
      <c r="B62" s="98" t="s">
        <v>136</v>
      </c>
      <c r="C62" s="99"/>
      <c r="D62" s="115" t="s">
        <v>135</v>
      </c>
      <c r="E62" s="99" t="s">
        <v>5</v>
      </c>
      <c r="F62" s="100">
        <v>2</v>
      </c>
      <c r="G62" s="101">
        <f t="shared" si="14"/>
        <v>2</v>
      </c>
      <c r="H62" s="102">
        <f>VLOOKUP($B62,ТМЦ!$B$3:$J$75,6,0)</f>
        <v>0</v>
      </c>
      <c r="I62" s="102">
        <f t="shared" si="19"/>
        <v>0</v>
      </c>
      <c r="J62" s="119" t="s">
        <v>139</v>
      </c>
      <c r="K62" s="102">
        <f>VLOOKUP($B62,ТМЦ!$B$3:$J$75,9,0)</f>
        <v>0</v>
      </c>
    </row>
    <row r="63" spans="1:11" s="96" customFormat="1" outlineLevel="3" x14ac:dyDescent="0.3">
      <c r="A63" s="97"/>
      <c r="B63" s="98" t="s">
        <v>109</v>
      </c>
      <c r="C63" s="115" t="s">
        <v>108</v>
      </c>
      <c r="D63" s="115" t="s">
        <v>39</v>
      </c>
      <c r="E63" s="99" t="s">
        <v>5</v>
      </c>
      <c r="F63" s="100">
        <v>1</v>
      </c>
      <c r="G63" s="101">
        <f t="shared" si="14"/>
        <v>1</v>
      </c>
      <c r="H63" s="102">
        <f>VLOOKUP($B63,ТМЦ!$B$3:$J$75,6,0)</f>
        <v>0</v>
      </c>
      <c r="I63" s="102">
        <f>H63*G63</f>
        <v>0</v>
      </c>
      <c r="J63" s="119" t="s">
        <v>139</v>
      </c>
      <c r="K63" s="102">
        <f>VLOOKUP($B63,ТМЦ!$B$3:$J$75,9,0)</f>
        <v>0</v>
      </c>
    </row>
    <row r="64" spans="1:11" s="96" customFormat="1" ht="27.6" outlineLevel="3" x14ac:dyDescent="0.3">
      <c r="A64" s="97"/>
      <c r="B64" s="98" t="s">
        <v>111</v>
      </c>
      <c r="C64" s="99" t="s">
        <v>110</v>
      </c>
      <c r="D64" s="115" t="s">
        <v>112</v>
      </c>
      <c r="E64" s="99" t="s">
        <v>5</v>
      </c>
      <c r="F64" s="100">
        <v>24</v>
      </c>
      <c r="G64" s="101">
        <f t="shared" si="14"/>
        <v>24</v>
      </c>
      <c r="H64" s="102">
        <f>VLOOKUP($B64,ТМЦ!$B$3:$J$75,6,0)</f>
        <v>0</v>
      </c>
      <c r="I64" s="102">
        <f>H64*G64</f>
        <v>0</v>
      </c>
      <c r="J64" s="119" t="s">
        <v>139</v>
      </c>
      <c r="K64" s="102">
        <f>VLOOKUP($B64,ТМЦ!$B$3:$J$75,9,0)</f>
        <v>0</v>
      </c>
    </row>
    <row r="65" spans="1:11" s="96" customFormat="1" outlineLevel="3" x14ac:dyDescent="0.3">
      <c r="A65" s="97"/>
      <c r="B65" s="98" t="s">
        <v>114</v>
      </c>
      <c r="C65" s="99" t="s">
        <v>113</v>
      </c>
      <c r="D65" s="115" t="s">
        <v>115</v>
      </c>
      <c r="E65" s="99" t="s">
        <v>5</v>
      </c>
      <c r="F65" s="100">
        <v>1</v>
      </c>
      <c r="G65" s="101">
        <f t="shared" si="14"/>
        <v>1</v>
      </c>
      <c r="H65" s="102">
        <f>VLOOKUP($B65,ТМЦ!$B$3:$J$75,6,0)</f>
        <v>0</v>
      </c>
      <c r="I65" s="102">
        <f>H65*G65</f>
        <v>0</v>
      </c>
      <c r="J65" s="119" t="s">
        <v>139</v>
      </c>
      <c r="K65" s="102">
        <f>VLOOKUP($B65,ТМЦ!$B$3:$J$75,9,0)</f>
        <v>0</v>
      </c>
    </row>
    <row r="66" spans="1:11" s="96" customFormat="1" outlineLevel="3" x14ac:dyDescent="0.3">
      <c r="A66" s="97"/>
      <c r="B66" s="98" t="s">
        <v>118</v>
      </c>
      <c r="C66" s="99"/>
      <c r="D66" s="115"/>
      <c r="E66" s="99" t="s">
        <v>5</v>
      </c>
      <c r="F66" s="100">
        <v>4</v>
      </c>
      <c r="G66" s="101">
        <f t="shared" si="14"/>
        <v>4</v>
      </c>
      <c r="H66" s="102">
        <f>VLOOKUP($B66,ТМЦ!$B$3:$J$75,6,0)</f>
        <v>0</v>
      </c>
      <c r="I66" s="102">
        <f t="shared" ref="I66" si="20">H66*G66</f>
        <v>0</v>
      </c>
      <c r="J66" s="119" t="s">
        <v>139</v>
      </c>
      <c r="K66" s="102">
        <f>VLOOKUP($B66,ТМЦ!$B$3:$J$75,9,0)</f>
        <v>0</v>
      </c>
    </row>
    <row r="67" spans="1:11" s="96" customFormat="1" ht="27.6" outlineLevel="3" x14ac:dyDescent="0.3">
      <c r="A67" s="97"/>
      <c r="B67" s="98" t="s">
        <v>117</v>
      </c>
      <c r="C67" s="115" t="s">
        <v>39</v>
      </c>
      <c r="D67" s="115" t="s">
        <v>116</v>
      </c>
      <c r="E67" s="99" t="s">
        <v>5</v>
      </c>
      <c r="F67" s="100">
        <v>2</v>
      </c>
      <c r="G67" s="101">
        <f t="shared" si="14"/>
        <v>2</v>
      </c>
      <c r="H67" s="102">
        <f>VLOOKUP($B67,ТМЦ!$B$3:$J$75,6,0)</f>
        <v>0</v>
      </c>
      <c r="I67" s="102">
        <f t="shared" ref="I67" si="21">H67*G67</f>
        <v>0</v>
      </c>
      <c r="J67" s="119" t="s">
        <v>139</v>
      </c>
      <c r="K67" s="102">
        <f>VLOOKUP($B67,ТМЦ!$B$3:$J$75,9,0)</f>
        <v>0</v>
      </c>
    </row>
    <row r="68" spans="1:11" s="96" customFormat="1" outlineLevel="3" x14ac:dyDescent="0.3">
      <c r="A68" s="97"/>
      <c r="B68" s="98" t="s">
        <v>85</v>
      </c>
      <c r="C68" s="99"/>
      <c r="D68" s="115"/>
      <c r="E68" s="99" t="s">
        <v>5</v>
      </c>
      <c r="F68" s="100">
        <v>2</v>
      </c>
      <c r="G68" s="101">
        <f t="shared" si="14"/>
        <v>2</v>
      </c>
      <c r="H68" s="102">
        <f>VLOOKUP($B68,ТМЦ!$B$3:$J$75,6,0)</f>
        <v>0</v>
      </c>
      <c r="I68" s="102">
        <f t="shared" ref="I68:I75" si="22">H68*G68</f>
        <v>0</v>
      </c>
      <c r="J68" s="119" t="s">
        <v>139</v>
      </c>
      <c r="K68" s="102">
        <f>VLOOKUP($B68,ТМЦ!$B$3:$J$75,9,0)</f>
        <v>0</v>
      </c>
    </row>
    <row r="69" spans="1:11" s="96" customFormat="1" outlineLevel="3" x14ac:dyDescent="0.3">
      <c r="A69" s="97"/>
      <c r="B69" s="98" t="s">
        <v>86</v>
      </c>
      <c r="C69" s="99"/>
      <c r="D69" s="115"/>
      <c r="E69" s="99" t="s">
        <v>5</v>
      </c>
      <c r="F69" s="100">
        <v>3</v>
      </c>
      <c r="G69" s="101">
        <f t="shared" si="14"/>
        <v>3</v>
      </c>
      <c r="H69" s="102">
        <f>VLOOKUP($B69,ТМЦ!$B$3:$J$75,6,0)</f>
        <v>0</v>
      </c>
      <c r="I69" s="102">
        <f t="shared" si="22"/>
        <v>0</v>
      </c>
      <c r="J69" s="119" t="s">
        <v>139</v>
      </c>
      <c r="K69" s="102">
        <f>VLOOKUP($B69,ТМЦ!$B$3:$J$75,9,0)</f>
        <v>0</v>
      </c>
    </row>
    <row r="70" spans="1:11" s="96" customFormat="1" outlineLevel="3" x14ac:dyDescent="0.3">
      <c r="A70" s="97"/>
      <c r="B70" s="98" t="s">
        <v>87</v>
      </c>
      <c r="C70" s="99"/>
      <c r="D70" s="115"/>
      <c r="E70" s="99" t="s">
        <v>5</v>
      </c>
      <c r="F70" s="100">
        <v>3</v>
      </c>
      <c r="G70" s="101">
        <f t="shared" si="14"/>
        <v>3</v>
      </c>
      <c r="H70" s="102">
        <f>VLOOKUP($B70,ТМЦ!$B$3:$J$75,6,0)</f>
        <v>0</v>
      </c>
      <c r="I70" s="102">
        <f t="shared" si="22"/>
        <v>0</v>
      </c>
      <c r="J70" s="119" t="s">
        <v>139</v>
      </c>
      <c r="K70" s="102">
        <f>VLOOKUP($B70,ТМЦ!$B$3:$J$75,9,0)</f>
        <v>0</v>
      </c>
    </row>
    <row r="71" spans="1:11" s="96" customFormat="1" outlineLevel="3" x14ac:dyDescent="0.3">
      <c r="A71" s="97"/>
      <c r="B71" s="98" t="s">
        <v>69</v>
      </c>
      <c r="C71" s="99"/>
      <c r="D71" s="115"/>
      <c r="E71" s="99" t="s">
        <v>5</v>
      </c>
      <c r="F71" s="100">
        <v>5</v>
      </c>
      <c r="G71" s="101">
        <f t="shared" si="14"/>
        <v>5</v>
      </c>
      <c r="H71" s="102">
        <f>VLOOKUP($B71,ТМЦ!$B$3:$J$75,6,0)</f>
        <v>0</v>
      </c>
      <c r="I71" s="102">
        <f t="shared" si="22"/>
        <v>0</v>
      </c>
      <c r="J71" s="119" t="s">
        <v>139</v>
      </c>
      <c r="K71" s="102">
        <f>VLOOKUP($B71,ТМЦ!$B$3:$J$75,9,0)</f>
        <v>0</v>
      </c>
    </row>
    <row r="72" spans="1:11" s="96" customFormat="1" outlineLevel="3" x14ac:dyDescent="0.3">
      <c r="A72" s="97"/>
      <c r="B72" s="98" t="s">
        <v>147</v>
      </c>
      <c r="C72" s="99"/>
      <c r="D72" s="115"/>
      <c r="E72" s="99" t="s">
        <v>5</v>
      </c>
      <c r="F72" s="100">
        <v>1</v>
      </c>
      <c r="G72" s="101">
        <f t="shared" si="14"/>
        <v>1</v>
      </c>
      <c r="H72" s="102">
        <f>VLOOKUP($B72,ТМЦ!$B$3:$J$75,6,0)</f>
        <v>0</v>
      </c>
      <c r="I72" s="102">
        <f t="shared" ref="I72" si="23">H72*G72</f>
        <v>0</v>
      </c>
      <c r="J72" s="119" t="s">
        <v>139</v>
      </c>
      <c r="K72" s="102">
        <f>VLOOKUP($B72,ТМЦ!$B$3:$J$75,9,0)</f>
        <v>0</v>
      </c>
    </row>
    <row r="73" spans="1:11" s="96" customFormat="1" outlineLevel="3" x14ac:dyDescent="0.3">
      <c r="A73" s="97"/>
      <c r="B73" s="98" t="s">
        <v>88</v>
      </c>
      <c r="C73" s="99"/>
      <c r="D73" s="115"/>
      <c r="E73" s="99" t="s">
        <v>5</v>
      </c>
      <c r="F73" s="100">
        <v>1</v>
      </c>
      <c r="G73" s="101">
        <f t="shared" si="14"/>
        <v>1</v>
      </c>
      <c r="H73" s="102">
        <f>VLOOKUP($B73,ТМЦ!$B$3:$J$75,6,0)</f>
        <v>0</v>
      </c>
      <c r="I73" s="102">
        <f t="shared" si="22"/>
        <v>0</v>
      </c>
      <c r="J73" s="119" t="s">
        <v>139</v>
      </c>
      <c r="K73" s="102">
        <f>VLOOKUP($B73,ТМЦ!$B$3:$J$75,9,0)</f>
        <v>0</v>
      </c>
    </row>
    <row r="74" spans="1:11" s="96" customFormat="1" outlineLevel="3" x14ac:dyDescent="0.3">
      <c r="A74" s="97"/>
      <c r="B74" s="98" t="s">
        <v>89</v>
      </c>
      <c r="C74" s="99"/>
      <c r="D74" s="115"/>
      <c r="E74" s="99" t="s">
        <v>5</v>
      </c>
      <c r="F74" s="100">
        <v>6</v>
      </c>
      <c r="G74" s="101">
        <f t="shared" si="14"/>
        <v>6</v>
      </c>
      <c r="H74" s="102">
        <f>VLOOKUP($B74,ТМЦ!$B$3:$J$75,6,0)</f>
        <v>0</v>
      </c>
      <c r="I74" s="102">
        <f t="shared" si="22"/>
        <v>0</v>
      </c>
      <c r="J74" s="119" t="s">
        <v>139</v>
      </c>
      <c r="K74" s="102">
        <f>VLOOKUP($B74,ТМЦ!$B$3:$J$75,9,0)</f>
        <v>0</v>
      </c>
    </row>
    <row r="75" spans="1:11" s="96" customFormat="1" outlineLevel="3" x14ac:dyDescent="0.3">
      <c r="A75" s="97"/>
      <c r="B75" s="98" t="s">
        <v>148</v>
      </c>
      <c r="C75" s="99"/>
      <c r="D75" s="115"/>
      <c r="E75" s="99" t="s">
        <v>5</v>
      </c>
      <c r="F75" s="100">
        <v>1</v>
      </c>
      <c r="G75" s="101">
        <f t="shared" si="14"/>
        <v>1</v>
      </c>
      <c r="H75" s="102">
        <f>VLOOKUP($B75,ТМЦ!$B$3:$J$75,6,0)</f>
        <v>0</v>
      </c>
      <c r="I75" s="102">
        <f t="shared" si="22"/>
        <v>0</v>
      </c>
      <c r="J75" s="119" t="s">
        <v>139</v>
      </c>
      <c r="K75" s="102">
        <f>VLOOKUP($B75,ТМЦ!$B$3:$J$75,9,0)</f>
        <v>0</v>
      </c>
    </row>
    <row r="76" spans="1:11" s="96" customFormat="1" outlineLevel="3" x14ac:dyDescent="0.3">
      <c r="A76" s="97"/>
      <c r="B76" s="120" t="s">
        <v>137</v>
      </c>
      <c r="C76" s="99"/>
      <c r="D76" s="115"/>
      <c r="E76" s="99" t="s">
        <v>5</v>
      </c>
      <c r="F76" s="100">
        <v>2</v>
      </c>
      <c r="G76" s="101">
        <f t="shared" si="14"/>
        <v>2</v>
      </c>
      <c r="H76" s="102">
        <f>VLOOKUP($B76,ТМЦ!$B$3:$J$75,6,0)</f>
        <v>0</v>
      </c>
      <c r="I76" s="102">
        <f t="shared" ref="I76" si="24">H76*G76</f>
        <v>0</v>
      </c>
      <c r="J76" s="119" t="s">
        <v>139</v>
      </c>
      <c r="K76" s="102">
        <f>VLOOKUP($B76,ТМЦ!$B$3:$J$75,9,0)</f>
        <v>0</v>
      </c>
    </row>
    <row r="77" spans="1:11" s="96" customFormat="1" outlineLevel="3" x14ac:dyDescent="0.3">
      <c r="A77" s="97"/>
      <c r="B77" s="120" t="s">
        <v>138</v>
      </c>
      <c r="C77" s="99"/>
      <c r="D77" s="115"/>
      <c r="E77" s="99" t="s">
        <v>5</v>
      </c>
      <c r="F77" s="100">
        <v>2</v>
      </c>
      <c r="G77" s="101">
        <f t="shared" si="14"/>
        <v>2</v>
      </c>
      <c r="H77" s="102">
        <f>VLOOKUP($B77,ТМЦ!$B$3:$J$75,6,0)</f>
        <v>0</v>
      </c>
      <c r="I77" s="102">
        <f t="shared" ref="I77" si="25">H77*G77</f>
        <v>0</v>
      </c>
      <c r="J77" s="119" t="s">
        <v>139</v>
      </c>
      <c r="K77" s="102">
        <f>VLOOKUP($B77,ТМЦ!$B$3:$J$75,9,0)</f>
        <v>0</v>
      </c>
    </row>
    <row r="78" spans="1:11" s="96" customFormat="1" outlineLevel="3" x14ac:dyDescent="0.3">
      <c r="A78" s="97"/>
      <c r="B78" s="98" t="s">
        <v>128</v>
      </c>
      <c r="C78" s="99"/>
      <c r="D78" s="115"/>
      <c r="E78" s="99" t="s">
        <v>5</v>
      </c>
      <c r="F78" s="100">
        <v>1</v>
      </c>
      <c r="G78" s="101">
        <f t="shared" si="14"/>
        <v>1</v>
      </c>
      <c r="H78" s="102">
        <f>VLOOKUP($B78,ТМЦ!$B$3:$J$75,6,0)</f>
        <v>0</v>
      </c>
      <c r="I78" s="102">
        <f t="shared" ref="I78" si="26">H78*G78</f>
        <v>0</v>
      </c>
      <c r="J78" s="119" t="s">
        <v>139</v>
      </c>
      <c r="K78" s="102">
        <f>VLOOKUP($B78,ТМЦ!$B$3:$J$75,9,0)</f>
        <v>0</v>
      </c>
    </row>
    <row r="79" spans="1:11" s="96" customFormat="1" outlineLevel="3" x14ac:dyDescent="0.3">
      <c r="A79" s="97"/>
      <c r="B79" s="98" t="s">
        <v>146</v>
      </c>
      <c r="C79" s="99"/>
      <c r="D79" s="115"/>
      <c r="E79" s="99" t="s">
        <v>5</v>
      </c>
      <c r="F79" s="100">
        <v>1</v>
      </c>
      <c r="G79" s="101">
        <f t="shared" si="14"/>
        <v>1</v>
      </c>
      <c r="H79" s="102">
        <f>VLOOKUP($B79,ТМЦ!$B$3:$J$75,6,0)</f>
        <v>0</v>
      </c>
      <c r="I79" s="102">
        <f t="shared" ref="I79" si="27">H79*G79</f>
        <v>0</v>
      </c>
      <c r="J79" s="119" t="s">
        <v>139</v>
      </c>
      <c r="K79" s="102">
        <f>VLOOKUP($B79,ТМЦ!$B$3:$J$75,9,0)</f>
        <v>0</v>
      </c>
    </row>
    <row r="80" spans="1:11" s="122" customFormat="1" ht="39.75" customHeight="1" outlineLevel="3" x14ac:dyDescent="0.3">
      <c r="A80" s="121"/>
      <c r="B80" s="98" t="s">
        <v>161</v>
      </c>
      <c r="C80" s="99"/>
      <c r="D80" s="115"/>
      <c r="E80" s="99" t="s">
        <v>5</v>
      </c>
      <c r="F80" s="100">
        <v>1</v>
      </c>
      <c r="G80" s="101">
        <f t="shared" si="14"/>
        <v>1</v>
      </c>
      <c r="H80" s="102">
        <f>VLOOKUP($B80,ТМЦ!$B$3:$J$75,6,0)</f>
        <v>0</v>
      </c>
      <c r="I80" s="102">
        <f>H80*G80</f>
        <v>0</v>
      </c>
      <c r="J80" s="119" t="s">
        <v>144</v>
      </c>
      <c r="K80" s="102">
        <f>VLOOKUP($B80,ТМЦ!$B$3:$J$75,9,0)</f>
        <v>0</v>
      </c>
    </row>
    <row r="81" spans="1:11" s="122" customFormat="1" ht="39.75" customHeight="1" outlineLevel="3" x14ac:dyDescent="0.3">
      <c r="A81" s="121"/>
      <c r="B81" s="98" t="s">
        <v>162</v>
      </c>
      <c r="C81" s="99"/>
      <c r="D81" s="115"/>
      <c r="E81" s="99" t="s">
        <v>5</v>
      </c>
      <c r="F81" s="100">
        <v>1</v>
      </c>
      <c r="G81" s="101">
        <f t="shared" si="14"/>
        <v>1</v>
      </c>
      <c r="H81" s="102">
        <f>VLOOKUP($B81,ТМЦ!$B$3:$J$75,6,0)</f>
        <v>0</v>
      </c>
      <c r="I81" s="102">
        <f>H81*G81</f>
        <v>0</v>
      </c>
      <c r="J81" s="119" t="s">
        <v>144</v>
      </c>
      <c r="K81" s="102">
        <f>VLOOKUP($B81,ТМЦ!$B$3:$J$75,9,0)</f>
        <v>0</v>
      </c>
    </row>
    <row r="82" spans="1:11" s="122" customFormat="1" ht="42" customHeight="1" outlineLevel="3" x14ac:dyDescent="0.3">
      <c r="A82" s="121"/>
      <c r="B82" s="98" t="s">
        <v>131</v>
      </c>
      <c r="C82" s="99"/>
      <c r="D82" s="115"/>
      <c r="E82" s="99" t="s">
        <v>5</v>
      </c>
      <c r="F82" s="100">
        <v>1</v>
      </c>
      <c r="G82" s="101">
        <f t="shared" si="14"/>
        <v>1</v>
      </c>
      <c r="H82" s="102">
        <f>VLOOKUP($B82,ТМЦ!$B$3:$J$75,6,0)</f>
        <v>0</v>
      </c>
      <c r="I82" s="102">
        <f>H82*G82</f>
        <v>0</v>
      </c>
      <c r="J82" s="119" t="s">
        <v>144</v>
      </c>
      <c r="K82" s="102">
        <f>VLOOKUP($B82,ТМЦ!$B$3:$J$75,9,0)</f>
        <v>0</v>
      </c>
    </row>
    <row r="83" spans="1:11" s="96" customFormat="1" ht="166.5" customHeight="1" outlineLevel="3" x14ac:dyDescent="0.3">
      <c r="A83" s="97"/>
      <c r="B83" s="98" t="s">
        <v>177</v>
      </c>
      <c r="C83" s="99"/>
      <c r="D83" s="115"/>
      <c r="E83" s="99" t="s">
        <v>95</v>
      </c>
      <c r="F83" s="100"/>
      <c r="G83" s="101" t="e">
        <f>I83*100/I47</f>
        <v>#DIV/0!</v>
      </c>
      <c r="H83" s="102"/>
      <c r="I83" s="102">
        <f>SUM(I84:I91)</f>
        <v>0</v>
      </c>
      <c r="J83" s="117"/>
      <c r="K83" s="116"/>
    </row>
    <row r="84" spans="1:11" s="96" customFormat="1" ht="24" customHeight="1" outlineLevel="3" x14ac:dyDescent="0.3">
      <c r="A84" s="97"/>
      <c r="B84" s="72" t="s">
        <v>90</v>
      </c>
      <c r="C84" s="99"/>
      <c r="D84" s="115"/>
      <c r="E84" s="99" t="s">
        <v>5</v>
      </c>
      <c r="F84" s="100">
        <v>1</v>
      </c>
      <c r="G84" s="101">
        <f t="shared" ref="G84:G91" si="28">SUM(F84:F84)</f>
        <v>1</v>
      </c>
      <c r="H84" s="102">
        <f>VLOOKUP($B84,ТМЦ!$B$3:$J$75,6,0)</f>
        <v>0</v>
      </c>
      <c r="I84" s="102">
        <f>H84*G84</f>
        <v>0</v>
      </c>
      <c r="J84" s="118" t="s">
        <v>145</v>
      </c>
      <c r="K84" s="102">
        <f>VLOOKUP($B84,ТМЦ!$B$3:$J$75,9,0)</f>
        <v>0</v>
      </c>
    </row>
    <row r="85" spans="1:11" s="96" customFormat="1" ht="28.5" customHeight="1" outlineLevel="3" x14ac:dyDescent="0.3">
      <c r="A85" s="97"/>
      <c r="B85" s="72" t="s">
        <v>119</v>
      </c>
      <c r="C85" s="99"/>
      <c r="D85" s="115"/>
      <c r="E85" s="99" t="s">
        <v>5</v>
      </c>
      <c r="F85" s="100">
        <v>32</v>
      </c>
      <c r="G85" s="101">
        <f t="shared" si="28"/>
        <v>32</v>
      </c>
      <c r="H85" s="102">
        <f>VLOOKUP($B85,ТМЦ!$B$3:$J$75,6,0)</f>
        <v>0</v>
      </c>
      <c r="I85" s="102">
        <f>H85*G85</f>
        <v>0</v>
      </c>
      <c r="J85" s="117"/>
      <c r="K85" s="102">
        <f>VLOOKUP($B85,ТМЦ!$B$3:$J$75,9,0)</f>
        <v>0</v>
      </c>
    </row>
    <row r="86" spans="1:11" s="96" customFormat="1" ht="24" customHeight="1" outlineLevel="3" x14ac:dyDescent="0.3">
      <c r="A86" s="97"/>
      <c r="B86" s="72" t="s">
        <v>101</v>
      </c>
      <c r="C86" s="99"/>
      <c r="D86" s="115"/>
      <c r="E86" s="99" t="s">
        <v>5</v>
      </c>
      <c r="F86" s="102">
        <v>320</v>
      </c>
      <c r="G86" s="101">
        <f t="shared" si="28"/>
        <v>320</v>
      </c>
      <c r="H86" s="102">
        <f>VLOOKUP($B86,ТМЦ!$B$3:$J$75,6,0)</f>
        <v>0</v>
      </c>
      <c r="I86" s="102">
        <f t="shared" ref="I86" si="29">H86*G86</f>
        <v>0</v>
      </c>
      <c r="J86" s="117"/>
      <c r="K86" s="102">
        <f>VLOOKUP($B86,ТМЦ!$B$3:$J$75,9,0)</f>
        <v>0</v>
      </c>
    </row>
    <row r="87" spans="1:11" s="96" customFormat="1" ht="24" customHeight="1" outlineLevel="3" x14ac:dyDescent="0.3">
      <c r="A87" s="97"/>
      <c r="B87" s="72" t="s">
        <v>120</v>
      </c>
      <c r="C87" s="99"/>
      <c r="D87" s="115"/>
      <c r="E87" s="99" t="s">
        <v>5</v>
      </c>
      <c r="F87" s="100">
        <v>56</v>
      </c>
      <c r="G87" s="101">
        <f t="shared" si="28"/>
        <v>56</v>
      </c>
      <c r="H87" s="102">
        <f>VLOOKUP($B87,ТМЦ!$B$3:$J$75,6,0)</f>
        <v>0</v>
      </c>
      <c r="I87" s="102">
        <f t="shared" si="16"/>
        <v>0</v>
      </c>
      <c r="J87" s="117"/>
      <c r="K87" s="102">
        <f>VLOOKUP($B87,ТМЦ!$B$3:$J$75,9,0)</f>
        <v>0</v>
      </c>
    </row>
    <row r="88" spans="1:11" s="96" customFormat="1" ht="24" customHeight="1" outlineLevel="3" x14ac:dyDescent="0.3">
      <c r="A88" s="97"/>
      <c r="B88" s="72" t="s">
        <v>58</v>
      </c>
      <c r="C88" s="116"/>
      <c r="D88" s="116"/>
      <c r="E88" s="116" t="s">
        <v>5</v>
      </c>
      <c r="F88" s="102">
        <v>3</v>
      </c>
      <c r="G88" s="101">
        <f t="shared" si="28"/>
        <v>3</v>
      </c>
      <c r="H88" s="102">
        <f>VLOOKUP($B88,ТМЦ!$B$3:$J$75,6,0)</f>
        <v>0</v>
      </c>
      <c r="I88" s="102">
        <f t="shared" si="16"/>
        <v>0</v>
      </c>
      <c r="J88" s="117"/>
      <c r="K88" s="102">
        <f>VLOOKUP($B88,ТМЦ!$B$3:$J$75,9,0)</f>
        <v>0</v>
      </c>
    </row>
    <row r="89" spans="1:11" s="96" customFormat="1" ht="24" customHeight="1" outlineLevel="3" x14ac:dyDescent="0.3">
      <c r="A89" s="97"/>
      <c r="B89" s="72" t="s">
        <v>59</v>
      </c>
      <c r="C89" s="116"/>
      <c r="D89" s="116"/>
      <c r="E89" s="116" t="s">
        <v>5</v>
      </c>
      <c r="F89" s="102">
        <v>10</v>
      </c>
      <c r="G89" s="101">
        <f t="shared" si="28"/>
        <v>10</v>
      </c>
      <c r="H89" s="102">
        <f>VLOOKUP($B89,ТМЦ!$B$3:$J$75,6,0)</f>
        <v>0</v>
      </c>
      <c r="I89" s="102">
        <f t="shared" si="16"/>
        <v>0</v>
      </c>
      <c r="J89" s="117"/>
      <c r="K89" s="102">
        <f>VLOOKUP($B89,ТМЦ!$B$3:$J$75,9,0)</f>
        <v>0</v>
      </c>
    </row>
    <row r="90" spans="1:11" s="96" customFormat="1" ht="24" customHeight="1" outlineLevel="3" x14ac:dyDescent="0.3">
      <c r="A90" s="97"/>
      <c r="B90" s="72" t="s">
        <v>60</v>
      </c>
      <c r="C90" s="116"/>
      <c r="D90" s="116"/>
      <c r="E90" s="116" t="s">
        <v>5</v>
      </c>
      <c r="F90" s="102">
        <v>10</v>
      </c>
      <c r="G90" s="101">
        <f t="shared" si="28"/>
        <v>10</v>
      </c>
      <c r="H90" s="102">
        <f>VLOOKUP($B90,ТМЦ!$B$3:$J$75,6,0)</f>
        <v>0</v>
      </c>
      <c r="I90" s="102">
        <f t="shared" si="16"/>
        <v>0</v>
      </c>
      <c r="J90" s="117"/>
      <c r="K90" s="102">
        <f>VLOOKUP($B90,ТМЦ!$B$3:$J$75,9,0)</f>
        <v>0</v>
      </c>
    </row>
    <row r="91" spans="1:11" s="96" customFormat="1" ht="30" customHeight="1" outlineLevel="3" x14ac:dyDescent="0.3">
      <c r="A91" s="97"/>
      <c r="B91" s="72" t="s">
        <v>80</v>
      </c>
      <c r="C91" s="116"/>
      <c r="D91" s="116"/>
      <c r="E91" s="116" t="s">
        <v>5</v>
      </c>
      <c r="F91" s="100">
        <v>10</v>
      </c>
      <c r="G91" s="101">
        <f t="shared" si="28"/>
        <v>10</v>
      </c>
      <c r="H91" s="102">
        <f>VLOOKUP($B91,ТМЦ!$B$3:$J$75,6,0)</f>
        <v>0</v>
      </c>
      <c r="I91" s="102">
        <f t="shared" si="16"/>
        <v>0</v>
      </c>
      <c r="J91" s="118" t="s">
        <v>140</v>
      </c>
      <c r="K91" s="102">
        <f>VLOOKUP($B91,ТМЦ!$B$3:$J$75,9,0)</f>
        <v>0</v>
      </c>
    </row>
    <row r="92" spans="1:11" ht="21.75" customHeight="1" outlineLevel="1" x14ac:dyDescent="0.3">
      <c r="A92" s="52" t="s">
        <v>24</v>
      </c>
      <c r="B92" s="53" t="s">
        <v>20</v>
      </c>
      <c r="C92" s="54"/>
      <c r="D92" s="54"/>
      <c r="E92" s="54"/>
      <c r="F92" s="55"/>
      <c r="G92" s="55"/>
      <c r="H92" s="55"/>
      <c r="I92" s="55"/>
      <c r="J92" s="56"/>
      <c r="K92" s="56"/>
    </row>
    <row r="93" spans="1:11" ht="21.75" customHeight="1" outlineLevel="2" x14ac:dyDescent="0.3">
      <c r="A93" s="57" t="s">
        <v>26</v>
      </c>
      <c r="B93" s="58" t="s">
        <v>20</v>
      </c>
      <c r="C93" s="59"/>
      <c r="D93" s="59"/>
      <c r="E93" s="59"/>
      <c r="F93" s="60"/>
      <c r="G93" s="60"/>
      <c r="H93" s="60"/>
      <c r="I93" s="60">
        <f>I94+I97</f>
        <v>0</v>
      </c>
      <c r="J93" s="62"/>
      <c r="K93" s="62"/>
    </row>
    <row r="94" spans="1:11" ht="21.75" customHeight="1" outlineLevel="3" x14ac:dyDescent="0.3">
      <c r="A94" s="73"/>
      <c r="B94" s="48" t="s">
        <v>14</v>
      </c>
      <c r="C94" s="65"/>
      <c r="D94" s="65"/>
      <c r="E94" s="65"/>
      <c r="F94" s="66"/>
      <c r="G94" s="50"/>
      <c r="H94" s="50"/>
      <c r="I94" s="50">
        <f>SUM(I95:I96)</f>
        <v>0</v>
      </c>
      <c r="J94" s="51"/>
      <c r="K94" s="51"/>
    </row>
    <row r="95" spans="1:11" ht="21.75" customHeight="1" outlineLevel="3" x14ac:dyDescent="0.3">
      <c r="A95" s="73"/>
      <c r="B95" s="67" t="s">
        <v>93</v>
      </c>
      <c r="C95" s="68"/>
      <c r="D95" s="68"/>
      <c r="E95" s="68" t="s">
        <v>3</v>
      </c>
      <c r="F95" s="69">
        <f>SUM(F98:F99)</f>
        <v>1422</v>
      </c>
      <c r="G95" s="50">
        <f>SUM(F95:F95)</f>
        <v>1422</v>
      </c>
      <c r="H95" s="70">
        <f>VLOOKUP(B95,СМР!$B$3:$F$6,5,0)</f>
        <v>0</v>
      </c>
      <c r="I95" s="71">
        <f>H95*G95</f>
        <v>0</v>
      </c>
      <c r="J95" s="51"/>
      <c r="K95" s="51"/>
    </row>
    <row r="96" spans="1:11" ht="21.75" customHeight="1" outlineLevel="3" x14ac:dyDescent="0.3">
      <c r="A96" s="73"/>
      <c r="B96" s="67" t="s">
        <v>94</v>
      </c>
      <c r="C96" s="68"/>
      <c r="D96" s="68"/>
      <c r="E96" s="68" t="s">
        <v>3</v>
      </c>
      <c r="F96" s="69">
        <f>SUM(F100:F102)</f>
        <v>207</v>
      </c>
      <c r="G96" s="50">
        <f>SUM(F96:F96)</f>
        <v>207</v>
      </c>
      <c r="H96" s="70">
        <f>VLOOKUP(B96,СМР!$B$3:$F$6,5,0)</f>
        <v>0</v>
      </c>
      <c r="I96" s="71">
        <f t="shared" ref="I96" si="30">H96*G96</f>
        <v>0</v>
      </c>
      <c r="J96" s="51"/>
      <c r="K96" s="51"/>
    </row>
    <row r="97" spans="1:11" s="96" customFormat="1" ht="21.75" customHeight="1" outlineLevel="3" x14ac:dyDescent="0.3">
      <c r="A97" s="90"/>
      <c r="B97" s="91" t="s">
        <v>15</v>
      </c>
      <c r="C97" s="92"/>
      <c r="D97" s="92"/>
      <c r="E97" s="92"/>
      <c r="F97" s="93"/>
      <c r="G97" s="94"/>
      <c r="H97" s="94"/>
      <c r="I97" s="94">
        <f>SUM(I98:I104)</f>
        <v>0</v>
      </c>
      <c r="J97" s="95"/>
      <c r="K97" s="95"/>
    </row>
    <row r="98" spans="1:11" s="96" customFormat="1" ht="32.25" customHeight="1" outlineLevel="3" x14ac:dyDescent="0.3">
      <c r="A98" s="97"/>
      <c r="B98" s="98" t="s">
        <v>170</v>
      </c>
      <c r="C98" s="99"/>
      <c r="D98" s="115" t="s">
        <v>70</v>
      </c>
      <c r="E98" s="99" t="s">
        <v>4</v>
      </c>
      <c r="F98" s="100">
        <v>1290</v>
      </c>
      <c r="G98" s="101">
        <f t="shared" ref="G98:G103" si="31">SUM(F98:F98)</f>
        <v>1290</v>
      </c>
      <c r="H98" s="102">
        <f>VLOOKUP($B98,ТМЦ!$B$3:$J$75,6,0)</f>
        <v>0</v>
      </c>
      <c r="I98" s="102">
        <f>H98*G98</f>
        <v>0</v>
      </c>
      <c r="J98" s="103"/>
      <c r="K98" s="102">
        <f>VLOOKUP($B98,ТМЦ!$B$3:$J$75,9,0)</f>
        <v>0</v>
      </c>
    </row>
    <row r="99" spans="1:11" s="96" customFormat="1" ht="32.25" customHeight="1" outlineLevel="3" x14ac:dyDescent="0.3">
      <c r="A99" s="97"/>
      <c r="B99" s="98" t="s">
        <v>171</v>
      </c>
      <c r="C99" s="99"/>
      <c r="D99" s="115" t="s">
        <v>51</v>
      </c>
      <c r="E99" s="99" t="s">
        <v>4</v>
      </c>
      <c r="F99" s="100">
        <v>132</v>
      </c>
      <c r="G99" s="101">
        <f t="shared" si="31"/>
        <v>132</v>
      </c>
      <c r="H99" s="102">
        <f>VLOOKUP($B99,ТМЦ!$B$3:$J$75,6,0)</f>
        <v>0</v>
      </c>
      <c r="I99" s="102">
        <f>H99*G99</f>
        <v>0</v>
      </c>
      <c r="J99" s="116"/>
      <c r="K99" s="102">
        <f>VLOOKUP($B99,ТМЦ!$B$3:$J$75,9,0)</f>
        <v>0</v>
      </c>
    </row>
    <row r="100" spans="1:11" s="96" customFormat="1" ht="32.25" customHeight="1" outlineLevel="3" x14ac:dyDescent="0.3">
      <c r="A100" s="97"/>
      <c r="B100" s="98" t="s">
        <v>172</v>
      </c>
      <c r="C100" s="99" t="s">
        <v>61</v>
      </c>
      <c r="D100" s="115" t="s">
        <v>54</v>
      </c>
      <c r="E100" s="99" t="s">
        <v>4</v>
      </c>
      <c r="F100" s="100">
        <f>F99</f>
        <v>132</v>
      </c>
      <c r="G100" s="101">
        <f t="shared" si="31"/>
        <v>132</v>
      </c>
      <c r="H100" s="102">
        <f>VLOOKUP($B100,ТМЦ!$B$3:$J$75,6,0)</f>
        <v>0</v>
      </c>
      <c r="I100" s="102">
        <f>H100*G100</f>
        <v>0</v>
      </c>
      <c r="J100" s="116"/>
      <c r="K100" s="102">
        <f>VLOOKUP($B100,ТМЦ!$B$3:$J$75,9,0)</f>
        <v>0</v>
      </c>
    </row>
    <row r="101" spans="1:11" s="96" customFormat="1" ht="32.25" customHeight="1" outlineLevel="3" x14ac:dyDescent="0.3">
      <c r="A101" s="97"/>
      <c r="B101" s="98" t="s">
        <v>72</v>
      </c>
      <c r="C101" s="99"/>
      <c r="D101" s="115" t="s">
        <v>150</v>
      </c>
      <c r="E101" s="99" t="s">
        <v>4</v>
      </c>
      <c r="F101" s="100">
        <v>63</v>
      </c>
      <c r="G101" s="101">
        <f t="shared" si="31"/>
        <v>63</v>
      </c>
      <c r="H101" s="102">
        <f>VLOOKUP($B101,ТМЦ!$B$3:$J$75,6,0)</f>
        <v>0</v>
      </c>
      <c r="I101" s="102">
        <f>H101*G101</f>
        <v>0</v>
      </c>
      <c r="J101" s="103"/>
      <c r="K101" s="102">
        <f>VLOOKUP($B101,ТМЦ!$B$3:$J$75,9,0)</f>
        <v>0</v>
      </c>
    </row>
    <row r="102" spans="1:11" s="96" customFormat="1" ht="32.25" customHeight="1" outlineLevel="3" x14ac:dyDescent="0.3">
      <c r="A102" s="97"/>
      <c r="B102" s="98" t="s">
        <v>81</v>
      </c>
      <c r="C102" s="99"/>
      <c r="D102" s="115" t="s">
        <v>73</v>
      </c>
      <c r="E102" s="99" t="s">
        <v>4</v>
      </c>
      <c r="F102" s="100">
        <v>12</v>
      </c>
      <c r="G102" s="101">
        <f t="shared" si="31"/>
        <v>12</v>
      </c>
      <c r="H102" s="102">
        <f>VLOOKUP($B102,ТМЦ!$B$3:$J$75,6,0)</f>
        <v>0</v>
      </c>
      <c r="I102" s="102">
        <f t="shared" ref="I102:I110" si="32">H102*G102</f>
        <v>0</v>
      </c>
      <c r="J102" s="103"/>
      <c r="K102" s="102">
        <f>VLOOKUP($B102,ТМЦ!$B$3:$J$75,9,0)</f>
        <v>0</v>
      </c>
    </row>
    <row r="103" spans="1:11" s="96" customFormat="1" ht="32.25" customHeight="1" outlineLevel="3" x14ac:dyDescent="0.3">
      <c r="A103" s="97"/>
      <c r="B103" s="98" t="s">
        <v>163</v>
      </c>
      <c r="C103" s="99"/>
      <c r="D103" s="115"/>
      <c r="E103" s="99" t="s">
        <v>3</v>
      </c>
      <c r="F103" s="100">
        <f>F101/3*0.3</f>
        <v>6.3</v>
      </c>
      <c r="G103" s="101">
        <f t="shared" si="31"/>
        <v>6.3</v>
      </c>
      <c r="H103" s="102">
        <f>VLOOKUP($B103,ТМЦ!$B$3:$J$75,6,0)</f>
        <v>0</v>
      </c>
      <c r="I103" s="102">
        <f t="shared" ref="I103" si="33">H103*G103</f>
        <v>0</v>
      </c>
      <c r="J103" s="103"/>
      <c r="K103" s="102">
        <f>VLOOKUP($B103,ТМЦ!$B$3:$J$75,9,0)</f>
        <v>0</v>
      </c>
    </row>
    <row r="104" spans="1:11" s="96" customFormat="1" ht="99" customHeight="1" outlineLevel="3" x14ac:dyDescent="0.3">
      <c r="A104" s="97"/>
      <c r="B104" s="98" t="s">
        <v>178</v>
      </c>
      <c r="C104" s="99"/>
      <c r="D104" s="115"/>
      <c r="E104" s="99"/>
      <c r="F104" s="100"/>
      <c r="G104" s="101" t="e">
        <f>I104*100/I94</f>
        <v>#DIV/0!</v>
      </c>
      <c r="H104" s="102"/>
      <c r="I104" s="102">
        <f>SUM(I105:I110)</f>
        <v>0</v>
      </c>
      <c r="J104" s="103"/>
      <c r="K104" s="116"/>
    </row>
    <row r="105" spans="1:11" s="96" customFormat="1" ht="23.25" customHeight="1" outlineLevel="3" x14ac:dyDescent="0.3">
      <c r="A105" s="97"/>
      <c r="B105" s="72" t="s">
        <v>62</v>
      </c>
      <c r="C105" s="99"/>
      <c r="D105" s="115"/>
      <c r="E105" s="99" t="s">
        <v>5</v>
      </c>
      <c r="F105" s="100">
        <f>F100*2</f>
        <v>264</v>
      </c>
      <c r="G105" s="101">
        <f t="shared" ref="G105:G110" si="34">SUM(F105:F105)</f>
        <v>264</v>
      </c>
      <c r="H105" s="102">
        <f>VLOOKUP($B105,ТМЦ!$B$3:$J$75,6,0)</f>
        <v>0</v>
      </c>
      <c r="I105" s="102">
        <f t="shared" si="32"/>
        <v>0</v>
      </c>
      <c r="J105" s="103"/>
      <c r="K105" s="102">
        <f>VLOOKUP($B105,ТМЦ!$B$3:$J$75,9,0)</f>
        <v>0</v>
      </c>
    </row>
    <row r="106" spans="1:11" s="96" customFormat="1" ht="23.25" customHeight="1" outlineLevel="3" x14ac:dyDescent="0.3">
      <c r="A106" s="97"/>
      <c r="B106" s="72" t="s">
        <v>64</v>
      </c>
      <c r="C106" s="99"/>
      <c r="D106" s="115"/>
      <c r="E106" s="99" t="s">
        <v>5</v>
      </c>
      <c r="F106" s="100">
        <v>21</v>
      </c>
      <c r="G106" s="101">
        <f t="shared" si="34"/>
        <v>21</v>
      </c>
      <c r="H106" s="102">
        <f>VLOOKUP($B106,ТМЦ!$B$3:$J$75,6,0)</f>
        <v>0</v>
      </c>
      <c r="I106" s="102">
        <f t="shared" si="32"/>
        <v>0</v>
      </c>
      <c r="J106" s="103"/>
      <c r="K106" s="102">
        <f>VLOOKUP($B106,ТМЦ!$B$3:$J$75,9,0)</f>
        <v>0</v>
      </c>
    </row>
    <row r="107" spans="1:11" s="96" customFormat="1" ht="23.25" customHeight="1" outlineLevel="3" x14ac:dyDescent="0.3">
      <c r="A107" s="97"/>
      <c r="B107" s="72" t="s">
        <v>151</v>
      </c>
      <c r="C107" s="99"/>
      <c r="D107" s="115"/>
      <c r="E107" s="99" t="s">
        <v>5</v>
      </c>
      <c r="F107" s="100">
        <v>21</v>
      </c>
      <c r="G107" s="101">
        <f t="shared" si="34"/>
        <v>21</v>
      </c>
      <c r="H107" s="102">
        <f>VLOOKUP($B107,ТМЦ!$B$3:$J$75,6,0)</f>
        <v>0</v>
      </c>
      <c r="I107" s="102">
        <f t="shared" si="32"/>
        <v>0</v>
      </c>
      <c r="J107" s="103"/>
      <c r="K107" s="102">
        <f>VLOOKUP($B107,ТМЦ!$B$3:$J$75,9,0)</f>
        <v>0</v>
      </c>
    </row>
    <row r="108" spans="1:11" s="96" customFormat="1" ht="23.25" customHeight="1" outlineLevel="3" x14ac:dyDescent="0.3">
      <c r="A108" s="97"/>
      <c r="B108" s="72" t="s">
        <v>74</v>
      </c>
      <c r="C108" s="99"/>
      <c r="D108" s="99"/>
      <c r="E108" s="99" t="s">
        <v>5</v>
      </c>
      <c r="F108" s="100">
        <v>150</v>
      </c>
      <c r="G108" s="101">
        <f t="shared" si="34"/>
        <v>150</v>
      </c>
      <c r="H108" s="102">
        <f>VLOOKUP($B108,ТМЦ!$B$3:$J$75,6,0)</f>
        <v>0</v>
      </c>
      <c r="I108" s="102">
        <f t="shared" si="32"/>
        <v>0</v>
      </c>
      <c r="J108" s="116"/>
      <c r="K108" s="102">
        <f>VLOOKUP($B108,ТМЦ!$B$3:$J$75,9,0)</f>
        <v>0</v>
      </c>
    </row>
    <row r="109" spans="1:11" s="96" customFormat="1" ht="23.25" customHeight="1" outlineLevel="3" x14ac:dyDescent="0.3">
      <c r="A109" s="97"/>
      <c r="B109" s="72" t="s">
        <v>75</v>
      </c>
      <c r="C109" s="99"/>
      <c r="D109" s="99"/>
      <c r="E109" s="99" t="s">
        <v>5</v>
      </c>
      <c r="F109" s="100">
        <v>63</v>
      </c>
      <c r="G109" s="101">
        <f t="shared" si="34"/>
        <v>63</v>
      </c>
      <c r="H109" s="102">
        <f>VLOOKUP($B109,ТМЦ!$B$3:$J$75,6,0)</f>
        <v>0</v>
      </c>
      <c r="I109" s="102">
        <f t="shared" si="32"/>
        <v>0</v>
      </c>
      <c r="J109" s="116"/>
      <c r="K109" s="102">
        <f>VLOOKUP($B109,ТМЦ!$B$3:$J$75,9,0)</f>
        <v>0</v>
      </c>
    </row>
    <row r="110" spans="1:11" s="96" customFormat="1" ht="24" customHeight="1" outlineLevel="3" x14ac:dyDescent="0.3">
      <c r="A110" s="97"/>
      <c r="B110" s="72" t="s">
        <v>101</v>
      </c>
      <c r="C110" s="99"/>
      <c r="D110" s="99"/>
      <c r="E110" s="99" t="s">
        <v>5</v>
      </c>
      <c r="F110" s="100">
        <v>20</v>
      </c>
      <c r="G110" s="101">
        <f t="shared" si="34"/>
        <v>20</v>
      </c>
      <c r="H110" s="102">
        <f>VLOOKUP($B110,ТМЦ!$B$3:$J$75,6,0)</f>
        <v>0</v>
      </c>
      <c r="I110" s="102">
        <f t="shared" si="32"/>
        <v>0</v>
      </c>
      <c r="J110" s="116"/>
      <c r="K110" s="102">
        <f>VLOOKUP($B110,ТМЦ!$B$3:$J$75,9,0)</f>
        <v>0</v>
      </c>
    </row>
    <row r="111" spans="1:11" ht="21.75" customHeight="1" outlineLevel="1" x14ac:dyDescent="0.3">
      <c r="A111" s="52" t="s">
        <v>37</v>
      </c>
      <c r="B111" s="53" t="s">
        <v>7</v>
      </c>
      <c r="C111" s="54"/>
      <c r="D111" s="54"/>
      <c r="E111" s="54"/>
      <c r="F111" s="55"/>
      <c r="G111" s="55"/>
      <c r="H111" s="55"/>
      <c r="I111" s="55"/>
      <c r="J111" s="56"/>
      <c r="K111" s="56"/>
    </row>
    <row r="112" spans="1:11" ht="21.75" customHeight="1" outlineLevel="2" x14ac:dyDescent="0.3">
      <c r="A112" s="57" t="s">
        <v>38</v>
      </c>
      <c r="B112" s="58" t="s">
        <v>7</v>
      </c>
      <c r="C112" s="59"/>
      <c r="D112" s="59"/>
      <c r="E112" s="59"/>
      <c r="F112" s="60"/>
      <c r="G112" s="60"/>
      <c r="H112" s="60"/>
      <c r="I112" s="60">
        <f>I113+I115</f>
        <v>0</v>
      </c>
      <c r="J112" s="62"/>
      <c r="K112" s="62"/>
    </row>
    <row r="113" spans="1:11" ht="21.75" customHeight="1" outlineLevel="3" x14ac:dyDescent="0.3">
      <c r="A113" s="73"/>
      <c r="B113" s="48" t="s">
        <v>14</v>
      </c>
      <c r="C113" s="65"/>
      <c r="D113" s="65"/>
      <c r="E113" s="65"/>
      <c r="F113" s="66"/>
      <c r="G113" s="50"/>
      <c r="H113" s="50"/>
      <c r="I113" s="50">
        <f>SUM(I114:I114)</f>
        <v>0</v>
      </c>
      <c r="J113" s="51"/>
      <c r="K113" s="51"/>
    </row>
    <row r="114" spans="1:11" ht="21.75" customHeight="1" outlineLevel="3" x14ac:dyDescent="0.3">
      <c r="A114" s="73"/>
      <c r="B114" s="67" t="s">
        <v>92</v>
      </c>
      <c r="C114" s="68"/>
      <c r="D114" s="68"/>
      <c r="E114" s="68" t="s">
        <v>6</v>
      </c>
      <c r="F114" s="69">
        <v>1</v>
      </c>
      <c r="G114" s="50">
        <f t="shared" ref="G114" si="35">SUM(F114:F114)</f>
        <v>1</v>
      </c>
      <c r="H114" s="70">
        <f>VLOOKUP(B114,СМР!$B$3:$F$6,5,0)</f>
        <v>0</v>
      </c>
      <c r="I114" s="71">
        <f t="shared" ref="I114" si="36">H114*G114</f>
        <v>0</v>
      </c>
      <c r="J114" s="51"/>
      <c r="K114" s="51"/>
    </row>
    <row r="115" spans="1:11" s="96" customFormat="1" ht="21.75" customHeight="1" outlineLevel="3" x14ac:dyDescent="0.3">
      <c r="A115" s="90"/>
      <c r="B115" s="91" t="s">
        <v>15</v>
      </c>
      <c r="C115" s="92"/>
      <c r="D115" s="92"/>
      <c r="E115" s="92"/>
      <c r="F115" s="93"/>
      <c r="G115" s="94"/>
      <c r="H115" s="94"/>
      <c r="I115" s="94">
        <f>SUM(I116:I116)</f>
        <v>0</v>
      </c>
      <c r="J115" s="95"/>
      <c r="K115" s="95"/>
    </row>
    <row r="116" spans="1:11" s="96" customFormat="1" ht="21.75" customHeight="1" outlineLevel="3" x14ac:dyDescent="0.3">
      <c r="A116" s="97"/>
      <c r="B116" s="98" t="s">
        <v>39</v>
      </c>
      <c r="C116" s="99"/>
      <c r="D116" s="99"/>
      <c r="E116" s="99"/>
      <c r="F116" s="100"/>
      <c r="G116" s="101"/>
      <c r="H116" s="102"/>
      <c r="I116" s="102">
        <f>H116*G116</f>
        <v>0</v>
      </c>
      <c r="J116" s="103"/>
      <c r="K116" s="103"/>
    </row>
    <row r="117" spans="1:11" ht="21.75" customHeight="1" x14ac:dyDescent="0.3">
      <c r="A117" s="57"/>
      <c r="B117" s="88"/>
      <c r="C117" s="89"/>
      <c r="D117" s="89"/>
      <c r="E117" s="89"/>
      <c r="F117" s="89"/>
      <c r="G117" s="89"/>
      <c r="H117" s="81" t="s">
        <v>180</v>
      </c>
      <c r="I117" s="76">
        <f>I46+I93+I16+I112</f>
        <v>0</v>
      </c>
      <c r="J117" s="77"/>
      <c r="K117" s="77"/>
    </row>
    <row r="118" spans="1:11" ht="21.75" customHeight="1" x14ac:dyDescent="0.3">
      <c r="A118" s="78"/>
      <c r="B118" s="86"/>
      <c r="C118" s="87"/>
      <c r="D118" s="87"/>
      <c r="E118" s="87"/>
      <c r="F118" s="87"/>
      <c r="G118" s="87"/>
      <c r="H118" s="80" t="s">
        <v>18</v>
      </c>
      <c r="I118" s="131">
        <f>SUMIF($B$13:$B$116,"Работа:",$I$13:$I$116)</f>
        <v>0</v>
      </c>
      <c r="J118" s="79"/>
      <c r="K118" s="79"/>
    </row>
    <row r="119" spans="1:11" ht="21.75" customHeight="1" x14ac:dyDescent="0.3">
      <c r="A119" s="78"/>
      <c r="B119" s="86"/>
      <c r="C119" s="87"/>
      <c r="D119" s="87"/>
      <c r="E119" s="87"/>
      <c r="F119" s="87"/>
      <c r="G119" s="87"/>
      <c r="H119" s="80" t="s">
        <v>19</v>
      </c>
      <c r="I119" s="131">
        <f>SUMIF($B$13:$B$116,"Материалы:",$I$13:$I$116)</f>
        <v>0</v>
      </c>
      <c r="J119" s="79"/>
      <c r="K119" s="79"/>
    </row>
    <row r="120" spans="1:11" ht="21.75" customHeight="1" x14ac:dyDescent="0.3">
      <c r="A120" s="78"/>
      <c r="B120" s="86"/>
      <c r="C120" s="87"/>
      <c r="D120" s="87"/>
      <c r="E120" s="87"/>
      <c r="F120" s="87"/>
      <c r="G120" s="87"/>
      <c r="H120" s="80" t="s">
        <v>181</v>
      </c>
      <c r="I120" s="131">
        <f>I117*22/122</f>
        <v>0</v>
      </c>
      <c r="J120" s="79"/>
      <c r="K120" s="79"/>
    </row>
    <row r="122" spans="1:11" s="106" customFormat="1" x14ac:dyDescent="0.3">
      <c r="A122" s="104"/>
      <c r="B122" s="105" t="s">
        <v>47</v>
      </c>
      <c r="C122" s="104"/>
      <c r="D122" s="104"/>
      <c r="E122" s="104"/>
      <c r="F122" s="104"/>
      <c r="G122" s="104"/>
      <c r="H122" s="104"/>
      <c r="I122" s="104"/>
      <c r="J122" s="104"/>
      <c r="K122" s="104"/>
    </row>
    <row r="123" spans="1:11" s="106" customFormat="1" ht="24" customHeight="1" x14ac:dyDescent="0.3">
      <c r="A123" s="107" t="s">
        <v>39</v>
      </c>
      <c r="B123" s="108" t="s">
        <v>48</v>
      </c>
      <c r="C123" s="108"/>
      <c r="D123" s="108"/>
      <c r="E123" s="108"/>
      <c r="F123" s="108"/>
      <c r="G123" s="108"/>
      <c r="H123" s="108"/>
      <c r="I123" s="108"/>
      <c r="J123" s="108"/>
      <c r="K123" s="108"/>
    </row>
    <row r="124" spans="1:11" s="106" customFormat="1" ht="40.5" customHeight="1" x14ac:dyDescent="0.3">
      <c r="A124" s="109" t="s">
        <v>39</v>
      </c>
      <c r="B124" s="108" t="s">
        <v>49</v>
      </c>
      <c r="C124" s="108"/>
      <c r="D124" s="108"/>
      <c r="E124" s="108"/>
      <c r="F124" s="108"/>
      <c r="G124" s="108"/>
      <c r="H124" s="108"/>
      <c r="I124" s="108"/>
      <c r="J124" s="108"/>
      <c r="K124" s="108"/>
    </row>
    <row r="125" spans="1:11" s="106" customFormat="1" ht="24.75" customHeight="1" x14ac:dyDescent="0.3">
      <c r="A125" s="107" t="s">
        <v>39</v>
      </c>
      <c r="B125" s="110" t="s">
        <v>50</v>
      </c>
      <c r="C125" s="110"/>
      <c r="D125" s="110"/>
      <c r="E125" s="110"/>
      <c r="F125" s="110"/>
      <c r="G125" s="110"/>
      <c r="H125" s="110"/>
      <c r="I125" s="110"/>
      <c r="J125" s="110"/>
      <c r="K125" s="110"/>
    </row>
    <row r="126" spans="1:11" s="104" customFormat="1" x14ac:dyDescent="0.3">
      <c r="A126" s="111"/>
      <c r="B126" s="112"/>
      <c r="F126" s="113"/>
      <c r="G126" s="114"/>
      <c r="H126" s="113"/>
      <c r="I126" s="113"/>
    </row>
    <row r="127" spans="1:11" s="104" customFormat="1" x14ac:dyDescent="0.3">
      <c r="A127" s="111"/>
      <c r="B127" s="112"/>
      <c r="F127" s="113"/>
      <c r="G127" s="114"/>
      <c r="H127" s="113"/>
      <c r="I127" s="113"/>
    </row>
  </sheetData>
  <sheetProtection selectLockedCells="1" selectUnlockedCells="1"/>
  <autoFilter ref="A12:K120" xr:uid="{00000000-0001-0000-0000-000000000000}"/>
  <mergeCells count="5">
    <mergeCell ref="B125:K125"/>
    <mergeCell ref="B124:K124"/>
    <mergeCell ref="B123:K123"/>
    <mergeCell ref="A10:K10"/>
    <mergeCell ref="A9:K9"/>
  </mergeCells>
  <phoneticPr fontId="6" type="noConversion"/>
  <conditionalFormatting sqref="K21:K30">
    <cfRule type="cellIs" dxfId="5" priority="6" operator="equal">
      <formula>0</formula>
    </cfRule>
  </conditionalFormatting>
  <conditionalFormatting sqref="K32:K44">
    <cfRule type="cellIs" dxfId="4" priority="5" operator="equal">
      <formula>0</formula>
    </cfRule>
  </conditionalFormatting>
  <conditionalFormatting sqref="K50:K82">
    <cfRule type="cellIs" dxfId="3" priority="4" operator="equal">
      <formula>0</formula>
    </cfRule>
  </conditionalFormatting>
  <conditionalFormatting sqref="K84:K91">
    <cfRule type="cellIs" dxfId="2" priority="3" operator="equal">
      <formula>0</formula>
    </cfRule>
  </conditionalFormatting>
  <conditionalFormatting sqref="K98:K103">
    <cfRule type="cellIs" dxfId="1" priority="2" operator="equal">
      <formula>0</formula>
    </cfRule>
  </conditionalFormatting>
  <conditionalFormatting sqref="K105:K110">
    <cfRule type="cellIs" dxfId="0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2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587F6-A872-417B-BD62-48F29C083793}">
  <dimension ref="A1:K13"/>
  <sheetViews>
    <sheetView tabSelected="1" workbookViewId="0">
      <pane xSplit="8" ySplit="2" topLeftCell="I3" activePane="bottomRight" state="frozen"/>
      <selection activeCell="H3" sqref="H3:H8"/>
      <selection pane="topRight" activeCell="H3" sqref="H3:H8"/>
      <selection pane="bottomLeft" activeCell="H3" sqref="H3:H8"/>
      <selection pane="bottomRight" activeCell="H8" sqref="H8"/>
    </sheetView>
  </sheetViews>
  <sheetFormatPr defaultRowHeight="13.8" x14ac:dyDescent="0.3"/>
  <cols>
    <col min="1" max="1" width="7.44140625" style="1" customWidth="1"/>
    <col min="2" max="2" width="26.21875" style="1" customWidth="1"/>
    <col min="3" max="3" width="30.5546875" style="1" customWidth="1"/>
    <col min="4" max="6" width="8.88671875" style="1"/>
    <col min="7" max="7" width="15" style="1" customWidth="1"/>
    <col min="8" max="8" width="17.44140625" style="1" customWidth="1"/>
    <col min="9" max="16384" width="8.88671875" style="1"/>
  </cols>
  <sheetData>
    <row r="1" spans="1:11" x14ac:dyDescent="0.3">
      <c r="A1" s="1" t="s">
        <v>165</v>
      </c>
    </row>
    <row r="2" spans="1:11" x14ac:dyDescent="0.3">
      <c r="A2" s="2" t="s">
        <v>166</v>
      </c>
      <c r="B2" s="3" t="s">
        <v>1</v>
      </c>
      <c r="C2" s="3" t="s">
        <v>28</v>
      </c>
      <c r="D2" s="3" t="s">
        <v>11</v>
      </c>
      <c r="E2" s="4" t="s">
        <v>2</v>
      </c>
      <c r="F2" s="5" t="s">
        <v>8</v>
      </c>
      <c r="G2" s="5" t="s">
        <v>9</v>
      </c>
      <c r="H2" s="5" t="s">
        <v>10</v>
      </c>
    </row>
    <row r="3" spans="1:11" x14ac:dyDescent="0.3">
      <c r="A3" s="6">
        <f>ROW()-2</f>
        <v>1</v>
      </c>
      <c r="B3" s="2" t="s">
        <v>93</v>
      </c>
      <c r="C3" s="2"/>
      <c r="D3" s="6" t="s">
        <v>3</v>
      </c>
      <c r="E3" s="7">
        <f>SUMIF('11.11 Домофония'!$B$13:$B$116,СМР!B3,'11.11 Домофония'!$F$13:$F$116)</f>
        <v>5921</v>
      </c>
      <c r="F3" s="7"/>
      <c r="G3" s="7">
        <f>F3*E3</f>
        <v>0</v>
      </c>
      <c r="H3" s="2"/>
    </row>
    <row r="4" spans="1:11" x14ac:dyDescent="0.3">
      <c r="A4" s="6">
        <f t="shared" ref="A4:A6" si="0">ROW()-2</f>
        <v>2</v>
      </c>
      <c r="B4" s="2" t="s">
        <v>94</v>
      </c>
      <c r="C4" s="8"/>
      <c r="D4" s="6" t="s">
        <v>3</v>
      </c>
      <c r="E4" s="7">
        <f>SUMIF('11.11 Домофония'!$B$13:$B$116,СМР!B4,'11.11 Домофония'!$F$13:$F$116)</f>
        <v>4184</v>
      </c>
      <c r="F4" s="7"/>
      <c r="G4" s="7">
        <f t="shared" ref="G4:G6" si="1">F4*E4</f>
        <v>0</v>
      </c>
      <c r="H4" s="2"/>
    </row>
    <row r="5" spans="1:11" x14ac:dyDescent="0.3">
      <c r="A5" s="6">
        <f t="shared" si="0"/>
        <v>3</v>
      </c>
      <c r="B5" s="9" t="s">
        <v>179</v>
      </c>
      <c r="C5" s="8"/>
      <c r="D5" s="6" t="s">
        <v>6</v>
      </c>
      <c r="E5" s="7">
        <f>SUMIF('11.11 Домофония'!$B$13:$B$116,СМР!B5,'11.11 Домофония'!$F$13:$F$116)</f>
        <v>1</v>
      </c>
      <c r="F5" s="7"/>
      <c r="G5" s="7">
        <f t="shared" si="1"/>
        <v>0</v>
      </c>
      <c r="H5" s="2"/>
    </row>
    <row r="6" spans="1:11" x14ac:dyDescent="0.3">
      <c r="A6" s="6">
        <f t="shared" si="0"/>
        <v>4</v>
      </c>
      <c r="B6" s="9" t="s">
        <v>92</v>
      </c>
      <c r="C6" s="8"/>
      <c r="D6" s="6" t="s">
        <v>6</v>
      </c>
      <c r="E6" s="7">
        <f>SUMIF('11.11 Домофония'!$B$13:$B$116,СМР!B6,'11.11 Домофония'!$F$13:$F$116)</f>
        <v>1</v>
      </c>
      <c r="F6" s="7"/>
      <c r="G6" s="7">
        <f t="shared" si="1"/>
        <v>0</v>
      </c>
      <c r="H6" s="2"/>
    </row>
    <row r="7" spans="1:11" x14ac:dyDescent="0.3">
      <c r="F7" s="10" t="s">
        <v>167</v>
      </c>
      <c r="G7" s="11">
        <f>SUM(G3:G6)</f>
        <v>0</v>
      </c>
    </row>
    <row r="8" spans="1:11" x14ac:dyDescent="0.3">
      <c r="F8" s="10" t="s">
        <v>168</v>
      </c>
      <c r="G8" s="12">
        <f>G7-'11.11 Домофония'!I118</f>
        <v>0</v>
      </c>
    </row>
    <row r="10" spans="1:11" x14ac:dyDescent="0.3">
      <c r="B10" s="13" t="s">
        <v>47</v>
      </c>
      <c r="C10" s="13"/>
      <c r="D10" s="14"/>
      <c r="G10" s="15"/>
      <c r="I10" s="16"/>
      <c r="J10" s="17"/>
      <c r="K10" s="16"/>
    </row>
    <row r="11" spans="1:11" ht="41.25" customHeight="1" x14ac:dyDescent="0.3">
      <c r="A11" s="18" t="s">
        <v>39</v>
      </c>
      <c r="B11" s="85" t="s">
        <v>48</v>
      </c>
      <c r="C11" s="85"/>
      <c r="D11" s="85"/>
      <c r="E11" s="85"/>
      <c r="F11" s="85"/>
      <c r="G11" s="85"/>
      <c r="H11" s="85"/>
      <c r="I11" s="19"/>
      <c r="J11" s="19"/>
      <c r="K11" s="20"/>
    </row>
    <row r="12" spans="1:11" ht="73.2" customHeight="1" x14ac:dyDescent="0.3">
      <c r="A12" s="21" t="s">
        <v>39</v>
      </c>
      <c r="B12" s="85" t="s">
        <v>49</v>
      </c>
      <c r="C12" s="85"/>
      <c r="D12" s="85"/>
      <c r="E12" s="85"/>
      <c r="F12" s="85"/>
      <c r="G12" s="85"/>
      <c r="H12" s="85"/>
      <c r="I12" s="19"/>
      <c r="J12" s="19"/>
      <c r="K12" s="22"/>
    </row>
    <row r="13" spans="1:11" ht="13.8" customHeight="1" x14ac:dyDescent="0.3">
      <c r="A13" s="18" t="s">
        <v>39</v>
      </c>
      <c r="B13" s="23" t="s">
        <v>50</v>
      </c>
      <c r="C13" s="23"/>
      <c r="D13" s="23"/>
      <c r="E13" s="23"/>
      <c r="F13" s="23"/>
      <c r="G13" s="23"/>
      <c r="H13" s="23"/>
      <c r="I13" s="23"/>
      <c r="J13" s="23"/>
      <c r="K13" s="24"/>
    </row>
  </sheetData>
  <mergeCells count="2">
    <mergeCell ref="B11:H11"/>
    <mergeCell ref="B12:H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9477A-B822-46C0-A5F5-C57D413F2B5E}">
  <dimension ref="A1:K82"/>
  <sheetViews>
    <sheetView zoomScale="70" zoomScaleNormal="70" workbookViewId="0">
      <pane xSplit="10" ySplit="2" topLeftCell="K3" activePane="bottomRight" state="frozen"/>
      <selection activeCell="H3" sqref="H3:H8"/>
      <selection pane="topRight" activeCell="H3" sqref="H3:H8"/>
      <selection pane="bottomLeft" activeCell="H3" sqref="H3:H8"/>
      <selection pane="bottomRight" activeCell="G3" sqref="G3:G75"/>
    </sheetView>
  </sheetViews>
  <sheetFormatPr defaultRowHeight="13.8" x14ac:dyDescent="0.3"/>
  <cols>
    <col min="1" max="1" width="8.88671875" style="1"/>
    <col min="2" max="2" width="35.6640625" style="1" customWidth="1"/>
    <col min="3" max="3" width="24.21875" style="1" customWidth="1"/>
    <col min="4" max="4" width="33.77734375" style="1" customWidth="1"/>
    <col min="5" max="7" width="8.88671875" style="1"/>
    <col min="8" max="8" width="15.88671875" style="1" customWidth="1"/>
    <col min="9" max="9" width="32.109375" style="1" customWidth="1"/>
    <col min="10" max="10" width="17.88671875" style="1" customWidth="1"/>
    <col min="11" max="16384" width="8.88671875" style="1"/>
  </cols>
  <sheetData>
    <row r="1" spans="1:10" x14ac:dyDescent="0.3">
      <c r="A1" s="1" t="s">
        <v>169</v>
      </c>
    </row>
    <row r="2" spans="1:10" ht="27.6" x14ac:dyDescent="0.3">
      <c r="A2" s="25" t="s">
        <v>166</v>
      </c>
      <c r="B2" s="3" t="s">
        <v>1</v>
      </c>
      <c r="C2" s="3" t="s">
        <v>27</v>
      </c>
      <c r="D2" s="3" t="s">
        <v>28</v>
      </c>
      <c r="E2" s="3" t="s">
        <v>11</v>
      </c>
      <c r="F2" s="4" t="s">
        <v>2</v>
      </c>
      <c r="G2" s="5" t="s">
        <v>8</v>
      </c>
      <c r="H2" s="5" t="s">
        <v>9</v>
      </c>
      <c r="I2" s="5" t="s">
        <v>10</v>
      </c>
      <c r="J2" s="5" t="s">
        <v>40</v>
      </c>
    </row>
    <row r="3" spans="1:10" x14ac:dyDescent="0.3">
      <c r="A3" s="6">
        <f>ROW()-2</f>
        <v>1</v>
      </c>
      <c r="B3" s="82" t="s">
        <v>163</v>
      </c>
      <c r="C3" s="6"/>
      <c r="D3" s="75"/>
      <c r="E3" s="75" t="s">
        <v>3</v>
      </c>
      <c r="F3" s="7">
        <f>SUMIF('11.11 Домофония'!$B$13:$B$116,B3,'11.11 Домофония'!$F$13:$F$116)</f>
        <v>6.3</v>
      </c>
      <c r="G3" s="7"/>
      <c r="H3" s="7">
        <f>G3*F3</f>
        <v>0</v>
      </c>
      <c r="I3" s="75">
        <f>VLOOKUP(B3,'11.11 Домофония'!$B$13:$J$116,9,0)</f>
        <v>0</v>
      </c>
      <c r="J3" s="6"/>
    </row>
    <row r="4" spans="1:10" ht="27.6" x14ac:dyDescent="0.3">
      <c r="A4" s="6">
        <f t="shared" ref="A4:A61" si="0">ROW()-2</f>
        <v>2</v>
      </c>
      <c r="B4" s="82" t="s">
        <v>128</v>
      </c>
      <c r="C4" s="6"/>
      <c r="D4" s="75"/>
      <c r="E4" s="75" t="s">
        <v>5</v>
      </c>
      <c r="F4" s="7">
        <f>SUMIF('11.11 Домофония'!$B$13:$B$116,B4,'11.11 Домофония'!$F$13:$F$116)</f>
        <v>1</v>
      </c>
      <c r="G4" s="7"/>
      <c r="H4" s="7">
        <f t="shared" ref="H4:H63" si="1">G4*F4</f>
        <v>0</v>
      </c>
      <c r="I4" s="75" t="str">
        <f>VLOOKUP(B4,'11.11 Домофония'!$B$13:$J$116,9,0)</f>
        <v>Состав коммутационного шкафа домофонии</v>
      </c>
      <c r="J4" s="6"/>
    </row>
    <row r="5" spans="1:10" ht="27.6" x14ac:dyDescent="0.3">
      <c r="A5" s="6">
        <f t="shared" si="0"/>
        <v>3</v>
      </c>
      <c r="B5" s="82" t="s">
        <v>99</v>
      </c>
      <c r="C5" s="6"/>
      <c r="D5" s="75"/>
      <c r="E5" s="75" t="s">
        <v>4</v>
      </c>
      <c r="F5" s="7">
        <f>SUMIF('11.11 Домофония'!$B$13:$B$116,B5,'11.11 Домофония'!$F$13:$F$116)</f>
        <v>4</v>
      </c>
      <c r="G5" s="7"/>
      <c r="H5" s="7">
        <f t="shared" si="1"/>
        <v>0</v>
      </c>
      <c r="I5" s="75">
        <f>VLOOKUP(B5,'11.11 Домофония'!$B$13:$J$116,9,0)</f>
        <v>0</v>
      </c>
      <c r="J5" s="6"/>
    </row>
    <row r="6" spans="1:10" ht="27.6" x14ac:dyDescent="0.3">
      <c r="A6" s="6">
        <f t="shared" si="0"/>
        <v>4</v>
      </c>
      <c r="B6" s="82" t="s">
        <v>147</v>
      </c>
      <c r="C6" s="6"/>
      <c r="D6" s="75"/>
      <c r="E6" s="75" t="s">
        <v>5</v>
      </c>
      <c r="F6" s="7">
        <f>SUMIF('11.11 Домофония'!$B$13:$B$116,B6,'11.11 Домофония'!$F$13:$F$116)</f>
        <v>1</v>
      </c>
      <c r="G6" s="7"/>
      <c r="H6" s="7">
        <f t="shared" si="1"/>
        <v>0</v>
      </c>
      <c r="I6" s="75" t="str">
        <f>VLOOKUP(B6,'11.11 Домофония'!$B$13:$J$116,9,0)</f>
        <v>Состав коммутационного шкафа домофонии</v>
      </c>
      <c r="J6" s="6"/>
    </row>
    <row r="7" spans="1:10" ht="27.6" x14ac:dyDescent="0.3">
      <c r="A7" s="6">
        <f t="shared" si="0"/>
        <v>5</v>
      </c>
      <c r="B7" s="82" t="s">
        <v>88</v>
      </c>
      <c r="C7" s="6"/>
      <c r="D7" s="75"/>
      <c r="E7" s="75" t="s">
        <v>5</v>
      </c>
      <c r="F7" s="7">
        <f>SUMIF('11.11 Домофония'!$B$13:$B$116,B7,'11.11 Домофония'!$F$13:$F$116)</f>
        <v>1</v>
      </c>
      <c r="G7" s="7"/>
      <c r="H7" s="7">
        <f t="shared" si="1"/>
        <v>0</v>
      </c>
      <c r="I7" s="75" t="str">
        <f>VLOOKUP(B7,'11.11 Домофония'!$B$13:$J$116,9,0)</f>
        <v>Состав коммутационного шкафа домофонии</v>
      </c>
      <c r="J7" s="6"/>
    </row>
    <row r="8" spans="1:10" ht="31.2" customHeight="1" x14ac:dyDescent="0.3">
      <c r="A8" s="6">
        <f t="shared" si="0"/>
        <v>6</v>
      </c>
      <c r="B8" s="82" t="s">
        <v>69</v>
      </c>
      <c r="C8" s="6"/>
      <c r="D8" s="75"/>
      <c r="E8" s="75" t="s">
        <v>5</v>
      </c>
      <c r="F8" s="7">
        <f>SUMIF('11.11 Домофония'!$B$13:$B$116,B8,'11.11 Домофония'!$F$13:$F$116)</f>
        <v>5</v>
      </c>
      <c r="G8" s="7"/>
      <c r="H8" s="7">
        <f t="shared" si="1"/>
        <v>0</v>
      </c>
      <c r="I8" s="75" t="str">
        <f>VLOOKUP(B8,'11.11 Домофония'!$B$13:$J$116,9,0)</f>
        <v>Состав коммутационного шкафа домофонии</v>
      </c>
      <c r="J8" s="6"/>
    </row>
    <row r="9" spans="1:10" ht="27.6" x14ac:dyDescent="0.3">
      <c r="A9" s="6">
        <f t="shared" si="0"/>
        <v>7</v>
      </c>
      <c r="B9" s="82" t="s">
        <v>87</v>
      </c>
      <c r="C9" s="6"/>
      <c r="D9" s="75"/>
      <c r="E9" s="75" t="s">
        <v>5</v>
      </c>
      <c r="F9" s="7">
        <f>SUMIF('11.11 Домофония'!$B$13:$B$116,B9,'11.11 Домофония'!$F$13:$F$116)</f>
        <v>3</v>
      </c>
      <c r="G9" s="7"/>
      <c r="H9" s="7">
        <f t="shared" si="1"/>
        <v>0</v>
      </c>
      <c r="I9" s="75" t="str">
        <f>VLOOKUP(B9,'11.11 Домофония'!$B$13:$J$116,9,0)</f>
        <v>Состав коммутационного шкафа домофонии</v>
      </c>
      <c r="J9" s="6"/>
    </row>
    <row r="10" spans="1:10" x14ac:dyDescent="0.3">
      <c r="A10" s="6">
        <f t="shared" si="0"/>
        <v>8</v>
      </c>
      <c r="B10" s="82" t="s">
        <v>102</v>
      </c>
      <c r="C10" s="6" t="s">
        <v>39</v>
      </c>
      <c r="D10" s="75" t="s">
        <v>57</v>
      </c>
      <c r="E10" s="75" t="s">
        <v>5</v>
      </c>
      <c r="F10" s="7">
        <f>SUMIF('11.11 Домофония'!$B$13:$B$116,B10,'11.11 Домофония'!$F$13:$F$116)</f>
        <v>2</v>
      </c>
      <c r="G10" s="7"/>
      <c r="H10" s="7">
        <f t="shared" si="1"/>
        <v>0</v>
      </c>
      <c r="I10" s="75">
        <f>VLOOKUP(B10,'11.11 Домофония'!$B$13:$J$116,9,0)</f>
        <v>0</v>
      </c>
      <c r="J10" s="6"/>
    </row>
    <row r="11" spans="1:10" x14ac:dyDescent="0.3">
      <c r="A11" s="6">
        <f t="shared" si="0"/>
        <v>9</v>
      </c>
      <c r="B11" s="82" t="s">
        <v>103</v>
      </c>
      <c r="C11" s="6" t="s">
        <v>39</v>
      </c>
      <c r="D11" s="75" t="s">
        <v>104</v>
      </c>
      <c r="E11" s="75"/>
      <c r="F11" s="7">
        <f>SUMIF('11.11 Домофония'!$B$13:$B$116,B11,'11.11 Домофония'!$F$13:$F$116)</f>
        <v>3</v>
      </c>
      <c r="G11" s="7"/>
      <c r="H11" s="7">
        <f t="shared" si="1"/>
        <v>0</v>
      </c>
      <c r="I11" s="75">
        <f>VLOOKUP(B11,'11.11 Домофония'!$B$13:$J$116,9,0)</f>
        <v>0</v>
      </c>
      <c r="J11" s="6"/>
    </row>
    <row r="12" spans="1:10" ht="69" x14ac:dyDescent="0.3">
      <c r="A12" s="6">
        <f t="shared" si="0"/>
        <v>10</v>
      </c>
      <c r="B12" s="82" t="s">
        <v>122</v>
      </c>
      <c r="C12" s="6" t="s">
        <v>123</v>
      </c>
      <c r="D12" s="75" t="s">
        <v>124</v>
      </c>
      <c r="E12" s="75" t="s">
        <v>5</v>
      </c>
      <c r="F12" s="7">
        <f>SUMIF('11.11 Домофония'!$B$13:$B$116,B12,'11.11 Домофония'!$F$13:$F$116)</f>
        <v>462</v>
      </c>
      <c r="G12" s="7"/>
      <c r="H12" s="7">
        <f t="shared" si="1"/>
        <v>0</v>
      </c>
      <c r="I12" s="75" t="str">
        <f>VLOOKUP(B12,'11.11 Домофония'!$B$13:$J$116,9,0)</f>
        <v xml:space="preserve">на жилых этажах </v>
      </c>
      <c r="J12" s="6"/>
    </row>
    <row r="13" spans="1:10" ht="27.6" x14ac:dyDescent="0.3">
      <c r="A13" s="6">
        <f t="shared" si="0"/>
        <v>11</v>
      </c>
      <c r="B13" s="82" t="s">
        <v>86</v>
      </c>
      <c r="C13" s="6"/>
      <c r="D13" s="75"/>
      <c r="E13" s="75" t="s">
        <v>5</v>
      </c>
      <c r="F13" s="7">
        <f>SUMIF('11.11 Домофония'!$B$13:$B$116,B13,'11.11 Домофония'!$F$13:$F$116)</f>
        <v>3</v>
      </c>
      <c r="G13" s="7"/>
      <c r="H13" s="7">
        <f t="shared" si="1"/>
        <v>0</v>
      </c>
      <c r="I13" s="75" t="str">
        <f>VLOOKUP(B13,'11.11 Домофония'!$B$13:$J$116,9,0)</f>
        <v>Состав коммутационного шкафа домофонии</v>
      </c>
      <c r="J13" s="6"/>
    </row>
    <row r="14" spans="1:10" ht="27.6" x14ac:dyDescent="0.3">
      <c r="A14" s="6">
        <f t="shared" si="0"/>
        <v>12</v>
      </c>
      <c r="B14" s="82" t="s">
        <v>85</v>
      </c>
      <c r="C14" s="6"/>
      <c r="D14" s="75"/>
      <c r="E14" s="75" t="s">
        <v>5</v>
      </c>
      <c r="F14" s="7">
        <f>SUMIF('11.11 Домофония'!$B$13:$B$116,B14,'11.11 Домофония'!$F$13:$F$116)</f>
        <v>2</v>
      </c>
      <c r="G14" s="7"/>
      <c r="H14" s="7">
        <f t="shared" si="1"/>
        <v>0</v>
      </c>
      <c r="I14" s="75" t="str">
        <f>VLOOKUP(B14,'11.11 Домофония'!$B$13:$J$116,9,0)</f>
        <v>Состав коммутационного шкафа домофонии</v>
      </c>
      <c r="J14" s="6"/>
    </row>
    <row r="15" spans="1:10" ht="27.6" x14ac:dyDescent="0.3">
      <c r="A15" s="6">
        <f t="shared" si="0"/>
        <v>13</v>
      </c>
      <c r="B15" s="82" t="s">
        <v>114</v>
      </c>
      <c r="C15" s="6" t="s">
        <v>113</v>
      </c>
      <c r="D15" s="75" t="s">
        <v>115</v>
      </c>
      <c r="E15" s="75" t="s">
        <v>5</v>
      </c>
      <c r="F15" s="7">
        <f>SUMIF('11.11 Домофония'!$B$13:$B$116,B15,'11.11 Домофония'!$F$13:$F$116)</f>
        <v>1</v>
      </c>
      <c r="G15" s="7"/>
      <c r="H15" s="7">
        <f t="shared" si="1"/>
        <v>0</v>
      </c>
      <c r="I15" s="75" t="str">
        <f>VLOOKUP(B15,'11.11 Домофония'!$B$13:$J$116,9,0)</f>
        <v>Состав коммутационного шкафа домофонии</v>
      </c>
      <c r="J15" s="6"/>
    </row>
    <row r="16" spans="1:10" ht="27.6" x14ac:dyDescent="0.3">
      <c r="A16" s="6">
        <f t="shared" si="0"/>
        <v>14</v>
      </c>
      <c r="B16" s="82" t="s">
        <v>60</v>
      </c>
      <c r="C16" s="6"/>
      <c r="D16" s="75"/>
      <c r="E16" s="75" t="s">
        <v>5</v>
      </c>
      <c r="F16" s="7">
        <f>SUMIF('11.11 Домофония'!$B$13:$B$116,B16,'11.11 Домофония'!$F$13:$F$116)</f>
        <v>10</v>
      </c>
      <c r="G16" s="7"/>
      <c r="H16" s="7">
        <f t="shared" si="1"/>
        <v>0</v>
      </c>
      <c r="I16" s="75">
        <f>VLOOKUP(B16,'11.11 Домофония'!$B$13:$J$116,9,0)</f>
        <v>0</v>
      </c>
      <c r="J16" s="6"/>
    </row>
    <row r="17" spans="1:10" x14ac:dyDescent="0.3">
      <c r="A17" s="6">
        <f t="shared" si="0"/>
        <v>15</v>
      </c>
      <c r="B17" s="82" t="s">
        <v>55</v>
      </c>
      <c r="C17" s="6" t="s">
        <v>164</v>
      </c>
      <c r="D17" s="75" t="s">
        <v>39</v>
      </c>
      <c r="E17" s="75" t="s">
        <v>5</v>
      </c>
      <c r="F17" s="7">
        <f>SUMIF('11.11 Домофония'!$B$13:$B$116,B17,'11.11 Домофония'!$F$13:$F$116)</f>
        <v>2</v>
      </c>
      <c r="G17" s="7"/>
      <c r="H17" s="7">
        <f t="shared" si="1"/>
        <v>0</v>
      </c>
      <c r="I17" s="75">
        <f>VLOOKUP(B17,'11.11 Домофония'!$B$13:$J$116,9,0)</f>
        <v>0</v>
      </c>
      <c r="J17" s="6"/>
    </row>
    <row r="18" spans="1:10" ht="27.6" x14ac:dyDescent="0.3">
      <c r="A18" s="6">
        <f t="shared" si="0"/>
        <v>16</v>
      </c>
      <c r="B18" s="82" t="s">
        <v>63</v>
      </c>
      <c r="C18" s="6"/>
      <c r="D18" s="75"/>
      <c r="E18" s="75" t="s">
        <v>5</v>
      </c>
      <c r="F18" s="7">
        <f>SUMIF('11.11 Домофония'!$B$13:$B$116,B18,'11.11 Домофония'!$F$13:$F$116)</f>
        <v>846</v>
      </c>
      <c r="G18" s="7"/>
      <c r="H18" s="7">
        <f t="shared" si="1"/>
        <v>0</v>
      </c>
      <c r="I18" s="75">
        <f>VLOOKUP(B18,'11.11 Домофония'!$B$13:$J$116,9,0)</f>
        <v>0</v>
      </c>
      <c r="J18" s="6"/>
    </row>
    <row r="19" spans="1:10" ht="27.6" x14ac:dyDescent="0.3">
      <c r="A19" s="6">
        <f t="shared" si="0"/>
        <v>17</v>
      </c>
      <c r="B19" s="82" t="s">
        <v>83</v>
      </c>
      <c r="C19" s="6"/>
      <c r="D19" s="75"/>
      <c r="E19" s="75" t="s">
        <v>5</v>
      </c>
      <c r="F19" s="7">
        <f>SUMIF('11.11 Домофония'!$B$13:$B$116,B19,'11.11 Домофония'!$F$13:$F$116)</f>
        <v>16553</v>
      </c>
      <c r="G19" s="7"/>
      <c r="H19" s="7">
        <f t="shared" si="1"/>
        <v>0</v>
      </c>
      <c r="I19" s="75">
        <f>VLOOKUP(B19,'11.11 Домофония'!$B$13:$J$116,9,0)</f>
        <v>0</v>
      </c>
      <c r="J19" s="6"/>
    </row>
    <row r="20" spans="1:10" ht="27.6" x14ac:dyDescent="0.3">
      <c r="A20" s="6">
        <f t="shared" si="0"/>
        <v>18</v>
      </c>
      <c r="B20" s="82" t="s">
        <v>143</v>
      </c>
      <c r="C20" s="6"/>
      <c r="D20" s="75"/>
      <c r="E20" s="75" t="s">
        <v>4</v>
      </c>
      <c r="F20" s="7">
        <f>SUMIF('11.11 Домофония'!$B$13:$B$116,B20,'11.11 Домофония'!$F$13:$F$116)</f>
        <v>1.8</v>
      </c>
      <c r="G20" s="7"/>
      <c r="H20" s="7">
        <f t="shared" si="1"/>
        <v>0</v>
      </c>
      <c r="I20" s="75">
        <f>VLOOKUP(B20,'11.11 Домофония'!$B$13:$J$116,9,0)</f>
        <v>0</v>
      </c>
      <c r="J20" s="6"/>
    </row>
    <row r="21" spans="1:10" x14ac:dyDescent="0.3">
      <c r="A21" s="6">
        <f t="shared" si="0"/>
        <v>19</v>
      </c>
      <c r="B21" s="82" t="s">
        <v>84</v>
      </c>
      <c r="C21" s="6"/>
      <c r="D21" s="75"/>
      <c r="E21" s="75" t="s">
        <v>5</v>
      </c>
      <c r="F21" s="7">
        <f>SUMIF('11.11 Домофония'!$B$13:$B$116,B21,'11.11 Домофония'!$F$13:$F$116)</f>
        <v>1020</v>
      </c>
      <c r="G21" s="7"/>
      <c r="H21" s="7">
        <f t="shared" si="1"/>
        <v>0</v>
      </c>
      <c r="I21" s="75">
        <f>VLOOKUP(B21,'11.11 Домофония'!$B$13:$J$116,9,0)</f>
        <v>0</v>
      </c>
      <c r="J21" s="6"/>
    </row>
    <row r="22" spans="1:10" ht="27.6" x14ac:dyDescent="0.3">
      <c r="A22" s="6">
        <f t="shared" si="0"/>
        <v>20</v>
      </c>
      <c r="B22" s="82" t="s">
        <v>59</v>
      </c>
      <c r="C22" s="6"/>
      <c r="D22" s="75"/>
      <c r="E22" s="75" t="s">
        <v>5</v>
      </c>
      <c r="F22" s="7">
        <f>SUMIF('11.11 Домофония'!$B$13:$B$116,B22,'11.11 Домофония'!$F$13:$F$116)</f>
        <v>10</v>
      </c>
      <c r="G22" s="7"/>
      <c r="H22" s="7">
        <f t="shared" si="1"/>
        <v>0</v>
      </c>
      <c r="I22" s="75">
        <f>VLOOKUP(B22,'11.11 Домофония'!$B$13:$J$116,9,0)</f>
        <v>0</v>
      </c>
      <c r="J22" s="6"/>
    </row>
    <row r="23" spans="1:10" x14ac:dyDescent="0.3">
      <c r="A23" s="6">
        <f t="shared" si="0"/>
        <v>21</v>
      </c>
      <c r="B23" s="82" t="s">
        <v>36</v>
      </c>
      <c r="C23" s="6" t="s">
        <v>39</v>
      </c>
      <c r="D23" s="75" t="s">
        <v>53</v>
      </c>
      <c r="E23" s="75" t="s">
        <v>5</v>
      </c>
      <c r="F23" s="7">
        <f>SUMIF('11.11 Домофония'!$B$13:$B$116,B23,'11.11 Домофония'!$F$13:$F$116)</f>
        <v>5</v>
      </c>
      <c r="G23" s="7"/>
      <c r="H23" s="7">
        <f t="shared" si="1"/>
        <v>0</v>
      </c>
      <c r="I23" s="75">
        <f>VLOOKUP(B23,'11.11 Домофония'!$B$13:$J$116,9,0)</f>
        <v>0</v>
      </c>
      <c r="J23" s="6"/>
    </row>
    <row r="24" spans="1:10" ht="27.6" x14ac:dyDescent="0.3">
      <c r="A24" s="6">
        <f t="shared" si="0"/>
        <v>22</v>
      </c>
      <c r="B24" s="82" t="s">
        <v>133</v>
      </c>
      <c r="C24" s="6"/>
      <c r="D24" s="75"/>
      <c r="E24" s="75" t="s">
        <v>5</v>
      </c>
      <c r="F24" s="7">
        <f>SUMIF('11.11 Домофония'!$B$13:$B$116,B24,'11.11 Домофония'!$F$13:$F$116)</f>
        <v>1</v>
      </c>
      <c r="G24" s="7"/>
      <c r="H24" s="7">
        <f t="shared" si="1"/>
        <v>0</v>
      </c>
      <c r="I24" s="75" t="str">
        <f>VLOOKUP(B24,'11.11 Домофония'!$B$13:$J$116,9,0)</f>
        <v xml:space="preserve">Оптика между домами </v>
      </c>
      <c r="J24" s="6"/>
    </row>
    <row r="25" spans="1:10" ht="27.6" x14ac:dyDescent="0.3">
      <c r="A25" s="6">
        <f t="shared" si="0"/>
        <v>23</v>
      </c>
      <c r="B25" s="82" t="s">
        <v>29</v>
      </c>
      <c r="C25" s="6" t="s">
        <v>98</v>
      </c>
      <c r="D25" s="75" t="s">
        <v>97</v>
      </c>
      <c r="E25" s="75" t="s">
        <v>4</v>
      </c>
      <c r="F25" s="7">
        <f>SUMIF('11.11 Домофония'!$B$13:$B$116,B25,'11.11 Домофония'!$F$13:$F$116)</f>
        <v>270</v>
      </c>
      <c r="G25" s="7"/>
      <c r="H25" s="7">
        <f t="shared" si="1"/>
        <v>0</v>
      </c>
      <c r="I25" s="75">
        <f>VLOOKUP(B25,'11.11 Домофония'!$B$13:$J$116,9,0)</f>
        <v>0</v>
      </c>
      <c r="J25" s="6"/>
    </row>
    <row r="26" spans="1:10" x14ac:dyDescent="0.3">
      <c r="A26" s="6">
        <f t="shared" si="0"/>
        <v>24</v>
      </c>
      <c r="B26" s="82" t="s">
        <v>32</v>
      </c>
      <c r="C26" s="6"/>
      <c r="D26" s="75" t="s">
        <v>159</v>
      </c>
      <c r="E26" s="75" t="s">
        <v>4</v>
      </c>
      <c r="F26" s="7">
        <f>SUMIF('11.11 Домофония'!$B$13:$B$116,B26,'11.11 Домофония'!$F$13:$F$116)</f>
        <v>38</v>
      </c>
      <c r="G26" s="7"/>
      <c r="H26" s="7">
        <f t="shared" si="1"/>
        <v>0</v>
      </c>
      <c r="I26" s="75">
        <f>VLOOKUP(B26,'11.11 Домофония'!$B$13:$J$116,9,0)</f>
        <v>0</v>
      </c>
      <c r="J26" s="6"/>
    </row>
    <row r="27" spans="1:10" x14ac:dyDescent="0.3">
      <c r="A27" s="6">
        <f t="shared" si="0"/>
        <v>25</v>
      </c>
      <c r="B27" s="82" t="s">
        <v>171</v>
      </c>
      <c r="C27" s="6"/>
      <c r="D27" s="75" t="s">
        <v>51</v>
      </c>
      <c r="E27" s="75" t="s">
        <v>4</v>
      </c>
      <c r="F27" s="7">
        <f>SUMIF('11.11 Домофония'!$B$13:$B$116,B27,'11.11 Домофония'!$F$13:$F$116)</f>
        <v>132</v>
      </c>
      <c r="G27" s="7"/>
      <c r="H27" s="7">
        <f t="shared" si="1"/>
        <v>0</v>
      </c>
      <c r="I27" s="75">
        <f>VLOOKUP(B27,'11.11 Домофония'!$B$13:$J$116,9,0)</f>
        <v>0</v>
      </c>
      <c r="J27" s="6"/>
    </row>
    <row r="28" spans="1:10" ht="31.8" customHeight="1" x14ac:dyDescent="0.3">
      <c r="A28" s="6">
        <f t="shared" si="0"/>
        <v>26</v>
      </c>
      <c r="B28" s="82" t="s">
        <v>33</v>
      </c>
      <c r="C28" s="6"/>
      <c r="D28" s="75" t="s">
        <v>126</v>
      </c>
      <c r="E28" s="75" t="s">
        <v>4</v>
      </c>
      <c r="F28" s="7">
        <f>SUMIF('11.11 Домофония'!$B$13:$B$116,B28,'11.11 Домофония'!$F$13:$F$116)</f>
        <v>3773</v>
      </c>
      <c r="G28" s="7"/>
      <c r="H28" s="7">
        <f t="shared" si="1"/>
        <v>0</v>
      </c>
      <c r="I28" s="75">
        <f>VLOOKUP(B28,'11.11 Домофония'!$B$13:$J$116,9,0)</f>
        <v>0</v>
      </c>
      <c r="J28" s="6"/>
    </row>
    <row r="29" spans="1:10" ht="27.6" x14ac:dyDescent="0.3">
      <c r="A29" s="6">
        <f t="shared" si="0"/>
        <v>27</v>
      </c>
      <c r="B29" s="82" t="s">
        <v>34</v>
      </c>
      <c r="C29" s="6"/>
      <c r="D29" s="75" t="s">
        <v>100</v>
      </c>
      <c r="E29" s="75" t="s">
        <v>4</v>
      </c>
      <c r="F29" s="7">
        <f>SUMIF('11.11 Домофония'!$B$13:$B$116,B29,'11.11 Домофония'!$F$13:$F$116)</f>
        <v>40</v>
      </c>
      <c r="G29" s="7"/>
      <c r="H29" s="7">
        <f t="shared" si="1"/>
        <v>0</v>
      </c>
      <c r="I29" s="75" t="str">
        <f>VLOOKUP(B29,'11.11 Домофония'!$B$13:$J$116,9,0)</f>
        <v>Состав коммутационного шкафа домофонии</v>
      </c>
      <c r="J29" s="6"/>
    </row>
    <row r="30" spans="1:10" ht="27.6" x14ac:dyDescent="0.3">
      <c r="A30" s="6">
        <f t="shared" si="0"/>
        <v>28</v>
      </c>
      <c r="B30" s="82" t="s">
        <v>125</v>
      </c>
      <c r="C30" s="6"/>
      <c r="D30" s="75" t="s">
        <v>130</v>
      </c>
      <c r="E30" s="75" t="s">
        <v>4</v>
      </c>
      <c r="F30" s="7">
        <f>SUMIF('11.11 Домофония'!$B$13:$B$116,B30,'11.11 Домофония'!$F$13:$F$116)</f>
        <v>150</v>
      </c>
      <c r="G30" s="7"/>
      <c r="H30" s="7">
        <f t="shared" si="1"/>
        <v>0</v>
      </c>
      <c r="I30" s="75" t="str">
        <f>VLOOKUP(B30,'11.11 Домофония'!$B$13:$J$116,9,0)</f>
        <v xml:space="preserve">Оптика между домами </v>
      </c>
      <c r="J30" s="6"/>
    </row>
    <row r="31" spans="1:10" x14ac:dyDescent="0.3">
      <c r="A31" s="6">
        <f t="shared" si="0"/>
        <v>29</v>
      </c>
      <c r="B31" s="82" t="s">
        <v>129</v>
      </c>
      <c r="C31" s="6"/>
      <c r="D31" s="75" t="s">
        <v>52</v>
      </c>
      <c r="E31" s="75" t="s">
        <v>4</v>
      </c>
      <c r="F31" s="7">
        <f>SUMIF('11.11 Домофония'!$B$13:$B$116,B31,'11.11 Домофония'!$F$13:$F$116)</f>
        <v>228</v>
      </c>
      <c r="G31" s="7"/>
      <c r="H31" s="7">
        <f t="shared" si="1"/>
        <v>0</v>
      </c>
      <c r="I31" s="75">
        <f>VLOOKUP(B31,'11.11 Домофония'!$B$13:$J$116,9,0)</f>
        <v>0</v>
      </c>
      <c r="J31" s="6"/>
    </row>
    <row r="32" spans="1:10" x14ac:dyDescent="0.3">
      <c r="A32" s="6">
        <f t="shared" si="0"/>
        <v>30</v>
      </c>
      <c r="B32" s="82" t="s">
        <v>170</v>
      </c>
      <c r="C32" s="6"/>
      <c r="D32" s="75" t="s">
        <v>70</v>
      </c>
      <c r="E32" s="75" t="s">
        <v>4</v>
      </c>
      <c r="F32" s="7">
        <f>SUMIF('11.11 Домофония'!$B$13:$B$116,B32,'11.11 Домофония'!$F$13:$F$116)</f>
        <v>1290</v>
      </c>
      <c r="G32" s="7"/>
      <c r="H32" s="7">
        <f t="shared" si="1"/>
        <v>0</v>
      </c>
      <c r="I32" s="75">
        <f>VLOOKUP(B32,'11.11 Домофония'!$B$13:$J$116,9,0)</f>
        <v>0</v>
      </c>
      <c r="J32" s="6"/>
    </row>
    <row r="33" spans="1:10" x14ac:dyDescent="0.3">
      <c r="A33" s="6">
        <f t="shared" si="0"/>
        <v>31</v>
      </c>
      <c r="B33" s="82" t="s">
        <v>141</v>
      </c>
      <c r="C33" s="6"/>
      <c r="D33" s="75" t="s">
        <v>142</v>
      </c>
      <c r="E33" s="75" t="s">
        <v>4</v>
      </c>
      <c r="F33" s="7">
        <f>SUMIF('11.11 Домофония'!$B$13:$B$116,B33,'11.11 Домофония'!$F$13:$F$116)</f>
        <v>48</v>
      </c>
      <c r="G33" s="7"/>
      <c r="H33" s="7">
        <f t="shared" si="1"/>
        <v>0</v>
      </c>
      <c r="I33" s="75">
        <f>VLOOKUP(B33,'11.11 Домофония'!$B$13:$J$116,9,0)</f>
        <v>0</v>
      </c>
      <c r="J33" s="6"/>
    </row>
    <row r="34" spans="1:10" ht="27.6" x14ac:dyDescent="0.3">
      <c r="A34" s="6">
        <f t="shared" si="0"/>
        <v>32</v>
      </c>
      <c r="B34" s="82" t="s">
        <v>65</v>
      </c>
      <c r="C34" s="6"/>
      <c r="D34" s="75"/>
      <c r="E34" s="75" t="s">
        <v>5</v>
      </c>
      <c r="F34" s="7">
        <f>SUMIF('11.11 Домофония'!$B$13:$B$116,B34,'11.11 Домофония'!$F$13:$F$116)</f>
        <v>3</v>
      </c>
      <c r="G34" s="7"/>
      <c r="H34" s="7">
        <f t="shared" si="1"/>
        <v>0</v>
      </c>
      <c r="I34" s="75">
        <f>VLOOKUP(B34,'11.11 Домофония'!$B$13:$J$116,9,0)</f>
        <v>0</v>
      </c>
      <c r="J34" s="6"/>
    </row>
    <row r="35" spans="1:10" ht="41.4" x14ac:dyDescent="0.3">
      <c r="A35" s="6">
        <f t="shared" si="0"/>
        <v>33</v>
      </c>
      <c r="B35" s="82" t="s">
        <v>75</v>
      </c>
      <c r="C35" s="6"/>
      <c r="D35" s="75"/>
      <c r="E35" s="75" t="s">
        <v>5</v>
      </c>
      <c r="F35" s="7">
        <f>SUMIF('11.11 Домофония'!$B$13:$B$116,B35,'11.11 Домофония'!$F$13:$F$116)</f>
        <v>63</v>
      </c>
      <c r="G35" s="7"/>
      <c r="H35" s="7">
        <f t="shared" si="1"/>
        <v>0</v>
      </c>
      <c r="I35" s="75">
        <f>VLOOKUP(B35,'11.11 Домофония'!$B$13:$J$116,9,0)</f>
        <v>0</v>
      </c>
      <c r="J35" s="6"/>
    </row>
    <row r="36" spans="1:10" ht="27.6" x14ac:dyDescent="0.3">
      <c r="A36" s="6">
        <f t="shared" si="0"/>
        <v>34</v>
      </c>
      <c r="B36" s="82" t="s">
        <v>138</v>
      </c>
      <c r="C36" s="6"/>
      <c r="D36" s="75"/>
      <c r="E36" s="75" t="s">
        <v>5</v>
      </c>
      <c r="F36" s="7">
        <f>SUMIF('11.11 Домофония'!$B$13:$B$116,B36,'11.11 Домофония'!$F$13:$F$116)</f>
        <v>2</v>
      </c>
      <c r="G36" s="7"/>
      <c r="H36" s="7">
        <f t="shared" si="1"/>
        <v>0</v>
      </c>
      <c r="I36" s="75" t="str">
        <f>VLOOKUP(B36,'11.11 Домофония'!$B$13:$J$116,9,0)</f>
        <v>Состав коммутационного шкафа домофонии</v>
      </c>
      <c r="J36" s="6"/>
    </row>
    <row r="37" spans="1:10" ht="41.4" x14ac:dyDescent="0.3">
      <c r="A37" s="6">
        <f t="shared" si="0"/>
        <v>35</v>
      </c>
      <c r="B37" s="82" t="s">
        <v>76</v>
      </c>
      <c r="C37" s="6"/>
      <c r="D37" s="75" t="s">
        <v>152</v>
      </c>
      <c r="E37" s="75" t="s">
        <v>5</v>
      </c>
      <c r="F37" s="7">
        <f>SUMIF('11.11 Домофония'!$B$13:$B$116,B37,'11.11 Домофония'!$F$13:$F$116)</f>
        <v>19</v>
      </c>
      <c r="G37" s="7"/>
      <c r="H37" s="7">
        <f t="shared" si="1"/>
        <v>0</v>
      </c>
      <c r="I37" s="75" t="str">
        <f>VLOOKUP(B37,'11.11 Домофония'!$B$13:$J$116,9,0)</f>
        <v xml:space="preserve">на жилых этажах </v>
      </c>
      <c r="J37" s="6"/>
    </row>
    <row r="38" spans="1:10" ht="41.4" x14ac:dyDescent="0.3">
      <c r="A38" s="6">
        <f t="shared" si="0"/>
        <v>36</v>
      </c>
      <c r="B38" s="82" t="s">
        <v>77</v>
      </c>
      <c r="C38" s="6"/>
      <c r="D38" s="75" t="s">
        <v>153</v>
      </c>
      <c r="E38" s="75" t="s">
        <v>5</v>
      </c>
      <c r="F38" s="7">
        <f>SUMIF('11.11 Домофония'!$B$13:$B$116,B38,'11.11 Домофония'!$F$13:$F$116)</f>
        <v>1</v>
      </c>
      <c r="G38" s="7"/>
      <c r="H38" s="7">
        <f t="shared" si="1"/>
        <v>0</v>
      </c>
      <c r="I38" s="75" t="str">
        <f>VLOOKUP(B38,'11.11 Домофония'!$B$13:$J$116,9,0)</f>
        <v xml:space="preserve">на жилых этажах </v>
      </c>
      <c r="J38" s="6"/>
    </row>
    <row r="39" spans="1:10" ht="27.6" x14ac:dyDescent="0.3">
      <c r="A39" s="6">
        <f t="shared" si="0"/>
        <v>37</v>
      </c>
      <c r="B39" s="82" t="s">
        <v>121</v>
      </c>
      <c r="C39" s="6" t="s">
        <v>106</v>
      </c>
      <c r="D39" s="75" t="s">
        <v>107</v>
      </c>
      <c r="E39" s="75" t="s">
        <v>5</v>
      </c>
      <c r="F39" s="7">
        <f>SUMIF('11.11 Домофония'!$B$13:$B$116,B39,'11.11 Домофония'!$F$13:$F$116)</f>
        <v>1</v>
      </c>
      <c r="G39" s="7"/>
      <c r="H39" s="7">
        <f t="shared" si="1"/>
        <v>0</v>
      </c>
      <c r="I39" s="75" t="str">
        <f>VLOOKUP(B39,'11.11 Домофония'!$B$13:$J$116,9,0)</f>
        <v>Состав коммутационного шкафа домофонии</v>
      </c>
      <c r="J39" s="6"/>
    </row>
    <row r="40" spans="1:10" ht="27.6" x14ac:dyDescent="0.3">
      <c r="A40" s="6">
        <f t="shared" si="0"/>
        <v>38</v>
      </c>
      <c r="B40" s="82" t="s">
        <v>90</v>
      </c>
      <c r="C40" s="6"/>
      <c r="D40" s="75"/>
      <c r="E40" s="75" t="s">
        <v>5</v>
      </c>
      <c r="F40" s="7">
        <f>SUMIF('11.11 Домофония'!$B$13:$B$116,B40,'11.11 Домофония'!$F$13:$F$116)</f>
        <v>1</v>
      </c>
      <c r="G40" s="7"/>
      <c r="H40" s="7">
        <f t="shared" si="1"/>
        <v>0</v>
      </c>
      <c r="I40" s="75" t="str">
        <f>VLOOKUP(B40,'11.11 Домофония'!$B$13:$J$116,9,0)</f>
        <v>для Camkeeper</v>
      </c>
      <c r="J40" s="6"/>
    </row>
    <row r="41" spans="1:10" ht="41.4" x14ac:dyDescent="0.3">
      <c r="A41" s="6">
        <f t="shared" si="0"/>
        <v>39</v>
      </c>
      <c r="B41" s="82" t="s">
        <v>119</v>
      </c>
      <c r="C41" s="6"/>
      <c r="D41" s="75"/>
      <c r="E41" s="75" t="s">
        <v>5</v>
      </c>
      <c r="F41" s="7">
        <f>SUMIF('11.11 Домофония'!$B$13:$B$116,B41,'11.11 Домофония'!$F$13:$F$116)</f>
        <v>32</v>
      </c>
      <c r="G41" s="7"/>
      <c r="H41" s="7">
        <f t="shared" si="1"/>
        <v>0</v>
      </c>
      <c r="I41" s="75">
        <f>VLOOKUP(B41,'11.11 Домофония'!$B$13:$J$116,9,0)</f>
        <v>0</v>
      </c>
      <c r="J41" s="6"/>
    </row>
    <row r="42" spans="1:10" ht="27.6" x14ac:dyDescent="0.3">
      <c r="A42" s="6">
        <f t="shared" si="0"/>
        <v>40</v>
      </c>
      <c r="B42" s="82" t="s">
        <v>101</v>
      </c>
      <c r="C42" s="6"/>
      <c r="D42" s="75"/>
      <c r="E42" s="75" t="s">
        <v>5</v>
      </c>
      <c r="F42" s="7">
        <f>SUMIF('11.11 Домофония'!$B$13:$B$116,B42,'11.11 Домофония'!$F$13:$F$116)</f>
        <v>340</v>
      </c>
      <c r="G42" s="7"/>
      <c r="H42" s="7">
        <f t="shared" si="1"/>
        <v>0</v>
      </c>
      <c r="I42" s="75">
        <f>VLOOKUP(B42,'11.11 Домофония'!$B$13:$J$116,9,0)</f>
        <v>0</v>
      </c>
      <c r="J42" s="6"/>
    </row>
    <row r="43" spans="1:10" ht="27.6" x14ac:dyDescent="0.3">
      <c r="A43" s="6">
        <f t="shared" si="0"/>
        <v>41</v>
      </c>
      <c r="B43" s="82" t="s">
        <v>62</v>
      </c>
      <c r="C43" s="6"/>
      <c r="D43" s="75"/>
      <c r="E43" s="75" t="s">
        <v>5</v>
      </c>
      <c r="F43" s="7">
        <f>SUMIF('11.11 Домофония'!$B$13:$B$116,B43,'11.11 Домофония'!$F$13:$F$116)</f>
        <v>1110</v>
      </c>
      <c r="G43" s="7"/>
      <c r="H43" s="7">
        <f t="shared" si="1"/>
        <v>0</v>
      </c>
      <c r="I43" s="75">
        <f>VLOOKUP(B43,'11.11 Домофония'!$B$13:$J$116,9,0)</f>
        <v>0</v>
      </c>
      <c r="J43" s="6"/>
    </row>
    <row r="44" spans="1:10" x14ac:dyDescent="0.3">
      <c r="A44" s="6">
        <f t="shared" si="0"/>
        <v>42</v>
      </c>
      <c r="B44" s="82" t="s">
        <v>120</v>
      </c>
      <c r="C44" s="6"/>
      <c r="D44" s="75"/>
      <c r="E44" s="75" t="s">
        <v>5</v>
      </c>
      <c r="F44" s="7">
        <f>SUMIF('11.11 Домофония'!$B$13:$B$116,B44,'11.11 Домофония'!$F$13:$F$116)</f>
        <v>56</v>
      </c>
      <c r="G44" s="7"/>
      <c r="H44" s="7">
        <f t="shared" si="1"/>
        <v>0</v>
      </c>
      <c r="I44" s="75">
        <f>VLOOKUP(B44,'11.11 Домофония'!$B$13:$J$116,9,0)</f>
        <v>0</v>
      </c>
      <c r="J44" s="6"/>
    </row>
    <row r="45" spans="1:10" ht="27.6" x14ac:dyDescent="0.3">
      <c r="A45" s="6">
        <f t="shared" si="0"/>
        <v>43</v>
      </c>
      <c r="B45" s="82" t="s">
        <v>146</v>
      </c>
      <c r="C45" s="6"/>
      <c r="D45" s="75"/>
      <c r="E45" s="75" t="s">
        <v>5</v>
      </c>
      <c r="F45" s="7">
        <f>SUMIF('11.11 Домофония'!$B$13:$B$116,B45,'11.11 Домофония'!$F$13:$F$116)</f>
        <v>1</v>
      </c>
      <c r="G45" s="7"/>
      <c r="H45" s="7">
        <f t="shared" si="1"/>
        <v>0</v>
      </c>
      <c r="I45" s="75" t="str">
        <f>VLOOKUP(B45,'11.11 Домофония'!$B$13:$J$116,9,0)</f>
        <v>Состав коммутационного шкафа домофонии</v>
      </c>
      <c r="J45" s="6"/>
    </row>
    <row r="46" spans="1:10" ht="27.6" x14ac:dyDescent="0.3">
      <c r="A46" s="6">
        <f t="shared" si="0"/>
        <v>44</v>
      </c>
      <c r="B46" s="82" t="s">
        <v>35</v>
      </c>
      <c r="C46" s="6"/>
      <c r="D46" s="75" t="s">
        <v>91</v>
      </c>
      <c r="E46" s="75" t="s">
        <v>5</v>
      </c>
      <c r="F46" s="7">
        <f>SUMIF('11.11 Домофония'!$B$13:$B$116,B46,'11.11 Домофония'!$F$13:$F$116)</f>
        <v>1</v>
      </c>
      <c r="G46" s="7"/>
      <c r="H46" s="7">
        <f t="shared" si="1"/>
        <v>0</v>
      </c>
      <c r="I46" s="75" t="str">
        <f>VLOOKUP(B46,'11.11 Домофония'!$B$13:$J$116,9,0)</f>
        <v>Состав коммутационного шкафа домофонии</v>
      </c>
      <c r="J46" s="6"/>
    </row>
    <row r="47" spans="1:10" ht="27.6" x14ac:dyDescent="0.3">
      <c r="A47" s="6">
        <f t="shared" si="0"/>
        <v>45</v>
      </c>
      <c r="B47" s="82" t="s">
        <v>111</v>
      </c>
      <c r="C47" s="6" t="s">
        <v>110</v>
      </c>
      <c r="D47" s="75" t="s">
        <v>112</v>
      </c>
      <c r="E47" s="75" t="s">
        <v>5</v>
      </c>
      <c r="F47" s="7">
        <f>SUMIF('11.11 Домофония'!$B$13:$B$116,B47,'11.11 Домофония'!$F$13:$F$116)</f>
        <v>24</v>
      </c>
      <c r="G47" s="7"/>
      <c r="H47" s="7">
        <f t="shared" si="1"/>
        <v>0</v>
      </c>
      <c r="I47" s="75" t="str">
        <f>VLOOKUP(B47,'11.11 Домофония'!$B$13:$J$116,9,0)</f>
        <v>Состав коммутационного шкафа домофонии</v>
      </c>
      <c r="J47" s="6"/>
    </row>
    <row r="48" spans="1:10" x14ac:dyDescent="0.3">
      <c r="A48" s="6">
        <f t="shared" si="0"/>
        <v>46</v>
      </c>
      <c r="B48" s="82" t="s">
        <v>78</v>
      </c>
      <c r="C48" s="6" t="s">
        <v>46</v>
      </c>
      <c r="D48" s="75" t="s">
        <v>79</v>
      </c>
      <c r="E48" s="75" t="s">
        <v>5</v>
      </c>
      <c r="F48" s="7">
        <f>SUMIF('11.11 Домофония'!$B$13:$B$116,B48,'11.11 Домофония'!$F$13:$F$116)</f>
        <v>154</v>
      </c>
      <c r="G48" s="7"/>
      <c r="H48" s="7">
        <f t="shared" si="1"/>
        <v>0</v>
      </c>
      <c r="I48" s="75" t="str">
        <f>VLOOKUP(B48,'11.11 Домофония'!$B$13:$J$116,9,0)</f>
        <v xml:space="preserve">на жилых этажах </v>
      </c>
      <c r="J48" s="6"/>
    </row>
    <row r="49" spans="1:10" ht="27.6" x14ac:dyDescent="0.3">
      <c r="A49" s="6">
        <f t="shared" si="0"/>
        <v>47</v>
      </c>
      <c r="B49" s="82" t="s">
        <v>58</v>
      </c>
      <c r="C49" s="6"/>
      <c r="D49" s="75"/>
      <c r="E49" s="75" t="s">
        <v>5</v>
      </c>
      <c r="F49" s="7">
        <f>SUMIF('11.11 Домофония'!$B$13:$B$116,B49,'11.11 Домофония'!$F$13:$F$116)</f>
        <v>3</v>
      </c>
      <c r="G49" s="7"/>
      <c r="H49" s="7">
        <f t="shared" si="1"/>
        <v>0</v>
      </c>
      <c r="I49" s="75">
        <f>VLOOKUP(B49,'11.11 Домофония'!$B$13:$J$116,9,0)</f>
        <v>0</v>
      </c>
      <c r="J49" s="6"/>
    </row>
    <row r="50" spans="1:10" x14ac:dyDescent="0.3">
      <c r="A50" s="6">
        <f t="shared" si="0"/>
        <v>48</v>
      </c>
      <c r="B50" s="82" t="s">
        <v>66</v>
      </c>
      <c r="C50" s="6"/>
      <c r="D50" s="75"/>
      <c r="E50" s="75" t="s">
        <v>4</v>
      </c>
      <c r="F50" s="7">
        <f>SUMIF('11.11 Домофония'!$B$13:$B$116,B50,'11.11 Домофония'!$F$13:$F$116)</f>
        <v>4</v>
      </c>
      <c r="G50" s="7"/>
      <c r="H50" s="7">
        <f t="shared" si="1"/>
        <v>0</v>
      </c>
      <c r="I50" s="75">
        <f>VLOOKUP(B50,'11.11 Домофония'!$B$13:$J$116,9,0)</f>
        <v>0</v>
      </c>
      <c r="J50" s="6"/>
    </row>
    <row r="51" spans="1:10" x14ac:dyDescent="0.3">
      <c r="A51" s="6">
        <f t="shared" si="0"/>
        <v>49</v>
      </c>
      <c r="B51" s="82" t="s">
        <v>82</v>
      </c>
      <c r="C51" s="6"/>
      <c r="D51" s="75"/>
      <c r="E51" s="75" t="s">
        <v>4</v>
      </c>
      <c r="F51" s="7">
        <f>SUMIF('11.11 Домофония'!$B$13:$B$116,B51,'11.11 Домофония'!$F$13:$F$116)</f>
        <v>808</v>
      </c>
      <c r="G51" s="7"/>
      <c r="H51" s="7">
        <f t="shared" si="1"/>
        <v>0</v>
      </c>
      <c r="I51" s="75">
        <f>VLOOKUP(B51,'11.11 Домофония'!$B$13:$J$116,9,0)</f>
        <v>0</v>
      </c>
      <c r="J51" s="6"/>
    </row>
    <row r="52" spans="1:10" ht="27.6" x14ac:dyDescent="0.3">
      <c r="A52" s="6">
        <f t="shared" si="0"/>
        <v>50</v>
      </c>
      <c r="B52" s="82" t="s">
        <v>67</v>
      </c>
      <c r="C52" s="6"/>
      <c r="D52" s="75"/>
      <c r="E52" s="75" t="s">
        <v>5</v>
      </c>
      <c r="F52" s="7">
        <f>SUMIF('11.11 Домофония'!$B$13:$B$116,B52,'11.11 Домофония'!$F$13:$F$116)</f>
        <v>1</v>
      </c>
      <c r="G52" s="7"/>
      <c r="H52" s="7">
        <f t="shared" si="1"/>
        <v>0</v>
      </c>
      <c r="I52" s="75">
        <f>VLOOKUP(B52,'11.11 Домофония'!$B$13:$J$116,9,0)</f>
        <v>0</v>
      </c>
      <c r="J52" s="6"/>
    </row>
    <row r="53" spans="1:10" x14ac:dyDescent="0.3">
      <c r="A53" s="6">
        <f t="shared" si="0"/>
        <v>51</v>
      </c>
      <c r="B53" s="82" t="s">
        <v>151</v>
      </c>
      <c r="C53" s="6"/>
      <c r="D53" s="75"/>
      <c r="E53" s="75" t="s">
        <v>5</v>
      </c>
      <c r="F53" s="7">
        <f>SUMIF('11.11 Домофония'!$B$13:$B$116,B53,'11.11 Домофония'!$F$13:$F$116)</f>
        <v>21</v>
      </c>
      <c r="G53" s="7"/>
      <c r="H53" s="7">
        <f t="shared" si="1"/>
        <v>0</v>
      </c>
      <c r="I53" s="75">
        <f>VLOOKUP(B53,'11.11 Домофония'!$B$13:$J$116,9,0)</f>
        <v>0</v>
      </c>
      <c r="J53" s="6"/>
    </row>
    <row r="54" spans="1:10" x14ac:dyDescent="0.3">
      <c r="A54" s="6">
        <f t="shared" si="0"/>
        <v>52</v>
      </c>
      <c r="B54" s="82" t="s">
        <v>161</v>
      </c>
      <c r="C54" s="6"/>
      <c r="D54" s="75"/>
      <c r="E54" s="75" t="s">
        <v>5</v>
      </c>
      <c r="F54" s="7">
        <f>SUMIF('11.11 Домофония'!$B$13:$B$116,B54,'11.11 Домофония'!$F$13:$F$116)</f>
        <v>1</v>
      </c>
      <c r="G54" s="7"/>
      <c r="H54" s="7">
        <f t="shared" si="1"/>
        <v>0</v>
      </c>
      <c r="I54" s="75" t="str">
        <f>VLOOKUP(B54,'11.11 Домофония'!$B$13:$J$116,9,0)</f>
        <v xml:space="preserve">Оптика между домами </v>
      </c>
      <c r="J54" s="6"/>
    </row>
    <row r="55" spans="1:10" x14ac:dyDescent="0.3">
      <c r="A55" s="6">
        <f t="shared" si="0"/>
        <v>53</v>
      </c>
      <c r="B55" s="82" t="s">
        <v>162</v>
      </c>
      <c r="C55" s="6"/>
      <c r="D55" s="75"/>
      <c r="E55" s="75" t="s">
        <v>5</v>
      </c>
      <c r="F55" s="7">
        <f>SUMIF('11.11 Домофония'!$B$13:$B$116,B55,'11.11 Домофония'!$F$13:$F$116)</f>
        <v>1</v>
      </c>
      <c r="G55" s="7"/>
      <c r="H55" s="7">
        <f t="shared" si="1"/>
        <v>0</v>
      </c>
      <c r="I55" s="75" t="str">
        <f>VLOOKUP(B55,'11.11 Домофония'!$B$13:$J$116,9,0)</f>
        <v xml:space="preserve">Оптика между домами </v>
      </c>
      <c r="J55" s="6"/>
    </row>
    <row r="56" spans="1:10" ht="41.4" x14ac:dyDescent="0.3">
      <c r="A56" s="6">
        <f t="shared" si="0"/>
        <v>54</v>
      </c>
      <c r="B56" s="82" t="s">
        <v>131</v>
      </c>
      <c r="C56" s="6"/>
      <c r="D56" s="75"/>
      <c r="E56" s="75" t="s">
        <v>5</v>
      </c>
      <c r="F56" s="7">
        <f>SUMIF('11.11 Домофония'!$B$13:$B$116,B56,'11.11 Домофония'!$F$13:$F$116)</f>
        <v>1</v>
      </c>
      <c r="G56" s="7"/>
      <c r="H56" s="7">
        <f t="shared" si="1"/>
        <v>0</v>
      </c>
      <c r="I56" s="75" t="str">
        <f>VLOOKUP(B56,'11.11 Домофония'!$B$13:$J$116,9,0)</f>
        <v xml:space="preserve">Оптика между домами </v>
      </c>
      <c r="J56" s="6"/>
    </row>
    <row r="57" spans="1:10" ht="41.4" x14ac:dyDescent="0.3">
      <c r="A57" s="6">
        <f t="shared" si="0"/>
        <v>55</v>
      </c>
      <c r="B57" s="82" t="s">
        <v>118</v>
      </c>
      <c r="C57" s="6"/>
      <c r="D57" s="75"/>
      <c r="E57" s="75" t="s">
        <v>5</v>
      </c>
      <c r="F57" s="7">
        <f>SUMIF('11.11 Домофония'!$B$13:$B$116,B57,'11.11 Домофония'!$F$13:$F$116)</f>
        <v>4</v>
      </c>
      <c r="G57" s="7"/>
      <c r="H57" s="7">
        <f t="shared" si="1"/>
        <v>0</v>
      </c>
      <c r="I57" s="75" t="str">
        <f>VLOOKUP(B57,'11.11 Домофония'!$B$13:$J$116,9,0)</f>
        <v>Состав коммутационного шкафа домофонии</v>
      </c>
      <c r="J57" s="6"/>
    </row>
    <row r="58" spans="1:10" ht="27.6" x14ac:dyDescent="0.3">
      <c r="A58" s="6">
        <f t="shared" si="0"/>
        <v>56</v>
      </c>
      <c r="B58" s="82" t="s">
        <v>117</v>
      </c>
      <c r="C58" s="6" t="s">
        <v>39</v>
      </c>
      <c r="D58" s="75" t="s">
        <v>116</v>
      </c>
      <c r="E58" s="75" t="s">
        <v>5</v>
      </c>
      <c r="F58" s="7">
        <f>SUMIF('11.11 Домофония'!$B$13:$B$116,B58,'11.11 Домофония'!$F$13:$F$116)</f>
        <v>2</v>
      </c>
      <c r="G58" s="7"/>
      <c r="H58" s="7">
        <f t="shared" si="1"/>
        <v>0</v>
      </c>
      <c r="I58" s="75" t="str">
        <f>VLOOKUP(B58,'11.11 Домофония'!$B$13:$J$116,9,0)</f>
        <v>Состав коммутационного шкафа домофонии</v>
      </c>
      <c r="J58" s="6"/>
    </row>
    <row r="59" spans="1:10" ht="27.6" x14ac:dyDescent="0.3">
      <c r="A59" s="6">
        <f t="shared" si="0"/>
        <v>57</v>
      </c>
      <c r="B59" s="82" t="s">
        <v>109</v>
      </c>
      <c r="C59" s="6" t="s">
        <v>108</v>
      </c>
      <c r="D59" s="75" t="s">
        <v>39</v>
      </c>
      <c r="E59" s="75" t="s">
        <v>5</v>
      </c>
      <c r="F59" s="7">
        <f>SUMIF('11.11 Домофония'!$B$13:$B$116,B59,'11.11 Домофония'!$F$13:$F$116)</f>
        <v>1</v>
      </c>
      <c r="G59" s="7"/>
      <c r="H59" s="7">
        <f t="shared" si="1"/>
        <v>0</v>
      </c>
      <c r="I59" s="75" t="str">
        <f>VLOOKUP(B59,'11.11 Домофония'!$B$13:$J$116,9,0)</f>
        <v>Состав коммутационного шкафа домофонии</v>
      </c>
      <c r="J59" s="6"/>
    </row>
    <row r="60" spans="1:10" ht="41.4" x14ac:dyDescent="0.3">
      <c r="A60" s="6">
        <f t="shared" si="0"/>
        <v>58</v>
      </c>
      <c r="B60" s="82" t="s">
        <v>148</v>
      </c>
      <c r="C60" s="6"/>
      <c r="D60" s="75"/>
      <c r="E60" s="75" t="s">
        <v>5</v>
      </c>
      <c r="F60" s="7">
        <f>SUMIF('11.11 Домофония'!$B$13:$B$116,B60,'11.11 Домофония'!$F$13:$F$116)</f>
        <v>1</v>
      </c>
      <c r="G60" s="7"/>
      <c r="H60" s="7">
        <f t="shared" si="1"/>
        <v>0</v>
      </c>
      <c r="I60" s="75" t="str">
        <f>VLOOKUP(B60,'11.11 Домофония'!$B$13:$J$116,9,0)</f>
        <v>Состав коммутационного шкафа домофонии</v>
      </c>
      <c r="J60" s="6"/>
    </row>
    <row r="61" spans="1:10" ht="27.6" x14ac:dyDescent="0.3">
      <c r="A61" s="6">
        <f t="shared" si="0"/>
        <v>59</v>
      </c>
      <c r="B61" s="82" t="s">
        <v>64</v>
      </c>
      <c r="C61" s="6"/>
      <c r="D61" s="75"/>
      <c r="E61" s="75" t="s">
        <v>5</v>
      </c>
      <c r="F61" s="7">
        <f>SUMIF('11.11 Домофония'!$B$13:$B$116,B61,'11.11 Домофония'!$F$13:$F$116)</f>
        <v>22</v>
      </c>
      <c r="G61" s="7"/>
      <c r="H61" s="7">
        <f t="shared" si="1"/>
        <v>0</v>
      </c>
      <c r="I61" s="75">
        <f>VLOOKUP(B61,'11.11 Домофония'!$B$13:$J$116,9,0)</f>
        <v>0</v>
      </c>
      <c r="J61" s="6"/>
    </row>
    <row r="62" spans="1:10" ht="27.6" x14ac:dyDescent="0.3">
      <c r="A62" s="6"/>
      <c r="B62" s="82" t="s">
        <v>89</v>
      </c>
      <c r="C62" s="6"/>
      <c r="D62" s="75"/>
      <c r="E62" s="75" t="s">
        <v>5</v>
      </c>
      <c r="F62" s="7">
        <f>SUMIF('11.11 Домофония'!$B$13:$B$116,B62,'11.11 Домофония'!$F$13:$F$116)</f>
        <v>6</v>
      </c>
      <c r="G62" s="7"/>
      <c r="H62" s="7">
        <f t="shared" si="1"/>
        <v>0</v>
      </c>
      <c r="I62" s="75" t="str">
        <f>VLOOKUP(B62,'11.11 Домофония'!$B$13:$J$116,9,0)</f>
        <v>Состав коммутационного шкафа домофонии</v>
      </c>
      <c r="J62" s="6"/>
    </row>
    <row r="63" spans="1:10" ht="27.6" x14ac:dyDescent="0.3">
      <c r="A63" s="6"/>
      <c r="B63" s="82" t="s">
        <v>137</v>
      </c>
      <c r="C63" s="6"/>
      <c r="D63" s="75"/>
      <c r="E63" s="75" t="s">
        <v>5</v>
      </c>
      <c r="F63" s="7">
        <f>SUMIF('11.11 Домофония'!$B$13:$B$116,B63,'11.11 Домофония'!$F$13:$F$116)</f>
        <v>2</v>
      </c>
      <c r="G63" s="7"/>
      <c r="H63" s="7">
        <f t="shared" si="1"/>
        <v>0</v>
      </c>
      <c r="I63" s="75" t="str">
        <f>VLOOKUP(B63,'11.11 Домофония'!$B$13:$J$116,9,0)</f>
        <v>Состав коммутационного шкафа домофонии</v>
      </c>
      <c r="J63" s="6"/>
    </row>
    <row r="64" spans="1:10" ht="27.6" x14ac:dyDescent="0.3">
      <c r="A64" s="6"/>
      <c r="B64" s="82" t="s">
        <v>74</v>
      </c>
      <c r="C64" s="6"/>
      <c r="D64" s="75"/>
      <c r="E64" s="75" t="s">
        <v>5</v>
      </c>
      <c r="F64" s="7">
        <f>SUMIF('11.11 Домофония'!$B$13:$B$116,B64,'11.11 Домофония'!$F$13:$F$116)</f>
        <v>150</v>
      </c>
      <c r="G64" s="7"/>
      <c r="H64" s="7">
        <f t="shared" ref="H64:H75" si="2">G64*F64</f>
        <v>0</v>
      </c>
      <c r="I64" s="75">
        <f>VLOOKUP(B64,'11.11 Домофония'!$B$13:$J$116,9,0)</f>
        <v>0</v>
      </c>
      <c r="J64" s="6"/>
    </row>
    <row r="65" spans="1:11" x14ac:dyDescent="0.3">
      <c r="A65" s="6"/>
      <c r="B65" s="82" t="s">
        <v>56</v>
      </c>
      <c r="C65" s="6" t="s">
        <v>156</v>
      </c>
      <c r="D65" s="75" t="s">
        <v>39</v>
      </c>
      <c r="E65" s="75" t="s">
        <v>5</v>
      </c>
      <c r="F65" s="7">
        <f>SUMIF('11.11 Домофония'!$B$13:$B$116,B65,'11.11 Домофония'!$F$13:$F$116)</f>
        <v>3</v>
      </c>
      <c r="G65" s="7"/>
      <c r="H65" s="7">
        <f t="shared" si="2"/>
        <v>0</v>
      </c>
      <c r="I65" s="75">
        <f>VLOOKUP(B65,'11.11 Домофония'!$B$13:$J$116,9,0)</f>
        <v>0</v>
      </c>
      <c r="J65" s="6"/>
    </row>
    <row r="66" spans="1:11" x14ac:dyDescent="0.3">
      <c r="A66" s="6"/>
      <c r="B66" s="82" t="s">
        <v>30</v>
      </c>
      <c r="C66" s="6"/>
      <c r="D66" s="75" t="s">
        <v>54</v>
      </c>
      <c r="E66" s="75" t="s">
        <v>4</v>
      </c>
      <c r="F66" s="7">
        <f>SUMIF('11.11 Домофония'!$B$13:$B$116,B66,'11.11 Домофония'!$F$13:$F$116)</f>
        <v>423</v>
      </c>
      <c r="G66" s="7"/>
      <c r="H66" s="7">
        <f t="shared" si="2"/>
        <v>0</v>
      </c>
      <c r="I66" s="75" t="str">
        <f>VLOOKUP(B66,'11.11 Домофония'!$B$13:$J$116,9,0)</f>
        <v>75 метров для оптики</v>
      </c>
      <c r="J66" s="6"/>
    </row>
    <row r="67" spans="1:11" x14ac:dyDescent="0.3">
      <c r="A67" s="6"/>
      <c r="B67" s="82" t="s">
        <v>172</v>
      </c>
      <c r="C67" s="6" t="s">
        <v>61</v>
      </c>
      <c r="D67" s="75" t="s">
        <v>54</v>
      </c>
      <c r="E67" s="75" t="s">
        <v>4</v>
      </c>
      <c r="F67" s="7">
        <f>SUMIF('11.11 Домофония'!$B$13:$B$116,B67,'11.11 Домофония'!$F$13:$F$116)</f>
        <v>132</v>
      </c>
      <c r="G67" s="7"/>
      <c r="H67" s="7">
        <f t="shared" si="2"/>
        <v>0</v>
      </c>
      <c r="I67" s="75">
        <f>VLOOKUP(B67,'11.11 Домофония'!$B$13:$J$116,9,0)</f>
        <v>0</v>
      </c>
      <c r="J67" s="6"/>
    </row>
    <row r="68" spans="1:11" x14ac:dyDescent="0.3">
      <c r="A68" s="6"/>
      <c r="B68" s="82" t="s">
        <v>31</v>
      </c>
      <c r="C68" s="6" t="s">
        <v>68</v>
      </c>
      <c r="D68" s="75" t="s">
        <v>149</v>
      </c>
      <c r="E68" s="75" t="s">
        <v>4</v>
      </c>
      <c r="F68" s="7">
        <f>SUMIF('11.11 Домофония'!$B$13:$B$116,B68,'11.11 Домофония'!$F$13:$F$116)</f>
        <v>12</v>
      </c>
      <c r="G68" s="7"/>
      <c r="H68" s="7">
        <f t="shared" si="2"/>
        <v>0</v>
      </c>
      <c r="I68" s="75">
        <f>VLOOKUP(B68,'11.11 Домофония'!$B$13:$J$116,9,0)</f>
        <v>0</v>
      </c>
      <c r="J68" s="6"/>
    </row>
    <row r="69" spans="1:11" ht="27.6" x14ac:dyDescent="0.3">
      <c r="A69" s="6"/>
      <c r="B69" s="82" t="s">
        <v>71</v>
      </c>
      <c r="C69" s="6"/>
      <c r="D69" s="75" t="s">
        <v>127</v>
      </c>
      <c r="E69" s="75" t="s">
        <v>4</v>
      </c>
      <c r="F69" s="7">
        <f>SUMIF('11.11 Домофония'!$B$13:$B$116,B69,'11.11 Домофония'!$F$13:$F$116)</f>
        <v>3542</v>
      </c>
      <c r="G69" s="7"/>
      <c r="H69" s="7">
        <f t="shared" si="2"/>
        <v>0</v>
      </c>
      <c r="I69" s="75">
        <f>VLOOKUP(B69,'11.11 Домофония'!$B$13:$J$116,9,0)</f>
        <v>0</v>
      </c>
      <c r="J69" s="6"/>
    </row>
    <row r="70" spans="1:11" ht="27.6" x14ac:dyDescent="0.3">
      <c r="A70" s="6"/>
      <c r="B70" s="82" t="s">
        <v>72</v>
      </c>
      <c r="C70" s="6"/>
      <c r="D70" s="75" t="s">
        <v>150</v>
      </c>
      <c r="E70" s="75" t="s">
        <v>4</v>
      </c>
      <c r="F70" s="7">
        <f>SUMIF('11.11 Домофония'!$B$13:$B$116,B70,'11.11 Домофония'!$F$13:$F$116)</f>
        <v>63</v>
      </c>
      <c r="G70" s="7"/>
      <c r="H70" s="7">
        <f t="shared" si="2"/>
        <v>0</v>
      </c>
      <c r="I70" s="75">
        <f>VLOOKUP(B70,'11.11 Домофония'!$B$13:$J$116,9,0)</f>
        <v>0</v>
      </c>
      <c r="J70" s="6"/>
    </row>
    <row r="71" spans="1:11" ht="27.6" x14ac:dyDescent="0.3">
      <c r="A71" s="6"/>
      <c r="B71" s="82" t="s">
        <v>81</v>
      </c>
      <c r="C71" s="6"/>
      <c r="D71" s="75" t="s">
        <v>73</v>
      </c>
      <c r="E71" s="75" t="s">
        <v>4</v>
      </c>
      <c r="F71" s="7">
        <f>SUMIF('11.11 Домофония'!$B$13:$B$116,B71,'11.11 Домофония'!$F$13:$F$116)</f>
        <v>12</v>
      </c>
      <c r="G71" s="7"/>
      <c r="H71" s="7">
        <f t="shared" si="2"/>
        <v>0</v>
      </c>
      <c r="I71" s="75">
        <f>VLOOKUP(B71,'11.11 Домофония'!$B$13:$J$116,9,0)</f>
        <v>0</v>
      </c>
      <c r="J71" s="6"/>
    </row>
    <row r="72" spans="1:11" ht="27.6" x14ac:dyDescent="0.3">
      <c r="A72" s="6"/>
      <c r="B72" s="82" t="s">
        <v>136</v>
      </c>
      <c r="C72" s="6"/>
      <c r="D72" s="75" t="s">
        <v>135</v>
      </c>
      <c r="E72" s="75" t="s">
        <v>5</v>
      </c>
      <c r="F72" s="7">
        <f>SUMIF('11.11 Домофония'!$B$13:$B$116,B72,'11.11 Домофония'!$F$13:$F$116)</f>
        <v>2</v>
      </c>
      <c r="G72" s="7"/>
      <c r="H72" s="7">
        <f t="shared" si="2"/>
        <v>0</v>
      </c>
      <c r="I72" s="75" t="str">
        <f>VLOOKUP(B72,'11.11 Домофония'!$B$13:$J$116,9,0)</f>
        <v>Состав коммутационного шкафа домофонии</v>
      </c>
      <c r="J72" s="6"/>
    </row>
    <row r="73" spans="1:11" ht="41.4" x14ac:dyDescent="0.3">
      <c r="A73" s="6"/>
      <c r="B73" s="82" t="s">
        <v>80</v>
      </c>
      <c r="C73" s="6"/>
      <c r="D73" s="75"/>
      <c r="E73" s="75" t="s">
        <v>5</v>
      </c>
      <c r="F73" s="7">
        <f>SUMIF('11.11 Домофония'!$B$13:$B$116,B73,'11.11 Домофония'!$F$13:$F$116)</f>
        <v>10</v>
      </c>
      <c r="G73" s="7"/>
      <c r="H73" s="7">
        <f t="shared" si="2"/>
        <v>0</v>
      </c>
      <c r="I73" s="75" t="str">
        <f>VLOOKUP(B73,'11.11 Домофония'!$B$13:$J$116,9,0)</f>
        <v xml:space="preserve">на жилых этажах </v>
      </c>
      <c r="J73" s="6"/>
    </row>
    <row r="74" spans="1:11" ht="41.4" x14ac:dyDescent="0.3">
      <c r="A74" s="6"/>
      <c r="B74" s="82" t="s">
        <v>105</v>
      </c>
      <c r="C74" s="6" t="s">
        <v>158</v>
      </c>
      <c r="D74" s="75" t="s">
        <v>157</v>
      </c>
      <c r="E74" s="75" t="s">
        <v>5</v>
      </c>
      <c r="F74" s="7">
        <f>SUMIF('11.11 Домофония'!$B$13:$B$116,B74,'11.11 Домофония'!$F$13:$F$116)</f>
        <v>1</v>
      </c>
      <c r="G74" s="7"/>
      <c r="H74" s="7">
        <f t="shared" si="2"/>
        <v>0</v>
      </c>
      <c r="I74" s="75" t="str">
        <f>VLOOKUP(B74,'11.11 Домофония'!$B$13:$J$116,9,0)</f>
        <v>Состав коммутационного шкафа домофонии</v>
      </c>
      <c r="J74" s="6"/>
    </row>
    <row r="75" spans="1:11" ht="41.4" x14ac:dyDescent="0.3">
      <c r="A75" s="6"/>
      <c r="B75" s="82" t="s">
        <v>132</v>
      </c>
      <c r="C75" s="6"/>
      <c r="D75" s="75"/>
      <c r="E75" s="75" t="s">
        <v>5</v>
      </c>
      <c r="F75" s="7">
        <f>SUMIF('11.11 Домофония'!$B$13:$B$116,B75,'11.11 Домофония'!$F$13:$F$116)</f>
        <v>2</v>
      </c>
      <c r="G75" s="7"/>
      <c r="H75" s="7">
        <f t="shared" si="2"/>
        <v>0</v>
      </c>
      <c r="I75" s="75" t="str">
        <f>VLOOKUP(B75,'11.11 Домофония'!$B$13:$J$116,9,0)</f>
        <v xml:space="preserve">Оптика между домами </v>
      </c>
      <c r="J75" s="6"/>
    </row>
    <row r="76" spans="1:11" x14ac:dyDescent="0.3">
      <c r="G76" s="10" t="s">
        <v>167</v>
      </c>
      <c r="H76" s="11">
        <f>SUM(H3:H75)</f>
        <v>0</v>
      </c>
    </row>
    <row r="77" spans="1:11" x14ac:dyDescent="0.3">
      <c r="G77" s="10" t="s">
        <v>168</v>
      </c>
      <c r="H77" s="12">
        <f>H76-'11.11 Домофония'!I119</f>
        <v>0</v>
      </c>
    </row>
    <row r="79" spans="1:11" x14ac:dyDescent="0.3">
      <c r="B79" s="13" t="s">
        <v>47</v>
      </c>
      <c r="C79" s="13"/>
      <c r="D79" s="14"/>
      <c r="E79" s="14"/>
      <c r="G79" s="15"/>
      <c r="I79" s="16"/>
      <c r="J79" s="17"/>
      <c r="K79" s="16"/>
    </row>
    <row r="80" spans="1:11" ht="41.25" customHeight="1" x14ac:dyDescent="0.3">
      <c r="A80" s="18" t="s">
        <v>39</v>
      </c>
      <c r="B80" s="85" t="s">
        <v>48</v>
      </c>
      <c r="C80" s="85"/>
      <c r="D80" s="85"/>
      <c r="E80" s="85"/>
      <c r="F80" s="85"/>
      <c r="G80" s="85"/>
      <c r="H80" s="85"/>
      <c r="I80" s="19"/>
      <c r="J80" s="19"/>
      <c r="K80" s="20"/>
    </row>
    <row r="81" spans="1:11" ht="73.2" customHeight="1" x14ac:dyDescent="0.3">
      <c r="A81" s="21" t="s">
        <v>39</v>
      </c>
      <c r="B81" s="85" t="s">
        <v>49</v>
      </c>
      <c r="C81" s="85"/>
      <c r="D81" s="85"/>
      <c r="E81" s="85"/>
      <c r="F81" s="85"/>
      <c r="G81" s="85"/>
      <c r="H81" s="85"/>
      <c r="I81" s="19"/>
      <c r="J81" s="19"/>
      <c r="K81" s="22"/>
    </row>
    <row r="82" spans="1:11" ht="13.8" customHeight="1" x14ac:dyDescent="0.3">
      <c r="A82" s="18" t="s">
        <v>39</v>
      </c>
      <c r="B82" s="23" t="s">
        <v>50</v>
      </c>
      <c r="C82" s="23"/>
      <c r="D82" s="23"/>
      <c r="E82" s="23"/>
      <c r="F82" s="23"/>
      <c r="G82" s="23"/>
      <c r="H82" s="23"/>
      <c r="I82" s="23"/>
      <c r="J82" s="23"/>
      <c r="K82" s="24"/>
    </row>
  </sheetData>
  <autoFilter ref="A2:M77" xr:uid="{E549477A-B822-46C0-A5F5-C57D413F2B5E}"/>
  <sortState xmlns:xlrd2="http://schemas.microsoft.com/office/spreadsheetml/2017/richdata2" ref="B3:E75">
    <sortCondition ref="B75"/>
  </sortState>
  <mergeCells count="2">
    <mergeCell ref="B80:H80"/>
    <mergeCell ref="B81:H81"/>
  </mergeCells>
  <conditionalFormatting sqref="B1:B1048576">
    <cfRule type="duplicateValues" dxfId="7" priority="3"/>
  </conditionalFormatting>
  <conditionalFormatting sqref="I3:I75">
    <cfRule type="cellIs" dxfId="6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11.11 Домофония</vt:lpstr>
      <vt:lpstr>СМР</vt:lpstr>
      <vt:lpstr>ТМЦ</vt:lpstr>
      <vt:lpstr>'11.11 Домофония'!Область_печати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2026-02-18T17:02:05Z</dcterms:modified>
</cp:coreProperties>
</file>