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ЖК Прео\ПРЕО 8\11. Внутренние инженерные сети\11.10 11.11. 11.12 11.13 11.23 Слаботочные сети\Пакет\ГП-72.214\"/>
    </mc:Choice>
  </mc:AlternateContent>
  <xr:revisionPtr revIDLastSave="0" documentId="13_ncr:1_{65F44E70-3DFE-48BE-B291-A011A76ACB0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СР" sheetId="1" r:id="rId1"/>
    <sheet name="СМР" sheetId="4" r:id="rId2"/>
    <sheet name="ТМЦ" sheetId="5" r:id="rId3"/>
  </sheets>
  <externalReferences>
    <externalReference r:id="rId4"/>
  </externalReferences>
  <definedNames>
    <definedName name="_xlnm._FilterDatabase" localSheetId="0" hidden="1">ЛСР!$A$12:$L$36</definedName>
    <definedName name="Данные">[1]Тестовый!$F$10:$H$14</definedName>
    <definedName name="_xlnm.Print_Area" localSheetId="0">ЛСР!$A$1:$L$43</definedName>
  </definedNames>
  <calcPr calcId="191029" fullPrecision="0"/>
</workbook>
</file>

<file path=xl/calcChain.xml><?xml version="1.0" encoding="utf-8"?>
<calcChain xmlns="http://schemas.openxmlformats.org/spreadsheetml/2006/main">
  <c r="G18" i="1" l="1"/>
  <c r="F18" i="1"/>
  <c r="I18" i="1"/>
  <c r="I26" i="1"/>
  <c r="I25" i="1"/>
  <c r="I24" i="1"/>
  <c r="I23" i="1"/>
  <c r="I22" i="1"/>
  <c r="I21" i="1"/>
  <c r="I20" i="1"/>
  <c r="I31" i="1"/>
  <c r="I30" i="1"/>
  <c r="I29" i="1"/>
  <c r="I28" i="1"/>
  <c r="L26" i="1"/>
  <c r="L25" i="1"/>
  <c r="L24" i="1"/>
  <c r="L23" i="1"/>
  <c r="L22" i="1"/>
  <c r="L21" i="1"/>
  <c r="L20" i="1"/>
  <c r="L28" i="1"/>
  <c r="L29" i="1"/>
  <c r="L30" i="1"/>
  <c r="L31" i="1"/>
  <c r="L32" i="1"/>
  <c r="I32" i="1"/>
  <c r="K4" i="5"/>
  <c r="K5" i="5"/>
  <c r="K6" i="5"/>
  <c r="K7" i="5"/>
  <c r="K8" i="5"/>
  <c r="K9" i="5"/>
  <c r="K10" i="5"/>
  <c r="K11" i="5"/>
  <c r="K12" i="5"/>
  <c r="K13" i="5"/>
  <c r="K14" i="5"/>
  <c r="K3" i="5"/>
  <c r="F4" i="5"/>
  <c r="G4" i="5"/>
  <c r="F5" i="5"/>
  <c r="G5" i="5"/>
  <c r="F6" i="5"/>
  <c r="G6" i="5"/>
  <c r="F7" i="5"/>
  <c r="G7" i="5"/>
  <c r="F8" i="5"/>
  <c r="G8" i="5"/>
  <c r="F9" i="5"/>
  <c r="G9" i="5"/>
  <c r="F11" i="5"/>
  <c r="F12" i="5"/>
  <c r="G3" i="5"/>
  <c r="F3" i="5"/>
  <c r="F30" i="1"/>
  <c r="F29" i="1"/>
  <c r="F3" i="4"/>
  <c r="E3" i="4"/>
  <c r="A14" i="5"/>
  <c r="A13" i="5"/>
  <c r="A12" i="5"/>
  <c r="A11" i="5"/>
  <c r="A10" i="5"/>
  <c r="A9" i="5"/>
  <c r="A8" i="5"/>
  <c r="A7" i="5"/>
  <c r="A6" i="5"/>
  <c r="A5" i="5"/>
  <c r="A4" i="5"/>
  <c r="A3" i="5"/>
  <c r="A3" i="4"/>
  <c r="G30" i="1" l="1"/>
  <c r="G12" i="5" s="1"/>
  <c r="G28" i="1"/>
  <c r="G10" i="5" s="1"/>
  <c r="G29" i="1" l="1"/>
  <c r="G11" i="5" s="1"/>
  <c r="G31" i="1"/>
  <c r="G13" i="5" s="1"/>
  <c r="G32" i="1"/>
  <c r="G14" i="5" s="1"/>
  <c r="F32" i="1"/>
  <c r="F31" i="1"/>
  <c r="F28" i="1"/>
  <c r="F10" i="5" s="1"/>
  <c r="H23" i="1"/>
  <c r="H6" i="5" s="1"/>
  <c r="J6" i="5" s="1"/>
  <c r="H24" i="1"/>
  <c r="H7" i="5" s="1"/>
  <c r="J7" i="5" s="1"/>
  <c r="H22" i="1"/>
  <c r="H5" i="5" s="1"/>
  <c r="J5" i="5" s="1"/>
  <c r="H20" i="1"/>
  <c r="H3" i="5" s="1"/>
  <c r="J3" i="5" s="1"/>
  <c r="H21" i="1"/>
  <c r="H4" i="5" s="1"/>
  <c r="J4" i="5" s="1"/>
  <c r="H32" i="1" l="1"/>
  <c r="H14" i="5" s="1"/>
  <c r="J14" i="5" s="1"/>
  <c r="F14" i="5"/>
  <c r="H31" i="1"/>
  <c r="H13" i="5" s="1"/>
  <c r="J13" i="5" s="1"/>
  <c r="F13" i="5"/>
  <c r="H29" i="1"/>
  <c r="H28" i="1"/>
  <c r="H30" i="1"/>
  <c r="J32" i="1"/>
  <c r="J31" i="1"/>
  <c r="J24" i="1"/>
  <c r="J23" i="1"/>
  <c r="J20" i="1"/>
  <c r="J22" i="1"/>
  <c r="J21" i="1"/>
  <c r="J29" i="1" l="1"/>
  <c r="H11" i="5"/>
  <c r="J11" i="5" s="1"/>
  <c r="J28" i="1"/>
  <c r="H10" i="5"/>
  <c r="J10" i="5" s="1"/>
  <c r="J30" i="1"/>
  <c r="H12" i="5"/>
  <c r="J12" i="5" s="1"/>
  <c r="J27" i="1"/>
  <c r="H26" i="1"/>
  <c r="H9" i="5" s="1"/>
  <c r="J9" i="5" s="1"/>
  <c r="H25" i="1"/>
  <c r="H8" i="5" s="1"/>
  <c r="J8" i="5" s="1"/>
  <c r="J15" i="5" l="1"/>
  <c r="J26" i="1"/>
  <c r="J25" i="1"/>
  <c r="J19" i="1" s="1"/>
  <c r="H18" i="1"/>
  <c r="G3" i="4" s="1"/>
  <c r="I3" i="4" s="1"/>
  <c r="I4" i="4" s="1"/>
  <c r="J35" i="1" l="1"/>
  <c r="J16" i="5" s="1"/>
  <c r="J18" i="1"/>
  <c r="J17" i="1" s="1"/>
  <c r="J34" i="1" l="1"/>
  <c r="I5" i="4" s="1"/>
  <c r="J16" i="1"/>
  <c r="J33" i="1" s="1"/>
  <c r="J36" i="1" s="1"/>
  <c r="H27" i="1"/>
</calcChain>
</file>

<file path=xl/sharedStrings.xml><?xml version="1.0" encoding="utf-8"?>
<sst xmlns="http://schemas.openxmlformats.org/spreadsheetml/2006/main" count="162" uniqueCount="72">
  <si>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</si>
  <si>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</si>
  <si>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</si>
  <si>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</si>
  <si>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</si>
  <si>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№</t>
  </si>
  <si>
    <t>Наименование</t>
  </si>
  <si>
    <t>Марка</t>
  </si>
  <si>
    <t>Характеристика</t>
  </si>
  <si>
    <t>Ед. изм.</t>
  </si>
  <si>
    <t>Кол-во</t>
  </si>
  <si>
    <t>Цена</t>
  </si>
  <si>
    <t>Сумма</t>
  </si>
  <si>
    <t>Примечание</t>
  </si>
  <si>
    <t>Форма закупа материала</t>
  </si>
  <si>
    <t xml:space="preserve">Внутренние инженерные сети </t>
  </si>
  <si>
    <t>11.12.</t>
  </si>
  <si>
    <t>Устройство телефонии</t>
  </si>
  <si>
    <t>11.12.01</t>
  </si>
  <si>
    <t>Прокладка кабеля, трубы</t>
  </si>
  <si>
    <t>11.12.01.00</t>
  </si>
  <si>
    <t>Работа:</t>
  </si>
  <si>
    <t>м</t>
  </si>
  <si>
    <t>Материалы:</t>
  </si>
  <si>
    <t>Труба тип 1</t>
  </si>
  <si>
    <t>Труба тип 2</t>
  </si>
  <si>
    <t>ПЭ 20х2,0 PN12</t>
  </si>
  <si>
    <t>Хомут трубный 1.1/2" 47-51 с резинкой, дюбелем, винтом М8</t>
  </si>
  <si>
    <t>шт</t>
  </si>
  <si>
    <t>в тч стоимость работ:</t>
  </si>
  <si>
    <t>в тч стоимость материалов: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</si>
  <si>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</si>
  <si>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</si>
  <si>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</si>
  <si>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</si>
  <si>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</si>
  <si>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№ п/п</t>
  </si>
  <si>
    <t xml:space="preserve">Устройство системы телефонии ГП-214. </t>
  </si>
  <si>
    <t>Проволочный лоток</t>
  </si>
  <si>
    <t>АО "ДКС"</t>
  </si>
  <si>
    <t>50х150 L3000, FC5015</t>
  </si>
  <si>
    <t>С-образный профиль 41х21, L350, толщ.2,0 мм,  DKC</t>
  </si>
  <si>
    <t>INOX 304 IBPV21035C</t>
  </si>
  <si>
    <t>Стандартный анкер со шпилькой  М6</t>
  </si>
  <si>
    <t>СМ440645</t>
  </si>
  <si>
    <t xml:space="preserve">Крепежный комплект №1 для монтажа проволочного лотка </t>
  </si>
  <si>
    <t>CM350001</t>
  </si>
  <si>
    <t>гладкая ПВХ диаметром 50мм</t>
  </si>
  <si>
    <t>Труба тип 3</t>
  </si>
  <si>
    <t xml:space="preserve"> Труба электросварная 76х3,5</t>
  </si>
  <si>
    <t>шт.</t>
  </si>
  <si>
    <t>Монтажная пена Технониколь 240 PROFESSIONAL, огнестойкая, TN528380</t>
  </si>
  <si>
    <t>Огнезащитный силиконовый герметик Огнетитан SN однокомпонентный, серый 310 мл ТУ 2513-004-03495485-2016 БП-00000536</t>
  </si>
  <si>
    <t>Монтажная лента текстильная под пистолет</t>
  </si>
  <si>
    <t>м.</t>
  </si>
  <si>
    <t>Гвозди по бетону усиленные Toua 3.05x19 мм, под пистолет.  (1000шт. в пч.)</t>
  </si>
  <si>
    <t>ГП-214.1</t>
  </si>
  <si>
    <t>ГП-214.2</t>
  </si>
  <si>
    <r>
      <t xml:space="preserve">Прочие материалы </t>
    </r>
    <r>
      <rPr>
        <sz val="10"/>
        <rFont val="Arial Narrow"/>
        <family val="2"/>
        <charset val="204"/>
      </rPr>
      <t>(Хомут трубный 1.1/2" 47-51 с резинкой, дюбелем, винтом М8, Монтажная пена Технониколь 240 PROFESSIONAL, огнестойкая, TN528380, Огнезащитный силиконовый герметик Огнетитан SN однокомпонентный, серый 310 мл ТУ 2513-004-03495485-2016 БП-00000536, Монтажная лента текстильная под пистолет, Гвозди по бетону усиленные Toua 3.05x19 мм, под пистолет.  (1000шт. в пч.))</t>
    </r>
  </si>
  <si>
    <t>ООО "ЭНКО СТРОЙ"</t>
  </si>
  <si>
    <t>ООО "Технический заказчик "ЭНКО"</t>
  </si>
  <si>
    <t>_________________/</t>
  </si>
  <si>
    <t>___________/С.И. Ярков</t>
  </si>
  <si>
    <t>Локальный сметный расчет №</t>
  </si>
  <si>
    <t>Ведомость объемов работ</t>
  </si>
  <si>
    <t>ИТОГО:</t>
  </si>
  <si>
    <t>проверка:</t>
  </si>
  <si>
    <t>Спецификация материалов</t>
  </si>
  <si>
    <t>Итого по ЛСР, в т.ч. НДС:</t>
  </si>
  <si>
    <t>в тч НДС 22%:</t>
  </si>
  <si>
    <t>%</t>
  </si>
  <si>
    <t>Прокладка трубы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</si>
</sst>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color indexed="2"/>
      <name val="Arial Narrow"/>
      <family val="2"/>
      <charset val="204"/>
    </font>
    <font>
      <sz val="10"/>
      <color rgb="FFFF0000"/>
      <name val="Arial Narrow"/>
      <family val="2"/>
      <charset val="204"/>
    </font>
    <font>
      <b/>
      <sz val="10"/>
      <color indexed="2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  <font>
      <b/>
      <i/>
      <sz val="10"/>
      <color theme="1"/>
      <name val="Arial Narrow"/>
      <family val="2"/>
      <charset val="204"/>
    </font>
    <font>
      <b/>
      <i/>
      <u/>
      <sz val="10"/>
      <name val="Arial Narrow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AE78D6"/>
        <bgColor rgb="FFAE78D6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4" fillId="0" borderId="0"/>
  </cellStyleXfs>
  <cellXfs count="117">
    <xf numFmtId="0" fontId="0" fillId="0" borderId="0" xfId="0"/>
    <xf numFmtId="49" fontId="5" fillId="0" borderId="0" xfId="0" applyNumberFormat="1" applyFont="1"/>
    <xf numFmtId="0" fontId="5" fillId="0" borderId="0" xfId="0" applyFont="1" applyAlignment="1">
      <alignment wrapText="1"/>
    </xf>
    <xf numFmtId="0" fontId="5" fillId="0" borderId="0" xfId="0" applyFont="1"/>
    <xf numFmtId="4" fontId="6" fillId="0" borderId="0" xfId="0" applyNumberFormat="1" applyFont="1"/>
    <xf numFmtId="4" fontId="5" fillId="0" borderId="0" xfId="0" applyNumberFormat="1" applyFont="1"/>
    <xf numFmtId="0" fontId="7" fillId="0" borderId="0" xfId="0" applyFont="1"/>
    <xf numFmtId="49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" fontId="6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9" fontId="10" fillId="2" borderId="3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9" fontId="10" fillId="3" borderId="3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4" fontId="10" fillId="5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/>
    <xf numFmtId="0" fontId="10" fillId="3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10" fillId="0" borderId="1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4" fontId="6" fillId="5" borderId="1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49" fontId="11" fillId="0" borderId="0" xfId="0" applyNumberFormat="1" applyFont="1" applyAlignment="1">
      <alignment horizontal="center" vertical="center"/>
    </xf>
    <xf numFmtId="0" fontId="7" fillId="0" borderId="0" xfId="5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4" fontId="7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4" fontId="5" fillId="0" borderId="0" xfId="8" applyNumberFormat="1" applyFont="1"/>
    <xf numFmtId="4" fontId="6" fillId="0" borderId="0" xfId="8" applyNumberFormat="1" applyFont="1"/>
    <xf numFmtId="164" fontId="6" fillId="0" borderId="0" xfId="0" applyNumberFormat="1" applyFont="1"/>
    <xf numFmtId="164" fontId="5" fillId="0" borderId="0" xfId="0" applyNumberFormat="1" applyFont="1"/>
    <xf numFmtId="0" fontId="5" fillId="0" borderId="0" xfId="8" applyFont="1" applyAlignment="1">
      <alignment horizontal="right"/>
    </xf>
    <xf numFmtId="0" fontId="6" fillId="0" borderId="0" xfId="8" applyFont="1" applyAlignment="1">
      <alignment vertical="center"/>
    </xf>
    <xf numFmtId="0" fontId="6" fillId="0" borderId="0" xfId="8" applyFont="1"/>
    <xf numFmtId="0" fontId="5" fillId="0" borderId="0" xfId="0" applyFont="1" applyAlignment="1">
      <alignment vertical="center" wrapText="1"/>
    </xf>
    <xf numFmtId="0" fontId="5" fillId="0" borderId="0" xfId="9" applyFont="1"/>
    <xf numFmtId="0" fontId="5" fillId="0" borderId="1" xfId="9" applyFont="1" applyBorder="1"/>
    <xf numFmtId="0" fontId="10" fillId="0" borderId="1" xfId="9" applyFont="1" applyBorder="1" applyAlignment="1">
      <alignment horizontal="center" vertical="center" wrapText="1"/>
    </xf>
    <xf numFmtId="164" fontId="6" fillId="0" borderId="1" xfId="9" applyNumberFormat="1" applyFont="1" applyBorder="1" applyAlignment="1">
      <alignment horizontal="center" vertical="center" wrapText="1"/>
    </xf>
    <xf numFmtId="4" fontId="10" fillId="0" borderId="1" xfId="9" applyNumberFormat="1" applyFont="1" applyBorder="1" applyAlignment="1">
      <alignment horizontal="center" vertical="center" wrapText="1"/>
    </xf>
    <xf numFmtId="0" fontId="5" fillId="0" borderId="1" xfId="9" applyFont="1" applyBorder="1" applyAlignment="1">
      <alignment horizontal="center" vertical="center"/>
    </xf>
    <xf numFmtId="4" fontId="5" fillId="0" borderId="1" xfId="9" applyNumberFormat="1" applyFont="1" applyBorder="1" applyAlignment="1">
      <alignment horizontal="center" vertical="center"/>
    </xf>
    <xf numFmtId="0" fontId="5" fillId="0" borderId="0" xfId="9" applyFont="1" applyAlignment="1">
      <alignment horizontal="right"/>
    </xf>
    <xf numFmtId="4" fontId="6" fillId="0" borderId="0" xfId="9" applyNumberFormat="1" applyFont="1" applyAlignment="1">
      <alignment horizontal="center" vertical="center"/>
    </xf>
    <xf numFmtId="4" fontId="5" fillId="0" borderId="0" xfId="9" applyNumberFormat="1" applyFont="1" applyAlignment="1">
      <alignment horizontal="center" vertical="center"/>
    </xf>
    <xf numFmtId="0" fontId="13" fillId="0" borderId="0" xfId="9" applyFont="1" applyAlignment="1">
      <alignment vertical="center" wrapText="1"/>
    </xf>
    <xf numFmtId="0" fontId="5" fillId="0" borderId="0" xfId="9" applyFont="1" applyAlignment="1">
      <alignment wrapText="1"/>
    </xf>
    <xf numFmtId="0" fontId="6" fillId="0" borderId="0" xfId="9" applyFont="1"/>
    <xf numFmtId="4" fontId="5" fillId="0" borderId="0" xfId="9" applyNumberFormat="1" applyFont="1"/>
    <xf numFmtId="4" fontId="5" fillId="0" borderId="0" xfId="9" applyNumberFormat="1" applyFont="1" applyAlignment="1">
      <alignment wrapText="1"/>
    </xf>
    <xf numFmtId="49" fontId="11" fillId="0" borderId="0" xfId="9" applyNumberFormat="1" applyFont="1" applyAlignment="1">
      <alignment horizontal="center" vertical="center"/>
    </xf>
    <xf numFmtId="0" fontId="11" fillId="0" borderId="0" xfId="8" applyFont="1" applyAlignment="1">
      <alignment vertical="center" wrapText="1"/>
    </xf>
    <xf numFmtId="0" fontId="8" fillId="0" borderId="0" xfId="8" applyFont="1" applyAlignment="1">
      <alignment vertical="center" wrapText="1"/>
    </xf>
    <xf numFmtId="0" fontId="11" fillId="0" borderId="0" xfId="9" applyFont="1" applyAlignment="1">
      <alignment horizontal="center" vertical="center"/>
    </xf>
    <xf numFmtId="0" fontId="8" fillId="0" borderId="0" xfId="8" applyFont="1" applyAlignment="1">
      <alignment vertical="top" wrapText="1"/>
    </xf>
    <xf numFmtId="0" fontId="11" fillId="0" borderId="0" xfId="9" applyFont="1" applyAlignment="1">
      <alignment vertical="center"/>
    </xf>
    <xf numFmtId="0" fontId="8" fillId="0" borderId="0" xfId="9" applyFont="1" applyAlignment="1">
      <alignment vertical="top" wrapText="1"/>
    </xf>
    <xf numFmtId="0" fontId="14" fillId="0" borderId="0" xfId="9"/>
    <xf numFmtId="49" fontId="10" fillId="0" borderId="1" xfId="9" applyNumberFormat="1" applyFont="1" applyBorder="1" applyAlignment="1">
      <alignment horizontal="center" vertical="center" wrapText="1"/>
    </xf>
    <xf numFmtId="0" fontId="14" fillId="0" borderId="1" xfId="9" applyBorder="1" applyAlignment="1">
      <alignment vertical="center" wrapText="1"/>
    </xf>
    <xf numFmtId="0" fontId="14" fillId="0" borderId="1" xfId="9" applyBorder="1" applyAlignment="1">
      <alignment horizontal="center" vertical="center"/>
    </xf>
    <xf numFmtId="0" fontId="14" fillId="0" borderId="1" xfId="9" applyBorder="1" applyAlignment="1">
      <alignment horizontal="center" vertical="center" wrapText="1"/>
    </xf>
    <xf numFmtId="4" fontId="14" fillId="0" borderId="1" xfId="9" applyNumberFormat="1" applyBorder="1" applyAlignment="1">
      <alignment horizontal="center" vertical="center"/>
    </xf>
    <xf numFmtId="4" fontId="11" fillId="3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 wrapText="1"/>
    </xf>
    <xf numFmtId="4" fontId="6" fillId="3" borderId="1" xfId="0" applyNumberFormat="1" applyFont="1" applyFill="1" applyBorder="1" applyAlignment="1" applyProtection="1">
      <alignment horizontal="center" vertical="center"/>
      <protection locked="0"/>
    </xf>
    <xf numFmtId="4" fontId="6" fillId="9" borderId="1" xfId="0" applyNumberFormat="1" applyFont="1" applyFill="1" applyBorder="1" applyAlignment="1">
      <alignment horizontal="center" vertical="center"/>
    </xf>
    <xf numFmtId="0" fontId="11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6" fillId="8" borderId="4" xfId="0" applyFont="1" applyFill="1" applyBorder="1" applyAlignment="1">
      <alignment horizontal="right" vertical="center"/>
    </xf>
    <xf numFmtId="0" fontId="6" fillId="8" borderId="5" xfId="0" applyFont="1" applyFill="1" applyBorder="1" applyAlignment="1">
      <alignment horizontal="right" vertical="center"/>
    </xf>
    <xf numFmtId="0" fontId="6" fillId="8" borderId="6" xfId="0" applyFont="1" applyFill="1" applyBorder="1" applyAlignment="1">
      <alignment horizontal="right" vertical="center"/>
    </xf>
    <xf numFmtId="0" fontId="12" fillId="9" borderId="4" xfId="0" applyFont="1" applyFill="1" applyBorder="1" applyAlignment="1">
      <alignment horizontal="right" vertical="center"/>
    </xf>
    <xf numFmtId="0" fontId="12" fillId="9" borderId="5" xfId="0" applyFont="1" applyFill="1" applyBorder="1" applyAlignment="1">
      <alignment horizontal="right" vertical="center"/>
    </xf>
    <xf numFmtId="0" fontId="12" fillId="9" borderId="6" xfId="0" applyFont="1" applyFill="1" applyBorder="1" applyAlignment="1">
      <alignment horizontal="right" vertical="center"/>
    </xf>
    <xf numFmtId="0" fontId="11" fillId="0" borderId="0" xfId="8" applyFont="1" applyAlignment="1">
      <alignment horizontal="left" vertical="top" wrapText="1"/>
    </xf>
  </cellXfs>
  <cellStyles count="10">
    <cellStyle name="Обычный" xfId="0" builtinId="0"/>
    <cellStyle name="Обычный 2" xfId="1" xr:uid="{00000000-0005-0000-0000-000001000000}"/>
    <cellStyle name="Обычный 2 2 2" xfId="2" xr:uid="{00000000-0005-0000-0000-000002000000}"/>
    <cellStyle name="Обычный 2 3 2" xfId="3" xr:uid="{00000000-0005-0000-0000-000003000000}"/>
    <cellStyle name="Обычный 3" xfId="4" xr:uid="{00000000-0005-0000-0000-000004000000}"/>
    <cellStyle name="Обычный 3 2 2" xfId="5" xr:uid="{00000000-0005-0000-0000-000005000000}"/>
    <cellStyle name="Обычный 3 2 2 2" xfId="8" xr:uid="{27605224-926E-41EA-BD34-EC981EBB9EEE}"/>
    <cellStyle name="Обычный 4" xfId="6" xr:uid="{00000000-0005-0000-0000-000006000000}"/>
    <cellStyle name="Обычный 5" xfId="9" xr:uid="{8EBDD715-4DE5-47C2-99D8-32462006F9D5}"/>
    <cellStyle name="Обычный 6 3 7 2 3" xfId="7" xr:uid="{00000000-0005-0000-0000-000007000000}"/>
  </cellStyles>
  <dxfs count="3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7;&#1074;&#1077;&#1090;&#1083;&#1072;&#1085;&#1072;/AppData/Roaming/Microsoft/Excel/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view="pageBreakPreview" topLeftCell="A13" zoomScale="70" zoomScaleSheetLayoutView="70" workbookViewId="0">
      <selection activeCell="L21" sqref="L21"/>
    </sheetView>
  </sheetViews>
  <sheetFormatPr defaultColWidth="9.109375" defaultRowHeight="13.8" outlineLevelRow="2" x14ac:dyDescent="0.3"/>
  <cols>
    <col min="1" max="1" width="13.44140625" style="3" customWidth="1"/>
    <col min="2" max="2" width="71" style="2" customWidth="1"/>
    <col min="3" max="3" width="18.109375" style="2" customWidth="1"/>
    <col min="4" max="4" width="27.33203125" style="2" customWidth="1"/>
    <col min="5" max="5" width="15.88671875" style="3" bestFit="1" customWidth="1"/>
    <col min="6" max="7" width="15.88671875" style="3" customWidth="1"/>
    <col min="8" max="8" width="15.44140625" style="4" bestFit="1" customWidth="1" collapsed="1"/>
    <col min="9" max="9" width="16" style="5" customWidth="1"/>
    <col min="10" max="10" width="21.5546875" style="5" customWidth="1"/>
    <col min="11" max="11" width="22.44140625" style="3" customWidth="1"/>
    <col min="12" max="12" width="28.5546875" style="6" customWidth="1"/>
    <col min="13" max="16384" width="9.109375" style="3"/>
  </cols>
  <sheetData>
    <row r="1" spans="1:12" x14ac:dyDescent="0.3">
      <c r="A1" s="1"/>
      <c r="C1" s="64"/>
      <c r="D1" s="65"/>
      <c r="F1" s="66"/>
      <c r="H1" s="67"/>
      <c r="I1" s="68"/>
      <c r="J1" s="68"/>
      <c r="L1" s="69" t="s">
        <v>0</v>
      </c>
    </row>
    <row r="2" spans="1:12" x14ac:dyDescent="0.3">
      <c r="A2" s="1"/>
      <c r="C2" s="64"/>
      <c r="D2" s="65"/>
      <c r="F2" s="66"/>
      <c r="H2" s="67"/>
      <c r="I2" s="68"/>
      <c r="J2" s="68"/>
      <c r="L2" s="69" t="s">
        <v>1</v>
      </c>
    </row>
    <row r="3" spans="1:12" x14ac:dyDescent="0.3">
      <c r="A3" s="1"/>
      <c r="C3" s="64"/>
      <c r="D3" s="65"/>
      <c r="F3" s="66"/>
      <c r="H3" s="67"/>
      <c r="I3" s="68"/>
      <c r="J3" s="68"/>
      <c r="L3" s="3"/>
    </row>
    <row r="4" spans="1:12" ht="15" customHeight="1" x14ac:dyDescent="0.3">
      <c r="A4" s="1"/>
      <c r="B4" s="70" t="s">
        <v>2</v>
      </c>
      <c r="C4" s="3"/>
      <c r="D4" s="65"/>
      <c r="E4" s="66" t="s">
        <v>3</v>
      </c>
      <c r="F4" s="71"/>
      <c r="H4" s="67"/>
      <c r="I4" s="68"/>
      <c r="J4" s="66" t="s">
        <v>4</v>
      </c>
      <c r="K4" s="67"/>
      <c r="L4" s="3"/>
    </row>
    <row r="5" spans="1:12" ht="19.5" customHeight="1" x14ac:dyDescent="0.3">
      <c r="A5" s="1"/>
      <c r="B5" s="72"/>
      <c r="C5" s="3"/>
      <c r="D5" s="65"/>
      <c r="E5" s="3" t="s">
        <v>59</v>
      </c>
      <c r="H5" s="3"/>
      <c r="I5" s="4"/>
      <c r="J5" s="3" t="s">
        <v>60</v>
      </c>
      <c r="K5" s="67"/>
      <c r="L5" s="3"/>
    </row>
    <row r="6" spans="1:12" ht="15.75" customHeight="1" x14ac:dyDescent="0.3">
      <c r="A6" s="1"/>
      <c r="B6" s="72"/>
      <c r="C6" s="3"/>
      <c r="D6" s="65"/>
      <c r="E6" s="2"/>
      <c r="H6" s="3"/>
      <c r="I6" s="4"/>
      <c r="J6" s="3"/>
      <c r="K6" s="67"/>
      <c r="L6" s="3"/>
    </row>
    <row r="7" spans="1:12" x14ac:dyDescent="0.3">
      <c r="A7" s="1"/>
      <c r="B7" s="72" t="s">
        <v>61</v>
      </c>
      <c r="C7" s="3"/>
      <c r="D7" s="65"/>
      <c r="E7" s="3" t="s">
        <v>62</v>
      </c>
      <c r="H7" s="3"/>
      <c r="I7" s="4"/>
      <c r="J7" s="3" t="s">
        <v>62</v>
      </c>
      <c r="K7" s="67"/>
      <c r="L7" s="3"/>
    </row>
    <row r="8" spans="1:12" x14ac:dyDescent="0.3">
      <c r="A8" s="1"/>
      <c r="B8" s="72"/>
      <c r="C8" s="3"/>
      <c r="D8" s="65"/>
      <c r="H8" s="3"/>
      <c r="I8" s="4"/>
      <c r="J8" s="3"/>
      <c r="K8" s="67"/>
      <c r="L8" s="3"/>
    </row>
    <row r="9" spans="1:12" s="8" customFormat="1" x14ac:dyDescent="0.3">
      <c r="A9" s="7"/>
      <c r="D9" s="8" t="s">
        <v>63</v>
      </c>
      <c r="H9" s="9"/>
      <c r="L9" s="10"/>
    </row>
    <row r="10" spans="1:12" s="8" customFormat="1" x14ac:dyDescent="0.3">
      <c r="A10" s="7"/>
      <c r="D10" s="8" t="s">
        <v>37</v>
      </c>
      <c r="H10" s="9"/>
      <c r="L10" s="10"/>
    </row>
    <row r="12" spans="1:12" x14ac:dyDescent="0.3">
      <c r="A12" s="11" t="s">
        <v>5</v>
      </c>
      <c r="B12" s="12" t="s">
        <v>6</v>
      </c>
      <c r="C12" s="12" t="s">
        <v>7</v>
      </c>
      <c r="D12" s="12" t="s">
        <v>8</v>
      </c>
      <c r="E12" s="12" t="s">
        <v>9</v>
      </c>
      <c r="F12" s="12" t="s">
        <v>56</v>
      </c>
      <c r="G12" s="12" t="s">
        <v>57</v>
      </c>
      <c r="H12" s="13" t="s">
        <v>10</v>
      </c>
      <c r="I12" s="13" t="s">
        <v>11</v>
      </c>
      <c r="J12" s="13" t="s">
        <v>12</v>
      </c>
      <c r="K12" s="13" t="s">
        <v>13</v>
      </c>
      <c r="L12" s="13" t="s">
        <v>14</v>
      </c>
    </row>
    <row r="13" spans="1:12" x14ac:dyDescent="0.3">
      <c r="A13" s="14">
        <v>11</v>
      </c>
      <c r="B13" s="15" t="s">
        <v>15</v>
      </c>
      <c r="C13" s="15"/>
      <c r="D13" s="15"/>
      <c r="E13" s="16"/>
      <c r="F13" s="16"/>
      <c r="G13" s="16"/>
      <c r="H13" s="17"/>
      <c r="I13" s="17"/>
      <c r="J13" s="17"/>
      <c r="K13" s="17"/>
      <c r="L13" s="17"/>
    </row>
    <row r="14" spans="1:12" x14ac:dyDescent="0.3">
      <c r="A14" s="18" t="s">
        <v>16</v>
      </c>
      <c r="B14" s="19" t="s">
        <v>17</v>
      </c>
      <c r="C14" s="19"/>
      <c r="D14" s="19"/>
      <c r="E14" s="20"/>
      <c r="F14" s="20"/>
      <c r="G14" s="20"/>
      <c r="H14" s="21"/>
      <c r="I14" s="21"/>
      <c r="J14" s="21"/>
      <c r="K14" s="21"/>
      <c r="L14" s="21"/>
    </row>
    <row r="15" spans="1:12" x14ac:dyDescent="0.3">
      <c r="A15" s="22" t="s">
        <v>18</v>
      </c>
      <c r="B15" s="23" t="s">
        <v>19</v>
      </c>
      <c r="C15" s="23"/>
      <c r="D15" s="23"/>
      <c r="E15" s="24"/>
      <c r="F15" s="24"/>
      <c r="G15" s="24"/>
      <c r="H15" s="25"/>
      <c r="I15" s="25"/>
      <c r="J15" s="25"/>
      <c r="K15" s="25"/>
      <c r="L15" s="25"/>
    </row>
    <row r="16" spans="1:12" x14ac:dyDescent="0.3">
      <c r="A16" s="26" t="s">
        <v>20</v>
      </c>
      <c r="B16" s="27" t="s">
        <v>19</v>
      </c>
      <c r="C16" s="27"/>
      <c r="D16" s="27"/>
      <c r="E16" s="28"/>
      <c r="F16" s="28"/>
      <c r="G16" s="28"/>
      <c r="H16" s="29"/>
      <c r="I16" s="29"/>
      <c r="J16" s="29">
        <f>J17+J19</f>
        <v>0</v>
      </c>
      <c r="K16" s="29"/>
      <c r="L16" s="29"/>
    </row>
    <row r="17" spans="1:12" x14ac:dyDescent="0.3">
      <c r="A17" s="30"/>
      <c r="B17" s="19" t="s">
        <v>21</v>
      </c>
      <c r="C17" s="31"/>
      <c r="D17" s="31"/>
      <c r="E17" s="32"/>
      <c r="F17" s="32"/>
      <c r="G17" s="32"/>
      <c r="H17" s="21"/>
      <c r="I17" s="21"/>
      <c r="J17" s="21">
        <f>SUM(J18:J18)</f>
        <v>0</v>
      </c>
      <c r="K17" s="21"/>
      <c r="L17" s="21"/>
    </row>
    <row r="18" spans="1:12" outlineLevel="1" x14ac:dyDescent="0.3">
      <c r="A18" s="30"/>
      <c r="B18" s="33" t="s">
        <v>71</v>
      </c>
      <c r="C18" s="34"/>
      <c r="D18" s="35"/>
      <c r="E18" s="35" t="s">
        <v>22</v>
      </c>
      <c r="F18" s="101">
        <f>SUM(F24:F26)</f>
        <v>829.2</v>
      </c>
      <c r="G18" s="101">
        <f>SUM(G24:G26)</f>
        <v>1492</v>
      </c>
      <c r="H18" s="21">
        <f>SUM(F18:G18)</f>
        <v>2321.1999999999998</v>
      </c>
      <c r="I18" s="36">
        <f>VLOOKUP(B18,СМР!$B$3:$H$3,7,0)</f>
        <v>0</v>
      </c>
      <c r="J18" s="37">
        <f>I18*H18</f>
        <v>0</v>
      </c>
      <c r="K18" s="21"/>
      <c r="L18" s="21"/>
    </row>
    <row r="19" spans="1:12" x14ac:dyDescent="0.3">
      <c r="A19" s="38"/>
      <c r="B19" s="39" t="s">
        <v>23</v>
      </c>
      <c r="C19" s="40"/>
      <c r="D19" s="40"/>
      <c r="E19" s="41"/>
      <c r="F19" s="102"/>
      <c r="G19" s="102"/>
      <c r="H19" s="42"/>
      <c r="I19" s="42"/>
      <c r="J19" s="42">
        <f>SUM(J20:J27)</f>
        <v>0</v>
      </c>
      <c r="K19" s="42"/>
      <c r="L19" s="42"/>
    </row>
    <row r="20" spans="1:12" ht="16.5" customHeight="1" outlineLevel="1" x14ac:dyDescent="0.3">
      <c r="A20" s="38"/>
      <c r="B20" s="43" t="s">
        <v>38</v>
      </c>
      <c r="C20" s="44" t="s">
        <v>39</v>
      </c>
      <c r="D20" s="44" t="s">
        <v>40</v>
      </c>
      <c r="E20" s="44" t="s">
        <v>22</v>
      </c>
      <c r="F20" s="45">
        <v>60</v>
      </c>
      <c r="G20" s="45">
        <v>60</v>
      </c>
      <c r="H20" s="42">
        <f t="shared" ref="H20:H26" si="0">SUM(F20:G20)</f>
        <v>120</v>
      </c>
      <c r="I20" s="45">
        <f>VLOOKUP($B20,ТМЦ!$B$3:$L$14,8,0)</f>
        <v>0</v>
      </c>
      <c r="J20" s="45">
        <f t="shared" ref="J20" si="1">I20*H20</f>
        <v>0</v>
      </c>
      <c r="K20" s="42"/>
      <c r="L20" s="45">
        <f>VLOOKUP($B20,ТМЦ!$B$3:$L$14,11,0)</f>
        <v>0</v>
      </c>
    </row>
    <row r="21" spans="1:12" ht="16.5" customHeight="1" outlineLevel="1" x14ac:dyDescent="0.3">
      <c r="A21" s="38"/>
      <c r="B21" s="43" t="s">
        <v>41</v>
      </c>
      <c r="C21" s="44" t="s">
        <v>39</v>
      </c>
      <c r="D21" s="44" t="s">
        <v>42</v>
      </c>
      <c r="E21" s="44" t="s">
        <v>22</v>
      </c>
      <c r="F21" s="45">
        <v>21</v>
      </c>
      <c r="G21" s="45">
        <v>21</v>
      </c>
      <c r="H21" s="42">
        <f t="shared" si="0"/>
        <v>42</v>
      </c>
      <c r="I21" s="45">
        <f>VLOOKUP($B21,ТМЦ!$B$3:$L$14,8,0)</f>
        <v>0</v>
      </c>
      <c r="J21" s="45">
        <f t="shared" ref="J21:J22" si="2">I21*H21</f>
        <v>0</v>
      </c>
      <c r="K21" s="42"/>
      <c r="L21" s="45">
        <f>VLOOKUP($B21,ТМЦ!$B$3:$L$14,11,0)</f>
        <v>0</v>
      </c>
    </row>
    <row r="22" spans="1:12" ht="16.5" customHeight="1" outlineLevel="1" x14ac:dyDescent="0.3">
      <c r="A22" s="38"/>
      <c r="B22" s="43" t="s">
        <v>43</v>
      </c>
      <c r="C22" s="44" t="s">
        <v>39</v>
      </c>
      <c r="D22" s="44" t="s">
        <v>44</v>
      </c>
      <c r="E22" s="44" t="s">
        <v>28</v>
      </c>
      <c r="F22" s="45">
        <v>120</v>
      </c>
      <c r="G22" s="45">
        <v>120</v>
      </c>
      <c r="H22" s="42">
        <f t="shared" si="0"/>
        <v>240</v>
      </c>
      <c r="I22" s="45">
        <f>VLOOKUP($B22,ТМЦ!$B$3:$L$14,8,0)</f>
        <v>0</v>
      </c>
      <c r="J22" s="45">
        <f t="shared" si="2"/>
        <v>0</v>
      </c>
      <c r="K22" s="42"/>
      <c r="L22" s="45">
        <f>VLOOKUP($B22,ТМЦ!$B$3:$L$14,11,0)</f>
        <v>0</v>
      </c>
    </row>
    <row r="23" spans="1:12" ht="16.5" customHeight="1" outlineLevel="1" x14ac:dyDescent="0.3">
      <c r="A23" s="38"/>
      <c r="B23" s="43" t="s">
        <v>45</v>
      </c>
      <c r="C23" s="44" t="s">
        <v>39</v>
      </c>
      <c r="D23" s="44" t="s">
        <v>46</v>
      </c>
      <c r="E23" s="44" t="s">
        <v>28</v>
      </c>
      <c r="F23" s="45">
        <v>120</v>
      </c>
      <c r="G23" s="45">
        <v>120</v>
      </c>
      <c r="H23" s="42">
        <f t="shared" si="0"/>
        <v>240</v>
      </c>
      <c r="I23" s="45">
        <f>VLOOKUP($B23,ТМЦ!$B$3:$L$14,8,0)</f>
        <v>0</v>
      </c>
      <c r="J23" s="45">
        <f t="shared" ref="J23" si="3">I23*H23</f>
        <v>0</v>
      </c>
      <c r="K23" s="42"/>
      <c r="L23" s="45">
        <f>VLOOKUP($B23,ТМЦ!$B$3:$L$14,11,0)</f>
        <v>0</v>
      </c>
    </row>
    <row r="24" spans="1:12" ht="16.5" customHeight="1" outlineLevel="1" x14ac:dyDescent="0.3">
      <c r="A24" s="38"/>
      <c r="B24" s="43" t="s">
        <v>24</v>
      </c>
      <c r="C24" s="44"/>
      <c r="D24" s="44" t="s">
        <v>26</v>
      </c>
      <c r="E24" s="46" t="s">
        <v>22</v>
      </c>
      <c r="F24" s="103">
        <v>750</v>
      </c>
      <c r="G24" s="103">
        <v>1360</v>
      </c>
      <c r="H24" s="42">
        <f t="shared" si="0"/>
        <v>2110</v>
      </c>
      <c r="I24" s="45">
        <f>VLOOKUP($B24,ТМЦ!$B$3:$L$14,8,0)</f>
        <v>0</v>
      </c>
      <c r="J24" s="45">
        <f t="shared" ref="J24" si="4">I24*H24</f>
        <v>0</v>
      </c>
      <c r="K24" s="42"/>
      <c r="L24" s="45">
        <f>VLOOKUP($B24,ТМЦ!$B$3:$L$14,11,0)</f>
        <v>0</v>
      </c>
    </row>
    <row r="25" spans="1:12" outlineLevel="1" x14ac:dyDescent="0.3">
      <c r="A25" s="38"/>
      <c r="B25" s="43" t="s">
        <v>25</v>
      </c>
      <c r="C25" s="44"/>
      <c r="D25" s="44" t="s">
        <v>47</v>
      </c>
      <c r="E25" s="46" t="s">
        <v>22</v>
      </c>
      <c r="F25" s="103">
        <v>72</v>
      </c>
      <c r="G25" s="103">
        <v>120</v>
      </c>
      <c r="H25" s="42">
        <f t="shared" si="0"/>
        <v>192</v>
      </c>
      <c r="I25" s="45">
        <f>VLOOKUP($B25,ТМЦ!$B$3:$L$14,8,0)</f>
        <v>0</v>
      </c>
      <c r="J25" s="45">
        <f t="shared" ref="J25:J32" si="5">I25*H25</f>
        <v>0</v>
      </c>
      <c r="K25" s="47"/>
      <c r="L25" s="45">
        <f>VLOOKUP($B25,ТМЦ!$B$3:$L$14,11,0)</f>
        <v>0</v>
      </c>
    </row>
    <row r="26" spans="1:12" ht="35.25" customHeight="1" outlineLevel="1" x14ac:dyDescent="0.3">
      <c r="A26" s="38"/>
      <c r="B26" s="43" t="s">
        <v>48</v>
      </c>
      <c r="C26" s="44"/>
      <c r="D26" s="44" t="s">
        <v>49</v>
      </c>
      <c r="E26" s="46" t="s">
        <v>22</v>
      </c>
      <c r="F26" s="104">
        <v>7.2</v>
      </c>
      <c r="G26" s="103">
        <v>12</v>
      </c>
      <c r="H26" s="42">
        <f t="shared" si="0"/>
        <v>19.2</v>
      </c>
      <c r="I26" s="45">
        <f>VLOOKUP($B26,ТМЦ!$B$3:$L$14,8,0)</f>
        <v>0</v>
      </c>
      <c r="J26" s="45">
        <f t="shared" si="5"/>
        <v>0</v>
      </c>
      <c r="K26" s="47"/>
      <c r="L26" s="45">
        <f>VLOOKUP($B26,ТМЦ!$B$3:$L$14,11,0)</f>
        <v>0</v>
      </c>
    </row>
    <row r="27" spans="1:12" ht="114" customHeight="1" outlineLevel="1" x14ac:dyDescent="0.3">
      <c r="A27" s="38"/>
      <c r="B27" s="39" t="s">
        <v>58</v>
      </c>
      <c r="C27" s="44"/>
      <c r="D27" s="44"/>
      <c r="E27" s="44" t="s">
        <v>70</v>
      </c>
      <c r="F27" s="45"/>
      <c r="G27" s="103"/>
      <c r="H27" s="42" t="e">
        <f>J27/J17</f>
        <v>#DIV/0!</v>
      </c>
      <c r="I27" s="45"/>
      <c r="J27" s="45">
        <f>SUM(J28:J32)</f>
        <v>0</v>
      </c>
      <c r="K27" s="42"/>
      <c r="L27" s="42"/>
    </row>
    <row r="28" spans="1:12" ht="16.5" customHeight="1" outlineLevel="2" x14ac:dyDescent="0.3">
      <c r="A28" s="38"/>
      <c r="B28" s="48" t="s">
        <v>27</v>
      </c>
      <c r="C28" s="49"/>
      <c r="D28" s="49"/>
      <c r="E28" s="50" t="s">
        <v>50</v>
      </c>
      <c r="F28" s="45">
        <f>(F25/3)*2</f>
        <v>48</v>
      </c>
      <c r="G28" s="45">
        <f>(G25/3)*2</f>
        <v>80</v>
      </c>
      <c r="H28" s="42">
        <f>SUM(F28:G28)</f>
        <v>128</v>
      </c>
      <c r="I28" s="45">
        <f>VLOOKUP($B28,ТМЦ!$B$3:$L$14,8,0)</f>
        <v>0</v>
      </c>
      <c r="J28" s="45">
        <f t="shared" si="5"/>
        <v>0</v>
      </c>
      <c r="K28" s="42"/>
      <c r="L28" s="45">
        <f>VLOOKUP($B28,ТМЦ!$B$3:$L$14,11,0)</f>
        <v>0</v>
      </c>
    </row>
    <row r="29" spans="1:12" ht="34.5" customHeight="1" outlineLevel="2" x14ac:dyDescent="0.3">
      <c r="A29" s="38"/>
      <c r="B29" s="48" t="s">
        <v>51</v>
      </c>
      <c r="C29" s="49"/>
      <c r="D29" s="49"/>
      <c r="E29" s="50" t="s">
        <v>50</v>
      </c>
      <c r="F29" s="45">
        <f>ROUND((F25/3)*0.1,0)</f>
        <v>2</v>
      </c>
      <c r="G29" s="45">
        <f>(G25/3)*0.1</f>
        <v>4</v>
      </c>
      <c r="H29" s="42">
        <f>SUM(F29:G29)</f>
        <v>6</v>
      </c>
      <c r="I29" s="45">
        <f>VLOOKUP($B29,ТМЦ!$B$3:$L$14,8,0)</f>
        <v>0</v>
      </c>
      <c r="J29" s="45">
        <f t="shared" si="5"/>
        <v>0</v>
      </c>
      <c r="K29" s="42"/>
      <c r="L29" s="45">
        <f>VLOOKUP($B29,ТМЦ!$B$3:$L$14,11,0)</f>
        <v>0</v>
      </c>
    </row>
    <row r="30" spans="1:12" ht="47.25" customHeight="1" outlineLevel="2" x14ac:dyDescent="0.3">
      <c r="A30" s="38"/>
      <c r="B30" s="48" t="s">
        <v>52</v>
      </c>
      <c r="C30" s="49"/>
      <c r="D30" s="49"/>
      <c r="E30" s="50" t="s">
        <v>50</v>
      </c>
      <c r="F30" s="45">
        <f>ROUND((F25/3)*0.1,0)</f>
        <v>2</v>
      </c>
      <c r="G30" s="45">
        <f>(G25/3)*0.1</f>
        <v>4</v>
      </c>
      <c r="H30" s="42">
        <f>SUM(F30:G30)</f>
        <v>6</v>
      </c>
      <c r="I30" s="45">
        <f>VLOOKUP($B30,ТМЦ!$B$3:$L$14,8,0)</f>
        <v>0</v>
      </c>
      <c r="J30" s="45">
        <f t="shared" si="5"/>
        <v>0</v>
      </c>
      <c r="K30" s="42"/>
      <c r="L30" s="45">
        <f>VLOOKUP($B30,ТМЦ!$B$3:$L$14,11,0)</f>
        <v>0</v>
      </c>
    </row>
    <row r="31" spans="1:12" ht="16.5" customHeight="1" outlineLevel="2" x14ac:dyDescent="0.3">
      <c r="A31" s="38"/>
      <c r="B31" s="48" t="s">
        <v>53</v>
      </c>
      <c r="C31" s="49"/>
      <c r="D31" s="49"/>
      <c r="E31" s="50" t="s">
        <v>54</v>
      </c>
      <c r="F31" s="45">
        <f>F24*0.25</f>
        <v>187.5</v>
      </c>
      <c r="G31" s="45">
        <f>G24*0.25</f>
        <v>340</v>
      </c>
      <c r="H31" s="42">
        <f>SUM(F31:G31)</f>
        <v>527.5</v>
      </c>
      <c r="I31" s="45">
        <f>VLOOKUP($B31,ТМЦ!$B$3:$L$14,8,0)</f>
        <v>0</v>
      </c>
      <c r="J31" s="45">
        <f t="shared" ref="J31" si="6">I31*H31</f>
        <v>0</v>
      </c>
      <c r="K31" s="42"/>
      <c r="L31" s="45">
        <f>VLOOKUP($B31,ТМЦ!$B$3:$L$14,11,0)</f>
        <v>0</v>
      </c>
    </row>
    <row r="32" spans="1:12" ht="32.25" customHeight="1" outlineLevel="2" x14ac:dyDescent="0.3">
      <c r="A32" s="38"/>
      <c r="B32" s="48" t="s">
        <v>55</v>
      </c>
      <c r="C32" s="49"/>
      <c r="D32" s="49"/>
      <c r="E32" s="50" t="s">
        <v>50</v>
      </c>
      <c r="F32" s="45">
        <f>5*F24</f>
        <v>3750</v>
      </c>
      <c r="G32" s="45">
        <f>5*G24</f>
        <v>6800</v>
      </c>
      <c r="H32" s="42">
        <f>SUM(F32:G32)</f>
        <v>10550</v>
      </c>
      <c r="I32" s="45">
        <f>VLOOKUP($B32,ТМЦ!$B$3:$L$14,8,0)</f>
        <v>0</v>
      </c>
      <c r="J32" s="45">
        <f t="shared" si="5"/>
        <v>0</v>
      </c>
      <c r="K32" s="42"/>
      <c r="L32" s="45">
        <f>VLOOKUP($B32,ТМЦ!$B$3:$L$14,11,0)</f>
        <v>0</v>
      </c>
    </row>
    <row r="33" spans="1:12" x14ac:dyDescent="0.3">
      <c r="A33" s="26"/>
      <c r="B33" s="110" t="s">
        <v>68</v>
      </c>
      <c r="C33" s="111"/>
      <c r="D33" s="111"/>
      <c r="E33" s="111"/>
      <c r="F33" s="111"/>
      <c r="G33" s="111"/>
      <c r="H33" s="111"/>
      <c r="I33" s="112"/>
      <c r="J33" s="52">
        <f>J16</f>
        <v>0</v>
      </c>
      <c r="K33" s="51"/>
      <c r="L33" s="51"/>
    </row>
    <row r="34" spans="1:12" x14ac:dyDescent="0.3">
      <c r="A34" s="53"/>
      <c r="B34" s="113" t="s">
        <v>29</v>
      </c>
      <c r="C34" s="114"/>
      <c r="D34" s="114"/>
      <c r="E34" s="114"/>
      <c r="F34" s="114"/>
      <c r="G34" s="114"/>
      <c r="H34" s="114"/>
      <c r="I34" s="115"/>
      <c r="J34" s="106">
        <f>SUMIF($B$13:$B$32,"Работа:",J$13:J$32)</f>
        <v>0</v>
      </c>
      <c r="K34" s="54"/>
      <c r="L34" s="54"/>
    </row>
    <row r="35" spans="1:12" x14ac:dyDescent="0.3">
      <c r="A35" s="53"/>
      <c r="B35" s="113" t="s">
        <v>30</v>
      </c>
      <c r="C35" s="114"/>
      <c r="D35" s="114"/>
      <c r="E35" s="114"/>
      <c r="F35" s="114"/>
      <c r="G35" s="114"/>
      <c r="H35" s="114"/>
      <c r="I35" s="115"/>
      <c r="J35" s="106">
        <f>SUMIF($B$13:$B$32,"Материалы:",J$13:J$32)</f>
        <v>0</v>
      </c>
      <c r="K35" s="54"/>
      <c r="L35" s="54"/>
    </row>
    <row r="36" spans="1:12" x14ac:dyDescent="0.3">
      <c r="A36" s="53"/>
      <c r="B36" s="113" t="s">
        <v>69</v>
      </c>
      <c r="C36" s="114"/>
      <c r="D36" s="114"/>
      <c r="E36" s="114"/>
      <c r="F36" s="114"/>
      <c r="G36" s="114"/>
      <c r="H36" s="114"/>
      <c r="I36" s="115"/>
      <c r="J36" s="105">
        <f>J33*22/122</f>
        <v>0</v>
      </c>
      <c r="K36" s="55"/>
      <c r="L36" s="55"/>
    </row>
    <row r="39" spans="1:12" x14ac:dyDescent="0.3">
      <c r="B39" s="56" t="s">
        <v>31</v>
      </c>
    </row>
    <row r="40" spans="1:12" ht="41.25" customHeight="1" x14ac:dyDescent="0.3">
      <c r="A40" s="57" t="s">
        <v>32</v>
      </c>
      <c r="B40" s="107" t="s">
        <v>33</v>
      </c>
      <c r="C40" s="107"/>
      <c r="D40" s="107"/>
      <c r="E40" s="107"/>
      <c r="F40" s="107"/>
      <c r="G40" s="107"/>
      <c r="H40" s="107"/>
      <c r="I40" s="107"/>
      <c r="J40" s="107"/>
      <c r="K40" s="107"/>
      <c r="L40" s="58"/>
    </row>
    <row r="41" spans="1:12" ht="63.75" customHeight="1" x14ac:dyDescent="0.3">
      <c r="A41" s="59" t="s">
        <v>32</v>
      </c>
      <c r="B41" s="108" t="s">
        <v>34</v>
      </c>
      <c r="C41" s="108"/>
      <c r="D41" s="108"/>
      <c r="E41" s="108"/>
      <c r="F41" s="108"/>
      <c r="G41" s="108"/>
      <c r="H41" s="108"/>
      <c r="I41" s="108"/>
      <c r="J41" s="108"/>
      <c r="K41" s="108"/>
      <c r="L41" s="60"/>
    </row>
    <row r="42" spans="1:12" x14ac:dyDescent="0.3">
      <c r="A42" s="57" t="s">
        <v>32</v>
      </c>
      <c r="B42" s="109" t="s">
        <v>35</v>
      </c>
      <c r="C42" s="109"/>
      <c r="D42" s="109"/>
      <c r="E42" s="109"/>
      <c r="F42" s="109"/>
      <c r="G42" s="109"/>
      <c r="H42" s="109"/>
      <c r="I42" s="109"/>
      <c r="J42" s="109"/>
      <c r="K42" s="109"/>
      <c r="L42" s="109"/>
    </row>
    <row r="43" spans="1:12" x14ac:dyDescent="0.3">
      <c r="A43" s="57"/>
      <c r="B43" s="61"/>
      <c r="C43" s="62"/>
      <c r="D43" s="62"/>
      <c r="E43" s="62"/>
      <c r="F43" s="62"/>
      <c r="G43" s="62"/>
      <c r="H43" s="63"/>
      <c r="I43" s="62"/>
      <c r="J43" s="62"/>
      <c r="K43" s="62"/>
      <c r="L43" s="60"/>
    </row>
  </sheetData>
  <autoFilter ref="A12:L36" xr:uid="{00000000-0001-0000-0000-000000000000}"/>
  <mergeCells count="7">
    <mergeCell ref="B40:K40"/>
    <mergeCell ref="B41:K41"/>
    <mergeCell ref="B42:L42"/>
    <mergeCell ref="B33:I33"/>
    <mergeCell ref="B34:I34"/>
    <mergeCell ref="B35:I35"/>
    <mergeCell ref="B36:I36"/>
  </mergeCells>
  <phoneticPr fontId="15" type="noConversion"/>
  <conditionalFormatting sqref="L20:L32">
    <cfRule type="cellIs" dxfId="2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A1BCD-0867-41C6-A5AF-0FC1B25170AA}">
  <dimension ref="A1:M10"/>
  <sheetViews>
    <sheetView workbookViewId="0">
      <pane xSplit="10" ySplit="2" topLeftCell="K3" activePane="bottomRight" state="frozen"/>
      <selection activeCell="E3" sqref="E3"/>
      <selection pane="topRight" activeCell="E3" sqref="E3"/>
      <selection pane="bottomLeft" activeCell="E3" sqref="E3"/>
      <selection pane="bottomRight" activeCell="B4" sqref="B4"/>
    </sheetView>
  </sheetViews>
  <sheetFormatPr defaultRowHeight="13.8" x14ac:dyDescent="0.3"/>
  <cols>
    <col min="1" max="1" width="7.44140625" style="73" customWidth="1"/>
    <col min="2" max="2" width="26.21875" style="73" customWidth="1"/>
    <col min="3" max="3" width="30.5546875" style="73" customWidth="1"/>
    <col min="4" max="8" width="8.88671875" style="73"/>
    <col min="9" max="9" width="15" style="73" customWidth="1"/>
    <col min="10" max="10" width="17.44140625" style="73" customWidth="1"/>
    <col min="11" max="16384" width="8.88671875" style="73"/>
  </cols>
  <sheetData>
    <row r="1" spans="1:13" x14ac:dyDescent="0.3">
      <c r="A1" s="73" t="s">
        <v>64</v>
      </c>
    </row>
    <row r="2" spans="1:13" x14ac:dyDescent="0.3">
      <c r="A2" s="74" t="s">
        <v>36</v>
      </c>
      <c r="B2" s="75" t="s">
        <v>6</v>
      </c>
      <c r="C2" s="75" t="s">
        <v>8</v>
      </c>
      <c r="D2" s="75" t="s">
        <v>9</v>
      </c>
      <c r="E2" s="75" t="s">
        <v>56</v>
      </c>
      <c r="F2" s="75" t="s">
        <v>57</v>
      </c>
      <c r="G2" s="76" t="s">
        <v>10</v>
      </c>
      <c r="H2" s="77" t="s">
        <v>11</v>
      </c>
      <c r="I2" s="77" t="s">
        <v>12</v>
      </c>
      <c r="J2" s="77" t="s">
        <v>13</v>
      </c>
    </row>
    <row r="3" spans="1:13" x14ac:dyDescent="0.3">
      <c r="A3" s="78">
        <f>ROW()-2</f>
        <v>1</v>
      </c>
      <c r="B3" s="74" t="s">
        <v>71</v>
      </c>
      <c r="C3" s="78"/>
      <c r="D3" s="78" t="s">
        <v>22</v>
      </c>
      <c r="E3" s="79">
        <f>SUMIF(ЛСР!$B$13:$B$32,СМР!$B3,ЛСР!F$13:F$32)</f>
        <v>829.2</v>
      </c>
      <c r="F3" s="79">
        <f>SUMIF(ЛСР!$B$13:$B$32,СМР!$B3,ЛСР!G$13:G$32)</f>
        <v>1492</v>
      </c>
      <c r="G3" s="79">
        <f>SUMIF(ЛСР!$B$13:$B$32,СМР!$B3,ЛСР!H$13:H$32)</f>
        <v>2321.1999999999998</v>
      </c>
      <c r="H3" s="79"/>
      <c r="I3" s="79">
        <f>H3*G3</f>
        <v>0</v>
      </c>
      <c r="J3" s="74"/>
    </row>
    <row r="4" spans="1:13" x14ac:dyDescent="0.3">
      <c r="H4" s="80" t="s">
        <v>65</v>
      </c>
      <c r="I4" s="81">
        <f>SUM(I3:I3)</f>
        <v>0</v>
      </c>
    </row>
    <row r="5" spans="1:13" x14ac:dyDescent="0.3">
      <c r="H5" s="80" t="s">
        <v>66</v>
      </c>
      <c r="I5" s="82">
        <f>I4-ЛСР!J34</f>
        <v>0</v>
      </c>
    </row>
    <row r="7" spans="1:13" x14ac:dyDescent="0.3">
      <c r="B7" s="83" t="s">
        <v>31</v>
      </c>
      <c r="C7" s="83"/>
      <c r="D7" s="84"/>
      <c r="E7" s="84"/>
      <c r="I7" s="85"/>
      <c r="K7" s="86"/>
      <c r="L7" s="87"/>
      <c r="M7" s="86"/>
    </row>
    <row r="8" spans="1:13" ht="41.25" customHeight="1" x14ac:dyDescent="0.3">
      <c r="A8" s="88" t="s">
        <v>32</v>
      </c>
      <c r="B8" s="116" t="s">
        <v>33</v>
      </c>
      <c r="C8" s="116"/>
      <c r="D8" s="116"/>
      <c r="E8" s="116"/>
      <c r="F8" s="116"/>
      <c r="G8" s="116"/>
      <c r="H8" s="116"/>
      <c r="I8" s="116"/>
      <c r="J8" s="116"/>
      <c r="K8" s="89"/>
      <c r="L8" s="89"/>
      <c r="M8" s="90"/>
    </row>
    <row r="9" spans="1:13" ht="73.2" customHeight="1" x14ac:dyDescent="0.3">
      <c r="A9" s="91" t="s">
        <v>32</v>
      </c>
      <c r="B9" s="116" t="s">
        <v>34</v>
      </c>
      <c r="C9" s="116"/>
      <c r="D9" s="116"/>
      <c r="E9" s="116"/>
      <c r="F9" s="116"/>
      <c r="G9" s="116"/>
      <c r="H9" s="116"/>
      <c r="I9" s="116"/>
      <c r="J9" s="116"/>
      <c r="K9" s="89"/>
      <c r="L9" s="89"/>
      <c r="M9" s="92"/>
    </row>
    <row r="10" spans="1:13" ht="13.8" customHeight="1" x14ac:dyDescent="0.3">
      <c r="A10" s="88" t="s">
        <v>32</v>
      </c>
      <c r="B10" s="93" t="s">
        <v>35</v>
      </c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4"/>
    </row>
  </sheetData>
  <mergeCells count="2">
    <mergeCell ref="B8:J8"/>
    <mergeCell ref="B9:J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142C1-CD72-4C02-8DF1-1019239922C4}">
  <dimension ref="A1:M21"/>
  <sheetViews>
    <sheetView workbookViewId="0">
      <pane xSplit="12" ySplit="2" topLeftCell="M6" activePane="bottomRight" state="frozen"/>
      <selection activeCell="E3" sqref="E3"/>
      <selection pane="topRight" activeCell="E3" sqref="E3"/>
      <selection pane="bottomLeft" activeCell="E3" sqref="E3"/>
      <selection pane="bottomRight" activeCell="I3" sqref="I3:I14"/>
    </sheetView>
  </sheetViews>
  <sheetFormatPr defaultRowHeight="14.4" x14ac:dyDescent="0.3"/>
  <cols>
    <col min="1" max="1" width="8.88671875" style="95"/>
    <col min="2" max="2" width="35.6640625" style="95" customWidth="1"/>
    <col min="3" max="3" width="24.21875" style="95" customWidth="1"/>
    <col min="4" max="4" width="33.77734375" style="95" customWidth="1"/>
    <col min="5" max="9" width="8.88671875" style="95"/>
    <col min="10" max="10" width="15.88671875" style="95" customWidth="1"/>
    <col min="11" max="11" width="32.109375" style="95" customWidth="1"/>
    <col min="12" max="12" width="17.88671875" style="95" customWidth="1"/>
    <col min="13" max="16384" width="8.88671875" style="95"/>
  </cols>
  <sheetData>
    <row r="1" spans="1:12" x14ac:dyDescent="0.3">
      <c r="A1" s="95" t="s">
        <v>67</v>
      </c>
    </row>
    <row r="2" spans="1:12" ht="27.6" x14ac:dyDescent="0.3">
      <c r="A2" s="96" t="s">
        <v>36</v>
      </c>
      <c r="B2" s="75" t="s">
        <v>6</v>
      </c>
      <c r="C2" s="75" t="s">
        <v>7</v>
      </c>
      <c r="D2" s="75" t="s">
        <v>8</v>
      </c>
      <c r="E2" s="75" t="s">
        <v>9</v>
      </c>
      <c r="F2" s="75" t="s">
        <v>56</v>
      </c>
      <c r="G2" s="75" t="s">
        <v>57</v>
      </c>
      <c r="H2" s="76" t="s">
        <v>10</v>
      </c>
      <c r="I2" s="77" t="s">
        <v>11</v>
      </c>
      <c r="J2" s="77" t="s">
        <v>12</v>
      </c>
      <c r="K2" s="77" t="s">
        <v>13</v>
      </c>
      <c r="L2" s="77" t="s">
        <v>14</v>
      </c>
    </row>
    <row r="3" spans="1:12" x14ac:dyDescent="0.3">
      <c r="A3" s="78">
        <f>ROW()-2</f>
        <v>1</v>
      </c>
      <c r="B3" s="97" t="s">
        <v>38</v>
      </c>
      <c r="C3" s="98" t="s">
        <v>39</v>
      </c>
      <c r="D3" s="99" t="s">
        <v>40</v>
      </c>
      <c r="E3" s="99" t="s">
        <v>22</v>
      </c>
      <c r="F3" s="79">
        <f>SUMIF(ЛСР!$B$13:$B$32,$B3,ЛСР!F$13:F$32)</f>
        <v>60</v>
      </c>
      <c r="G3" s="79">
        <f>SUMIF(ЛСР!$B$13:$B$32,$B3,ЛСР!G$13:G$32)</f>
        <v>60</v>
      </c>
      <c r="H3" s="79">
        <f>SUMIF(ЛСР!$B$13:$B$32,$B3,ЛСР!H$13:H$32)</f>
        <v>120</v>
      </c>
      <c r="I3" s="100"/>
      <c r="J3" s="100">
        <f>I3*H3</f>
        <v>0</v>
      </c>
      <c r="K3" s="99">
        <f>VLOOKUP(B3,ЛСР!$B$13:$K$32,10,0)</f>
        <v>0</v>
      </c>
      <c r="L3" s="98"/>
    </row>
    <row r="4" spans="1:12" ht="28.8" x14ac:dyDescent="0.3">
      <c r="A4" s="78">
        <f t="shared" ref="A4:A14" si="0">ROW()-2</f>
        <v>2</v>
      </c>
      <c r="B4" s="97" t="s">
        <v>41</v>
      </c>
      <c r="C4" s="98" t="s">
        <v>39</v>
      </c>
      <c r="D4" s="99" t="s">
        <v>42</v>
      </c>
      <c r="E4" s="99" t="s">
        <v>22</v>
      </c>
      <c r="F4" s="79">
        <f>SUMIF(ЛСР!$B$13:$B$32,$B4,ЛСР!F$13:F$32)</f>
        <v>21</v>
      </c>
      <c r="G4" s="79">
        <f>SUMIF(ЛСР!$B$13:$B$32,$B4,ЛСР!G$13:G$32)</f>
        <v>21</v>
      </c>
      <c r="H4" s="79">
        <f>SUMIF(ЛСР!$B$13:$B$32,$B4,ЛСР!H$13:H$32)</f>
        <v>42</v>
      </c>
      <c r="I4" s="100"/>
      <c r="J4" s="100">
        <f t="shared" ref="J4:J14" si="1">I4*H4</f>
        <v>0</v>
      </c>
      <c r="K4" s="99">
        <f>VLOOKUP(B4,ЛСР!$B$13:$K$32,10,0)</f>
        <v>0</v>
      </c>
      <c r="L4" s="98"/>
    </row>
    <row r="5" spans="1:12" x14ac:dyDescent="0.3">
      <c r="A5" s="78">
        <f t="shared" si="0"/>
        <v>3</v>
      </c>
      <c r="B5" s="97" t="s">
        <v>43</v>
      </c>
      <c r="C5" s="98" t="s">
        <v>39</v>
      </c>
      <c r="D5" s="99" t="s">
        <v>44</v>
      </c>
      <c r="E5" s="99" t="s">
        <v>28</v>
      </c>
      <c r="F5" s="79">
        <f>SUMIF(ЛСР!$B$13:$B$32,$B5,ЛСР!F$13:F$32)</f>
        <v>120</v>
      </c>
      <c r="G5" s="79">
        <f>SUMIF(ЛСР!$B$13:$B$32,$B5,ЛСР!G$13:G$32)</f>
        <v>120</v>
      </c>
      <c r="H5" s="79">
        <f>SUMIF(ЛСР!$B$13:$B$32,$B5,ЛСР!H$13:H$32)</f>
        <v>240</v>
      </c>
      <c r="I5" s="100"/>
      <c r="J5" s="100">
        <f t="shared" si="1"/>
        <v>0</v>
      </c>
      <c r="K5" s="99">
        <f>VLOOKUP(B5,ЛСР!$B$13:$K$32,10,0)</f>
        <v>0</v>
      </c>
      <c r="L5" s="98"/>
    </row>
    <row r="6" spans="1:12" ht="28.8" x14ac:dyDescent="0.3">
      <c r="A6" s="78">
        <f t="shared" si="0"/>
        <v>4</v>
      </c>
      <c r="B6" s="97" t="s">
        <v>45</v>
      </c>
      <c r="C6" s="98" t="s">
        <v>39</v>
      </c>
      <c r="D6" s="99" t="s">
        <v>46</v>
      </c>
      <c r="E6" s="99" t="s">
        <v>28</v>
      </c>
      <c r="F6" s="79">
        <f>SUMIF(ЛСР!$B$13:$B$32,$B6,ЛСР!F$13:F$32)</f>
        <v>120</v>
      </c>
      <c r="G6" s="79">
        <f>SUMIF(ЛСР!$B$13:$B$32,$B6,ЛСР!G$13:G$32)</f>
        <v>120</v>
      </c>
      <c r="H6" s="79">
        <f>SUMIF(ЛСР!$B$13:$B$32,$B6,ЛСР!H$13:H$32)</f>
        <v>240</v>
      </c>
      <c r="I6" s="100"/>
      <c r="J6" s="100">
        <f t="shared" si="1"/>
        <v>0</v>
      </c>
      <c r="K6" s="99">
        <f>VLOOKUP(B6,ЛСР!$B$13:$K$32,10,0)</f>
        <v>0</v>
      </c>
      <c r="L6" s="98"/>
    </row>
    <row r="7" spans="1:12" x14ac:dyDescent="0.3">
      <c r="A7" s="78">
        <f t="shared" si="0"/>
        <v>5</v>
      </c>
      <c r="B7" s="97" t="s">
        <v>24</v>
      </c>
      <c r="C7" s="98"/>
      <c r="D7" s="99" t="s">
        <v>26</v>
      </c>
      <c r="E7" s="99" t="s">
        <v>22</v>
      </c>
      <c r="F7" s="79">
        <f>SUMIF(ЛСР!$B$13:$B$32,$B7,ЛСР!F$13:F$32)</f>
        <v>750</v>
      </c>
      <c r="G7" s="79">
        <f>SUMIF(ЛСР!$B$13:$B$32,$B7,ЛСР!G$13:G$32)</f>
        <v>1360</v>
      </c>
      <c r="H7" s="79">
        <f>SUMIF(ЛСР!$B$13:$B$32,$B7,ЛСР!H$13:H$32)</f>
        <v>2110</v>
      </c>
      <c r="I7" s="100"/>
      <c r="J7" s="100">
        <f t="shared" si="1"/>
        <v>0</v>
      </c>
      <c r="K7" s="99">
        <f>VLOOKUP(B7,ЛСР!$B$13:$K$32,10,0)</f>
        <v>0</v>
      </c>
      <c r="L7" s="98"/>
    </row>
    <row r="8" spans="1:12" ht="31.2" customHeight="1" x14ac:dyDescent="0.3">
      <c r="A8" s="78">
        <f t="shared" si="0"/>
        <v>6</v>
      </c>
      <c r="B8" s="97" t="s">
        <v>25</v>
      </c>
      <c r="C8" s="98"/>
      <c r="D8" s="99" t="s">
        <v>47</v>
      </c>
      <c r="E8" s="99" t="s">
        <v>22</v>
      </c>
      <c r="F8" s="79">
        <f>SUMIF(ЛСР!$B$13:$B$32,$B8,ЛСР!F$13:F$32)</f>
        <v>72</v>
      </c>
      <c r="G8" s="79">
        <f>SUMIF(ЛСР!$B$13:$B$32,$B8,ЛСР!G$13:G$32)</f>
        <v>120</v>
      </c>
      <c r="H8" s="79">
        <f>SUMIF(ЛСР!$B$13:$B$32,$B8,ЛСР!H$13:H$32)</f>
        <v>192</v>
      </c>
      <c r="I8" s="100"/>
      <c r="J8" s="100">
        <f t="shared" si="1"/>
        <v>0</v>
      </c>
      <c r="K8" s="99">
        <f>VLOOKUP(B8,ЛСР!$B$13:$K$32,10,0)</f>
        <v>0</v>
      </c>
      <c r="L8" s="98"/>
    </row>
    <row r="9" spans="1:12" x14ac:dyDescent="0.3">
      <c r="A9" s="78">
        <f t="shared" si="0"/>
        <v>7</v>
      </c>
      <c r="B9" s="97" t="s">
        <v>48</v>
      </c>
      <c r="C9" s="98"/>
      <c r="D9" s="99" t="s">
        <v>49</v>
      </c>
      <c r="E9" s="99" t="s">
        <v>22</v>
      </c>
      <c r="F9" s="79">
        <f>SUMIF(ЛСР!$B$13:$B$32,$B9,ЛСР!F$13:F$32)</f>
        <v>7.2</v>
      </c>
      <c r="G9" s="79">
        <f>SUMIF(ЛСР!$B$13:$B$32,$B9,ЛСР!G$13:G$32)</f>
        <v>12</v>
      </c>
      <c r="H9" s="79">
        <f>SUMIF(ЛСР!$B$13:$B$32,$B9,ЛСР!H$13:H$32)</f>
        <v>19.2</v>
      </c>
      <c r="I9" s="100"/>
      <c r="J9" s="100">
        <f t="shared" si="1"/>
        <v>0</v>
      </c>
      <c r="K9" s="99">
        <f>VLOOKUP(B9,ЛСР!$B$13:$K$32,10,0)</f>
        <v>0</v>
      </c>
      <c r="L9" s="98"/>
    </row>
    <row r="10" spans="1:12" ht="28.8" x14ac:dyDescent="0.3">
      <c r="A10" s="78">
        <f t="shared" si="0"/>
        <v>8</v>
      </c>
      <c r="B10" s="97" t="s">
        <v>27</v>
      </c>
      <c r="C10" s="98"/>
      <c r="D10" s="99"/>
      <c r="E10" s="99" t="s">
        <v>50</v>
      </c>
      <c r="F10" s="79">
        <f>SUMIF(ЛСР!$B$13:$B$32,$B10,ЛСР!F$13:F$32)</f>
        <v>48</v>
      </c>
      <c r="G10" s="79">
        <f>SUMIF(ЛСР!$B$13:$B$32,$B10,ЛСР!G$13:G$32)</f>
        <v>80</v>
      </c>
      <c r="H10" s="79">
        <f>SUMIF(ЛСР!$B$13:$B$32,$B10,ЛСР!H$13:H$32)</f>
        <v>128</v>
      </c>
      <c r="I10" s="100"/>
      <c r="J10" s="100">
        <f t="shared" si="1"/>
        <v>0</v>
      </c>
      <c r="K10" s="99">
        <f>VLOOKUP(B10,ЛСР!$B$13:$K$32,10,0)</f>
        <v>0</v>
      </c>
      <c r="L10" s="98"/>
    </row>
    <row r="11" spans="1:12" ht="28.8" x14ac:dyDescent="0.3">
      <c r="A11" s="78">
        <f t="shared" si="0"/>
        <v>9</v>
      </c>
      <c r="B11" s="97" t="s">
        <v>51</v>
      </c>
      <c r="C11" s="98"/>
      <c r="D11" s="99"/>
      <c r="E11" s="99" t="s">
        <v>50</v>
      </c>
      <c r="F11" s="79">
        <f>SUMIF(ЛСР!$B$13:$B$32,$B11,ЛСР!F$13:F$32)</f>
        <v>2</v>
      </c>
      <c r="G11" s="79">
        <f>SUMIF(ЛСР!$B$13:$B$32,$B11,ЛСР!G$13:G$32)</f>
        <v>4</v>
      </c>
      <c r="H11" s="79">
        <f>SUMIF(ЛСР!$B$13:$B$32,$B11,ЛСР!H$13:H$32)</f>
        <v>6</v>
      </c>
      <c r="I11" s="100"/>
      <c r="J11" s="100">
        <f t="shared" si="1"/>
        <v>0</v>
      </c>
      <c r="K11" s="99">
        <f>VLOOKUP(B11,ЛСР!$B$13:$K$32,10,0)</f>
        <v>0</v>
      </c>
      <c r="L11" s="98"/>
    </row>
    <row r="12" spans="1:12" ht="57.6" x14ac:dyDescent="0.3">
      <c r="A12" s="78">
        <f t="shared" si="0"/>
        <v>10</v>
      </c>
      <c r="B12" s="97" t="s">
        <v>52</v>
      </c>
      <c r="C12" s="98"/>
      <c r="D12" s="99"/>
      <c r="E12" s="99" t="s">
        <v>50</v>
      </c>
      <c r="F12" s="79">
        <f>SUMIF(ЛСР!$B$13:$B$32,$B12,ЛСР!F$13:F$32)</f>
        <v>2</v>
      </c>
      <c r="G12" s="79">
        <f>SUMIF(ЛСР!$B$13:$B$32,$B12,ЛСР!G$13:G$32)</f>
        <v>4</v>
      </c>
      <c r="H12" s="79">
        <f>SUMIF(ЛСР!$B$13:$B$32,$B12,ЛСР!H$13:H$32)</f>
        <v>6</v>
      </c>
      <c r="I12" s="100"/>
      <c r="J12" s="100">
        <f t="shared" si="1"/>
        <v>0</v>
      </c>
      <c r="K12" s="99">
        <f>VLOOKUP(B12,ЛСР!$B$13:$K$32,10,0)</f>
        <v>0</v>
      </c>
      <c r="L12" s="98"/>
    </row>
    <row r="13" spans="1:12" ht="33.6" customHeight="1" x14ac:dyDescent="0.3">
      <c r="A13" s="78">
        <f t="shared" si="0"/>
        <v>11</v>
      </c>
      <c r="B13" s="97" t="s">
        <v>53</v>
      </c>
      <c r="C13" s="98"/>
      <c r="D13" s="99"/>
      <c r="E13" s="99" t="s">
        <v>54</v>
      </c>
      <c r="F13" s="79">
        <f>SUMIF(ЛСР!$B$13:$B$32,$B13,ЛСР!F$13:F$32)</f>
        <v>187.5</v>
      </c>
      <c r="G13" s="79">
        <f>SUMIF(ЛСР!$B$13:$B$32,$B13,ЛСР!G$13:G$32)</f>
        <v>340</v>
      </c>
      <c r="H13" s="79">
        <f>SUMIF(ЛСР!$B$13:$B$32,$B13,ЛСР!H$13:H$32)</f>
        <v>527.5</v>
      </c>
      <c r="I13" s="100"/>
      <c r="J13" s="100">
        <f t="shared" si="1"/>
        <v>0</v>
      </c>
      <c r="K13" s="99">
        <f>VLOOKUP(B13,ЛСР!$B$13:$K$32,10,0)</f>
        <v>0</v>
      </c>
      <c r="L13" s="98"/>
    </row>
    <row r="14" spans="1:12" ht="43.2" x14ac:dyDescent="0.3">
      <c r="A14" s="78">
        <f t="shared" si="0"/>
        <v>12</v>
      </c>
      <c r="B14" s="97" t="s">
        <v>55</v>
      </c>
      <c r="C14" s="98"/>
      <c r="D14" s="99"/>
      <c r="E14" s="99" t="s">
        <v>50</v>
      </c>
      <c r="F14" s="79">
        <f>SUMIF(ЛСР!$B$13:$B$32,$B14,ЛСР!F$13:F$32)</f>
        <v>3750</v>
      </c>
      <c r="G14" s="79">
        <f>SUMIF(ЛСР!$B$13:$B$32,$B14,ЛСР!G$13:G$32)</f>
        <v>6800</v>
      </c>
      <c r="H14" s="79">
        <f>SUMIF(ЛСР!$B$13:$B$32,$B14,ЛСР!H$13:H$32)</f>
        <v>10550</v>
      </c>
      <c r="I14" s="100"/>
      <c r="J14" s="100">
        <f t="shared" si="1"/>
        <v>0</v>
      </c>
      <c r="K14" s="99">
        <f>VLOOKUP(B14,ЛСР!$B$13:$K$32,10,0)</f>
        <v>0</v>
      </c>
      <c r="L14" s="98"/>
    </row>
    <row r="15" spans="1:12" x14ac:dyDescent="0.3">
      <c r="I15" s="80" t="s">
        <v>65</v>
      </c>
      <c r="J15" s="81">
        <f>SUM(J3:J14)</f>
        <v>0</v>
      </c>
    </row>
    <row r="16" spans="1:12" x14ac:dyDescent="0.3">
      <c r="I16" s="80" t="s">
        <v>66</v>
      </c>
      <c r="J16" s="82">
        <f>J15-ЛСР!J35</f>
        <v>0</v>
      </c>
    </row>
    <row r="18" spans="1:13" s="73" customFormat="1" ht="13.8" x14ac:dyDescent="0.3">
      <c r="B18" s="83" t="s">
        <v>31</v>
      </c>
      <c r="C18" s="83"/>
      <c r="D18" s="84"/>
      <c r="E18" s="84"/>
      <c r="I18" s="85"/>
      <c r="K18" s="86"/>
      <c r="L18" s="87"/>
      <c r="M18" s="86"/>
    </row>
    <row r="19" spans="1:13" s="73" customFormat="1" ht="41.25" customHeight="1" x14ac:dyDescent="0.3">
      <c r="A19" s="88" t="s">
        <v>32</v>
      </c>
      <c r="B19" s="116" t="s">
        <v>33</v>
      </c>
      <c r="C19" s="116"/>
      <c r="D19" s="116"/>
      <c r="E19" s="116"/>
      <c r="F19" s="116"/>
      <c r="G19" s="116"/>
      <c r="H19" s="116"/>
      <c r="I19" s="116"/>
      <c r="J19" s="116"/>
      <c r="K19" s="89"/>
      <c r="L19" s="89"/>
      <c r="M19" s="90"/>
    </row>
    <row r="20" spans="1:13" s="73" customFormat="1" ht="73.2" customHeight="1" x14ac:dyDescent="0.3">
      <c r="A20" s="91" t="s">
        <v>32</v>
      </c>
      <c r="B20" s="116" t="s">
        <v>34</v>
      </c>
      <c r="C20" s="116"/>
      <c r="D20" s="116"/>
      <c r="E20" s="116"/>
      <c r="F20" s="116"/>
      <c r="G20" s="116"/>
      <c r="H20" s="116"/>
      <c r="I20" s="116"/>
      <c r="J20" s="116"/>
      <c r="K20" s="89"/>
      <c r="L20" s="89"/>
      <c r="M20" s="92"/>
    </row>
    <row r="21" spans="1:13" s="73" customFormat="1" ht="13.8" customHeight="1" x14ac:dyDescent="0.3">
      <c r="A21" s="88" t="s">
        <v>32</v>
      </c>
      <c r="B21" s="93" t="s">
        <v>35</v>
      </c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4"/>
    </row>
  </sheetData>
  <mergeCells count="2">
    <mergeCell ref="B19:J19"/>
    <mergeCell ref="B20:J20"/>
  </mergeCells>
  <conditionalFormatting sqref="B1:B1048576">
    <cfRule type="duplicateValues" dxfId="1" priority="2"/>
  </conditionalFormatting>
  <conditionalFormatting sqref="K3:K14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ЛСР</vt:lpstr>
      <vt:lpstr>СМР</vt:lpstr>
      <vt:lpstr>ТМЦ</vt:lpstr>
      <vt:lpstr>ЛСР!Область_печати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Бойев Темур Сатторович</dc:creator>
  <cp:lastModifiedBy>Калуга Валентина Николаевна</cp:lastModifiedBy>
  <cp:revision>1</cp:revision>
  <dcterms:created xsi:type="dcterms:W3CDTF">2015-06-05T18:19:34Z</dcterms:created>
  <dcterms:modified xsi:type="dcterms:W3CDTF">2026-02-18T17:10:37Z</dcterms:modified>
</cp:coreProperties>
</file>