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I:\_Сметный отдел\2. ТЕНДЕРЫ\ЖК Прео\ПРЕО 8\11. Внутренние инженерные сети\11.10 11.11. 11.12 11.13 11.23 Слаботочные сети\Пакет\ГП-72.215\"/>
    </mc:Choice>
  </mc:AlternateContent>
  <xr:revisionPtr revIDLastSave="0" documentId="13_ncr:1_{1CBE63C6-4DB7-4EC0-A6CD-A857BD3723D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СР" sheetId="1" r:id="rId1"/>
    <sheet name="СМР" sheetId="4" r:id="rId2"/>
    <sheet name="ТМЦ" sheetId="5" r:id="rId3"/>
  </sheets>
  <externalReferences>
    <externalReference r:id="rId4"/>
    <externalReference r:id="rId5"/>
  </externalReferences>
  <definedNames>
    <definedName name="_xlnm._FilterDatabase" localSheetId="0" hidden="1">ЛСР!$A$11:$G$18</definedName>
    <definedName name="Данные">[1]Тестовый!$F$10:$H$14</definedName>
    <definedName name="_xlnm.Print_Area" localSheetId="0">ЛСР!$A$1:$K$42</definedName>
  </definedNames>
  <calcPr calcId="191029" fullPrecision="0"/>
</workbook>
</file>

<file path=xl/calcChain.xml><?xml version="1.0" encoding="utf-8"?>
<calcChain xmlns="http://schemas.openxmlformats.org/spreadsheetml/2006/main">
  <c r="I5" i="5" l="1"/>
  <c r="I6" i="5"/>
  <c r="I7" i="5"/>
  <c r="I9" i="5"/>
  <c r="I10" i="5"/>
  <c r="I11" i="5"/>
  <c r="I12" i="5"/>
  <c r="I13" i="5"/>
  <c r="I14" i="5"/>
  <c r="I8" i="5"/>
  <c r="F17" i="1"/>
  <c r="K20" i="1"/>
  <c r="K21" i="1"/>
  <c r="K22" i="1"/>
  <c r="K23" i="1"/>
  <c r="K24" i="1"/>
  <c r="K25" i="1"/>
  <c r="K27" i="1"/>
  <c r="K28" i="1"/>
  <c r="K29" i="1"/>
  <c r="K30" i="1"/>
  <c r="K31" i="1"/>
  <c r="K19" i="1"/>
  <c r="H17" i="1"/>
  <c r="E3" i="4"/>
  <c r="G3" i="4" s="1"/>
  <c r="G17" i="1"/>
  <c r="H31" i="1"/>
  <c r="H30" i="1"/>
  <c r="H29" i="1"/>
  <c r="H28" i="1"/>
  <c r="H27" i="1"/>
  <c r="H20" i="1"/>
  <c r="H21" i="1"/>
  <c r="H22" i="1"/>
  <c r="H23" i="1"/>
  <c r="H24" i="1"/>
  <c r="H25" i="1"/>
  <c r="H19" i="1"/>
  <c r="A14" i="5"/>
  <c r="A13" i="5"/>
  <c r="A12" i="5"/>
  <c r="A11" i="5"/>
  <c r="A10" i="5"/>
  <c r="A9" i="5"/>
  <c r="A8" i="5"/>
  <c r="A7" i="5"/>
  <c r="A6" i="5"/>
  <c r="A5" i="5"/>
  <c r="I4" i="5"/>
  <c r="A4" i="5"/>
  <c r="I3" i="5"/>
  <c r="A3" i="5"/>
  <c r="A3" i="4"/>
  <c r="G25" i="1"/>
  <c r="F9" i="5" s="1"/>
  <c r="H9" i="5" s="1"/>
  <c r="F27" i="1"/>
  <c r="G27" i="1" s="1"/>
  <c r="F10" i="5" s="1"/>
  <c r="H10" i="5" s="1"/>
  <c r="G19" i="1"/>
  <c r="F3" i="5" s="1"/>
  <c r="H3" i="5" s="1"/>
  <c r="G20" i="1"/>
  <c r="F4" i="5" s="1"/>
  <c r="H4" i="5" s="1"/>
  <c r="G21" i="1"/>
  <c r="F5" i="5" s="1"/>
  <c r="H5" i="5" s="1"/>
  <c r="G22" i="1"/>
  <c r="F6" i="5" s="1"/>
  <c r="H6" i="5" s="1"/>
  <c r="G23" i="1"/>
  <c r="F7" i="5" s="1"/>
  <c r="H7" i="5" s="1"/>
  <c r="G24" i="1"/>
  <c r="F8" i="5" s="1"/>
  <c r="H8" i="5" s="1"/>
  <c r="F28" i="1"/>
  <c r="G28" i="1" s="1"/>
  <c r="F11" i="5" s="1"/>
  <c r="H11" i="5" s="1"/>
  <c r="F29" i="1"/>
  <c r="G29" i="1" s="1"/>
  <c r="F12" i="5" s="1"/>
  <c r="H12" i="5" s="1"/>
  <c r="F30" i="1"/>
  <c r="G30" i="1" s="1"/>
  <c r="F13" i="5" s="1"/>
  <c r="H13" i="5" s="1"/>
  <c r="F31" i="1"/>
  <c r="G31" i="1" s="1"/>
  <c r="F14" i="5" s="1"/>
  <c r="H14" i="5" s="1"/>
  <c r="I17" i="1" l="1"/>
  <c r="I16" i="1" s="1"/>
  <c r="I33" i="1" s="1"/>
  <c r="G4" i="4"/>
  <c r="I20" i="1"/>
  <c r="I19" i="1"/>
  <c r="I25" i="1"/>
  <c r="I23" i="1"/>
  <c r="I24" i="1"/>
  <c r="H15" i="5"/>
  <c r="I21" i="1"/>
  <c r="I30" i="1"/>
  <c r="I27" i="1"/>
  <c r="I22" i="1"/>
  <c r="I31" i="1"/>
  <c r="I28" i="1"/>
  <c r="I29" i="1"/>
  <c r="G5" i="4" l="1"/>
  <c r="I26" i="1"/>
  <c r="I18" i="1" l="1"/>
  <c r="G26" i="1"/>
  <c r="I15" i="1"/>
  <c r="I32" i="1" s="1"/>
  <c r="I35" i="1" s="1"/>
  <c r="I34" i="1"/>
  <c r="H16" i="5" s="1"/>
</calcChain>
</file>

<file path=xl/sharedStrings.xml><?xml version="1.0" encoding="utf-8"?>
<sst xmlns="http://schemas.openxmlformats.org/spreadsheetml/2006/main" count="157" uniqueCount="71">
  <si>
    <t>Приложение №</t>
  </si>
  <si>
    <t>к Договору подряда №</t>
  </si>
  <si>
    <t>ПОДРЯДЧИК:</t>
  </si>
  <si>
    <t>ЗАКАЗЧИК:</t>
  </si>
  <si>
    <t>ТЕХНИЧЕСКИЙ ЗАКАЗЧИК:</t>
  </si>
  <si>
    <t>№</t>
  </si>
  <si>
    <t>Наименование</t>
  </si>
  <si>
    <t>Марка</t>
  </si>
  <si>
    <t>Характеристика</t>
  </si>
  <si>
    <t>Ед. изм.</t>
  </si>
  <si>
    <t>Кол-во</t>
  </si>
  <si>
    <t>Цена</t>
  </si>
  <si>
    <t>Сумма</t>
  </si>
  <si>
    <t>Примечание</t>
  </si>
  <si>
    <t>Форма закупа материала</t>
  </si>
  <si>
    <t xml:space="preserve">Внутренние инженерные сети </t>
  </si>
  <si>
    <t>11.12.</t>
  </si>
  <si>
    <t>Устройство телефонии</t>
  </si>
  <si>
    <t>11.12.01</t>
  </si>
  <si>
    <t>Прокладка кабеля, трубы</t>
  </si>
  <si>
    <t>11.12.01.00</t>
  </si>
  <si>
    <t>Работа:</t>
  </si>
  <si>
    <t>м</t>
  </si>
  <si>
    <t>Материалы:</t>
  </si>
  <si>
    <t>Труба тип 1</t>
  </si>
  <si>
    <t>Труба тип 2</t>
  </si>
  <si>
    <t>ПЭ 20х2,0 PN12</t>
  </si>
  <si>
    <t>Хомут трубный 1.1/2" 47-51 с резинкой, дюбелем, винтом М8</t>
  </si>
  <si>
    <t>шт</t>
  </si>
  <si>
    <t>в тч стоимость работ:</t>
  </si>
  <si>
    <t>в тч стоимость материалов:</t>
  </si>
  <si>
    <t>Примечание:</t>
  </si>
  <si>
    <t>-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</si>
  <si>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</si>
  <si>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</si>
  <si>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Стоимость материалов учитывает стоимость доставки.</t>
  </si>
  <si>
    <t>№ п/п</t>
  </si>
  <si>
    <t xml:space="preserve">Устройство системы телефонии ГП-215. </t>
  </si>
  <si>
    <t>шт.</t>
  </si>
  <si>
    <t>Монтажная пена Технониколь 240 PROFESSIONAL, огнестойкая, TN528380</t>
  </si>
  <si>
    <t>Огнезащитный силиконовый герметик Огнетитан SN однокомпонентный, серый 310 мл ТУ 2513-004-03495485-2016 БП-00000536</t>
  </si>
  <si>
    <t>Монтажная лента текстильная под пистолет</t>
  </si>
  <si>
    <t>м.</t>
  </si>
  <si>
    <t>Гвозди по бетону усиленные Toua 3.05x19 мм, под пистолет.  (1000шт. в пч.)</t>
  </si>
  <si>
    <t>Проволочный лоток</t>
  </si>
  <si>
    <t>АО "ДКС"</t>
  </si>
  <si>
    <t>50х150 L3000, FC5015</t>
  </si>
  <si>
    <t>С-образный профиль 41х21, L350, толщ.2,0 мм,  DKC</t>
  </si>
  <si>
    <t>INOX 304 IBPV21035C</t>
  </si>
  <si>
    <t>Стандартный анкер со шпилькой  М6</t>
  </si>
  <si>
    <t>СМ440645</t>
  </si>
  <si>
    <t xml:space="preserve">Крепежный комплект №1 для монтажа проволочного лотка </t>
  </si>
  <si>
    <t>CM350001</t>
  </si>
  <si>
    <t>гладкая ПВХ диаметром 50мм</t>
  </si>
  <si>
    <t>Труба тип 3</t>
  </si>
  <si>
    <t xml:space="preserve"> Труба электросварная 76х3,5</t>
  </si>
  <si>
    <t>ГП-215.1</t>
  </si>
  <si>
    <t>Ведомость объемов работ</t>
  </si>
  <si>
    <t>ИТОГО:</t>
  </si>
  <si>
    <t>проверка:</t>
  </si>
  <si>
    <t>Спецификация материалов</t>
  </si>
  <si>
    <t>ООО "ЭНКО СТРОЙ"</t>
  </si>
  <si>
    <t>ООО "Технический заказчик "ЭНКО"</t>
  </si>
  <si>
    <t>_________________/</t>
  </si>
  <si>
    <t>___________/С.И. Ярков</t>
  </si>
  <si>
    <r>
      <t xml:space="preserve">Прочие материалы </t>
    </r>
    <r>
      <rPr>
        <sz val="10"/>
        <rFont val="Arial Narrow"/>
        <family val="2"/>
        <charset val="204"/>
      </rPr>
      <t>(Хомут трубный 1.1/2" 47-51 с резинкой, дюбелем, винтом М8, Монтажная пена Технониколь 240 PROFESSIONAL, огнестойкая, TN528380, Огнезащитный силиконовый герметик Огнетитан SN однокомпонентный, серый 310 мл ТУ 2513-004-03495485-2016 БП-00000536, Монтажная лента текстильная под пистолет, Гвозди по бетону усиленные Toua 3.05x19 мм, под пистолет.  (1000шт. в пч.))</t>
    </r>
  </si>
  <si>
    <t>Локальный сметный расчет №</t>
  </si>
  <si>
    <t>Итого по ЛСР, в т.ч. НДС:</t>
  </si>
  <si>
    <t>в тч НДС 22%:</t>
  </si>
  <si>
    <t>Прокладка трубы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</si>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</sst>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₽"/>
  </numFmts>
  <fonts count="15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  <charset val="204"/>
    </font>
    <font>
      <b/>
      <sz val="10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b/>
      <i/>
      <u/>
      <sz val="10"/>
      <name val="Arial Narrow"/>
      <family val="2"/>
      <charset val="204"/>
    </font>
    <font>
      <sz val="10"/>
      <name val="Arial Narrow"/>
      <family val="2"/>
      <charset val="204"/>
    </font>
    <font>
      <sz val="10"/>
      <color rgb="FFFF0000"/>
      <name val="Arial Narrow"/>
      <family val="2"/>
      <charset val="204"/>
    </font>
    <font>
      <b/>
      <sz val="10"/>
      <color indexed="2"/>
      <name val="Arial Narrow"/>
      <family val="2"/>
      <charset val="204"/>
    </font>
    <font>
      <b/>
      <i/>
      <sz val="10"/>
      <color theme="1"/>
      <name val="Arial Narrow"/>
      <family val="2"/>
      <charset val="204"/>
    </font>
    <font>
      <sz val="10"/>
      <color indexed="2"/>
      <name val="Arial Narrow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AE78D6"/>
        <bgColor rgb="FFAE78D6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8" tint="0.39997558519241921"/>
        <bgColor theme="8" tint="0.39997558519241921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0">
    <xf numFmtId="0" fontId="0" fillId="0" borderId="0"/>
    <xf numFmtId="0" fontId="2" fillId="0" borderId="0"/>
    <xf numFmtId="0" fontId="3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1" fillId="0" borderId="0"/>
  </cellStyleXfs>
  <cellXfs count="119">
    <xf numFmtId="0" fontId="0" fillId="0" borderId="0" xfId="0"/>
    <xf numFmtId="0" fontId="6" fillId="0" borderId="0" xfId="8" applyFont="1"/>
    <xf numFmtId="0" fontId="6" fillId="0" borderId="1" xfId="8" applyFont="1" applyBorder="1"/>
    <xf numFmtId="0" fontId="7" fillId="0" borderId="1" xfId="8" applyFont="1" applyBorder="1" applyAlignment="1">
      <alignment horizontal="center" vertical="center" wrapText="1"/>
    </xf>
    <xf numFmtId="164" fontId="8" fillId="0" borderId="1" xfId="8" applyNumberFormat="1" applyFont="1" applyBorder="1" applyAlignment="1">
      <alignment horizontal="center" vertical="center" wrapText="1"/>
    </xf>
    <xf numFmtId="4" fontId="7" fillId="0" borderId="1" xfId="8" applyNumberFormat="1" applyFont="1" applyBorder="1" applyAlignment="1">
      <alignment horizontal="center" vertical="center" wrapText="1"/>
    </xf>
    <xf numFmtId="0" fontId="6" fillId="0" borderId="1" xfId="8" applyFont="1" applyBorder="1" applyAlignment="1">
      <alignment horizontal="center" vertical="center"/>
    </xf>
    <xf numFmtId="4" fontId="6" fillId="0" borderId="1" xfId="8" applyNumberFormat="1" applyFont="1" applyBorder="1" applyAlignment="1">
      <alignment horizontal="center" vertical="center"/>
    </xf>
    <xf numFmtId="0" fontId="6" fillId="0" borderId="0" xfId="8" applyFont="1" applyAlignment="1">
      <alignment horizontal="right"/>
    </xf>
    <xf numFmtId="4" fontId="8" fillId="0" borderId="0" xfId="8" applyNumberFormat="1" applyFont="1" applyAlignment="1">
      <alignment horizontal="center" vertical="center"/>
    </xf>
    <xf numFmtId="4" fontId="6" fillId="0" borderId="0" xfId="8" applyNumberFormat="1" applyFont="1" applyAlignment="1">
      <alignment horizontal="center" vertical="center"/>
    </xf>
    <xf numFmtId="0" fontId="9" fillId="0" borderId="0" xfId="8" applyFont="1" applyAlignment="1">
      <alignment vertical="center" wrapText="1"/>
    </xf>
    <xf numFmtId="0" fontId="6" fillId="0" borderId="0" xfId="8" applyFont="1" applyAlignment="1">
      <alignment wrapText="1"/>
    </xf>
    <xf numFmtId="0" fontId="8" fillId="0" borderId="0" xfId="8" applyFont="1"/>
    <xf numFmtId="4" fontId="6" fillId="0" borderId="0" xfId="8" applyNumberFormat="1" applyFont="1"/>
    <xf numFmtId="4" fontId="6" fillId="0" borderId="0" xfId="8" applyNumberFormat="1" applyFont="1" applyAlignment="1">
      <alignment wrapText="1"/>
    </xf>
    <xf numFmtId="49" fontId="10" fillId="0" borderId="0" xfId="8" applyNumberFormat="1" applyFont="1" applyAlignment="1">
      <alignment horizontal="center" vertical="center"/>
    </xf>
    <xf numFmtId="0" fontId="10" fillId="0" borderId="0" xfId="9" applyFont="1" applyAlignment="1">
      <alignment vertical="center" wrapText="1"/>
    </xf>
    <xf numFmtId="0" fontId="11" fillId="0" borderId="0" xfId="9" applyFont="1" applyAlignment="1">
      <alignment vertical="center" wrapText="1"/>
    </xf>
    <xf numFmtId="0" fontId="10" fillId="0" borderId="0" xfId="8" applyFont="1" applyAlignment="1">
      <alignment horizontal="center" vertical="center"/>
    </xf>
    <xf numFmtId="0" fontId="11" fillId="0" borderId="0" xfId="9" applyFont="1" applyAlignment="1">
      <alignment vertical="top" wrapText="1"/>
    </xf>
    <xf numFmtId="0" fontId="10" fillId="0" borderId="0" xfId="8" applyFont="1" applyAlignment="1">
      <alignment vertical="center"/>
    </xf>
    <xf numFmtId="0" fontId="11" fillId="0" borderId="0" xfId="8" applyFont="1" applyAlignment="1">
      <alignment vertical="top" wrapText="1"/>
    </xf>
    <xf numFmtId="0" fontId="5" fillId="0" borderId="0" xfId="8"/>
    <xf numFmtId="49" fontId="7" fillId="0" borderId="1" xfId="8" applyNumberFormat="1" applyFont="1" applyBorder="1" applyAlignment="1">
      <alignment horizontal="center" vertical="center" wrapText="1"/>
    </xf>
    <xf numFmtId="0" fontId="5" fillId="0" borderId="1" xfId="8" applyBorder="1" applyAlignment="1">
      <alignment vertical="center" wrapText="1"/>
    </xf>
    <xf numFmtId="0" fontId="5" fillId="0" borderId="1" xfId="8" applyBorder="1" applyAlignment="1">
      <alignment horizontal="center" vertical="center"/>
    </xf>
    <xf numFmtId="0" fontId="5" fillId="0" borderId="1" xfId="8" applyBorder="1" applyAlignment="1">
      <alignment horizontal="center" vertical="center" wrapText="1"/>
    </xf>
    <xf numFmtId="4" fontId="5" fillId="0" borderId="1" xfId="8" applyNumberFormat="1" applyBorder="1" applyAlignment="1">
      <alignment horizontal="center" vertical="center"/>
    </xf>
    <xf numFmtId="49" fontId="6" fillId="0" borderId="0" xfId="0" applyNumberFormat="1" applyFont="1"/>
    <xf numFmtId="0" fontId="6" fillId="0" borderId="0" xfId="0" applyFont="1" applyAlignment="1">
      <alignment wrapText="1"/>
    </xf>
    <xf numFmtId="0" fontId="6" fillId="0" borderId="0" xfId="0" applyFont="1" applyAlignment="1">
      <alignment vertical="center"/>
    </xf>
    <xf numFmtId="4" fontId="6" fillId="0" borderId="0" xfId="9" applyNumberFormat="1" applyFont="1"/>
    <xf numFmtId="0" fontId="6" fillId="0" borderId="0" xfId="0" applyFont="1"/>
    <xf numFmtId="4" fontId="8" fillId="0" borderId="0" xfId="9" applyNumberFormat="1" applyFont="1"/>
    <xf numFmtId="164" fontId="8" fillId="0" borderId="0" xfId="0" applyNumberFormat="1" applyFont="1"/>
    <xf numFmtId="164" fontId="6" fillId="0" borderId="0" xfId="0" applyNumberFormat="1" applyFont="1"/>
    <xf numFmtId="0" fontId="6" fillId="0" borderId="0" xfId="9" applyFont="1" applyAlignment="1">
      <alignment horizontal="right"/>
    </xf>
    <xf numFmtId="0" fontId="8" fillId="0" borderId="0" xfId="9" applyFont="1" applyAlignment="1">
      <alignment vertical="center"/>
    </xf>
    <xf numFmtId="0" fontId="8" fillId="0" borderId="0" xfId="9" applyFont="1"/>
    <xf numFmtId="0" fontId="6" fillId="0" borderId="0" xfId="0" applyFont="1" applyAlignment="1">
      <alignment vertical="center" wrapText="1"/>
    </xf>
    <xf numFmtId="4" fontId="8" fillId="0" borderId="0" xfId="0" applyNumberFormat="1" applyFont="1"/>
    <xf numFmtId="49" fontId="8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horizontal="center"/>
    </xf>
    <xf numFmtId="0" fontId="12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49" fontId="7" fillId="2" borderId="3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49" fontId="7" fillId="3" borderId="3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 wrapText="1"/>
    </xf>
    <xf numFmtId="4" fontId="7" fillId="3" borderId="1" xfId="0" applyNumberFormat="1" applyFont="1" applyFill="1" applyBorder="1" applyAlignment="1">
      <alignment horizontal="center" vertical="center" wrapText="1"/>
    </xf>
    <xf numFmtId="49" fontId="7" fillId="4" borderId="3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center" vertical="center" wrapText="1"/>
    </xf>
    <xf numFmtId="4" fontId="7" fillId="4" borderId="1" xfId="0" applyNumberFormat="1" applyFont="1" applyFill="1" applyBorder="1" applyAlignment="1">
      <alignment horizontal="center" vertical="center" wrapText="1"/>
    </xf>
    <xf numFmtId="49" fontId="8" fillId="5" borderId="1" xfId="0" applyNumberFormat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center" vertical="center" wrapText="1"/>
    </xf>
    <xf numFmtId="4" fontId="7" fillId="5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/>
    <xf numFmtId="0" fontId="7" fillId="3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left" vertical="center" wrapText="1"/>
    </xf>
    <xf numFmtId="0" fontId="10" fillId="3" borderId="4" xfId="0" applyFont="1" applyFill="1" applyBorder="1" applyAlignment="1">
      <alignment horizontal="left" vertical="center" wrapText="1"/>
    </xf>
    <xf numFmtId="0" fontId="10" fillId="3" borderId="4" xfId="0" applyFont="1" applyFill="1" applyBorder="1" applyAlignment="1">
      <alignment horizontal="center" vertical="center" wrapText="1"/>
    </xf>
    <xf numFmtId="4" fontId="10" fillId="3" borderId="1" xfId="0" applyNumberFormat="1" applyFont="1" applyFill="1" applyBorder="1" applyAlignment="1">
      <alignment horizontal="center" vertical="center" wrapText="1"/>
    </xf>
    <xf numFmtId="4" fontId="6" fillId="3" borderId="1" xfId="0" applyNumberFormat="1" applyFont="1" applyFill="1" applyBorder="1" applyAlignment="1">
      <alignment horizontal="center" vertical="center"/>
    </xf>
    <xf numFmtId="0" fontId="6" fillId="0" borderId="1" xfId="0" applyFont="1" applyBorder="1"/>
    <xf numFmtId="0" fontId="7" fillId="0" borderId="1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/>
    </xf>
    <xf numFmtId="0" fontId="6" fillId="6" borderId="1" xfId="0" applyFont="1" applyFill="1" applyBorder="1" applyAlignment="1">
      <alignment horizontal="left" vertical="center" wrapText="1"/>
    </xf>
    <xf numFmtId="0" fontId="6" fillId="6" borderId="4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 wrapText="1"/>
    </xf>
    <xf numFmtId="0" fontId="6" fillId="7" borderId="4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left" vertical="center" wrapText="1"/>
    </xf>
    <xf numFmtId="0" fontId="8" fillId="5" borderId="1" xfId="0" applyFont="1" applyFill="1" applyBorder="1" applyAlignment="1">
      <alignment horizontal="center" vertical="center"/>
    </xf>
    <xf numFmtId="4" fontId="8" fillId="5" borderId="1" xfId="0" applyNumberFormat="1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right" vertical="center"/>
    </xf>
    <xf numFmtId="49" fontId="13" fillId="3" borderId="1" xfId="0" applyNumberFormat="1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left" vertical="center" wrapText="1"/>
    </xf>
    <xf numFmtId="0" fontId="13" fillId="3" borderId="1" xfId="0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right" vertical="center"/>
    </xf>
    <xf numFmtId="4" fontId="13" fillId="3" borderId="1" xfId="0" applyNumberFormat="1" applyFont="1" applyFill="1" applyBorder="1" applyAlignment="1" applyProtection="1">
      <alignment horizontal="center" vertical="center"/>
      <protection locked="0"/>
    </xf>
    <xf numFmtId="0" fontId="13" fillId="3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4" fontId="6" fillId="0" borderId="0" xfId="0" applyNumberFormat="1" applyFont="1"/>
    <xf numFmtId="0" fontId="14" fillId="0" borderId="0" xfId="0" applyFont="1"/>
    <xf numFmtId="49" fontId="10" fillId="0" borderId="0" xfId="0" applyNumberFormat="1" applyFont="1" applyAlignment="1">
      <alignment horizontal="center" vertical="center"/>
    </xf>
    <xf numFmtId="0" fontId="14" fillId="0" borderId="0" xfId="5" applyFont="1" applyAlignment="1">
      <alignment vertical="center" wrapText="1"/>
    </xf>
    <xf numFmtId="0" fontId="10" fillId="0" borderId="0" xfId="0" applyFont="1" applyAlignment="1">
      <alignment horizontal="center" vertical="center"/>
    </xf>
    <xf numFmtId="4" fontId="14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" fontId="10" fillId="3" borderId="4" xfId="0" applyNumberFormat="1" applyFont="1" applyFill="1" applyBorder="1" applyAlignment="1">
      <alignment horizontal="center" vertical="center" wrapText="1"/>
    </xf>
    <xf numFmtId="4" fontId="7" fillId="0" borderId="4" xfId="0" applyNumberFormat="1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/>
    </xf>
    <xf numFmtId="0" fontId="10" fillId="0" borderId="0" xfId="5" applyFont="1" applyAlignment="1">
      <alignment horizontal="left" vertical="center" wrapText="1"/>
    </xf>
    <xf numFmtId="0" fontId="10" fillId="0" borderId="0" xfId="5" applyFont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10" fillId="0" borderId="0" xfId="9" applyFont="1" applyAlignment="1">
      <alignment horizontal="left" vertical="top" wrapText="1"/>
    </xf>
  </cellXfs>
  <cellStyles count="10">
    <cellStyle name="Обычный" xfId="0" builtinId="0"/>
    <cellStyle name="Обычный 2" xfId="1" xr:uid="{00000000-0005-0000-0000-000001000000}"/>
    <cellStyle name="Обычный 2 2 2" xfId="2" xr:uid="{00000000-0005-0000-0000-000002000000}"/>
    <cellStyle name="Обычный 2 3 2" xfId="3" xr:uid="{00000000-0005-0000-0000-000003000000}"/>
    <cellStyle name="Обычный 3" xfId="4" xr:uid="{00000000-0005-0000-0000-000004000000}"/>
    <cellStyle name="Обычный 3 2 2" xfId="5" xr:uid="{00000000-0005-0000-0000-000005000000}"/>
    <cellStyle name="Обычный 3 2 2 2" xfId="9" xr:uid="{554B33C0-DE56-499A-84F6-E7C8FA69D14A}"/>
    <cellStyle name="Обычный 4" xfId="6" xr:uid="{00000000-0005-0000-0000-000006000000}"/>
    <cellStyle name="Обычный 5" xfId="8" xr:uid="{3E40DD94-EC2C-414E-883C-67A2498E367B}"/>
    <cellStyle name="Обычный 6 3 7 2 3" xfId="7" xr:uid="{00000000-0005-0000-0000-000007000000}"/>
  </cellStyles>
  <dxfs count="3"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57;&#1074;&#1077;&#1090;&#1083;&#1072;&#1085;&#1072;/AppData/Roaming/Microsoft/Excel/20-10_2017-12-&#1042;&#1050;%20&#1057;&#1087;&#1077;&#1094;&#1080;&#1092;&#1080;&#1082;&#1072;&#1094;&#1080;&#1103;%20(version%201)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I:\_&#1057;&#1084;&#1077;&#1090;&#1085;&#1099;&#1081;%20&#1086;&#1090;&#1076;&#1077;&#1083;\2.%20&#1058;&#1045;&#1053;&#1044;&#1045;&#1056;&#1067;\&#1046;&#1050;%20&#1055;&#1088;&#1077;&#1086;\&#1055;&#1056;&#1045;&#1054;%208\11.%20&#1042;&#1085;&#1091;&#1090;&#1088;&#1077;&#1085;&#1085;&#1080;&#1077;%20&#1080;&#1085;&#1078;&#1077;&#1085;&#1077;&#1088;&#1085;&#1099;&#1077;%20&#1089;&#1077;&#1090;&#1080;\11.10%2011.11.%2011.12%2011.13%2011.23%20&#1057;&#1083;&#1072;&#1073;&#1086;&#1090;&#1086;&#1095;&#1085;&#1099;&#1077;%20&#1089;&#1077;&#1090;&#1080;\&#1055;&#1072;&#1082;&#1077;&#1090;\&#1043;&#1055;-72.214\11.12%20&#1058;&#1077;&#1083;&#1077;&#1092;&#1086;&#1085;&#1080;&#1103;%20&#1055;&#1056;&#1045;&#1054;8%20&#1043;&#1055;-214.XLSX" TargetMode="External"/><Relationship Id="rId1" Type="http://schemas.openxmlformats.org/officeDocument/2006/relationships/externalLinkPath" Target="/_&#1057;&#1084;&#1077;&#1090;&#1085;&#1099;&#1081;%20&#1086;&#1090;&#1076;&#1077;&#1083;/2.%20&#1058;&#1045;&#1053;&#1044;&#1045;&#1056;&#1067;/&#1046;&#1050;%20&#1055;&#1088;&#1077;&#1086;/&#1055;&#1056;&#1045;&#1054;%208/11.%20&#1042;&#1085;&#1091;&#1090;&#1088;&#1077;&#1085;&#1085;&#1080;&#1077;%20&#1080;&#1085;&#1078;&#1077;&#1085;&#1077;&#1088;&#1085;&#1099;&#1077;%20&#1089;&#1077;&#1090;&#1080;/11.10%2011.11.%2011.12%2011.13%2011.23%20&#1057;&#1083;&#1072;&#1073;&#1086;&#1090;&#1086;&#1095;&#1085;&#1099;&#1077;%20&#1089;&#1077;&#1090;&#1080;/&#1055;&#1072;&#1082;&#1077;&#1090;/&#1043;&#1055;-72.214/11.12%20&#1058;&#1077;&#1083;&#1077;&#1092;&#1086;&#1085;&#1080;&#1103;%20&#1055;&#1056;&#1045;&#1054;8%20&#1043;&#1055;-21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лист 1"/>
      <sheetName val="лист 2"/>
      <sheetName val="лист 3"/>
      <sheetName val="лист 7"/>
      <sheetName val="лист 8"/>
      <sheetName val="Тестовый"/>
      <sheetName val="Первый"/>
      <sheetName val="Второй"/>
      <sheetName val="Переменны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ЛСР"/>
      <sheetName val="СМР"/>
      <sheetName val="ТМЦ"/>
    </sheetNames>
    <sheetDataSet>
      <sheetData sheetId="0">
        <row r="13">
          <cell r="B13" t="str">
            <v xml:space="preserve">Внутренние инженерные сети </v>
          </cell>
        </row>
        <row r="14">
          <cell r="B14" t="str">
            <v>Устройство телефонии</v>
          </cell>
        </row>
        <row r="15">
          <cell r="B15" t="str">
            <v>Прокладка кабеля, трубы</v>
          </cell>
        </row>
        <row r="16">
          <cell r="B16" t="str">
            <v>Прокладка кабеля, трубы</v>
          </cell>
          <cell r="J16">
            <v>0</v>
          </cell>
        </row>
        <row r="17">
          <cell r="B17" t="str">
            <v>Работа:</v>
          </cell>
          <cell r="J17">
            <v>0</v>
          </cell>
        </row>
        <row r="18">
          <cell r="B18" t="str">
            <v>Прокладка трубы</v>
          </cell>
          <cell r="E18" t="str">
            <v>м</v>
          </cell>
          <cell r="F18">
            <v>829.2</v>
          </cell>
          <cell r="G18">
            <v>1492</v>
          </cell>
          <cell r="H18">
            <v>2321.1999999999998</v>
          </cell>
          <cell r="I18">
            <v>0</v>
          </cell>
          <cell r="J18">
            <v>0</v>
          </cell>
        </row>
        <row r="19">
          <cell r="B19" t="str">
            <v>Материалы:</v>
          </cell>
          <cell r="J19">
            <v>0</v>
          </cell>
        </row>
        <row r="20">
          <cell r="B20" t="str">
            <v>Проволочный лоток</v>
          </cell>
          <cell r="C20" t="str">
            <v>АО "ДКС"</v>
          </cell>
          <cell r="D20" t="str">
            <v>50х150 L3000, FC5015</v>
          </cell>
          <cell r="E20" t="str">
            <v>м</v>
          </cell>
          <cell r="F20">
            <v>60</v>
          </cell>
          <cell r="G20">
            <v>60</v>
          </cell>
          <cell r="H20">
            <v>120</v>
          </cell>
          <cell r="I20">
            <v>0</v>
          </cell>
          <cell r="J20">
            <v>0</v>
          </cell>
        </row>
        <row r="21">
          <cell r="B21" t="str">
            <v>С-образный профиль 41х21, L350, толщ.2,0 мм,  DKC</v>
          </cell>
          <cell r="C21" t="str">
            <v>АО "ДКС"</v>
          </cell>
          <cell r="D21" t="str">
            <v>INOX 304 IBPV21035C</v>
          </cell>
          <cell r="E21" t="str">
            <v>м</v>
          </cell>
          <cell r="F21">
            <v>21</v>
          </cell>
          <cell r="G21">
            <v>21</v>
          </cell>
          <cell r="H21">
            <v>42</v>
          </cell>
          <cell r="I21">
            <v>0</v>
          </cell>
          <cell r="J21">
            <v>0</v>
          </cell>
        </row>
        <row r="22">
          <cell r="B22" t="str">
            <v>Стандартный анкер со шпилькой  М6</v>
          </cell>
          <cell r="C22" t="str">
            <v>АО "ДКС"</v>
          </cell>
          <cell r="D22" t="str">
            <v>СМ440645</v>
          </cell>
          <cell r="E22" t="str">
            <v>шт</v>
          </cell>
          <cell r="F22">
            <v>120</v>
          </cell>
          <cell r="G22">
            <v>120</v>
          </cell>
          <cell r="H22">
            <v>240</v>
          </cell>
          <cell r="I22">
            <v>0</v>
          </cell>
          <cell r="J22">
            <v>0</v>
          </cell>
        </row>
        <row r="23">
          <cell r="B23" t="str">
            <v xml:space="preserve">Крепежный комплект №1 для монтажа проволочного лотка </v>
          </cell>
          <cell r="C23" t="str">
            <v>АО "ДКС"</v>
          </cell>
          <cell r="D23" t="str">
            <v>CM350001</v>
          </cell>
          <cell r="E23" t="str">
            <v>шт</v>
          </cell>
          <cell r="F23">
            <v>120</v>
          </cell>
          <cell r="G23">
            <v>120</v>
          </cell>
          <cell r="H23">
            <v>240</v>
          </cell>
          <cell r="I23">
            <v>0</v>
          </cell>
          <cell r="J23">
            <v>0</v>
          </cell>
        </row>
        <row r="24">
          <cell r="B24" t="str">
            <v>Труба тип 1</v>
          </cell>
          <cell r="D24" t="str">
            <v>ПЭ 20х2,0 PN12</v>
          </cell>
          <cell r="E24" t="str">
            <v>м</v>
          </cell>
          <cell r="F24">
            <v>750</v>
          </cell>
          <cell r="G24">
            <v>1360</v>
          </cell>
          <cell r="H24">
            <v>2110</v>
          </cell>
          <cell r="I24">
            <v>0</v>
          </cell>
          <cell r="J24">
            <v>0</v>
          </cell>
        </row>
        <row r="25">
          <cell r="B25" t="str">
            <v>Труба тип 2</v>
          </cell>
          <cell r="D25" t="str">
            <v>гладкая ПВХ диаметром 50мм</v>
          </cell>
          <cell r="E25" t="str">
            <v>м</v>
          </cell>
          <cell r="F25">
            <v>72</v>
          </cell>
          <cell r="G25">
            <v>120</v>
          </cell>
          <cell r="H25">
            <v>192</v>
          </cell>
          <cell r="I25">
            <v>0</v>
          </cell>
          <cell r="J25">
            <v>0</v>
          </cell>
        </row>
        <row r="26">
          <cell r="B26" t="str">
            <v>Труба тип 3</v>
          </cell>
          <cell r="D26" t="str">
            <v xml:space="preserve"> Труба электросварная 76х3,5</v>
          </cell>
          <cell r="E26" t="str">
            <v>м</v>
          </cell>
          <cell r="F26">
            <v>7.2</v>
          </cell>
          <cell r="G26">
            <v>12</v>
          </cell>
          <cell r="H26">
            <v>19.2</v>
          </cell>
          <cell r="I26">
            <v>0</v>
          </cell>
          <cell r="J26">
            <v>0</v>
          </cell>
        </row>
        <row r="27">
          <cell r="B27" t="str">
            <v>Прочие материалы (Хомут трубный 1.1/2" 47-51 с резинкой, дюбелем, винтом М8, Монтажная пена Технониколь 240 PROFESSIONAL, огнестойкая, TN528380, Огнезащитный силиконовый герметик Огнетитан SN однокомпонентный, серый 310 мл ТУ 2513-004-03495485-2016 БП-00000536, Монтажная лента текстильная под пистолет, Гвозди по бетону усиленные Toua 3.05x19 мм, под пистолет.  (1000шт. в пч.))</v>
          </cell>
          <cell r="E27" t="str">
            <v>%</v>
          </cell>
          <cell r="H27" t="e">
            <v>#DIV/0!</v>
          </cell>
          <cell r="J27">
            <v>0</v>
          </cell>
        </row>
        <row r="28">
          <cell r="B28" t="str">
            <v>Хомут трубный 1.1/2" 47-51 с резинкой, дюбелем, винтом М8</v>
          </cell>
          <cell r="E28" t="str">
            <v>шт.</v>
          </cell>
          <cell r="F28">
            <v>48</v>
          </cell>
          <cell r="G28">
            <v>80</v>
          </cell>
          <cell r="H28">
            <v>128</v>
          </cell>
          <cell r="I28">
            <v>0</v>
          </cell>
          <cell r="J28">
            <v>0</v>
          </cell>
        </row>
        <row r="29">
          <cell r="B29" t="str">
            <v>Монтажная пена Технониколь 240 PROFESSIONAL, огнестойкая, TN528380</v>
          </cell>
          <cell r="E29" t="str">
            <v>шт.</v>
          </cell>
          <cell r="F29">
            <v>2</v>
          </cell>
          <cell r="G29">
            <v>4</v>
          </cell>
          <cell r="H29">
            <v>6</v>
          </cell>
          <cell r="I29">
            <v>0</v>
          </cell>
          <cell r="J29">
            <v>0</v>
          </cell>
        </row>
        <row r="30">
          <cell r="B30" t="str">
            <v>Огнезащитный силиконовый герметик Огнетитан SN однокомпонентный, серый 310 мл ТУ 2513-004-03495485-2016 БП-00000536</v>
          </cell>
          <cell r="E30" t="str">
            <v>шт.</v>
          </cell>
          <cell r="F30">
            <v>2</v>
          </cell>
          <cell r="G30">
            <v>4</v>
          </cell>
          <cell r="H30">
            <v>6</v>
          </cell>
          <cell r="I30">
            <v>0</v>
          </cell>
          <cell r="J30">
            <v>0</v>
          </cell>
        </row>
        <row r="31">
          <cell r="B31" t="str">
            <v>Монтажная лента текстильная под пистолет</v>
          </cell>
          <cell r="E31" t="str">
            <v>м.</v>
          </cell>
          <cell r="F31">
            <v>187.5</v>
          </cell>
          <cell r="G31">
            <v>340</v>
          </cell>
          <cell r="H31">
            <v>527.5</v>
          </cell>
          <cell r="I31">
            <v>0</v>
          </cell>
          <cell r="J31">
            <v>0</v>
          </cell>
        </row>
        <row r="32">
          <cell r="B32" t="str">
            <v>Гвозди по бетону усиленные Toua 3.05x19 мм, под пистолет.  (1000шт. в пч.)</v>
          </cell>
          <cell r="E32" t="str">
            <v>шт.</v>
          </cell>
          <cell r="F32">
            <v>3750</v>
          </cell>
          <cell r="G32">
            <v>6800</v>
          </cell>
          <cell r="H32">
            <v>10550</v>
          </cell>
          <cell r="I32">
            <v>0</v>
          </cell>
          <cell r="J32">
            <v>0</v>
          </cell>
        </row>
        <row r="33">
          <cell r="B33" t="str">
            <v>Итого по ЛСР, в т.ч. НДС:</v>
          </cell>
          <cell r="J33">
            <v>0</v>
          </cell>
        </row>
        <row r="34">
          <cell r="B34" t="str">
            <v>в тч стоимость работ:</v>
          </cell>
          <cell r="J34">
            <v>0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2"/>
  <sheetViews>
    <sheetView tabSelected="1" view="pageBreakPreview" topLeftCell="A7" zoomScale="70" zoomScaleSheetLayoutView="70" workbookViewId="0">
      <selection activeCell="I35" sqref="I35"/>
    </sheetView>
  </sheetViews>
  <sheetFormatPr defaultColWidth="9.109375" defaultRowHeight="13.8" outlineLevelRow="1" x14ac:dyDescent="0.3"/>
  <cols>
    <col min="1" max="1" width="13.44140625" style="33" customWidth="1"/>
    <col min="2" max="2" width="71" style="30" customWidth="1"/>
    <col min="3" max="3" width="18.109375" style="30" customWidth="1"/>
    <col min="4" max="4" width="27.33203125" style="30" customWidth="1"/>
    <col min="5" max="5" width="15.88671875" style="33" bestFit="1" customWidth="1"/>
    <col min="6" max="6" width="15.88671875" style="33" customWidth="1"/>
    <col min="7" max="7" width="15.44140625" style="41" bestFit="1" customWidth="1" collapsed="1"/>
    <col min="8" max="8" width="16" style="103" customWidth="1"/>
    <col min="9" max="9" width="21.5546875" style="103" customWidth="1"/>
    <col min="10" max="10" width="22.44140625" style="33" customWidth="1"/>
    <col min="11" max="11" width="28.5546875" style="104" customWidth="1"/>
    <col min="12" max="16384" width="9.109375" style="33"/>
  </cols>
  <sheetData>
    <row r="1" spans="1:11" x14ac:dyDescent="0.3">
      <c r="A1" s="29"/>
      <c r="C1" s="31"/>
      <c r="D1" s="32"/>
      <c r="F1" s="34"/>
      <c r="G1" s="33"/>
      <c r="H1" s="35"/>
      <c r="I1" s="36"/>
      <c r="J1" s="36"/>
      <c r="K1" s="37" t="s">
        <v>0</v>
      </c>
    </row>
    <row r="2" spans="1:11" x14ac:dyDescent="0.3">
      <c r="A2" s="29"/>
      <c r="C2" s="31"/>
      <c r="D2" s="32"/>
      <c r="F2" s="34"/>
      <c r="G2" s="33"/>
      <c r="H2" s="35"/>
      <c r="I2" s="36"/>
      <c r="J2" s="36"/>
      <c r="K2" s="37" t="s">
        <v>1</v>
      </c>
    </row>
    <row r="3" spans="1:11" x14ac:dyDescent="0.3">
      <c r="A3" s="29"/>
      <c r="C3" s="31"/>
      <c r="D3" s="32"/>
      <c r="F3" s="34"/>
      <c r="G3" s="33"/>
      <c r="H3" s="35"/>
      <c r="I3" s="36"/>
      <c r="J3" s="36"/>
      <c r="K3" s="33"/>
    </row>
    <row r="4" spans="1:11" ht="15" customHeight="1" x14ac:dyDescent="0.3">
      <c r="A4" s="29"/>
      <c r="B4" s="38" t="s">
        <v>2</v>
      </c>
      <c r="C4" s="33"/>
      <c r="D4" s="32"/>
      <c r="E4" s="34" t="s">
        <v>3</v>
      </c>
      <c r="F4" s="39"/>
      <c r="G4" s="33"/>
      <c r="H4" s="35"/>
      <c r="I4" s="36"/>
      <c r="J4" s="34" t="s">
        <v>4</v>
      </c>
      <c r="K4" s="35"/>
    </row>
    <row r="5" spans="1:11" ht="19.5" customHeight="1" x14ac:dyDescent="0.3">
      <c r="A5" s="29"/>
      <c r="B5" s="40"/>
      <c r="C5" s="33"/>
      <c r="D5" s="32"/>
      <c r="E5" s="33" t="s">
        <v>61</v>
      </c>
      <c r="G5" s="33"/>
      <c r="H5" s="33"/>
      <c r="I5" s="41"/>
      <c r="J5" s="33" t="s">
        <v>62</v>
      </c>
      <c r="K5" s="35"/>
    </row>
    <row r="6" spans="1:11" ht="15.75" customHeight="1" x14ac:dyDescent="0.3">
      <c r="A6" s="29"/>
      <c r="B6" s="40"/>
      <c r="C6" s="33"/>
      <c r="D6" s="32"/>
      <c r="E6" s="30"/>
      <c r="G6" s="33"/>
      <c r="H6" s="33"/>
      <c r="I6" s="41"/>
      <c r="K6" s="35"/>
    </row>
    <row r="7" spans="1:11" x14ac:dyDescent="0.3">
      <c r="A7" s="29"/>
      <c r="B7" s="40" t="s">
        <v>63</v>
      </c>
      <c r="C7" s="33"/>
      <c r="D7" s="32"/>
      <c r="E7" s="33" t="s">
        <v>64</v>
      </c>
      <c r="G7" s="33"/>
      <c r="H7" s="33"/>
      <c r="I7" s="41"/>
      <c r="J7" s="33" t="s">
        <v>64</v>
      </c>
      <c r="K7" s="35"/>
    </row>
    <row r="8" spans="1:11" s="43" customFormat="1" x14ac:dyDescent="0.3">
      <c r="A8" s="42"/>
      <c r="D8" s="43" t="s">
        <v>66</v>
      </c>
      <c r="G8" s="44"/>
      <c r="K8" s="45"/>
    </row>
    <row r="9" spans="1:11" s="43" customFormat="1" x14ac:dyDescent="0.3">
      <c r="A9" s="42"/>
      <c r="D9" s="43" t="s">
        <v>37</v>
      </c>
      <c r="G9" s="44"/>
      <c r="K9" s="45"/>
    </row>
    <row r="11" spans="1:11" ht="33.75" customHeight="1" x14ac:dyDescent="0.3">
      <c r="A11" s="46" t="s">
        <v>5</v>
      </c>
      <c r="B11" s="47" t="s">
        <v>6</v>
      </c>
      <c r="C11" s="47" t="s">
        <v>7</v>
      </c>
      <c r="D11" s="47" t="s">
        <v>8</v>
      </c>
      <c r="E11" s="47" t="s">
        <v>9</v>
      </c>
      <c r="F11" s="47" t="s">
        <v>56</v>
      </c>
      <c r="G11" s="48" t="s">
        <v>10</v>
      </c>
      <c r="H11" s="48" t="s">
        <v>11</v>
      </c>
      <c r="I11" s="48" t="s">
        <v>12</v>
      </c>
      <c r="J11" s="48" t="s">
        <v>13</v>
      </c>
      <c r="K11" s="48" t="s">
        <v>14</v>
      </c>
    </row>
    <row r="12" spans="1:11" x14ac:dyDescent="0.3">
      <c r="A12" s="49">
        <v>11</v>
      </c>
      <c r="B12" s="50" t="s">
        <v>15</v>
      </c>
      <c r="C12" s="50"/>
      <c r="D12" s="50"/>
      <c r="E12" s="51"/>
      <c r="F12" s="51"/>
      <c r="G12" s="52"/>
      <c r="H12" s="52"/>
      <c r="I12" s="52"/>
      <c r="J12" s="52"/>
      <c r="K12" s="52"/>
    </row>
    <row r="13" spans="1:11" x14ac:dyDescent="0.3">
      <c r="A13" s="53" t="s">
        <v>16</v>
      </c>
      <c r="B13" s="54" t="s">
        <v>17</v>
      </c>
      <c r="C13" s="54"/>
      <c r="D13" s="54"/>
      <c r="E13" s="55"/>
      <c r="F13" s="55"/>
      <c r="G13" s="56"/>
      <c r="H13" s="56"/>
      <c r="I13" s="56"/>
      <c r="J13" s="56"/>
      <c r="K13" s="56"/>
    </row>
    <row r="14" spans="1:11" x14ac:dyDescent="0.3">
      <c r="A14" s="57" t="s">
        <v>18</v>
      </c>
      <c r="B14" s="58" t="s">
        <v>19</v>
      </c>
      <c r="C14" s="58"/>
      <c r="D14" s="58"/>
      <c r="E14" s="59"/>
      <c r="F14" s="59"/>
      <c r="G14" s="60"/>
      <c r="H14" s="60"/>
      <c r="I14" s="60"/>
      <c r="J14" s="60"/>
      <c r="K14" s="60"/>
    </row>
    <row r="15" spans="1:11" x14ac:dyDescent="0.3">
      <c r="A15" s="61" t="s">
        <v>20</v>
      </c>
      <c r="B15" s="62" t="s">
        <v>19</v>
      </c>
      <c r="C15" s="62"/>
      <c r="D15" s="62"/>
      <c r="E15" s="63"/>
      <c r="F15" s="63"/>
      <c r="G15" s="64"/>
      <c r="H15" s="64"/>
      <c r="I15" s="64">
        <f>I16+I18</f>
        <v>0</v>
      </c>
      <c r="J15" s="64"/>
      <c r="K15" s="64"/>
    </row>
    <row r="16" spans="1:11" x14ac:dyDescent="0.3">
      <c r="A16" s="65"/>
      <c r="B16" s="54" t="s">
        <v>21</v>
      </c>
      <c r="C16" s="66"/>
      <c r="D16" s="66"/>
      <c r="E16" s="67"/>
      <c r="F16" s="67"/>
      <c r="G16" s="56"/>
      <c r="H16" s="56"/>
      <c r="I16" s="56">
        <f>SUM(I17:I17)</f>
        <v>0</v>
      </c>
      <c r="J16" s="56"/>
      <c r="K16" s="56"/>
    </row>
    <row r="17" spans="1:11" x14ac:dyDescent="0.3">
      <c r="A17" s="65"/>
      <c r="B17" s="68" t="s">
        <v>69</v>
      </c>
      <c r="C17" s="69"/>
      <c r="D17" s="70"/>
      <c r="E17" s="70" t="s">
        <v>22</v>
      </c>
      <c r="F17" s="112">
        <f>SUM(F23:F25)</f>
        <v>1792</v>
      </c>
      <c r="G17" s="56">
        <f>SUM(F17:F17)</f>
        <v>1792</v>
      </c>
      <c r="H17" s="71">
        <f>VLOOKUP(B17,СМР!$B$3:$F$3,5,0)</f>
        <v>0</v>
      </c>
      <c r="I17" s="72">
        <f>H17*G17</f>
        <v>0</v>
      </c>
      <c r="J17" s="56"/>
      <c r="K17" s="56"/>
    </row>
    <row r="18" spans="1:11" x14ac:dyDescent="0.3">
      <c r="A18" s="73"/>
      <c r="B18" s="74" t="s">
        <v>23</v>
      </c>
      <c r="C18" s="75"/>
      <c r="D18" s="75"/>
      <c r="E18" s="76"/>
      <c r="F18" s="113"/>
      <c r="G18" s="77"/>
      <c r="H18" s="77"/>
      <c r="I18" s="77">
        <f>SUM(I19:I26)</f>
        <v>0</v>
      </c>
      <c r="J18" s="77"/>
      <c r="K18" s="77"/>
    </row>
    <row r="19" spans="1:11" x14ac:dyDescent="0.3">
      <c r="A19" s="73"/>
      <c r="B19" s="78" t="s">
        <v>44</v>
      </c>
      <c r="C19" s="79" t="s">
        <v>45</v>
      </c>
      <c r="D19" s="80" t="s">
        <v>46</v>
      </c>
      <c r="E19" s="79" t="s">
        <v>22</v>
      </c>
      <c r="F19" s="114">
        <v>60</v>
      </c>
      <c r="G19" s="77">
        <f t="shared" ref="G19:G25" si="0">SUM(F19:F19)</f>
        <v>60</v>
      </c>
      <c r="H19" s="81">
        <f>VLOOKUP($B19,ТМЦ!$B$3:$J$14,6,0)</f>
        <v>0</v>
      </c>
      <c r="I19" s="81">
        <f t="shared" ref="I19:I20" si="1">H19*G19</f>
        <v>0</v>
      </c>
      <c r="J19" s="77"/>
      <c r="K19" s="81">
        <f>VLOOKUP($B19,ТМЦ!$B$3:$J$14,9,0)</f>
        <v>0</v>
      </c>
    </row>
    <row r="20" spans="1:11" x14ac:dyDescent="0.3">
      <c r="A20" s="73"/>
      <c r="B20" s="78" t="s">
        <v>47</v>
      </c>
      <c r="C20" s="79" t="s">
        <v>45</v>
      </c>
      <c r="D20" s="80" t="s">
        <v>48</v>
      </c>
      <c r="E20" s="79" t="s">
        <v>22</v>
      </c>
      <c r="F20" s="114">
        <v>21</v>
      </c>
      <c r="G20" s="77">
        <f t="shared" si="0"/>
        <v>21</v>
      </c>
      <c r="H20" s="81">
        <f>VLOOKUP($B20,ТМЦ!$B$3:$J$14,6,0)</f>
        <v>0</v>
      </c>
      <c r="I20" s="81">
        <f t="shared" si="1"/>
        <v>0</v>
      </c>
      <c r="J20" s="77"/>
      <c r="K20" s="81">
        <f>VLOOKUP($B20,ТМЦ!$B$3:$J$14,9,0)</f>
        <v>0</v>
      </c>
    </row>
    <row r="21" spans="1:11" x14ac:dyDescent="0.3">
      <c r="A21" s="73"/>
      <c r="B21" s="78" t="s">
        <v>49</v>
      </c>
      <c r="C21" s="79" t="s">
        <v>45</v>
      </c>
      <c r="D21" s="80" t="s">
        <v>50</v>
      </c>
      <c r="E21" s="79" t="s">
        <v>28</v>
      </c>
      <c r="F21" s="114">
        <v>120</v>
      </c>
      <c r="G21" s="77">
        <f t="shared" si="0"/>
        <v>120</v>
      </c>
      <c r="H21" s="81">
        <f>VLOOKUP($B21,ТМЦ!$B$3:$J$14,6,0)</f>
        <v>0</v>
      </c>
      <c r="I21" s="81">
        <f t="shared" ref="I21" si="2">H21*G21</f>
        <v>0</v>
      </c>
      <c r="J21" s="77"/>
      <c r="K21" s="81">
        <f>VLOOKUP($B21,ТМЦ!$B$3:$J$14,9,0)</f>
        <v>0</v>
      </c>
    </row>
    <row r="22" spans="1:11" x14ac:dyDescent="0.3">
      <c r="A22" s="73"/>
      <c r="B22" s="78" t="s">
        <v>51</v>
      </c>
      <c r="C22" s="79" t="s">
        <v>45</v>
      </c>
      <c r="D22" s="80" t="s">
        <v>52</v>
      </c>
      <c r="E22" s="79" t="s">
        <v>28</v>
      </c>
      <c r="F22" s="114">
        <v>120</v>
      </c>
      <c r="G22" s="77">
        <f t="shared" si="0"/>
        <v>120</v>
      </c>
      <c r="H22" s="81">
        <f>VLOOKUP($B22,ТМЦ!$B$3:$J$14,6,0)</f>
        <v>0</v>
      </c>
      <c r="I22" s="81">
        <f t="shared" ref="I22" si="3">H22*G22</f>
        <v>0</v>
      </c>
      <c r="J22" s="77"/>
      <c r="K22" s="81">
        <f>VLOOKUP($B22,ТМЦ!$B$3:$J$14,9,0)</f>
        <v>0</v>
      </c>
    </row>
    <row r="23" spans="1:11" ht="33" customHeight="1" x14ac:dyDescent="0.3">
      <c r="A23" s="73"/>
      <c r="B23" s="78" t="s">
        <v>24</v>
      </c>
      <c r="C23" s="79"/>
      <c r="D23" s="80" t="s">
        <v>26</v>
      </c>
      <c r="E23" s="82" t="s">
        <v>22</v>
      </c>
      <c r="F23" s="86">
        <v>1660</v>
      </c>
      <c r="G23" s="77">
        <f t="shared" si="0"/>
        <v>1660</v>
      </c>
      <c r="H23" s="81">
        <f>VLOOKUP($B23,ТМЦ!$B$3:$J$14,6,0)</f>
        <v>0</v>
      </c>
      <c r="I23" s="81">
        <f t="shared" ref="I23:I31" si="4">H23*G23</f>
        <v>0</v>
      </c>
      <c r="J23" s="77"/>
      <c r="K23" s="81">
        <f>VLOOKUP($B23,ТМЦ!$B$3:$J$14,9,0)</f>
        <v>0</v>
      </c>
    </row>
    <row r="24" spans="1:11" x14ac:dyDescent="0.3">
      <c r="A24" s="73"/>
      <c r="B24" s="78" t="s">
        <v>25</v>
      </c>
      <c r="C24" s="79"/>
      <c r="D24" s="80" t="s">
        <v>53</v>
      </c>
      <c r="E24" s="82" t="s">
        <v>22</v>
      </c>
      <c r="F24" s="86">
        <v>120</v>
      </c>
      <c r="G24" s="77">
        <f t="shared" si="0"/>
        <v>120</v>
      </c>
      <c r="H24" s="81">
        <f>VLOOKUP($B24,ТМЦ!$B$3:$J$14,6,0)</f>
        <v>0</v>
      </c>
      <c r="I24" s="81">
        <f t="shared" si="4"/>
        <v>0</v>
      </c>
      <c r="J24" s="77"/>
      <c r="K24" s="81">
        <f>VLOOKUP($B24,ТМЦ!$B$3:$J$14,9,0)</f>
        <v>0</v>
      </c>
    </row>
    <row r="25" spans="1:11" x14ac:dyDescent="0.3">
      <c r="A25" s="73"/>
      <c r="B25" s="78" t="s">
        <v>54</v>
      </c>
      <c r="C25" s="79"/>
      <c r="D25" s="80" t="s">
        <v>55</v>
      </c>
      <c r="E25" s="82" t="s">
        <v>22</v>
      </c>
      <c r="F25" s="86">
        <v>12</v>
      </c>
      <c r="G25" s="77">
        <f t="shared" si="0"/>
        <v>12</v>
      </c>
      <c r="H25" s="81">
        <f>VLOOKUP($B25,ТМЦ!$B$3:$J$14,6,0)</f>
        <v>0</v>
      </c>
      <c r="I25" s="81">
        <f t="shared" si="4"/>
        <v>0</v>
      </c>
      <c r="J25" s="77"/>
      <c r="K25" s="81">
        <f>VLOOKUP($B25,ТМЦ!$B$3:$J$14,9,0)</f>
        <v>0</v>
      </c>
    </row>
    <row r="26" spans="1:11" ht="69" x14ac:dyDescent="0.3">
      <c r="A26" s="84"/>
      <c r="B26" s="74" t="s">
        <v>65</v>
      </c>
      <c r="C26" s="79"/>
      <c r="D26" s="80"/>
      <c r="E26" s="79" t="s">
        <v>70</v>
      </c>
      <c r="F26" s="114"/>
      <c r="G26" s="85" t="e">
        <f>I26/I16</f>
        <v>#DIV/0!</v>
      </c>
      <c r="H26" s="86"/>
      <c r="I26" s="86">
        <f>SUM(I27:I31)</f>
        <v>0</v>
      </c>
      <c r="J26" s="83"/>
      <c r="K26" s="81"/>
    </row>
    <row r="27" spans="1:11" outlineLevel="1" x14ac:dyDescent="0.3">
      <c r="A27" s="73"/>
      <c r="B27" s="87" t="s">
        <v>27</v>
      </c>
      <c r="C27" s="88"/>
      <c r="D27" s="89"/>
      <c r="E27" s="90" t="s">
        <v>38</v>
      </c>
      <c r="F27" s="114">
        <f>(F24/3)*2</f>
        <v>80</v>
      </c>
      <c r="G27" s="77">
        <f>SUM(F27:F27)</f>
        <v>80</v>
      </c>
      <c r="H27" s="81">
        <f>VLOOKUP($B27,ТМЦ!$B$3:$J$14,6,0)</f>
        <v>0</v>
      </c>
      <c r="I27" s="81">
        <f t="shared" si="4"/>
        <v>0</v>
      </c>
      <c r="J27" s="77"/>
      <c r="K27" s="81">
        <f>VLOOKUP($B27,ТМЦ!$B$3:$J$14,9,0)</f>
        <v>0</v>
      </c>
    </row>
    <row r="28" spans="1:11" outlineLevel="1" x14ac:dyDescent="0.3">
      <c r="A28" s="73"/>
      <c r="B28" s="87" t="s">
        <v>39</v>
      </c>
      <c r="C28" s="88"/>
      <c r="D28" s="89"/>
      <c r="E28" s="90" t="s">
        <v>38</v>
      </c>
      <c r="F28" s="114">
        <f>(F24/3)*0.1</f>
        <v>4</v>
      </c>
      <c r="G28" s="77">
        <f>SUM(F28:F28)</f>
        <v>4</v>
      </c>
      <c r="H28" s="81">
        <f>VLOOKUP($B28,ТМЦ!$B$3:$J$14,6,0)</f>
        <v>0</v>
      </c>
      <c r="I28" s="81">
        <f t="shared" si="4"/>
        <v>0</v>
      </c>
      <c r="J28" s="77"/>
      <c r="K28" s="81">
        <f>VLOOKUP($B28,ТМЦ!$B$3:$J$14,9,0)</f>
        <v>0</v>
      </c>
    </row>
    <row r="29" spans="1:11" ht="27.6" outlineLevel="1" x14ac:dyDescent="0.3">
      <c r="A29" s="73"/>
      <c r="B29" s="87" t="s">
        <v>40</v>
      </c>
      <c r="C29" s="88"/>
      <c r="D29" s="89"/>
      <c r="E29" s="90" t="s">
        <v>38</v>
      </c>
      <c r="F29" s="114">
        <f>(F24/3)*0.1</f>
        <v>4</v>
      </c>
      <c r="G29" s="77">
        <f>SUM(F29:F29)</f>
        <v>4</v>
      </c>
      <c r="H29" s="81">
        <f>VLOOKUP($B29,ТМЦ!$B$3:$J$14,6,0)</f>
        <v>0</v>
      </c>
      <c r="I29" s="81">
        <f t="shared" si="4"/>
        <v>0</v>
      </c>
      <c r="J29" s="77"/>
      <c r="K29" s="81">
        <f>VLOOKUP($B29,ТМЦ!$B$3:$J$14,9,0)</f>
        <v>0</v>
      </c>
    </row>
    <row r="30" spans="1:11" outlineLevel="1" x14ac:dyDescent="0.3">
      <c r="A30" s="73"/>
      <c r="B30" s="87" t="s">
        <v>41</v>
      </c>
      <c r="C30" s="88"/>
      <c r="D30" s="89"/>
      <c r="E30" s="90" t="s">
        <v>42</v>
      </c>
      <c r="F30" s="114">
        <f>F23*0.25</f>
        <v>415</v>
      </c>
      <c r="G30" s="77">
        <f>SUM(F30:F30)</f>
        <v>415</v>
      </c>
      <c r="H30" s="81">
        <f>VLOOKUP($B30,ТМЦ!$B$3:$J$14,6,0)</f>
        <v>0</v>
      </c>
      <c r="I30" s="81">
        <f t="shared" si="4"/>
        <v>0</v>
      </c>
      <c r="J30" s="77"/>
      <c r="K30" s="81">
        <f>VLOOKUP($B30,ТМЦ!$B$3:$J$14,9,0)</f>
        <v>0</v>
      </c>
    </row>
    <row r="31" spans="1:11" outlineLevel="1" x14ac:dyDescent="0.3">
      <c r="A31" s="73"/>
      <c r="B31" s="87" t="s">
        <v>43</v>
      </c>
      <c r="C31" s="88"/>
      <c r="D31" s="89"/>
      <c r="E31" s="90" t="s">
        <v>38</v>
      </c>
      <c r="F31" s="114">
        <f>5*F23</f>
        <v>8300</v>
      </c>
      <c r="G31" s="77">
        <f>SUM(F31:F31)</f>
        <v>8300</v>
      </c>
      <c r="H31" s="81">
        <f>VLOOKUP($B31,ТМЦ!$B$3:$J$14,6,0)</f>
        <v>0</v>
      </c>
      <c r="I31" s="81">
        <f t="shared" si="4"/>
        <v>0</v>
      </c>
      <c r="J31" s="77"/>
      <c r="K31" s="81">
        <f>VLOOKUP($B31,ТМЦ!$B$3:$J$14,9,0)</f>
        <v>0</v>
      </c>
    </row>
    <row r="32" spans="1:11" x14ac:dyDescent="0.3">
      <c r="A32" s="61"/>
      <c r="B32" s="91"/>
      <c r="C32" s="91"/>
      <c r="D32" s="91"/>
      <c r="E32" s="92"/>
      <c r="F32" s="92"/>
      <c r="G32" s="93"/>
      <c r="H32" s="94" t="s">
        <v>67</v>
      </c>
      <c r="I32" s="93">
        <f t="shared" ref="I32:I33" si="5">I15</f>
        <v>0</v>
      </c>
      <c r="J32" s="92"/>
      <c r="K32" s="92"/>
    </row>
    <row r="33" spans="1:11" x14ac:dyDescent="0.3">
      <c r="A33" s="95"/>
      <c r="B33" s="96"/>
      <c r="C33" s="96"/>
      <c r="D33" s="96"/>
      <c r="E33" s="97"/>
      <c r="F33" s="97"/>
      <c r="G33" s="98"/>
      <c r="H33" s="99" t="s">
        <v>29</v>
      </c>
      <c r="I33" s="98">
        <f t="shared" si="5"/>
        <v>0</v>
      </c>
      <c r="J33" s="97"/>
      <c r="K33" s="97"/>
    </row>
    <row r="34" spans="1:11" x14ac:dyDescent="0.3">
      <c r="A34" s="95"/>
      <c r="B34" s="96"/>
      <c r="C34" s="96"/>
      <c r="D34" s="96"/>
      <c r="E34" s="97"/>
      <c r="F34" s="97"/>
      <c r="G34" s="98"/>
      <c r="H34" s="99" t="s">
        <v>30</v>
      </c>
      <c r="I34" s="98">
        <f>I18</f>
        <v>0</v>
      </c>
      <c r="J34" s="97"/>
      <c r="K34" s="97"/>
    </row>
    <row r="35" spans="1:11" x14ac:dyDescent="0.3">
      <c r="A35" s="95"/>
      <c r="B35" s="96"/>
      <c r="C35" s="96"/>
      <c r="D35" s="96"/>
      <c r="E35" s="97"/>
      <c r="F35" s="97"/>
      <c r="G35" s="98"/>
      <c r="H35" s="99" t="s">
        <v>68</v>
      </c>
      <c r="I35" s="100">
        <f>I32*22/122</f>
        <v>0</v>
      </c>
      <c r="J35" s="101"/>
      <c r="K35" s="101"/>
    </row>
    <row r="38" spans="1:11" ht="41.25" customHeight="1" x14ac:dyDescent="0.3">
      <c r="B38" s="102" t="s">
        <v>31</v>
      </c>
    </row>
    <row r="39" spans="1:11" x14ac:dyDescent="0.3">
      <c r="A39" s="105" t="s">
        <v>32</v>
      </c>
      <c r="B39" s="115" t="s">
        <v>33</v>
      </c>
      <c r="C39" s="115"/>
      <c r="D39" s="115"/>
      <c r="E39" s="115"/>
      <c r="F39" s="115"/>
      <c r="G39" s="115"/>
      <c r="H39" s="115"/>
      <c r="I39" s="115"/>
      <c r="J39" s="115"/>
      <c r="K39" s="106"/>
    </row>
    <row r="40" spans="1:11" ht="31.2" customHeight="1" x14ac:dyDescent="0.3">
      <c r="A40" s="107" t="s">
        <v>32</v>
      </c>
      <c r="B40" s="116" t="s">
        <v>34</v>
      </c>
      <c r="C40" s="116"/>
      <c r="D40" s="116"/>
      <c r="E40" s="116"/>
      <c r="F40" s="116"/>
      <c r="G40" s="116"/>
      <c r="H40" s="116"/>
      <c r="I40" s="116"/>
      <c r="J40" s="116"/>
      <c r="K40" s="108"/>
    </row>
    <row r="41" spans="1:11" x14ac:dyDescent="0.3">
      <c r="A41" s="105" t="s">
        <v>32</v>
      </c>
      <c r="B41" s="117" t="s">
        <v>35</v>
      </c>
      <c r="C41" s="117"/>
      <c r="D41" s="117"/>
      <c r="E41" s="117"/>
      <c r="F41" s="117"/>
      <c r="G41" s="117"/>
      <c r="H41" s="117"/>
      <c r="I41" s="117"/>
      <c r="J41" s="117"/>
      <c r="K41" s="117"/>
    </row>
    <row r="42" spans="1:11" x14ac:dyDescent="0.3">
      <c r="A42" s="105"/>
      <c r="B42" s="109"/>
      <c r="C42" s="110"/>
      <c r="D42" s="110"/>
      <c r="E42" s="110"/>
      <c r="F42" s="110"/>
      <c r="G42" s="111"/>
      <c r="H42" s="110"/>
      <c r="I42" s="110"/>
      <c r="J42" s="110"/>
      <c r="K42" s="108"/>
    </row>
  </sheetData>
  <mergeCells count="3">
    <mergeCell ref="B39:J39"/>
    <mergeCell ref="B40:J40"/>
    <mergeCell ref="B41:K41"/>
  </mergeCells>
  <conditionalFormatting sqref="K19:K31">
    <cfRule type="cellIs" dxfId="2" priority="1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8" scale="3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49CDC-A1BF-463D-9484-4AF8EAB69EFC}">
  <dimension ref="A1:K10"/>
  <sheetViews>
    <sheetView workbookViewId="0">
      <pane xSplit="8" ySplit="2" topLeftCell="I3" activePane="bottomRight" state="frozen"/>
      <selection activeCell="H3" sqref="H3:H5"/>
      <selection pane="topRight" activeCell="H3" sqref="H3:H5"/>
      <selection pane="bottomLeft" activeCell="H3" sqref="H3:H5"/>
      <selection pane="bottomRight" activeCell="B4" sqref="B4"/>
    </sheetView>
  </sheetViews>
  <sheetFormatPr defaultRowHeight="13.8" x14ac:dyDescent="0.3"/>
  <cols>
    <col min="1" max="1" width="7.44140625" style="1" customWidth="1"/>
    <col min="2" max="2" width="26.21875" style="1" customWidth="1"/>
    <col min="3" max="3" width="30.5546875" style="1" customWidth="1"/>
    <col min="4" max="6" width="8.88671875" style="1"/>
    <col min="7" max="7" width="15" style="1" customWidth="1"/>
    <col min="8" max="8" width="17.44140625" style="1" customWidth="1"/>
    <col min="9" max="16384" width="8.88671875" style="1"/>
  </cols>
  <sheetData>
    <row r="1" spans="1:11" x14ac:dyDescent="0.3">
      <c r="A1" s="1" t="s">
        <v>57</v>
      </c>
    </row>
    <row r="2" spans="1:11" x14ac:dyDescent="0.3">
      <c r="A2" s="2" t="s">
        <v>36</v>
      </c>
      <c r="B2" s="3" t="s">
        <v>6</v>
      </c>
      <c r="C2" s="3" t="s">
        <v>8</v>
      </c>
      <c r="D2" s="3" t="s">
        <v>9</v>
      </c>
      <c r="E2" s="4" t="s">
        <v>10</v>
      </c>
      <c r="F2" s="5" t="s">
        <v>11</v>
      </c>
      <c r="G2" s="5" t="s">
        <v>12</v>
      </c>
      <c r="H2" s="5" t="s">
        <v>13</v>
      </c>
    </row>
    <row r="3" spans="1:11" x14ac:dyDescent="0.3">
      <c r="A3" s="6">
        <f>ROW()-2</f>
        <v>1</v>
      </c>
      <c r="B3" s="2" t="s">
        <v>69</v>
      </c>
      <c r="C3" s="6"/>
      <c r="D3" s="6" t="s">
        <v>22</v>
      </c>
      <c r="E3" s="7">
        <f>SUMIF(ЛСР!$B$12:$B$31,B3,ЛСР!$G$12:$G$31)</f>
        <v>1792</v>
      </c>
      <c r="F3" s="7"/>
      <c r="G3" s="7">
        <f>F3*E3</f>
        <v>0</v>
      </c>
      <c r="H3" s="2"/>
    </row>
    <row r="4" spans="1:11" x14ac:dyDescent="0.3">
      <c r="F4" s="8" t="s">
        <v>58</v>
      </c>
      <c r="G4" s="9">
        <f>SUM(G3:G3)</f>
        <v>0</v>
      </c>
    </row>
    <row r="5" spans="1:11" x14ac:dyDescent="0.3">
      <c r="F5" s="8" t="s">
        <v>59</v>
      </c>
      <c r="G5" s="10">
        <f>G4-ЛСР!I33</f>
        <v>0</v>
      </c>
    </row>
    <row r="7" spans="1:11" x14ac:dyDescent="0.3">
      <c r="B7" s="11" t="s">
        <v>31</v>
      </c>
      <c r="C7" s="11"/>
      <c r="D7" s="12"/>
      <c r="G7" s="13"/>
      <c r="I7" s="14"/>
      <c r="J7" s="15"/>
      <c r="K7" s="14"/>
    </row>
    <row r="8" spans="1:11" ht="41.25" customHeight="1" x14ac:dyDescent="0.3">
      <c r="A8" s="16" t="s">
        <v>32</v>
      </c>
      <c r="B8" s="118" t="s">
        <v>33</v>
      </c>
      <c r="C8" s="118"/>
      <c r="D8" s="118"/>
      <c r="E8" s="118"/>
      <c r="F8" s="118"/>
      <c r="G8" s="118"/>
      <c r="H8" s="118"/>
      <c r="I8" s="17"/>
      <c r="J8" s="17"/>
      <c r="K8" s="18"/>
    </row>
    <row r="9" spans="1:11" ht="73.2" customHeight="1" x14ac:dyDescent="0.3">
      <c r="A9" s="19" t="s">
        <v>32</v>
      </c>
      <c r="B9" s="118" t="s">
        <v>34</v>
      </c>
      <c r="C9" s="118"/>
      <c r="D9" s="118"/>
      <c r="E9" s="118"/>
      <c r="F9" s="118"/>
      <c r="G9" s="118"/>
      <c r="H9" s="118"/>
      <c r="I9" s="17"/>
      <c r="J9" s="17"/>
      <c r="K9" s="20"/>
    </row>
    <row r="10" spans="1:11" ht="13.8" customHeight="1" x14ac:dyDescent="0.3">
      <c r="A10" s="16" t="s">
        <v>32</v>
      </c>
      <c r="B10" s="21" t="s">
        <v>35</v>
      </c>
      <c r="C10" s="21"/>
      <c r="D10" s="21"/>
      <c r="E10" s="21"/>
      <c r="F10" s="21"/>
      <c r="G10" s="21"/>
      <c r="H10" s="21"/>
      <c r="I10" s="21"/>
      <c r="J10" s="21"/>
      <c r="K10" s="22"/>
    </row>
  </sheetData>
  <mergeCells count="2">
    <mergeCell ref="B8:H8"/>
    <mergeCell ref="B9:H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8DAC8-BBB2-486C-AADF-27BDB0FEF3B5}">
  <dimension ref="A1:K21"/>
  <sheetViews>
    <sheetView workbookViewId="0">
      <pane xSplit="10" ySplit="2" topLeftCell="K5" activePane="bottomRight" state="frozen"/>
      <selection activeCell="H3" sqref="H3:H5"/>
      <selection pane="topRight" activeCell="H3" sqref="H3:H5"/>
      <selection pane="bottomLeft" activeCell="H3" sqref="H3:H5"/>
      <selection pane="bottomRight" activeCell="I8" sqref="I5:I8"/>
    </sheetView>
  </sheetViews>
  <sheetFormatPr defaultRowHeight="14.4" x14ac:dyDescent="0.3"/>
  <cols>
    <col min="1" max="1" width="8.88671875" style="23"/>
    <col min="2" max="2" width="35.6640625" style="23" customWidth="1"/>
    <col min="3" max="3" width="24.21875" style="23" customWidth="1"/>
    <col min="4" max="4" width="33.77734375" style="23" customWidth="1"/>
    <col min="5" max="7" width="8.88671875" style="23"/>
    <col min="8" max="8" width="15.88671875" style="23" customWidth="1"/>
    <col min="9" max="9" width="32.109375" style="23" customWidth="1"/>
    <col min="10" max="10" width="17.88671875" style="23" customWidth="1"/>
    <col min="11" max="16384" width="8.88671875" style="23"/>
  </cols>
  <sheetData>
    <row r="1" spans="1:10" x14ac:dyDescent="0.3">
      <c r="A1" s="23" t="s">
        <v>60</v>
      </c>
    </row>
    <row r="2" spans="1:10" ht="27.6" x14ac:dyDescent="0.3">
      <c r="A2" s="24" t="s">
        <v>36</v>
      </c>
      <c r="B2" s="3" t="s">
        <v>6</v>
      </c>
      <c r="C2" s="3" t="s">
        <v>7</v>
      </c>
      <c r="D2" s="3" t="s">
        <v>8</v>
      </c>
      <c r="E2" s="3" t="s">
        <v>9</v>
      </c>
      <c r="F2" s="4" t="s">
        <v>10</v>
      </c>
      <c r="G2" s="5" t="s">
        <v>11</v>
      </c>
      <c r="H2" s="5" t="s">
        <v>12</v>
      </c>
      <c r="I2" s="5" t="s">
        <v>13</v>
      </c>
      <c r="J2" s="5" t="s">
        <v>14</v>
      </c>
    </row>
    <row r="3" spans="1:10" x14ac:dyDescent="0.3">
      <c r="A3" s="6">
        <f>ROW()-2</f>
        <v>1</v>
      </c>
      <c r="B3" s="25" t="s">
        <v>44</v>
      </c>
      <c r="C3" s="26" t="s">
        <v>45</v>
      </c>
      <c r="D3" s="27" t="s">
        <v>46</v>
      </c>
      <c r="E3" s="27" t="s">
        <v>22</v>
      </c>
      <c r="F3" s="7">
        <f>SUMIF(ЛСР!$B$12:$B$31,B3,ЛСР!$G$12:$G$31)</f>
        <v>60</v>
      </c>
      <c r="G3" s="28"/>
      <c r="H3" s="28">
        <f>G3*F3</f>
        <v>0</v>
      </c>
      <c r="I3" s="27">
        <f>VLOOKUP(B3,[2]ЛСР!$B$13:$K$34,10,0)</f>
        <v>0</v>
      </c>
      <c r="J3" s="26"/>
    </row>
    <row r="4" spans="1:10" ht="28.8" x14ac:dyDescent="0.3">
      <c r="A4" s="6">
        <f t="shared" ref="A4:A14" si="0">ROW()-2</f>
        <v>2</v>
      </c>
      <c r="B4" s="25" t="s">
        <v>47</v>
      </c>
      <c r="C4" s="26" t="s">
        <v>45</v>
      </c>
      <c r="D4" s="27" t="s">
        <v>48</v>
      </c>
      <c r="E4" s="27" t="s">
        <v>22</v>
      </c>
      <c r="F4" s="7">
        <f>SUMIF(ЛСР!$B$12:$B$31,B4,ЛСР!$G$12:$G$31)</f>
        <v>21</v>
      </c>
      <c r="G4" s="28"/>
      <c r="H4" s="28">
        <f t="shared" ref="H4:H14" si="1">G4*F4</f>
        <v>0</v>
      </c>
      <c r="I4" s="27">
        <f>VLOOKUP(B4,[2]ЛСР!$B$13:$K$34,10,0)</f>
        <v>0</v>
      </c>
      <c r="J4" s="26"/>
    </row>
    <row r="5" spans="1:10" x14ac:dyDescent="0.3">
      <c r="A5" s="6">
        <f t="shared" si="0"/>
        <v>3</v>
      </c>
      <c r="B5" s="25" t="s">
        <v>49</v>
      </c>
      <c r="C5" s="26" t="s">
        <v>45</v>
      </c>
      <c r="D5" s="27" t="s">
        <v>50</v>
      </c>
      <c r="E5" s="27" t="s">
        <v>28</v>
      </c>
      <c r="F5" s="7">
        <f>SUMIF(ЛСР!$B$12:$B$31,B5,ЛСР!$G$12:$G$31)</f>
        <v>120</v>
      </c>
      <c r="G5" s="28"/>
      <c r="H5" s="28">
        <f t="shared" si="1"/>
        <v>0</v>
      </c>
      <c r="I5" s="27">
        <f>VLOOKUP(B5,ЛСР!$B$12:$J$31,9,0)</f>
        <v>0</v>
      </c>
      <c r="J5" s="26"/>
    </row>
    <row r="6" spans="1:10" ht="28.8" x14ac:dyDescent="0.3">
      <c r="A6" s="6">
        <f t="shared" si="0"/>
        <v>4</v>
      </c>
      <c r="B6" s="25" t="s">
        <v>51</v>
      </c>
      <c r="C6" s="26" t="s">
        <v>45</v>
      </c>
      <c r="D6" s="27" t="s">
        <v>52</v>
      </c>
      <c r="E6" s="27" t="s">
        <v>28</v>
      </c>
      <c r="F6" s="7">
        <f>SUMIF(ЛСР!$B$12:$B$31,B6,ЛСР!$G$12:$G$31)</f>
        <v>120</v>
      </c>
      <c r="G6" s="28"/>
      <c r="H6" s="28">
        <f t="shared" si="1"/>
        <v>0</v>
      </c>
      <c r="I6" s="27">
        <f>VLOOKUP(B6,ЛСР!$B$12:$J$31,9,0)</f>
        <v>0</v>
      </c>
      <c r="J6" s="26"/>
    </row>
    <row r="7" spans="1:10" x14ac:dyDescent="0.3">
      <c r="A7" s="6">
        <f t="shared" si="0"/>
        <v>5</v>
      </c>
      <c r="B7" s="25" t="s">
        <v>24</v>
      </c>
      <c r="C7" s="26"/>
      <c r="D7" s="27" t="s">
        <v>26</v>
      </c>
      <c r="E7" s="27" t="s">
        <v>22</v>
      </c>
      <c r="F7" s="7">
        <f>SUMIF(ЛСР!$B$12:$B$31,B7,ЛСР!$G$12:$G$31)</f>
        <v>1660</v>
      </c>
      <c r="G7" s="28"/>
      <c r="H7" s="28">
        <f t="shared" si="1"/>
        <v>0</v>
      </c>
      <c r="I7" s="27">
        <f>VLOOKUP(B7,ЛСР!$B$12:$J$31,9,0)</f>
        <v>0</v>
      </c>
      <c r="J7" s="26"/>
    </row>
    <row r="8" spans="1:10" ht="31.2" customHeight="1" x14ac:dyDescent="0.3">
      <c r="A8" s="6">
        <f t="shared" si="0"/>
        <v>6</v>
      </c>
      <c r="B8" s="25" t="s">
        <v>25</v>
      </c>
      <c r="C8" s="26"/>
      <c r="D8" s="27" t="s">
        <v>53</v>
      </c>
      <c r="E8" s="27" t="s">
        <v>22</v>
      </c>
      <c r="F8" s="7">
        <f>SUMIF(ЛСР!$B$12:$B$31,B8,ЛСР!$G$12:$G$31)</f>
        <v>120</v>
      </c>
      <c r="G8" s="28"/>
      <c r="H8" s="28">
        <f t="shared" si="1"/>
        <v>0</v>
      </c>
      <c r="I8" s="27">
        <f>VLOOKUP(B8,ЛСР!$B$12:$J$31,9,0)</f>
        <v>0</v>
      </c>
      <c r="J8" s="26"/>
    </row>
    <row r="9" spans="1:10" x14ac:dyDescent="0.3">
      <c r="A9" s="6">
        <f t="shared" si="0"/>
        <v>7</v>
      </c>
      <c r="B9" s="25" t="s">
        <v>54</v>
      </c>
      <c r="C9" s="26"/>
      <c r="D9" s="27" t="s">
        <v>55</v>
      </c>
      <c r="E9" s="27" t="s">
        <v>22</v>
      </c>
      <c r="F9" s="7">
        <f>SUMIF(ЛСР!$B$12:$B$31,B9,ЛСР!$G$12:$G$31)</f>
        <v>12</v>
      </c>
      <c r="G9" s="28"/>
      <c r="H9" s="28">
        <f t="shared" si="1"/>
        <v>0</v>
      </c>
      <c r="I9" s="27">
        <f>VLOOKUP(B9,ЛСР!$B$12:$J$31,9,0)</f>
        <v>0</v>
      </c>
      <c r="J9" s="26"/>
    </row>
    <row r="10" spans="1:10" ht="28.8" x14ac:dyDescent="0.3">
      <c r="A10" s="6">
        <f t="shared" si="0"/>
        <v>8</v>
      </c>
      <c r="B10" s="25" t="s">
        <v>27</v>
      </c>
      <c r="C10" s="26"/>
      <c r="D10" s="27"/>
      <c r="E10" s="27" t="s">
        <v>38</v>
      </c>
      <c r="F10" s="7">
        <f>SUMIF(ЛСР!$B$12:$B$31,B10,ЛСР!$G$12:$G$31)</f>
        <v>80</v>
      </c>
      <c r="G10" s="28"/>
      <c r="H10" s="28">
        <f t="shared" si="1"/>
        <v>0</v>
      </c>
      <c r="I10" s="27">
        <f>VLOOKUP(B10,ЛСР!$B$12:$J$31,9,0)</f>
        <v>0</v>
      </c>
      <c r="J10" s="26"/>
    </row>
    <row r="11" spans="1:10" ht="28.8" x14ac:dyDescent="0.3">
      <c r="A11" s="6">
        <f t="shared" si="0"/>
        <v>9</v>
      </c>
      <c r="B11" s="25" t="s">
        <v>39</v>
      </c>
      <c r="C11" s="26"/>
      <c r="D11" s="27"/>
      <c r="E11" s="27" t="s">
        <v>38</v>
      </c>
      <c r="F11" s="7">
        <f>SUMIF(ЛСР!$B$12:$B$31,B11,ЛСР!$G$12:$G$31)</f>
        <v>4</v>
      </c>
      <c r="G11" s="28"/>
      <c r="H11" s="28">
        <f t="shared" si="1"/>
        <v>0</v>
      </c>
      <c r="I11" s="27">
        <f>VLOOKUP(B11,ЛСР!$B$12:$J$31,9,0)</f>
        <v>0</v>
      </c>
      <c r="J11" s="26"/>
    </row>
    <row r="12" spans="1:10" ht="57.6" x14ac:dyDescent="0.3">
      <c r="A12" s="6">
        <f t="shared" si="0"/>
        <v>10</v>
      </c>
      <c r="B12" s="25" t="s">
        <v>40</v>
      </c>
      <c r="C12" s="26"/>
      <c r="D12" s="27"/>
      <c r="E12" s="27" t="s">
        <v>38</v>
      </c>
      <c r="F12" s="7">
        <f>SUMIF(ЛСР!$B$12:$B$31,B12,ЛСР!$G$12:$G$31)</f>
        <v>4</v>
      </c>
      <c r="G12" s="28"/>
      <c r="H12" s="28">
        <f t="shared" si="1"/>
        <v>0</v>
      </c>
      <c r="I12" s="27">
        <f>VLOOKUP(B12,ЛСР!$B$12:$J$31,9,0)</f>
        <v>0</v>
      </c>
      <c r="J12" s="26"/>
    </row>
    <row r="13" spans="1:10" ht="33.6" customHeight="1" x14ac:dyDescent="0.3">
      <c r="A13" s="6">
        <f t="shared" si="0"/>
        <v>11</v>
      </c>
      <c r="B13" s="25" t="s">
        <v>41</v>
      </c>
      <c r="C13" s="26"/>
      <c r="D13" s="27"/>
      <c r="E13" s="27" t="s">
        <v>42</v>
      </c>
      <c r="F13" s="7">
        <f>SUMIF(ЛСР!$B$12:$B$31,B13,ЛСР!$G$12:$G$31)</f>
        <v>415</v>
      </c>
      <c r="G13" s="28"/>
      <c r="H13" s="28">
        <f t="shared" si="1"/>
        <v>0</v>
      </c>
      <c r="I13" s="27">
        <f>VLOOKUP(B13,ЛСР!$B$12:$J$31,9,0)</f>
        <v>0</v>
      </c>
      <c r="J13" s="26"/>
    </row>
    <row r="14" spans="1:10" ht="43.2" x14ac:dyDescent="0.3">
      <c r="A14" s="6">
        <f t="shared" si="0"/>
        <v>12</v>
      </c>
      <c r="B14" s="25" t="s">
        <v>43</v>
      </c>
      <c r="C14" s="26"/>
      <c r="D14" s="27"/>
      <c r="E14" s="27" t="s">
        <v>38</v>
      </c>
      <c r="F14" s="7">
        <f>SUMIF(ЛСР!$B$12:$B$31,B14,ЛСР!$G$12:$G$31)</f>
        <v>8300</v>
      </c>
      <c r="G14" s="28"/>
      <c r="H14" s="28">
        <f t="shared" si="1"/>
        <v>0</v>
      </c>
      <c r="I14" s="27">
        <f>VLOOKUP(B14,ЛСР!$B$12:$J$31,9,0)</f>
        <v>0</v>
      </c>
      <c r="J14" s="26"/>
    </row>
    <row r="15" spans="1:10" x14ac:dyDescent="0.3">
      <c r="G15" s="8" t="s">
        <v>58</v>
      </c>
      <c r="H15" s="9">
        <f>SUM(H3:H14)</f>
        <v>0</v>
      </c>
    </row>
    <row r="16" spans="1:10" x14ac:dyDescent="0.3">
      <c r="G16" s="8" t="s">
        <v>59</v>
      </c>
      <c r="H16" s="10">
        <f>H15-ЛСР!I34</f>
        <v>0</v>
      </c>
    </row>
    <row r="18" spans="1:11" s="1" customFormat="1" ht="13.8" x14ac:dyDescent="0.3">
      <c r="B18" s="11" t="s">
        <v>31</v>
      </c>
      <c r="C18" s="11"/>
      <c r="D18" s="12"/>
      <c r="E18" s="12"/>
      <c r="G18" s="13"/>
      <c r="I18" s="14"/>
      <c r="J18" s="15"/>
      <c r="K18" s="14"/>
    </row>
    <row r="19" spans="1:11" s="1" customFormat="1" ht="41.25" customHeight="1" x14ac:dyDescent="0.3">
      <c r="A19" s="16" t="s">
        <v>32</v>
      </c>
      <c r="B19" s="118" t="s">
        <v>33</v>
      </c>
      <c r="C19" s="118"/>
      <c r="D19" s="118"/>
      <c r="E19" s="118"/>
      <c r="F19" s="118"/>
      <c r="G19" s="118"/>
      <c r="H19" s="118"/>
      <c r="I19" s="17"/>
      <c r="J19" s="17"/>
      <c r="K19" s="18"/>
    </row>
    <row r="20" spans="1:11" s="1" customFormat="1" ht="73.2" customHeight="1" x14ac:dyDescent="0.3">
      <c r="A20" s="19" t="s">
        <v>32</v>
      </c>
      <c r="B20" s="118" t="s">
        <v>34</v>
      </c>
      <c r="C20" s="118"/>
      <c r="D20" s="118"/>
      <c r="E20" s="118"/>
      <c r="F20" s="118"/>
      <c r="G20" s="118"/>
      <c r="H20" s="118"/>
      <c r="I20" s="17"/>
      <c r="J20" s="17"/>
      <c r="K20" s="20"/>
    </row>
    <row r="21" spans="1:11" s="1" customFormat="1" ht="13.8" customHeight="1" x14ac:dyDescent="0.3">
      <c r="A21" s="16" t="s">
        <v>32</v>
      </c>
      <c r="B21" s="21" t="s">
        <v>35</v>
      </c>
      <c r="C21" s="21"/>
      <c r="D21" s="21"/>
      <c r="E21" s="21"/>
      <c r="F21" s="21"/>
      <c r="G21" s="21"/>
      <c r="H21" s="21"/>
      <c r="I21" s="21"/>
      <c r="J21" s="21"/>
      <c r="K21" s="22"/>
    </row>
  </sheetData>
  <mergeCells count="2">
    <mergeCell ref="B19:H19"/>
    <mergeCell ref="B20:H20"/>
  </mergeCells>
  <conditionalFormatting sqref="B1:B1048576">
    <cfRule type="duplicateValues" dxfId="1" priority="2"/>
  </conditionalFormatting>
  <conditionalFormatting sqref="I3:I14">
    <cfRule type="cellIs" dxfId="0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ЛСР</vt:lpstr>
      <vt:lpstr>СМР</vt:lpstr>
      <vt:lpstr>ТМЦ</vt:lpstr>
      <vt:lpstr>ЛСР!Область_печати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Бойев Темур Сатторович</dc:creator>
  <cp:lastModifiedBy>Калуга Валентина Николаевна</cp:lastModifiedBy>
  <cp:revision>1</cp:revision>
  <dcterms:created xsi:type="dcterms:W3CDTF">2015-06-05T18:19:34Z</dcterms:created>
  <dcterms:modified xsi:type="dcterms:W3CDTF">2026-02-18T17:31:57Z</dcterms:modified>
</cp:coreProperties>
</file>