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62AC80AF-1EEB-43B7-88EC-74CD43666F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12" r:id="rId1"/>
    <sheet name="СМР" sheetId="15" r:id="rId2"/>
    <sheet name="ТМЦ" sheetId="16" r:id="rId3"/>
  </sheets>
  <externalReferences>
    <externalReference r:id="rId4"/>
  </externalReferences>
  <definedNames>
    <definedName name="_xlnm._FilterDatabase" localSheetId="0" hidden="1">ЛСР!$A$12:$L$75</definedName>
    <definedName name="Данные">[1]Тестовый!$F$10:$H$14</definedName>
    <definedName name="_xlnm.Print_Area" localSheetId="0">ЛСР!$A$8:$L$81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2" l="1"/>
  <c r="F33" i="12"/>
  <c r="H41" i="12"/>
  <c r="H40" i="12"/>
  <c r="L30" i="12"/>
  <c r="L29" i="12"/>
  <c r="L28" i="12"/>
  <c r="L27" i="12"/>
  <c r="L26" i="12"/>
  <c r="L25" i="12"/>
  <c r="L24" i="12"/>
  <c r="L23" i="12"/>
  <c r="L22" i="12"/>
  <c r="L36" i="12"/>
  <c r="L35" i="12"/>
  <c r="L34" i="12"/>
  <c r="L33" i="12"/>
  <c r="L32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43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36" i="12"/>
  <c r="I35" i="12"/>
  <c r="I34" i="12"/>
  <c r="I33" i="12"/>
  <c r="I32" i="12"/>
  <c r="I23" i="12"/>
  <c r="I24" i="12"/>
  <c r="I25" i="12"/>
  <c r="I26" i="12"/>
  <c r="I27" i="12"/>
  <c r="I28" i="12"/>
  <c r="I29" i="12"/>
  <c r="I30" i="12"/>
  <c r="I22" i="12"/>
  <c r="K3" i="16"/>
  <c r="K4" i="16"/>
  <c r="K5" i="16"/>
  <c r="K6" i="16"/>
  <c r="K7" i="16"/>
  <c r="K8" i="16"/>
  <c r="K9" i="16"/>
  <c r="K10" i="16"/>
  <c r="K11" i="16"/>
  <c r="K12" i="16"/>
  <c r="K13" i="16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F4" i="16"/>
  <c r="G4" i="16"/>
  <c r="F5" i="16"/>
  <c r="G5" i="16"/>
  <c r="F6" i="16"/>
  <c r="G6" i="16"/>
  <c r="F7" i="16"/>
  <c r="G7" i="16"/>
  <c r="F8" i="16"/>
  <c r="G8" i="16"/>
  <c r="F10" i="16"/>
  <c r="G10" i="16"/>
  <c r="F11" i="16"/>
  <c r="G11" i="16"/>
  <c r="F17" i="16"/>
  <c r="G17" i="16"/>
  <c r="F18" i="16"/>
  <c r="G18" i="16"/>
  <c r="F19" i="16"/>
  <c r="G19" i="16"/>
  <c r="F20" i="16"/>
  <c r="G20" i="16"/>
  <c r="F21" i="16"/>
  <c r="G21" i="16"/>
  <c r="F22" i="16"/>
  <c r="G22" i="16"/>
  <c r="F23" i="16"/>
  <c r="G23" i="16"/>
  <c r="F24" i="16"/>
  <c r="G24" i="16"/>
  <c r="F25" i="16"/>
  <c r="G25" i="16"/>
  <c r="F26" i="16"/>
  <c r="G26" i="16"/>
  <c r="F27" i="16"/>
  <c r="G27" i="16"/>
  <c r="F28" i="16"/>
  <c r="G28" i="16"/>
  <c r="F29" i="16"/>
  <c r="G29" i="16"/>
  <c r="F30" i="16"/>
  <c r="G30" i="16"/>
  <c r="F31" i="16"/>
  <c r="G31" i="16"/>
  <c r="F32" i="16"/>
  <c r="G32" i="16"/>
  <c r="F33" i="16"/>
  <c r="G33" i="16"/>
  <c r="F34" i="16"/>
  <c r="G34" i="16"/>
  <c r="F35" i="16"/>
  <c r="G35" i="16"/>
  <c r="F36" i="16"/>
  <c r="G36" i="16"/>
  <c r="F37" i="16"/>
  <c r="G37" i="16"/>
  <c r="F38" i="16"/>
  <c r="G38" i="16"/>
  <c r="G3" i="16"/>
  <c r="F3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I69" i="12"/>
  <c r="I68" i="12"/>
  <c r="I41" i="12"/>
  <c r="I40" i="12"/>
  <c r="I19" i="12"/>
  <c r="I20" i="12"/>
  <c r="I18" i="12"/>
  <c r="E6" i="15"/>
  <c r="F6" i="15"/>
  <c r="G6" i="15"/>
  <c r="I6" i="15" s="1"/>
  <c r="E7" i="15"/>
  <c r="F7" i="15"/>
  <c r="G7" i="15"/>
  <c r="I7" i="15" s="1"/>
  <c r="E8" i="15"/>
  <c r="F8" i="15"/>
  <c r="E9" i="15"/>
  <c r="F9" i="15"/>
  <c r="A5" i="15"/>
  <c r="A6" i="15"/>
  <c r="A7" i="15"/>
  <c r="A8" i="15"/>
  <c r="G20" i="12"/>
  <c r="F5" i="15"/>
  <c r="F20" i="12"/>
  <c r="H20" i="12"/>
  <c r="F4" i="15"/>
  <c r="E4" i="15"/>
  <c r="H69" i="12"/>
  <c r="G9" i="15" s="1"/>
  <c r="I9" i="15" s="1"/>
  <c r="H68" i="12"/>
  <c r="G8" i="15" s="1"/>
  <c r="I8" i="15" s="1"/>
  <c r="A38" i="16"/>
  <c r="A12" i="16"/>
  <c r="A11" i="16"/>
  <c r="A10" i="16"/>
  <c r="A9" i="16"/>
  <c r="A8" i="16"/>
  <c r="A7" i="16"/>
  <c r="A6" i="16"/>
  <c r="A5" i="16"/>
  <c r="A4" i="16"/>
  <c r="A3" i="16"/>
  <c r="A9" i="15"/>
  <c r="A4" i="15"/>
  <c r="A3" i="15"/>
  <c r="G32" i="12"/>
  <c r="G12" i="16" s="1"/>
  <c r="G33" i="12"/>
  <c r="G13" i="16" s="1"/>
  <c r="G34" i="12"/>
  <c r="G14" i="16" s="1"/>
  <c r="G35" i="12"/>
  <c r="G15" i="16" s="1"/>
  <c r="G36" i="12"/>
  <c r="G16" i="16" s="1"/>
  <c r="F36" i="12"/>
  <c r="F32" i="12"/>
  <c r="F35" i="12"/>
  <c r="F14" i="16"/>
  <c r="F13" i="16"/>
  <c r="G28" i="12"/>
  <c r="G19" i="12" s="1"/>
  <c r="F28" i="12"/>
  <c r="F19" i="12" s="1"/>
  <c r="H29" i="12"/>
  <c r="H10" i="16" s="1"/>
  <c r="J10" i="16" s="1"/>
  <c r="J69" i="12" l="1"/>
  <c r="J20" i="12"/>
  <c r="E5" i="15"/>
  <c r="H36" i="12"/>
  <c r="F16" i="16"/>
  <c r="H32" i="12"/>
  <c r="F12" i="16"/>
  <c r="H35" i="12"/>
  <c r="F15" i="16"/>
  <c r="G9" i="16"/>
  <c r="F9" i="16"/>
  <c r="H34" i="12"/>
  <c r="H33" i="12"/>
  <c r="H28" i="12"/>
  <c r="H9" i="16" s="1"/>
  <c r="J9" i="16" s="1"/>
  <c r="H16" i="16" l="1"/>
  <c r="J16" i="16" s="1"/>
  <c r="J36" i="12"/>
  <c r="H15" i="16"/>
  <c r="J15" i="16" s="1"/>
  <c r="J35" i="12"/>
  <c r="G5" i="15"/>
  <c r="I5" i="15" s="1"/>
  <c r="H12" i="16"/>
  <c r="J12" i="16" s="1"/>
  <c r="J32" i="12"/>
  <c r="J34" i="12"/>
  <c r="H14" i="16"/>
  <c r="J14" i="16" s="1"/>
  <c r="J33" i="12"/>
  <c r="H13" i="16"/>
  <c r="J13" i="16" s="1"/>
  <c r="H64" i="12"/>
  <c r="H38" i="16" s="1"/>
  <c r="J38" i="16" s="1"/>
  <c r="J31" i="12" l="1"/>
  <c r="H54" i="12"/>
  <c r="H28" i="16" s="1"/>
  <c r="J28" i="16" s="1"/>
  <c r="G18" i="12"/>
  <c r="F3" i="15" s="1"/>
  <c r="F18" i="12"/>
  <c r="E3" i="15" s="1"/>
  <c r="H61" i="12"/>
  <c r="H35" i="16" s="1"/>
  <c r="J35" i="16" s="1"/>
  <c r="H60" i="12"/>
  <c r="H34" i="16" s="1"/>
  <c r="J34" i="16" s="1"/>
  <c r="H59" i="12"/>
  <c r="H33" i="16" s="1"/>
  <c r="J33" i="16" s="1"/>
  <c r="H57" i="12"/>
  <c r="H31" i="16" s="1"/>
  <c r="J31" i="16" s="1"/>
  <c r="H56" i="12"/>
  <c r="H30" i="16" s="1"/>
  <c r="J30" i="16" s="1"/>
  <c r="H62" i="12"/>
  <c r="H36" i="16" s="1"/>
  <c r="J36" i="16" s="1"/>
  <c r="H18" i="12" l="1"/>
  <c r="G3" i="15" s="1"/>
  <c r="I3" i="15" s="1"/>
  <c r="H19" i="12"/>
  <c r="G4" i="15" s="1"/>
  <c r="I4" i="15" s="1"/>
  <c r="J64" i="12"/>
  <c r="J29" i="12"/>
  <c r="J28" i="12"/>
  <c r="H22" i="12"/>
  <c r="H3" i="16" s="1"/>
  <c r="J3" i="16" s="1"/>
  <c r="H23" i="12"/>
  <c r="H4" i="16" s="1"/>
  <c r="J4" i="16" s="1"/>
  <c r="H24" i="12"/>
  <c r="H5" i="16" s="1"/>
  <c r="J5" i="16" s="1"/>
  <c r="H25" i="12"/>
  <c r="H6" i="16" s="1"/>
  <c r="J6" i="16" s="1"/>
  <c r="H26" i="12"/>
  <c r="H27" i="12"/>
  <c r="H8" i="16" s="1"/>
  <c r="J8" i="16" s="1"/>
  <c r="H30" i="12"/>
  <c r="H11" i="16" s="1"/>
  <c r="J11" i="16" s="1"/>
  <c r="H43" i="12"/>
  <c r="H17" i="16" s="1"/>
  <c r="J17" i="16" s="1"/>
  <c r="H44" i="12"/>
  <c r="H18" i="16" s="1"/>
  <c r="J18" i="16" s="1"/>
  <c r="H45" i="12"/>
  <c r="H19" i="16" s="1"/>
  <c r="J19" i="16" s="1"/>
  <c r="H46" i="12"/>
  <c r="H47" i="12"/>
  <c r="H21" i="16" s="1"/>
  <c r="J21" i="16" s="1"/>
  <c r="H48" i="12"/>
  <c r="H22" i="16" s="1"/>
  <c r="J22" i="16" s="1"/>
  <c r="H49" i="12"/>
  <c r="H23" i="16" s="1"/>
  <c r="J23" i="16" s="1"/>
  <c r="H50" i="12"/>
  <c r="H24" i="16" s="1"/>
  <c r="J24" i="16" s="1"/>
  <c r="H51" i="12"/>
  <c r="H25" i="16" s="1"/>
  <c r="J25" i="16" s="1"/>
  <c r="H52" i="12"/>
  <c r="H26" i="16" s="1"/>
  <c r="J26" i="16" s="1"/>
  <c r="H53" i="12"/>
  <c r="H27" i="16" s="1"/>
  <c r="J27" i="16" s="1"/>
  <c r="H55" i="12"/>
  <c r="H29" i="16" s="1"/>
  <c r="J29" i="16" s="1"/>
  <c r="H58" i="12"/>
  <c r="H32" i="16" s="1"/>
  <c r="J32" i="16" s="1"/>
  <c r="H63" i="12"/>
  <c r="H37" i="16" s="1"/>
  <c r="J37" i="16" s="1"/>
  <c r="J41" i="12"/>
  <c r="J40" i="12"/>
  <c r="H7" i="16" l="1"/>
  <c r="J7" i="16" s="1"/>
  <c r="J26" i="12"/>
  <c r="J46" i="12"/>
  <c r="H20" i="16"/>
  <c r="J20" i="16" s="1"/>
  <c r="I10" i="15"/>
  <c r="J39" i="12"/>
  <c r="J22" i="12"/>
  <c r="J18" i="12"/>
  <c r="J43" i="12"/>
  <c r="J27" i="12"/>
  <c r="J68" i="12"/>
  <c r="J54" i="12"/>
  <c r="J23" i="12"/>
  <c r="J25" i="12"/>
  <c r="J47" i="12"/>
  <c r="J24" i="12"/>
  <c r="J50" i="12"/>
  <c r="J49" i="12"/>
  <c r="J61" i="12"/>
  <c r="J59" i="12"/>
  <c r="J60" i="12"/>
  <c r="J57" i="12"/>
  <c r="J56" i="12"/>
  <c r="J62" i="12"/>
  <c r="J44" i="12"/>
  <c r="J45" i="12"/>
  <c r="J48" i="12"/>
  <c r="J30" i="12"/>
  <c r="J51" i="12"/>
  <c r="J58" i="12"/>
  <c r="J53" i="12"/>
  <c r="J63" i="12"/>
  <c r="J52" i="12"/>
  <c r="J55" i="12"/>
  <c r="J39" i="16" l="1"/>
  <c r="J42" i="12"/>
  <c r="J67" i="12"/>
  <c r="J66" i="12" s="1"/>
  <c r="J21" i="12"/>
  <c r="J74" i="12"/>
  <c r="J40" i="16" s="1"/>
  <c r="J38" i="12" l="1"/>
  <c r="J19" i="12"/>
  <c r="J17" i="12" s="1"/>
  <c r="J73" i="12" l="1"/>
  <c r="I11" i="15" s="1"/>
  <c r="H31" i="12"/>
  <c r="J16" i="12" l="1"/>
  <c r="J72" i="12" s="1"/>
  <c r="J75" i="12" s="1"/>
</calcChain>
</file>

<file path=xl/sharedStrings.xml><?xml version="1.0" encoding="utf-8"?>
<sst xmlns="http://schemas.openxmlformats.org/spreadsheetml/2006/main" count="333" uniqueCount="133">
  <si>
    <t>№</t>
  </si>
  <si>
    <t>Наименование</t>
  </si>
  <si>
    <t>Кол-во</t>
  </si>
  <si>
    <t>шт</t>
  </si>
  <si>
    <t>м</t>
  </si>
  <si>
    <t>шт.</t>
  </si>
  <si>
    <t>Аттенюатор F 135-12</t>
  </si>
  <si>
    <t>Заглушка 75 Ом 05-4081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</si>
  <si>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</si>
  <si>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</si>
  <si>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</si>
  <si>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</si>
  <si>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</si>
  <si>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</si>
  <si>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</si>
  <si>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</si>
  <si>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</si>
  <si>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</si>
  <si>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</si>
  <si>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Устройство телевидения</t>
  </si>
  <si>
    <t>Марка</t>
  </si>
  <si>
    <t>Характеристика</t>
  </si>
  <si>
    <t>Монтаж антенны с усилителем и мачтой</t>
  </si>
  <si>
    <t>Монтаж изолятора с усилителем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</si>
  <si>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</si>
  <si>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</si>
  <si>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</si>
  <si>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</si>
  <si>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</si>
  <si>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</si>
  <si>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</si>
  <si>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</si>
  <si>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</si>
  <si>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</si>
  <si>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КПП</t>
  </si>
  <si>
    <t>№ п/п</t>
  </si>
  <si>
    <t>ПНР</t>
  </si>
  <si>
    <t>комплекс</t>
  </si>
  <si>
    <t>11.13.</t>
  </si>
  <si>
    <t>11.13.01</t>
  </si>
  <si>
    <t>11.13.01.00</t>
  </si>
  <si>
    <t>11.13.02.</t>
  </si>
  <si>
    <t>11.13.02.00</t>
  </si>
  <si>
    <t>11.13.03.</t>
  </si>
  <si>
    <t>11.13.03.00</t>
  </si>
  <si>
    <t>Форма закупа материала</t>
  </si>
  <si>
    <t>Монтаж изолятора, усилителя, тв розеток в тч все прочие материалы</t>
  </si>
  <si>
    <t>Антенна</t>
  </si>
  <si>
    <t>к антенне  4.5м (алюминий)</t>
  </si>
  <si>
    <t>Мачта</t>
  </si>
  <si>
    <t>Изолятор земли</t>
  </si>
  <si>
    <t>ЛАНС ART-1</t>
  </si>
  <si>
    <t>Усилитель тип 1</t>
  </si>
  <si>
    <t>Усилитель тип 2</t>
  </si>
  <si>
    <t>Монтаж антенны, грозозащиты, мачты, усилителя</t>
  </si>
  <si>
    <t>Кабель тип 1</t>
  </si>
  <si>
    <t>Розетка</t>
  </si>
  <si>
    <t>Провод</t>
  </si>
  <si>
    <t>F-разъем на SAT-703</t>
  </si>
  <si>
    <t>Труба тип 1</t>
  </si>
  <si>
    <t>Труба тип 2</t>
  </si>
  <si>
    <t>Кабель тип 2</t>
  </si>
  <si>
    <t>ВВГнг(А)-LS-0,66</t>
  </si>
  <si>
    <t>ПуГВнг(А)-LS</t>
  </si>
  <si>
    <t>Автоматический выключатель номиналом 16А</t>
  </si>
  <si>
    <t>Труба тип 3</t>
  </si>
  <si>
    <t xml:space="preserve">Грозозащита - разрядник, ЛАНС </t>
  </si>
  <si>
    <t>ART-UV-1</t>
  </si>
  <si>
    <t>Усилитель мультидиапазонный  (47-862 МГц). 3 входов
TERRA MA-025</t>
  </si>
  <si>
    <t>Усилитель домовой 47…860 МГц, регулируемый, 220 В
TERRA НA-126</t>
  </si>
  <si>
    <t>Щит ЩМП-4 800x650x250</t>
  </si>
  <si>
    <t>Коробка 200x160x70 мм скрытой установки (с крышкой)</t>
  </si>
  <si>
    <t>Хомут трубный 1.1/2" 47-51 с резинкой, дюбелем, винтом М8</t>
  </si>
  <si>
    <t>Кабель коаксиальный распределительный SAT-703</t>
  </si>
  <si>
    <t>Кабель силовой с медными жилами в ПВХ изоляции негорючий сечением 3х2,5мм2</t>
  </si>
  <si>
    <t>Провод с медной жилой, гибкий сечением 6 мм2</t>
  </si>
  <si>
    <t>Труба ПЭ 20х2,0 PN12</t>
  </si>
  <si>
    <t>Труба гофрированная Ду 20мм ПВХ</t>
  </si>
  <si>
    <t>заземление</t>
  </si>
  <si>
    <t>Антенна ДМВ, "Сигнал профи", Зэтрон, 12,5дБ, АТКГ(В)-5.1.21-60.4 МИР 5 эл. МВ 1-3 канал</t>
  </si>
  <si>
    <t>F 135-12</t>
  </si>
  <si>
    <t>штепсельная для открытой проводки с 3-м заземляющим контактом 220В, 10 А</t>
  </si>
  <si>
    <t>05-4081</t>
  </si>
  <si>
    <t>SAT-703</t>
  </si>
  <si>
    <t>LA-4-24</t>
  </si>
  <si>
    <t>LA-4-20</t>
  </si>
  <si>
    <t>LA-4-18</t>
  </si>
  <si>
    <t>LA-4-16</t>
  </si>
  <si>
    <t>LA-4-14</t>
  </si>
  <si>
    <t>LA-4-12</t>
  </si>
  <si>
    <t>LA-4-10</t>
  </si>
  <si>
    <t>LV-2</t>
  </si>
  <si>
    <t xml:space="preserve">Щит ЩМП-3 650x500x220  </t>
  </si>
  <si>
    <t>LV-4</t>
  </si>
  <si>
    <t>Устройство системы телевидения ГП-214.</t>
  </si>
  <si>
    <t>гладкая ПВХ диаметром 50мм</t>
  </si>
  <si>
    <t xml:space="preserve"> Труба электросварная 76х3,5</t>
  </si>
  <si>
    <t>Труба тип 5</t>
  </si>
  <si>
    <t>Металлорукав в ПВХ изоляции РЗ-ЦП 16</t>
  </si>
  <si>
    <t>Труба тип 4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</si>
  <si>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</si>
  <si>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</si>
  <si>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Монтажная лента текстильная под пистолет</t>
  </si>
  <si>
    <t>м.</t>
  </si>
  <si>
    <t>Гвозди по бетону усиленные Toua 3.05x19 мм, под пистолет.  (1000шт. в пч.)</t>
  </si>
  <si>
    <t>ГП-214.1</t>
  </si>
  <si>
    <t>ГП-214.2</t>
  </si>
  <si>
    <t>ООО "ЭНКО СТРОЙ"</t>
  </si>
  <si>
    <t>ООО "Технический заказчик "ЭНКО"</t>
  </si>
  <si>
    <t>_________________/</t>
  </si>
  <si>
    <t>___________/С.И. Ярков</t>
  </si>
  <si>
    <t>Локальный сметный расчет №</t>
  </si>
  <si>
    <r>
      <t xml:space="preserve">Прочие материалы </t>
    </r>
    <r>
      <rPr>
        <sz val="10"/>
        <rFont val="Arial Narrow"/>
        <family val="2"/>
        <charset val="204"/>
      </rPr>
      <t>(Хомут трубный 1.1/2" 47-51 с резинкой, дюбелем, винтом М8, Монтажная пена Технониколь 240 PROFESSIONAL, огнестойкая, TN528380, Огнезащитный силиконовый герметик Огнетитан SN однокомпонентный, серый 310 мл ТУ 2513-004-03495485-2016 БП-00000536, Монтажная лента текстильная под пистолет, Гвозди по бетону усиленные Toua 3.05x19 мм, под пистолет.  (1000шт. в пч.))</t>
    </r>
  </si>
  <si>
    <t>Ведомость объемов работ</t>
  </si>
  <si>
    <t>ИТОГО:</t>
  </si>
  <si>
    <t>проверка:</t>
  </si>
  <si>
    <t>Спецификация материалов</t>
  </si>
  <si>
    <t>Итого по ЛСР, в т.ч. НДС:</t>
  </si>
  <si>
    <t>в тч НДС 22%:</t>
  </si>
  <si>
    <t>Пусконаладочные работы секция 1</t>
  </si>
  <si>
    <t>Пусконаладочные работы секция 2</t>
  </si>
  <si>
    <t>%</t>
  </si>
  <si>
    <t>Ответвитель тип 1</t>
  </si>
  <si>
    <t>Ответвитель тип 2</t>
  </si>
  <si>
    <t>Ответвитель тип 3</t>
  </si>
  <si>
    <t>Ответвитель тип 4</t>
  </si>
  <si>
    <t>Ответвитель тип 5</t>
  </si>
  <si>
    <t>Ответвитель тип 6</t>
  </si>
  <si>
    <t>Ответвитель тип 7</t>
  </si>
  <si>
    <t>Делитель тип 1</t>
  </si>
  <si>
    <t>Делитель тип 2</t>
  </si>
  <si>
    <t>Прокладка трубы</t>
  </si>
  <si>
    <t>Прокладка металлорукава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</si>
</sst>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8" fillId="0" borderId="0"/>
  </cellStyleXfs>
  <cellXfs count="131">
    <xf numFmtId="0" fontId="0" fillId="0" borderId="0" xfId="0"/>
    <xf numFmtId="49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 applyAlignment="1">
      <alignment vertical="center"/>
    </xf>
    <xf numFmtId="4" fontId="9" fillId="0" borderId="0" xfId="8" applyNumberFormat="1" applyFont="1"/>
    <xf numFmtId="0" fontId="9" fillId="0" borderId="0" xfId="0" applyFont="1"/>
    <xf numFmtId="4" fontId="10" fillId="0" borderId="0" xfId="8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9" fillId="0" borderId="0" xfId="8" applyFont="1" applyAlignment="1">
      <alignment horizontal="right"/>
    </xf>
    <xf numFmtId="0" fontId="10" fillId="0" borderId="0" xfId="8" applyFont="1" applyAlignment="1">
      <alignment vertical="center"/>
    </xf>
    <xf numFmtId="0" fontId="10" fillId="0" borderId="0" xfId="8" applyFont="1"/>
    <xf numFmtId="0" fontId="9" fillId="0" borderId="0" xfId="0" applyFont="1" applyAlignment="1">
      <alignment vertical="center" wrapText="1"/>
    </xf>
    <xf numFmtId="4" fontId="10" fillId="0" borderId="0" xfId="0" applyNumberFormat="1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/>
    </xf>
    <xf numFmtId="4" fontId="9" fillId="0" borderId="0" xfId="0" applyNumberFormat="1" applyFont="1"/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9" fontId="11" fillId="6" borderId="5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49" fontId="12" fillId="3" borderId="0" xfId="0" applyNumberFormat="1" applyFont="1" applyFill="1" applyAlignment="1">
      <alignment horizontal="center" vertical="center"/>
    </xf>
    <xf numFmtId="0" fontId="14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9" fillId="0" borderId="0" xfId="9" applyFont="1"/>
    <xf numFmtId="0" fontId="9" fillId="0" borderId="1" xfId="9" applyFont="1" applyBorder="1"/>
    <xf numFmtId="0" fontId="11" fillId="0" borderId="1" xfId="9" applyFont="1" applyBorder="1" applyAlignment="1">
      <alignment horizontal="center" vertical="center" wrapText="1"/>
    </xf>
    <xf numFmtId="164" fontId="10" fillId="0" borderId="1" xfId="9" applyNumberFormat="1" applyFont="1" applyBorder="1" applyAlignment="1">
      <alignment horizontal="center" vertical="center" wrapText="1"/>
    </xf>
    <xf numFmtId="4" fontId="11" fillId="0" borderId="1" xfId="9" applyNumberFormat="1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4" fontId="9" fillId="0" borderId="1" xfId="9" applyNumberFormat="1" applyFont="1" applyBorder="1" applyAlignment="1">
      <alignment horizontal="center" vertical="center"/>
    </xf>
    <xf numFmtId="0" fontId="9" fillId="0" borderId="1" xfId="9" applyFont="1" applyBorder="1" applyAlignment="1">
      <alignment horizontal="center" wrapText="1"/>
    </xf>
    <xf numFmtId="0" fontId="9" fillId="0" borderId="1" xfId="9" applyFont="1" applyBorder="1" applyAlignment="1">
      <alignment horizontal="left" vertical="center"/>
    </xf>
    <xf numFmtId="0" fontId="9" fillId="0" borderId="0" xfId="9" applyFont="1" applyAlignment="1">
      <alignment horizontal="right"/>
    </xf>
    <xf numFmtId="4" fontId="10" fillId="0" borderId="0" xfId="9" applyNumberFormat="1" applyFont="1" applyAlignment="1">
      <alignment horizontal="center" vertical="center"/>
    </xf>
    <xf numFmtId="4" fontId="9" fillId="0" borderId="0" xfId="9" applyNumberFormat="1" applyFont="1" applyAlignment="1">
      <alignment horizontal="center" vertical="center"/>
    </xf>
    <xf numFmtId="0" fontId="14" fillId="0" borderId="0" xfId="9" applyFont="1" applyAlignment="1">
      <alignment vertical="center" wrapText="1"/>
    </xf>
    <xf numFmtId="0" fontId="9" fillId="0" borderId="0" xfId="9" applyFont="1" applyAlignment="1">
      <alignment wrapText="1"/>
    </xf>
    <xf numFmtId="0" fontId="10" fillId="0" borderId="0" xfId="9" applyFont="1"/>
    <xf numFmtId="4" fontId="9" fillId="0" borderId="0" xfId="9" applyNumberFormat="1" applyFont="1"/>
    <xf numFmtId="4" fontId="9" fillId="0" borderId="0" xfId="9" applyNumberFormat="1" applyFont="1" applyAlignment="1">
      <alignment wrapText="1"/>
    </xf>
    <xf numFmtId="49" fontId="12" fillId="0" borderId="0" xfId="9" applyNumberFormat="1" applyFont="1" applyAlignment="1">
      <alignment horizontal="center" vertical="center"/>
    </xf>
    <xf numFmtId="0" fontId="12" fillId="0" borderId="0" xfId="8" applyFont="1" applyAlignment="1">
      <alignment vertical="center" wrapText="1"/>
    </xf>
    <xf numFmtId="0" fontId="15" fillId="0" borderId="0" xfId="8" applyFont="1" applyAlignment="1">
      <alignment vertical="center" wrapText="1"/>
    </xf>
    <xf numFmtId="0" fontId="12" fillId="0" borderId="0" xfId="9" applyFont="1" applyAlignment="1">
      <alignment horizontal="center" vertical="center"/>
    </xf>
    <xf numFmtId="0" fontId="15" fillId="0" borderId="0" xfId="8" applyFont="1" applyAlignment="1">
      <alignment vertical="top" wrapText="1"/>
    </xf>
    <xf numFmtId="0" fontId="12" fillId="0" borderId="0" xfId="9" applyFont="1" applyAlignment="1">
      <alignment vertical="center"/>
    </xf>
    <xf numFmtId="0" fontId="15" fillId="0" borderId="0" xfId="9" applyFont="1" applyAlignment="1">
      <alignment vertical="top" wrapText="1"/>
    </xf>
    <xf numFmtId="0" fontId="8" fillId="0" borderId="0" xfId="9"/>
    <xf numFmtId="49" fontId="11" fillId="0" borderId="1" xfId="9" applyNumberFormat="1" applyFont="1" applyBorder="1" applyAlignment="1">
      <alignment horizontal="center" vertical="center" wrapText="1"/>
    </xf>
    <xf numFmtId="0" fontId="8" fillId="0" borderId="1" xfId="9" applyBorder="1" applyAlignment="1">
      <alignment vertical="center" wrapText="1"/>
    </xf>
    <xf numFmtId="0" fontId="8" fillId="0" borderId="1" xfId="9" applyBorder="1" applyAlignment="1">
      <alignment horizontal="center" vertical="center"/>
    </xf>
    <xf numFmtId="0" fontId="8" fillId="0" borderId="1" xfId="9" applyBorder="1" applyAlignment="1">
      <alignment horizontal="center" vertical="center" wrapText="1"/>
    </xf>
    <xf numFmtId="4" fontId="8" fillId="0" borderId="1" xfId="9" applyNumberFormat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 applyProtection="1">
      <alignment horizontal="center" vertical="center"/>
      <protection locked="0"/>
    </xf>
    <xf numFmtId="4" fontId="11" fillId="2" borderId="2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12" fillId="0" borderId="0" xfId="7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7" applyFont="1" applyAlignment="1">
      <alignment horizontal="left" vertical="center" wrapText="1"/>
    </xf>
    <xf numFmtId="0" fontId="10" fillId="4" borderId="2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right" vertical="center"/>
    </xf>
    <xf numFmtId="0" fontId="10" fillId="4" borderId="7" xfId="0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right" vertical="center"/>
    </xf>
    <xf numFmtId="0" fontId="13" fillId="2" borderId="6" xfId="0" applyFont="1" applyFill="1" applyBorder="1" applyAlignment="1">
      <alignment horizontal="right" vertical="center"/>
    </xf>
    <xf numFmtId="0" fontId="13" fillId="2" borderId="7" xfId="0" applyFont="1" applyFill="1" applyBorder="1" applyAlignment="1">
      <alignment horizontal="right" vertical="center"/>
    </xf>
    <xf numFmtId="0" fontId="12" fillId="0" borderId="0" xfId="8" applyFont="1" applyAlignment="1">
      <alignment horizontal="left" vertical="top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3 2 2 2" xfId="8" xr:uid="{9C9DE8E8-E1E9-4681-AB9C-E0D853B026D6}"/>
    <cellStyle name="Обычный 4" xfId="6" xr:uid="{7892ACDF-4C85-4A72-893C-533698B7DF97}"/>
    <cellStyle name="Обычный 5" xfId="9" xr:uid="{E584C10E-D0CC-492A-9B95-F9D19E9A7B37}"/>
    <cellStyle name="Обычный 6 3 7 2 3" xfId="5" xr:uid="{CD7D9DDE-D035-4BB0-B7C7-72E2C2D85135}"/>
  </cellStyles>
  <dxfs count="5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sheetPr>
    <pageSetUpPr fitToPage="1"/>
  </sheetPr>
  <dimension ref="A1:L81"/>
  <sheetViews>
    <sheetView tabSelected="1" topLeftCell="A55" zoomScale="70" zoomScaleNormal="70" zoomScaleSheetLayoutView="80" workbookViewId="0">
      <selection activeCell="D29" sqref="D29"/>
    </sheetView>
  </sheetViews>
  <sheetFormatPr defaultColWidth="9.109375" defaultRowHeight="13.8" outlineLevelRow="4" x14ac:dyDescent="0.3"/>
  <cols>
    <col min="1" max="1" width="13" style="1" bestFit="1" customWidth="1"/>
    <col min="2" max="2" width="71" style="2" customWidth="1"/>
    <col min="3" max="3" width="20.88671875" style="5" customWidth="1"/>
    <col min="4" max="4" width="31" style="2" customWidth="1"/>
    <col min="5" max="5" width="15.88671875" style="5" bestFit="1" customWidth="1"/>
    <col min="6" max="7" width="15.88671875" style="5" customWidth="1"/>
    <col min="8" max="8" width="15.44140625" style="13" bestFit="1" customWidth="1"/>
    <col min="9" max="9" width="17.44140625" style="18" customWidth="1"/>
    <col min="10" max="10" width="21.109375" style="18" customWidth="1"/>
    <col min="11" max="11" width="34.44140625" style="5" customWidth="1"/>
    <col min="12" max="12" width="26.33203125" style="5" customWidth="1"/>
    <col min="13" max="16384" width="9.109375" style="5"/>
  </cols>
  <sheetData>
    <row r="1" spans="1:12" x14ac:dyDescent="0.3">
      <c r="C1" s="3"/>
      <c r="D1" s="4"/>
      <c r="F1" s="6"/>
      <c r="H1" s="7"/>
      <c r="I1" s="8"/>
      <c r="J1" s="8"/>
      <c r="L1" s="9" t="s">
        <v>29</v>
      </c>
    </row>
    <row r="2" spans="1:12" x14ac:dyDescent="0.3">
      <c r="C2" s="3"/>
      <c r="D2" s="4"/>
      <c r="F2" s="6"/>
      <c r="H2" s="7"/>
      <c r="I2" s="8"/>
      <c r="J2" s="8"/>
      <c r="L2" s="9" t="s">
        <v>30</v>
      </c>
    </row>
    <row r="3" spans="1:12" x14ac:dyDescent="0.3">
      <c r="C3" s="3"/>
      <c r="D3" s="4"/>
      <c r="F3" s="6"/>
      <c r="H3" s="7"/>
      <c r="I3" s="8"/>
      <c r="J3" s="8"/>
    </row>
    <row r="4" spans="1:12" ht="15" customHeight="1" x14ac:dyDescent="0.3">
      <c r="B4" s="10" t="s">
        <v>31</v>
      </c>
      <c r="D4" s="4"/>
      <c r="E4" s="6" t="s">
        <v>32</v>
      </c>
      <c r="F4" s="11"/>
      <c r="H4" s="7"/>
      <c r="I4" s="8"/>
      <c r="J4" s="6" t="s">
        <v>33</v>
      </c>
      <c r="K4" s="7"/>
    </row>
    <row r="5" spans="1:12" ht="19.5" customHeight="1" x14ac:dyDescent="0.3">
      <c r="B5" s="12"/>
      <c r="D5" s="4"/>
      <c r="E5" s="5" t="s">
        <v>107</v>
      </c>
      <c r="H5" s="5"/>
      <c r="I5" s="13"/>
      <c r="J5" s="5" t="s">
        <v>108</v>
      </c>
      <c r="K5" s="7"/>
    </row>
    <row r="6" spans="1:12" ht="15.75" customHeight="1" x14ac:dyDescent="0.3">
      <c r="B6" s="12"/>
      <c r="D6" s="4"/>
      <c r="E6" s="2"/>
      <c r="H6" s="5"/>
      <c r="I6" s="13"/>
      <c r="J6" s="5"/>
      <c r="K6" s="7"/>
    </row>
    <row r="7" spans="1:12" x14ac:dyDescent="0.3">
      <c r="B7" s="12" t="s">
        <v>109</v>
      </c>
      <c r="D7" s="4"/>
      <c r="E7" s="5" t="s">
        <v>110</v>
      </c>
      <c r="H7" s="5"/>
      <c r="I7" s="13"/>
      <c r="J7" s="5" t="s">
        <v>110</v>
      </c>
      <c r="K7" s="7"/>
    </row>
    <row r="8" spans="1:12" x14ac:dyDescent="0.3">
      <c r="I8" s="5"/>
      <c r="J8" s="5"/>
    </row>
    <row r="9" spans="1:12" s="15" customFormat="1" x14ac:dyDescent="0.3">
      <c r="A9" s="14"/>
      <c r="D9" s="16"/>
      <c r="E9" s="15" t="s">
        <v>111</v>
      </c>
      <c r="H9" s="17"/>
    </row>
    <row r="10" spans="1:12" s="15" customFormat="1" x14ac:dyDescent="0.3">
      <c r="A10" s="14"/>
      <c r="D10" s="16"/>
      <c r="E10" s="15" t="s">
        <v>94</v>
      </c>
      <c r="H10" s="17"/>
    </row>
    <row r="12" spans="1:12" x14ac:dyDescent="0.3">
      <c r="A12" s="19" t="s">
        <v>0</v>
      </c>
      <c r="B12" s="20" t="s">
        <v>1</v>
      </c>
      <c r="C12" s="20" t="s">
        <v>20</v>
      </c>
      <c r="D12" s="20" t="s">
        <v>21</v>
      </c>
      <c r="E12" s="20" t="s">
        <v>11</v>
      </c>
      <c r="F12" s="20" t="s">
        <v>105</v>
      </c>
      <c r="G12" s="20" t="s">
        <v>106</v>
      </c>
      <c r="H12" s="21" t="s">
        <v>2</v>
      </c>
      <c r="I12" s="21" t="s">
        <v>8</v>
      </c>
      <c r="J12" s="21" t="s">
        <v>9</v>
      </c>
      <c r="K12" s="21" t="s">
        <v>10</v>
      </c>
      <c r="L12" s="21" t="s">
        <v>45</v>
      </c>
    </row>
    <row r="13" spans="1:12" x14ac:dyDescent="0.3">
      <c r="A13" s="22">
        <v>11</v>
      </c>
      <c r="B13" s="23" t="s">
        <v>12</v>
      </c>
      <c r="C13" s="24"/>
      <c r="D13" s="24"/>
      <c r="E13" s="24"/>
      <c r="F13" s="24"/>
      <c r="G13" s="24"/>
      <c r="H13" s="25"/>
      <c r="I13" s="25"/>
      <c r="J13" s="25"/>
      <c r="K13" s="25"/>
      <c r="L13" s="25"/>
    </row>
    <row r="14" spans="1:12" x14ac:dyDescent="0.3">
      <c r="A14" s="26" t="s">
        <v>38</v>
      </c>
      <c r="B14" s="27" t="s">
        <v>19</v>
      </c>
      <c r="C14" s="28"/>
      <c r="D14" s="28"/>
      <c r="E14" s="28"/>
      <c r="F14" s="28"/>
      <c r="G14" s="28"/>
      <c r="H14" s="29"/>
      <c r="I14" s="29"/>
      <c r="J14" s="29"/>
      <c r="K14" s="29"/>
      <c r="L14" s="29"/>
    </row>
    <row r="15" spans="1:12" x14ac:dyDescent="0.3">
      <c r="A15" s="30" t="s">
        <v>39</v>
      </c>
      <c r="B15" s="31" t="s">
        <v>13</v>
      </c>
      <c r="C15" s="32"/>
      <c r="D15" s="32"/>
      <c r="E15" s="32"/>
      <c r="F15" s="32"/>
      <c r="G15" s="32"/>
      <c r="H15" s="33"/>
      <c r="I15" s="33"/>
      <c r="J15" s="33"/>
      <c r="K15" s="33"/>
      <c r="L15" s="33"/>
    </row>
    <row r="16" spans="1:12" x14ac:dyDescent="0.3">
      <c r="A16" s="34" t="s">
        <v>40</v>
      </c>
      <c r="B16" s="35" t="s">
        <v>13</v>
      </c>
      <c r="C16" s="36"/>
      <c r="D16" s="36"/>
      <c r="E16" s="36"/>
      <c r="F16" s="36"/>
      <c r="G16" s="36"/>
      <c r="H16" s="37"/>
      <c r="I16" s="37"/>
      <c r="J16" s="37">
        <f>J17+J21</f>
        <v>0</v>
      </c>
      <c r="K16" s="37"/>
      <c r="L16" s="37"/>
    </row>
    <row r="17" spans="1:12" x14ac:dyDescent="0.3">
      <c r="A17" s="38"/>
      <c r="B17" s="27" t="s">
        <v>14</v>
      </c>
      <c r="C17" s="39"/>
      <c r="D17" s="39"/>
      <c r="E17" s="39"/>
      <c r="F17" s="39"/>
      <c r="G17" s="39"/>
      <c r="H17" s="29"/>
      <c r="I17" s="29"/>
      <c r="J17" s="29">
        <f>SUM(J18:J20)</f>
        <v>0</v>
      </c>
      <c r="K17" s="29"/>
      <c r="L17" s="29"/>
    </row>
    <row r="18" spans="1:12" x14ac:dyDescent="0.3">
      <c r="A18" s="38"/>
      <c r="B18" s="40" t="s">
        <v>34</v>
      </c>
      <c r="C18" s="41"/>
      <c r="D18" s="41"/>
      <c r="E18" s="41" t="s">
        <v>4</v>
      </c>
      <c r="F18" s="118">
        <f>SUM(F22:F24)</f>
        <v>1110</v>
      </c>
      <c r="G18" s="118">
        <f>SUM(G22:G24)</f>
        <v>2060</v>
      </c>
      <c r="H18" s="29">
        <f>SUM(F18:G18)</f>
        <v>3170</v>
      </c>
      <c r="I18" s="42">
        <f>VLOOKUP(B18,СМР!$B$3:$H$9,7,0)</f>
        <v>0</v>
      </c>
      <c r="J18" s="43">
        <f t="shared" ref="J18:J20" si="0">I18*H18</f>
        <v>0</v>
      </c>
      <c r="K18" s="29"/>
      <c r="L18" s="29"/>
    </row>
    <row r="19" spans="1:12" x14ac:dyDescent="0.3">
      <c r="A19" s="38"/>
      <c r="B19" s="40" t="s">
        <v>131</v>
      </c>
      <c r="C19" s="41"/>
      <c r="D19" s="41"/>
      <c r="E19" s="41" t="s">
        <v>4</v>
      </c>
      <c r="F19" s="118">
        <f>SUM(F25:F28)</f>
        <v>969.2</v>
      </c>
      <c r="G19" s="118">
        <f>SUM(G25:G28)</f>
        <v>1712</v>
      </c>
      <c r="H19" s="29">
        <f>SUM(F19:G19)</f>
        <v>2681.2</v>
      </c>
      <c r="I19" s="42">
        <f>VLOOKUP(B19,СМР!$B$3:$H$9,7,0)</f>
        <v>0</v>
      </c>
      <c r="J19" s="43">
        <f t="shared" si="0"/>
        <v>0</v>
      </c>
      <c r="K19" s="29"/>
      <c r="L19" s="29"/>
    </row>
    <row r="20" spans="1:12" x14ac:dyDescent="0.3">
      <c r="A20" s="38"/>
      <c r="B20" s="40" t="s">
        <v>132</v>
      </c>
      <c r="C20" s="41"/>
      <c r="D20" s="41"/>
      <c r="E20" s="41" t="s">
        <v>4</v>
      </c>
      <c r="F20" s="118">
        <f t="shared" ref="F20" si="1">F29</f>
        <v>50</v>
      </c>
      <c r="G20" s="118">
        <f>G29</f>
        <v>50</v>
      </c>
      <c r="H20" s="29">
        <f t="shared" ref="H20" si="2">SUM(F20:G20)</f>
        <v>100</v>
      </c>
      <c r="I20" s="42">
        <f>VLOOKUP(B20,СМР!$B$3:$H$9,7,0)</f>
        <v>0</v>
      </c>
      <c r="J20" s="43">
        <f t="shared" si="0"/>
        <v>0</v>
      </c>
      <c r="K20" s="29"/>
      <c r="L20" s="29"/>
    </row>
    <row r="21" spans="1:12" x14ac:dyDescent="0.3">
      <c r="A21" s="44"/>
      <c r="B21" s="45" t="s">
        <v>15</v>
      </c>
      <c r="C21" s="46"/>
      <c r="D21" s="46"/>
      <c r="E21" s="46"/>
      <c r="F21" s="119"/>
      <c r="G21" s="119"/>
      <c r="H21" s="47"/>
      <c r="I21" s="47"/>
      <c r="J21" s="47">
        <f>SUM(J22:J31)</f>
        <v>0</v>
      </c>
      <c r="K21" s="47"/>
      <c r="L21" s="47"/>
    </row>
    <row r="22" spans="1:12" s="3" customFormat="1" ht="27.6" x14ac:dyDescent="0.3">
      <c r="A22" s="48"/>
      <c r="B22" s="49" t="s">
        <v>55</v>
      </c>
      <c r="C22" s="50"/>
      <c r="D22" s="51" t="s">
        <v>73</v>
      </c>
      <c r="E22" s="50" t="s">
        <v>4</v>
      </c>
      <c r="F22" s="53">
        <v>1000</v>
      </c>
      <c r="G22" s="53">
        <v>1850</v>
      </c>
      <c r="H22" s="52">
        <f t="shared" ref="H22:H30" si="3">SUM(F22:G22)</f>
        <v>2850</v>
      </c>
      <c r="I22" s="53">
        <f>VLOOKUP($B22,ТМЦ!$B$3:$L$38,8,0)</f>
        <v>0</v>
      </c>
      <c r="J22" s="53">
        <f t="shared" ref="J22:J30" si="4">I22*H22</f>
        <v>0</v>
      </c>
      <c r="K22" s="50"/>
      <c r="L22" s="53">
        <f>VLOOKUP($B22,ТМЦ!$B$3:$L$38,11,0)</f>
        <v>0</v>
      </c>
    </row>
    <row r="23" spans="1:12" s="3" customFormat="1" ht="41.4" x14ac:dyDescent="0.3">
      <c r="A23" s="48"/>
      <c r="B23" s="49" t="s">
        <v>61</v>
      </c>
      <c r="C23" s="50" t="s">
        <v>62</v>
      </c>
      <c r="D23" s="51" t="s">
        <v>74</v>
      </c>
      <c r="E23" s="50" t="s">
        <v>4</v>
      </c>
      <c r="F23" s="53">
        <v>100</v>
      </c>
      <c r="G23" s="53">
        <v>200</v>
      </c>
      <c r="H23" s="52">
        <f t="shared" si="3"/>
        <v>300</v>
      </c>
      <c r="I23" s="53">
        <f>VLOOKUP($B23,ТМЦ!$B$3:$L$38,8,0)</f>
        <v>0</v>
      </c>
      <c r="J23" s="53">
        <f>I23*H23</f>
        <v>0</v>
      </c>
      <c r="K23" s="50"/>
      <c r="L23" s="53">
        <f>VLOOKUP($B23,ТМЦ!$B$3:$L$38,11,0)</f>
        <v>0</v>
      </c>
    </row>
    <row r="24" spans="1:12" s="3" customFormat="1" ht="27.6" x14ac:dyDescent="0.3">
      <c r="A24" s="48"/>
      <c r="B24" s="54" t="s">
        <v>57</v>
      </c>
      <c r="C24" s="55" t="s">
        <v>63</v>
      </c>
      <c r="D24" s="56" t="s">
        <v>75</v>
      </c>
      <c r="E24" s="50" t="s">
        <v>4</v>
      </c>
      <c r="F24" s="53">
        <v>10</v>
      </c>
      <c r="G24" s="53">
        <v>10</v>
      </c>
      <c r="H24" s="52">
        <f t="shared" si="3"/>
        <v>20</v>
      </c>
      <c r="I24" s="53">
        <f>VLOOKUP($B24,ТМЦ!$B$3:$L$38,8,0)</f>
        <v>0</v>
      </c>
      <c r="J24" s="53">
        <f t="shared" si="4"/>
        <v>0</v>
      </c>
      <c r="K24" s="50" t="s">
        <v>78</v>
      </c>
      <c r="L24" s="53">
        <f>VLOOKUP($B24,ТМЦ!$B$3:$L$38,11,0)</f>
        <v>0</v>
      </c>
    </row>
    <row r="25" spans="1:12" s="3" customFormat="1" ht="33" customHeight="1" x14ac:dyDescent="0.3">
      <c r="A25" s="48"/>
      <c r="B25" s="54" t="s">
        <v>59</v>
      </c>
      <c r="C25" s="55"/>
      <c r="D25" s="56" t="s">
        <v>76</v>
      </c>
      <c r="E25" s="50" t="s">
        <v>4</v>
      </c>
      <c r="F25" s="53">
        <v>750</v>
      </c>
      <c r="G25" s="53">
        <v>1360</v>
      </c>
      <c r="H25" s="52">
        <f t="shared" si="3"/>
        <v>2110</v>
      </c>
      <c r="I25" s="53">
        <f>VLOOKUP($B25,ТМЦ!$B$3:$L$38,8,0)</f>
        <v>0</v>
      </c>
      <c r="J25" s="53">
        <f t="shared" ref="J25" si="5">I25*H25</f>
        <v>0</v>
      </c>
      <c r="K25" s="50"/>
      <c r="L25" s="53">
        <f>VLOOKUP($B25,ТМЦ!$B$3:$L$38,11,0)</f>
        <v>0</v>
      </c>
    </row>
    <row r="26" spans="1:12" s="3" customFormat="1" x14ac:dyDescent="0.3">
      <c r="A26" s="48"/>
      <c r="B26" s="54" t="s">
        <v>60</v>
      </c>
      <c r="C26" s="55"/>
      <c r="D26" s="56" t="s">
        <v>77</v>
      </c>
      <c r="E26" s="50" t="s">
        <v>4</v>
      </c>
      <c r="F26" s="53">
        <v>140</v>
      </c>
      <c r="G26" s="53">
        <v>220</v>
      </c>
      <c r="H26" s="52">
        <f t="shared" si="3"/>
        <v>360</v>
      </c>
      <c r="I26" s="53">
        <f>VLOOKUP($B26,ТМЦ!$B$3:$L$38,8,0)</f>
        <v>0</v>
      </c>
      <c r="J26" s="53">
        <f t="shared" si="4"/>
        <v>0</v>
      </c>
      <c r="K26" s="50"/>
      <c r="L26" s="53">
        <f>VLOOKUP($B26,ТМЦ!$B$3:$L$38,11,0)</f>
        <v>0</v>
      </c>
    </row>
    <row r="27" spans="1:12" s="3" customFormat="1" x14ac:dyDescent="0.3">
      <c r="A27" s="48"/>
      <c r="B27" s="54" t="s">
        <v>65</v>
      </c>
      <c r="C27" s="55"/>
      <c r="D27" s="56" t="s">
        <v>95</v>
      </c>
      <c r="E27" s="50" t="s">
        <v>4</v>
      </c>
      <c r="F27" s="53">
        <v>72</v>
      </c>
      <c r="G27" s="53">
        <v>120</v>
      </c>
      <c r="H27" s="52">
        <f t="shared" si="3"/>
        <v>192</v>
      </c>
      <c r="I27" s="53">
        <f>VLOOKUP($B27,ТМЦ!$B$3:$L$38,8,0)</f>
        <v>0</v>
      </c>
      <c r="J27" s="53">
        <f t="shared" si="4"/>
        <v>0</v>
      </c>
      <c r="K27" s="50"/>
      <c r="L27" s="53">
        <f>VLOOKUP($B27,ТМЦ!$B$3:$L$38,11,0)</f>
        <v>0</v>
      </c>
    </row>
    <row r="28" spans="1:12" s="3" customFormat="1" x14ac:dyDescent="0.3">
      <c r="A28" s="48"/>
      <c r="B28" s="54" t="s">
        <v>99</v>
      </c>
      <c r="C28" s="55"/>
      <c r="D28" s="56" t="s">
        <v>96</v>
      </c>
      <c r="E28" s="50" t="s">
        <v>4</v>
      </c>
      <c r="F28" s="53">
        <f>F27*0.1</f>
        <v>7.2</v>
      </c>
      <c r="G28" s="53">
        <f>G27*0.1</f>
        <v>12</v>
      </c>
      <c r="H28" s="52">
        <f t="shared" ref="H28:H29" si="6">SUM(F28:G28)</f>
        <v>19.2</v>
      </c>
      <c r="I28" s="53">
        <f>VLOOKUP($B28,ТМЦ!$B$3:$L$38,8,0)</f>
        <v>0</v>
      </c>
      <c r="J28" s="53">
        <f t="shared" ref="J28:J29" si="7">I28*H28</f>
        <v>0</v>
      </c>
      <c r="K28" s="50"/>
      <c r="L28" s="53">
        <f>VLOOKUP($B28,ТМЦ!$B$3:$L$38,11,0)</f>
        <v>0</v>
      </c>
    </row>
    <row r="29" spans="1:12" s="3" customFormat="1" ht="27.6" x14ac:dyDescent="0.3">
      <c r="A29" s="48"/>
      <c r="B29" s="54" t="s">
        <v>97</v>
      </c>
      <c r="C29" s="55"/>
      <c r="D29" s="56" t="s">
        <v>98</v>
      </c>
      <c r="E29" s="55" t="s">
        <v>4</v>
      </c>
      <c r="F29" s="120">
        <v>50</v>
      </c>
      <c r="G29" s="53">
        <v>50</v>
      </c>
      <c r="H29" s="52">
        <f t="shared" si="6"/>
        <v>100</v>
      </c>
      <c r="I29" s="53">
        <f>VLOOKUP($B29,ТМЦ!$B$3:$L$38,8,0)</f>
        <v>0</v>
      </c>
      <c r="J29" s="53">
        <f t="shared" si="7"/>
        <v>0</v>
      </c>
      <c r="K29" s="50"/>
      <c r="L29" s="53">
        <f>VLOOKUP($B29,ТМЦ!$B$3:$L$38,11,0)</f>
        <v>0</v>
      </c>
    </row>
    <row r="30" spans="1:12" s="3" customFormat="1" x14ac:dyDescent="0.3">
      <c r="A30" s="48"/>
      <c r="B30" s="54" t="s">
        <v>71</v>
      </c>
      <c r="C30" s="55"/>
      <c r="D30" s="56"/>
      <c r="E30" s="50" t="s">
        <v>5</v>
      </c>
      <c r="F30" s="53">
        <v>88</v>
      </c>
      <c r="G30" s="53">
        <v>156</v>
      </c>
      <c r="H30" s="52">
        <f t="shared" si="3"/>
        <v>244</v>
      </c>
      <c r="I30" s="53">
        <f>VLOOKUP($B30,ТМЦ!$B$3:$L$38,8,0)</f>
        <v>0</v>
      </c>
      <c r="J30" s="53">
        <f t="shared" si="4"/>
        <v>0</v>
      </c>
      <c r="K30" s="50"/>
      <c r="L30" s="53">
        <f>VLOOKUP($B30,ТМЦ!$B$3:$L$38,11,0)</f>
        <v>0</v>
      </c>
    </row>
    <row r="31" spans="1:12" ht="69" outlineLevel="3" x14ac:dyDescent="0.3">
      <c r="A31" s="48"/>
      <c r="B31" s="45" t="s">
        <v>112</v>
      </c>
      <c r="C31" s="55"/>
      <c r="D31" s="56"/>
      <c r="E31" s="55" t="s">
        <v>121</v>
      </c>
      <c r="F31" s="120"/>
      <c r="G31" s="53"/>
      <c r="H31" s="52" t="e">
        <f>J31/J17</f>
        <v>#DIV/0!</v>
      </c>
      <c r="I31" s="53"/>
      <c r="J31" s="53">
        <f>SUM(J32:J36)</f>
        <v>0</v>
      </c>
      <c r="K31" s="50"/>
      <c r="L31" s="50"/>
    </row>
    <row r="32" spans="1:12" outlineLevel="4" x14ac:dyDescent="0.3">
      <c r="A32" s="48"/>
      <c r="B32" s="57" t="s">
        <v>72</v>
      </c>
      <c r="C32" s="58"/>
      <c r="D32" s="59"/>
      <c r="E32" s="60" t="s">
        <v>5</v>
      </c>
      <c r="F32" s="120">
        <f>(F27/3)*2</f>
        <v>48</v>
      </c>
      <c r="G32" s="120">
        <f>(G27/3)*2</f>
        <v>80</v>
      </c>
      <c r="H32" s="52">
        <f t="shared" ref="H32:H34" si="8">SUM(F32:G32)</f>
        <v>128</v>
      </c>
      <c r="I32" s="53">
        <f>VLOOKUP($B32,ТМЦ!$B$3:$L$38,8,0)</f>
        <v>0</v>
      </c>
      <c r="J32" s="53">
        <f t="shared" ref="J32:J34" si="9">I32*H32</f>
        <v>0</v>
      </c>
      <c r="K32" s="50"/>
      <c r="L32" s="53">
        <f>VLOOKUP($B32,ТМЦ!$B$3:$L$38,11,0)</f>
        <v>0</v>
      </c>
    </row>
    <row r="33" spans="1:12" outlineLevel="4" x14ac:dyDescent="0.3">
      <c r="A33" s="48"/>
      <c r="B33" s="57" t="s">
        <v>100</v>
      </c>
      <c r="C33" s="58"/>
      <c r="D33" s="59"/>
      <c r="E33" s="60" t="s">
        <v>5</v>
      </c>
      <c r="F33" s="120">
        <f>ROUND((F27/3)*0.1,0)</f>
        <v>2</v>
      </c>
      <c r="G33" s="120">
        <f>(G27/3)*0.1</f>
        <v>4</v>
      </c>
      <c r="H33" s="52">
        <f>SUM(F33:G33)</f>
        <v>6</v>
      </c>
      <c r="I33" s="53">
        <f>VLOOKUP($B33,ТМЦ!$B$3:$L$38,8,0)</f>
        <v>0</v>
      </c>
      <c r="J33" s="53">
        <f t="shared" si="9"/>
        <v>0</v>
      </c>
      <c r="K33" s="50"/>
      <c r="L33" s="53">
        <f>VLOOKUP($B33,ТМЦ!$B$3:$L$38,11,0)</f>
        <v>0</v>
      </c>
    </row>
    <row r="34" spans="1:12" ht="27.6" outlineLevel="4" x14ac:dyDescent="0.3">
      <c r="A34" s="48"/>
      <c r="B34" s="57" t="s">
        <v>101</v>
      </c>
      <c r="C34" s="58"/>
      <c r="D34" s="59"/>
      <c r="E34" s="60" t="s">
        <v>5</v>
      </c>
      <c r="F34" s="120">
        <f>ROUND((F27/3)*0.1,0)</f>
        <v>2</v>
      </c>
      <c r="G34" s="120">
        <f>(G27/3)*0.1</f>
        <v>4</v>
      </c>
      <c r="H34" s="52">
        <f t="shared" si="8"/>
        <v>6</v>
      </c>
      <c r="I34" s="53">
        <f>VLOOKUP($B34,ТМЦ!$B$3:$L$38,8,0)</f>
        <v>0</v>
      </c>
      <c r="J34" s="53">
        <f t="shared" si="9"/>
        <v>0</v>
      </c>
      <c r="K34" s="50"/>
      <c r="L34" s="53">
        <f>VLOOKUP($B34,ТМЦ!$B$3:$L$38,11,0)</f>
        <v>0</v>
      </c>
    </row>
    <row r="35" spans="1:12" outlineLevel="4" x14ac:dyDescent="0.3">
      <c r="A35" s="48"/>
      <c r="B35" s="57" t="s">
        <v>102</v>
      </c>
      <c r="C35" s="58"/>
      <c r="D35" s="59"/>
      <c r="E35" s="60" t="s">
        <v>103</v>
      </c>
      <c r="F35" s="120">
        <f>F25*0.25</f>
        <v>187.5</v>
      </c>
      <c r="G35" s="120">
        <f>G25*0.25</f>
        <v>340</v>
      </c>
      <c r="H35" s="52">
        <f t="shared" ref="H35:H36" si="10">SUM(F35:G35)</f>
        <v>527.5</v>
      </c>
      <c r="I35" s="53">
        <f>VLOOKUP($B35,ТМЦ!$B$3:$L$38,8,0)</f>
        <v>0</v>
      </c>
      <c r="J35" s="53">
        <f t="shared" ref="J35:J36" si="11">I35*H35</f>
        <v>0</v>
      </c>
      <c r="K35" s="50"/>
      <c r="L35" s="53">
        <f>VLOOKUP($B35,ТМЦ!$B$3:$L$38,11,0)</f>
        <v>0</v>
      </c>
    </row>
    <row r="36" spans="1:12" outlineLevel="4" x14ac:dyDescent="0.3">
      <c r="A36" s="48"/>
      <c r="B36" s="57" t="s">
        <v>104</v>
      </c>
      <c r="C36" s="58"/>
      <c r="D36" s="59"/>
      <c r="E36" s="60" t="s">
        <v>5</v>
      </c>
      <c r="F36" s="120">
        <f>F25*5</f>
        <v>3750</v>
      </c>
      <c r="G36" s="120">
        <f>G25*5</f>
        <v>6800</v>
      </c>
      <c r="H36" s="52">
        <f t="shared" si="10"/>
        <v>10550</v>
      </c>
      <c r="I36" s="53">
        <f>VLOOKUP($B36,ТМЦ!$B$3:$L$38,8,0)</f>
        <v>0</v>
      </c>
      <c r="J36" s="53">
        <f t="shared" si="11"/>
        <v>0</v>
      </c>
      <c r="K36" s="50"/>
      <c r="L36" s="53">
        <f>VLOOKUP($B36,ТМЦ!$B$3:$L$38,11,0)</f>
        <v>0</v>
      </c>
    </row>
    <row r="37" spans="1:12" x14ac:dyDescent="0.3">
      <c r="A37" s="30" t="s">
        <v>41</v>
      </c>
      <c r="B37" s="31" t="s">
        <v>16</v>
      </c>
      <c r="C37" s="32"/>
      <c r="D37" s="32"/>
      <c r="E37" s="32"/>
      <c r="F37" s="32"/>
      <c r="G37" s="32"/>
      <c r="H37" s="32"/>
      <c r="I37" s="33"/>
      <c r="J37" s="33"/>
      <c r="K37" s="33"/>
      <c r="L37" s="33"/>
    </row>
    <row r="38" spans="1:12" x14ac:dyDescent="0.3">
      <c r="A38" s="34" t="s">
        <v>42</v>
      </c>
      <c r="B38" s="35" t="s">
        <v>16</v>
      </c>
      <c r="C38" s="36"/>
      <c r="D38" s="36"/>
      <c r="E38" s="36"/>
      <c r="F38" s="36"/>
      <c r="G38" s="36"/>
      <c r="H38" s="36"/>
      <c r="I38" s="37"/>
      <c r="J38" s="37">
        <f>J39+J42</f>
        <v>0</v>
      </c>
      <c r="K38" s="37"/>
      <c r="L38" s="37"/>
    </row>
    <row r="39" spans="1:12" x14ac:dyDescent="0.3">
      <c r="A39" s="61"/>
      <c r="B39" s="27" t="s">
        <v>14</v>
      </c>
      <c r="C39" s="39"/>
      <c r="D39" s="39"/>
      <c r="E39" s="39"/>
      <c r="F39" s="39"/>
      <c r="G39" s="39"/>
      <c r="H39" s="39"/>
      <c r="I39" s="29"/>
      <c r="J39" s="29">
        <f>SUM(J40:J41)</f>
        <v>0</v>
      </c>
      <c r="K39" s="29"/>
      <c r="L39" s="29"/>
    </row>
    <row r="40" spans="1:12" ht="27.6" x14ac:dyDescent="0.3">
      <c r="A40" s="61"/>
      <c r="B40" s="40" t="s">
        <v>22</v>
      </c>
      <c r="C40" s="41"/>
      <c r="D40" s="41"/>
      <c r="E40" s="41" t="s">
        <v>3</v>
      </c>
      <c r="F40" s="118">
        <v>1</v>
      </c>
      <c r="G40" s="118">
        <v>1</v>
      </c>
      <c r="H40" s="117">
        <f t="shared" ref="H40:H41" si="12">SUM(F40:G40)</f>
        <v>2</v>
      </c>
      <c r="I40" s="42">
        <f>VLOOKUP(B40,СМР!$B$3:$H$9,7,0)</f>
        <v>0</v>
      </c>
      <c r="J40" s="43">
        <f t="shared" ref="J40:J41" si="13">I40*H40</f>
        <v>0</v>
      </c>
      <c r="K40" s="42" t="s">
        <v>54</v>
      </c>
      <c r="L40" s="29"/>
    </row>
    <row r="41" spans="1:12" ht="27.6" x14ac:dyDescent="0.3">
      <c r="A41" s="61"/>
      <c r="B41" s="40" t="s">
        <v>23</v>
      </c>
      <c r="C41" s="41"/>
      <c r="D41" s="41"/>
      <c r="E41" s="41" t="s">
        <v>3</v>
      </c>
      <c r="F41" s="118">
        <v>1</v>
      </c>
      <c r="G41" s="118">
        <v>1</v>
      </c>
      <c r="H41" s="117">
        <f t="shared" si="12"/>
        <v>2</v>
      </c>
      <c r="I41" s="42">
        <f>VLOOKUP(B41,СМР!$B$3:$H$9,7,0)</f>
        <v>0</v>
      </c>
      <c r="J41" s="43">
        <f t="shared" si="13"/>
        <v>0</v>
      </c>
      <c r="K41" s="42" t="s">
        <v>46</v>
      </c>
      <c r="L41" s="29"/>
    </row>
    <row r="42" spans="1:12" x14ac:dyDescent="0.3">
      <c r="A42" s="62"/>
      <c r="B42" s="45" t="s">
        <v>15</v>
      </c>
      <c r="C42" s="46"/>
      <c r="D42" s="46"/>
      <c r="E42" s="46"/>
      <c r="F42" s="119"/>
      <c r="G42" s="119"/>
      <c r="H42" s="52"/>
      <c r="I42" s="47"/>
      <c r="J42" s="47">
        <f>SUM(J43:J64)</f>
        <v>0</v>
      </c>
      <c r="K42" s="47"/>
      <c r="L42" s="47"/>
    </row>
    <row r="43" spans="1:12" s="3" customFormat="1" ht="41.4" x14ac:dyDescent="0.3">
      <c r="A43" s="48"/>
      <c r="B43" s="49" t="s">
        <v>47</v>
      </c>
      <c r="C43" s="51"/>
      <c r="D43" s="51" t="s">
        <v>79</v>
      </c>
      <c r="E43" s="50" t="s">
        <v>5</v>
      </c>
      <c r="F43" s="53">
        <v>1</v>
      </c>
      <c r="G43" s="53">
        <v>1</v>
      </c>
      <c r="H43" s="52">
        <f t="shared" ref="H43:H63" si="14">SUM(F43:G43)</f>
        <v>2</v>
      </c>
      <c r="I43" s="53">
        <f>VLOOKUP($B43,ТМЦ!$B$3:$L$38,8,0)</f>
        <v>0</v>
      </c>
      <c r="J43" s="53">
        <f>I43*H43</f>
        <v>0</v>
      </c>
      <c r="K43" s="50"/>
      <c r="L43" s="53">
        <f>VLOOKUP($B43,ТМЦ!$B$3:$L$38,11,0)</f>
        <v>0</v>
      </c>
    </row>
    <row r="44" spans="1:12" s="3" customFormat="1" x14ac:dyDescent="0.3">
      <c r="A44" s="48"/>
      <c r="B44" s="49" t="s">
        <v>66</v>
      </c>
      <c r="C44" s="51"/>
      <c r="D44" s="51" t="s">
        <v>67</v>
      </c>
      <c r="E44" s="50" t="s">
        <v>5</v>
      </c>
      <c r="F44" s="53">
        <v>1</v>
      </c>
      <c r="G44" s="53">
        <v>1</v>
      </c>
      <c r="H44" s="52">
        <f t="shared" si="14"/>
        <v>2</v>
      </c>
      <c r="I44" s="53">
        <f>VLOOKUP($B44,ТМЦ!$B$3:$L$38,8,0)</f>
        <v>0</v>
      </c>
      <c r="J44" s="53">
        <f>I44*H44</f>
        <v>0</v>
      </c>
      <c r="K44" s="50"/>
      <c r="L44" s="53">
        <f>VLOOKUP($B44,ТМЦ!$B$3:$L$38,11,0)</f>
        <v>0</v>
      </c>
    </row>
    <row r="45" spans="1:12" s="3" customFormat="1" ht="41.4" x14ac:dyDescent="0.3">
      <c r="A45" s="48"/>
      <c r="B45" s="49" t="s">
        <v>52</v>
      </c>
      <c r="C45" s="50"/>
      <c r="D45" s="51" t="s">
        <v>68</v>
      </c>
      <c r="E45" s="50" t="s">
        <v>5</v>
      </c>
      <c r="F45" s="53">
        <v>1</v>
      </c>
      <c r="G45" s="53">
        <v>1</v>
      </c>
      <c r="H45" s="52">
        <f t="shared" si="14"/>
        <v>2</v>
      </c>
      <c r="I45" s="53">
        <f>VLOOKUP($B45,ТМЦ!$B$3:$L$38,8,0)</f>
        <v>0</v>
      </c>
      <c r="J45" s="53">
        <f t="shared" ref="J45:J63" si="15">I45*H45</f>
        <v>0</v>
      </c>
      <c r="K45" s="50"/>
      <c r="L45" s="53">
        <f>VLOOKUP($B45,ТМЦ!$B$3:$L$38,11,0)</f>
        <v>0</v>
      </c>
    </row>
    <row r="46" spans="1:12" s="3" customFormat="1" x14ac:dyDescent="0.3">
      <c r="A46" s="48"/>
      <c r="B46" s="49" t="s">
        <v>49</v>
      </c>
      <c r="C46" s="50"/>
      <c r="D46" s="51" t="s">
        <v>48</v>
      </c>
      <c r="E46" s="50" t="s">
        <v>5</v>
      </c>
      <c r="F46" s="53">
        <v>1</v>
      </c>
      <c r="G46" s="53">
        <v>1</v>
      </c>
      <c r="H46" s="52">
        <f t="shared" si="14"/>
        <v>2</v>
      </c>
      <c r="I46" s="53">
        <f>VLOOKUP($B46,ТМЦ!$B$3:$L$38,8,0)</f>
        <v>0</v>
      </c>
      <c r="J46" s="53">
        <f>I46*H46</f>
        <v>0</v>
      </c>
      <c r="K46" s="50"/>
      <c r="L46" s="53">
        <f>VLOOKUP($B46,ТМЦ!$B$3:$L$38,11,0)</f>
        <v>0</v>
      </c>
    </row>
    <row r="47" spans="1:12" s="3" customFormat="1" x14ac:dyDescent="0.3">
      <c r="A47" s="48"/>
      <c r="B47" s="49" t="s">
        <v>50</v>
      </c>
      <c r="C47" s="50"/>
      <c r="D47" s="51" t="s">
        <v>51</v>
      </c>
      <c r="E47" s="50" t="s">
        <v>5</v>
      </c>
      <c r="F47" s="53">
        <v>1</v>
      </c>
      <c r="G47" s="53">
        <v>1</v>
      </c>
      <c r="H47" s="52">
        <f t="shared" si="14"/>
        <v>2</v>
      </c>
      <c r="I47" s="53">
        <f>VLOOKUP($B47,ТМЦ!$B$3:$L$38,8,0)</f>
        <v>0</v>
      </c>
      <c r="J47" s="53">
        <f>I47*H47</f>
        <v>0</v>
      </c>
      <c r="K47" s="50"/>
      <c r="L47" s="53">
        <f>VLOOKUP($B47,ТМЦ!$B$3:$L$38,11,0)</f>
        <v>0</v>
      </c>
    </row>
    <row r="48" spans="1:12" s="3" customFormat="1" x14ac:dyDescent="0.3">
      <c r="A48" s="48"/>
      <c r="B48" s="49" t="s">
        <v>6</v>
      </c>
      <c r="C48" s="50"/>
      <c r="D48" s="51" t="s">
        <v>80</v>
      </c>
      <c r="E48" s="50" t="s">
        <v>5</v>
      </c>
      <c r="F48" s="53">
        <v>2</v>
      </c>
      <c r="G48" s="53">
        <v>4</v>
      </c>
      <c r="H48" s="52">
        <f t="shared" si="14"/>
        <v>6</v>
      </c>
      <c r="I48" s="53">
        <f>VLOOKUP($B48,ТМЦ!$B$3:$L$38,8,0)</f>
        <v>0</v>
      </c>
      <c r="J48" s="53">
        <f>I48*H48</f>
        <v>0</v>
      </c>
      <c r="K48" s="50"/>
      <c r="L48" s="53">
        <f>VLOOKUP($B48,ТМЦ!$B$3:$L$38,11,0)</f>
        <v>0</v>
      </c>
    </row>
    <row r="49" spans="1:12" s="3" customFormat="1" ht="41.4" x14ac:dyDescent="0.3">
      <c r="A49" s="48"/>
      <c r="B49" s="49" t="s">
        <v>53</v>
      </c>
      <c r="C49" s="50"/>
      <c r="D49" s="51" t="s">
        <v>69</v>
      </c>
      <c r="E49" s="50" t="s">
        <v>5</v>
      </c>
      <c r="F49" s="53">
        <v>2</v>
      </c>
      <c r="G49" s="53">
        <v>4</v>
      </c>
      <c r="H49" s="52">
        <f t="shared" si="14"/>
        <v>6</v>
      </c>
      <c r="I49" s="53">
        <f>VLOOKUP($B49,ТМЦ!$B$3:$L$38,8,0)</f>
        <v>0</v>
      </c>
      <c r="J49" s="53">
        <f t="shared" ref="J49" si="16">I49*H49</f>
        <v>0</v>
      </c>
      <c r="K49" s="50"/>
      <c r="L49" s="53">
        <f>VLOOKUP($B49,ТМЦ!$B$3:$L$38,11,0)</f>
        <v>0</v>
      </c>
    </row>
    <row r="50" spans="1:12" s="3" customFormat="1" ht="27.6" x14ac:dyDescent="0.3">
      <c r="A50" s="48"/>
      <c r="B50" s="49" t="s">
        <v>56</v>
      </c>
      <c r="C50" s="50"/>
      <c r="D50" s="51" t="s">
        <v>81</v>
      </c>
      <c r="E50" s="50" t="s">
        <v>5</v>
      </c>
      <c r="F50" s="53">
        <v>3</v>
      </c>
      <c r="G50" s="53">
        <v>5</v>
      </c>
      <c r="H50" s="52">
        <f t="shared" si="14"/>
        <v>8</v>
      </c>
      <c r="I50" s="53">
        <f>VLOOKUP($B50,ТМЦ!$B$3:$L$38,8,0)</f>
        <v>0</v>
      </c>
      <c r="J50" s="53">
        <f>I50*H50</f>
        <v>0</v>
      </c>
      <c r="K50" s="50"/>
      <c r="L50" s="53">
        <f>VLOOKUP($B50,ТМЦ!$B$3:$L$38,11,0)</f>
        <v>0</v>
      </c>
    </row>
    <row r="51" spans="1:12" s="3" customFormat="1" x14ac:dyDescent="0.3">
      <c r="A51" s="48"/>
      <c r="B51" s="49" t="s">
        <v>7</v>
      </c>
      <c r="C51" s="50"/>
      <c r="D51" s="63" t="s">
        <v>82</v>
      </c>
      <c r="E51" s="50" t="s">
        <v>5</v>
      </c>
      <c r="F51" s="53">
        <v>2</v>
      </c>
      <c r="G51" s="53">
        <v>4</v>
      </c>
      <c r="H51" s="52">
        <f t="shared" si="14"/>
        <v>6</v>
      </c>
      <c r="I51" s="53">
        <f>VLOOKUP($B51,ТМЦ!$B$3:$L$38,8,0)</f>
        <v>0</v>
      </c>
      <c r="J51" s="53">
        <f>I51*H51</f>
        <v>0</v>
      </c>
      <c r="K51" s="50"/>
      <c r="L51" s="53">
        <f>VLOOKUP($B51,ТМЦ!$B$3:$L$38,11,0)</f>
        <v>0</v>
      </c>
    </row>
    <row r="52" spans="1:12" s="3" customFormat="1" x14ac:dyDescent="0.3">
      <c r="A52" s="48"/>
      <c r="B52" s="49" t="s">
        <v>58</v>
      </c>
      <c r="C52" s="50"/>
      <c r="D52" s="51" t="s">
        <v>83</v>
      </c>
      <c r="E52" s="50" t="s">
        <v>5</v>
      </c>
      <c r="F52" s="53">
        <v>140</v>
      </c>
      <c r="G52" s="53">
        <v>250</v>
      </c>
      <c r="H52" s="52">
        <f t="shared" si="14"/>
        <v>390</v>
      </c>
      <c r="I52" s="53">
        <f>VLOOKUP($B52,ТМЦ!$B$3:$L$38,8,0)</f>
        <v>0</v>
      </c>
      <c r="J52" s="53">
        <f>I52*H52</f>
        <v>0</v>
      </c>
      <c r="K52" s="50"/>
      <c r="L52" s="53">
        <f>VLOOKUP($B52,ТМЦ!$B$3:$L$38,11,0)</f>
        <v>0</v>
      </c>
    </row>
    <row r="53" spans="1:12" s="3" customFormat="1" x14ac:dyDescent="0.3">
      <c r="A53" s="48"/>
      <c r="B53" s="49" t="s">
        <v>92</v>
      </c>
      <c r="C53" s="50"/>
      <c r="D53" s="51"/>
      <c r="E53" s="50" t="s">
        <v>5</v>
      </c>
      <c r="F53" s="53">
        <v>1</v>
      </c>
      <c r="G53" s="53">
        <v>0</v>
      </c>
      <c r="H53" s="52">
        <f t="shared" si="14"/>
        <v>1</v>
      </c>
      <c r="I53" s="53">
        <f>VLOOKUP($B53,ТМЦ!$B$3:$L$38,8,0)</f>
        <v>0</v>
      </c>
      <c r="J53" s="53">
        <f t="shared" si="15"/>
        <v>0</v>
      </c>
      <c r="K53" s="50"/>
      <c r="L53" s="53">
        <f>VLOOKUP($B53,ТМЦ!$B$3:$L$38,11,0)</f>
        <v>0</v>
      </c>
    </row>
    <row r="54" spans="1:12" s="3" customFormat="1" x14ac:dyDescent="0.3">
      <c r="A54" s="48"/>
      <c r="B54" s="49" t="s">
        <v>70</v>
      </c>
      <c r="C54" s="50"/>
      <c r="D54" s="51"/>
      <c r="E54" s="50" t="s">
        <v>5</v>
      </c>
      <c r="F54" s="53">
        <v>0</v>
      </c>
      <c r="G54" s="53">
        <v>1</v>
      </c>
      <c r="H54" s="52">
        <f t="shared" si="14"/>
        <v>1</v>
      </c>
      <c r="I54" s="53">
        <f>VLOOKUP($B54,ТМЦ!$B$3:$L$38,8,0)</f>
        <v>0</v>
      </c>
      <c r="J54" s="53">
        <f t="shared" ref="J54" si="17">I54*H54</f>
        <v>0</v>
      </c>
      <c r="K54" s="50"/>
      <c r="L54" s="53">
        <f>VLOOKUP($B54,ТМЦ!$B$3:$L$38,11,0)</f>
        <v>0</v>
      </c>
    </row>
    <row r="55" spans="1:12" s="3" customFormat="1" x14ac:dyDescent="0.3">
      <c r="A55" s="48"/>
      <c r="B55" s="49" t="s">
        <v>64</v>
      </c>
      <c r="C55" s="50"/>
      <c r="D55" s="51"/>
      <c r="E55" s="50" t="s">
        <v>5</v>
      </c>
      <c r="F55" s="53">
        <v>2</v>
      </c>
      <c r="G55" s="53">
        <v>2</v>
      </c>
      <c r="H55" s="52">
        <f t="shared" si="14"/>
        <v>4</v>
      </c>
      <c r="I55" s="53">
        <f>VLOOKUP($B55,ТМЦ!$B$3:$L$38,8,0)</f>
        <v>0</v>
      </c>
      <c r="J55" s="53">
        <f>I55*H55</f>
        <v>0</v>
      </c>
      <c r="K55" s="50"/>
      <c r="L55" s="53">
        <f>VLOOKUP($B55,ТМЦ!$B$3:$L$38,11,0)</f>
        <v>0</v>
      </c>
    </row>
    <row r="56" spans="1:12" s="3" customFormat="1" x14ac:dyDescent="0.3">
      <c r="A56" s="48"/>
      <c r="B56" s="49" t="s">
        <v>122</v>
      </c>
      <c r="C56" s="50"/>
      <c r="D56" s="51" t="s">
        <v>84</v>
      </c>
      <c r="E56" s="50" t="s">
        <v>5</v>
      </c>
      <c r="F56" s="53">
        <v>4</v>
      </c>
      <c r="G56" s="53">
        <v>8</v>
      </c>
      <c r="H56" s="52">
        <f t="shared" si="14"/>
        <v>12</v>
      </c>
      <c r="I56" s="53">
        <f>VLOOKUP($B56,ТМЦ!$B$3:$L$38,8,0)</f>
        <v>0</v>
      </c>
      <c r="J56" s="53">
        <f t="shared" ref="J56:J57" si="18">I56*H56</f>
        <v>0</v>
      </c>
      <c r="K56" s="50"/>
      <c r="L56" s="53">
        <f>VLOOKUP($B56,ТМЦ!$B$3:$L$38,11,0)</f>
        <v>0</v>
      </c>
    </row>
    <row r="57" spans="1:12" s="3" customFormat="1" x14ac:dyDescent="0.3">
      <c r="A57" s="48"/>
      <c r="B57" s="49" t="s">
        <v>123</v>
      </c>
      <c r="C57" s="50"/>
      <c r="D57" s="51" t="s">
        <v>85</v>
      </c>
      <c r="E57" s="50" t="s">
        <v>5</v>
      </c>
      <c r="F57" s="53">
        <v>4</v>
      </c>
      <c r="G57" s="53">
        <v>6</v>
      </c>
      <c r="H57" s="52">
        <f t="shared" si="14"/>
        <v>10</v>
      </c>
      <c r="I57" s="53">
        <f>VLOOKUP($B57,ТМЦ!$B$3:$L$38,8,0)</f>
        <v>0</v>
      </c>
      <c r="J57" s="53">
        <f t="shared" si="18"/>
        <v>0</v>
      </c>
      <c r="K57" s="50"/>
      <c r="L57" s="53">
        <f>VLOOKUP($B57,ТМЦ!$B$3:$L$38,11,0)</f>
        <v>0</v>
      </c>
    </row>
    <row r="58" spans="1:12" s="3" customFormat="1" x14ac:dyDescent="0.3">
      <c r="A58" s="48"/>
      <c r="B58" s="49" t="s">
        <v>124</v>
      </c>
      <c r="C58" s="50"/>
      <c r="D58" s="51" t="s">
        <v>86</v>
      </c>
      <c r="E58" s="50" t="s">
        <v>5</v>
      </c>
      <c r="F58" s="53">
        <v>4</v>
      </c>
      <c r="G58" s="53">
        <v>6</v>
      </c>
      <c r="H58" s="52">
        <f t="shared" si="14"/>
        <v>10</v>
      </c>
      <c r="I58" s="53">
        <f>VLOOKUP($B58,ТМЦ!$B$3:$L$38,8,0)</f>
        <v>0</v>
      </c>
      <c r="J58" s="53">
        <f t="shared" si="15"/>
        <v>0</v>
      </c>
      <c r="K58" s="50"/>
      <c r="L58" s="53">
        <f>VLOOKUP($B58,ТМЦ!$B$3:$L$38,11,0)</f>
        <v>0</v>
      </c>
    </row>
    <row r="59" spans="1:12" s="3" customFormat="1" x14ac:dyDescent="0.3">
      <c r="A59" s="48"/>
      <c r="B59" s="49" t="s">
        <v>125</v>
      </c>
      <c r="C59" s="50"/>
      <c r="D59" s="51" t="s">
        <v>87</v>
      </c>
      <c r="E59" s="50" t="s">
        <v>5</v>
      </c>
      <c r="F59" s="53">
        <v>4</v>
      </c>
      <c r="G59" s="53">
        <v>7</v>
      </c>
      <c r="H59" s="52">
        <f t="shared" si="14"/>
        <v>11</v>
      </c>
      <c r="I59" s="53">
        <f>VLOOKUP($B59,ТМЦ!$B$3:$L$38,8,0)</f>
        <v>0</v>
      </c>
      <c r="J59" s="53">
        <f t="shared" si="15"/>
        <v>0</v>
      </c>
      <c r="K59" s="50"/>
      <c r="L59" s="53">
        <f>VLOOKUP($B59,ТМЦ!$B$3:$L$38,11,0)</f>
        <v>0</v>
      </c>
    </row>
    <row r="60" spans="1:12" s="3" customFormat="1" x14ac:dyDescent="0.3">
      <c r="A60" s="48"/>
      <c r="B60" s="49" t="s">
        <v>126</v>
      </c>
      <c r="C60" s="50"/>
      <c r="D60" s="51" t="s">
        <v>88</v>
      </c>
      <c r="E60" s="50" t="s">
        <v>5</v>
      </c>
      <c r="F60" s="53">
        <v>2</v>
      </c>
      <c r="G60" s="53">
        <v>4</v>
      </c>
      <c r="H60" s="52">
        <f t="shared" si="14"/>
        <v>6</v>
      </c>
      <c r="I60" s="53">
        <f>VLOOKUP($B60,ТМЦ!$B$3:$L$38,8,0)</f>
        <v>0</v>
      </c>
      <c r="J60" s="53">
        <f t="shared" si="15"/>
        <v>0</v>
      </c>
      <c r="K60" s="50"/>
      <c r="L60" s="53">
        <f>VLOOKUP($B60,ТМЦ!$B$3:$L$38,11,0)</f>
        <v>0</v>
      </c>
    </row>
    <row r="61" spans="1:12" s="3" customFormat="1" x14ac:dyDescent="0.3">
      <c r="A61" s="48"/>
      <c r="B61" s="49" t="s">
        <v>127</v>
      </c>
      <c r="C61" s="50"/>
      <c r="D61" s="51" t="s">
        <v>89</v>
      </c>
      <c r="E61" s="50" t="s">
        <v>5</v>
      </c>
      <c r="F61" s="53">
        <v>2</v>
      </c>
      <c r="G61" s="53">
        <v>4</v>
      </c>
      <c r="H61" s="52">
        <f t="shared" si="14"/>
        <v>6</v>
      </c>
      <c r="I61" s="53">
        <f>VLOOKUP($B61,ТМЦ!$B$3:$L$38,8,0)</f>
        <v>0</v>
      </c>
      <c r="J61" s="53">
        <f t="shared" ref="J61" si="19">I61*H61</f>
        <v>0</v>
      </c>
      <c r="K61" s="50"/>
      <c r="L61" s="53">
        <f>VLOOKUP($B61,ТМЦ!$B$3:$L$38,11,0)</f>
        <v>0</v>
      </c>
    </row>
    <row r="62" spans="1:12" s="3" customFormat="1" x14ac:dyDescent="0.3">
      <c r="A62" s="48"/>
      <c r="B62" s="49" t="s">
        <v>128</v>
      </c>
      <c r="C62" s="50"/>
      <c r="D62" s="51" t="s">
        <v>90</v>
      </c>
      <c r="E62" s="50" t="s">
        <v>5</v>
      </c>
      <c r="F62" s="53">
        <v>2</v>
      </c>
      <c r="G62" s="53">
        <v>4</v>
      </c>
      <c r="H62" s="52">
        <f t="shared" si="14"/>
        <v>6</v>
      </c>
      <c r="I62" s="53">
        <f>VLOOKUP($B62,ТМЦ!$B$3:$L$38,8,0)</f>
        <v>0</v>
      </c>
      <c r="J62" s="53">
        <f t="shared" ref="J62" si="20">I62*H62</f>
        <v>0</v>
      </c>
      <c r="K62" s="50"/>
      <c r="L62" s="53">
        <f>VLOOKUP($B62,ТМЦ!$B$3:$L$38,11,0)</f>
        <v>0</v>
      </c>
    </row>
    <row r="63" spans="1:12" s="3" customFormat="1" x14ac:dyDescent="0.3">
      <c r="A63" s="48"/>
      <c r="B63" s="49" t="s">
        <v>129</v>
      </c>
      <c r="C63" s="50"/>
      <c r="D63" s="51" t="s">
        <v>91</v>
      </c>
      <c r="E63" s="50" t="s">
        <v>5</v>
      </c>
      <c r="F63" s="53">
        <v>1</v>
      </c>
      <c r="G63" s="53">
        <v>0</v>
      </c>
      <c r="H63" s="52">
        <f t="shared" si="14"/>
        <v>1</v>
      </c>
      <c r="I63" s="53">
        <f>VLOOKUP($B63,ТМЦ!$B$3:$L$38,8,0)</f>
        <v>0</v>
      </c>
      <c r="J63" s="53">
        <f t="shared" si="15"/>
        <v>0</v>
      </c>
      <c r="K63" s="50"/>
      <c r="L63" s="53">
        <f>VLOOKUP($B63,ТМЦ!$B$3:$L$38,11,0)</f>
        <v>0</v>
      </c>
    </row>
    <row r="64" spans="1:12" s="3" customFormat="1" x14ac:dyDescent="0.3">
      <c r="A64" s="48"/>
      <c r="B64" s="49" t="s">
        <v>130</v>
      </c>
      <c r="C64" s="50"/>
      <c r="D64" s="51" t="s">
        <v>93</v>
      </c>
      <c r="E64" s="50" t="s">
        <v>5</v>
      </c>
      <c r="F64" s="53">
        <v>0</v>
      </c>
      <c r="G64" s="53">
        <v>1</v>
      </c>
      <c r="H64" s="52">
        <f t="shared" ref="H64" si="21">SUM(F64:G64)</f>
        <v>1</v>
      </c>
      <c r="I64" s="53">
        <f>VLOOKUP($B64,ТМЦ!$B$3:$L$38,8,0)</f>
        <v>0</v>
      </c>
      <c r="J64" s="53">
        <f t="shared" ref="J64" si="22">I64*H64</f>
        <v>0</v>
      </c>
      <c r="K64" s="50"/>
      <c r="L64" s="53">
        <f>VLOOKUP($B64,ТМЦ!$B$3:$L$38,11,0)</f>
        <v>0</v>
      </c>
    </row>
    <row r="65" spans="1:12" s="3" customFormat="1" x14ac:dyDescent="0.3">
      <c r="A65" s="64" t="s">
        <v>43</v>
      </c>
      <c r="B65" s="65" t="s">
        <v>36</v>
      </c>
      <c r="C65" s="66"/>
      <c r="D65" s="67"/>
      <c r="E65" s="66"/>
      <c r="F65" s="66"/>
      <c r="G65" s="66"/>
      <c r="H65" s="68"/>
      <c r="I65" s="69"/>
      <c r="J65" s="69"/>
      <c r="K65" s="66"/>
      <c r="L65" s="66"/>
    </row>
    <row r="66" spans="1:12" s="3" customFormat="1" x14ac:dyDescent="0.3">
      <c r="A66" s="34" t="s">
        <v>44</v>
      </c>
      <c r="B66" s="70" t="s">
        <v>36</v>
      </c>
      <c r="C66" s="71"/>
      <c r="D66" s="72"/>
      <c r="E66" s="71"/>
      <c r="F66" s="71"/>
      <c r="G66" s="71"/>
      <c r="H66" s="73"/>
      <c r="I66" s="71"/>
      <c r="J66" s="74">
        <f>J67</f>
        <v>0</v>
      </c>
      <c r="K66" s="71"/>
      <c r="L66" s="71"/>
    </row>
    <row r="67" spans="1:12" x14ac:dyDescent="0.3">
      <c r="A67" s="61"/>
      <c r="B67" s="27" t="s">
        <v>14</v>
      </c>
      <c r="C67" s="39"/>
      <c r="D67" s="39"/>
      <c r="E67" s="39"/>
      <c r="F67" s="39"/>
      <c r="G67" s="39"/>
      <c r="H67" s="29"/>
      <c r="I67" s="29"/>
      <c r="J67" s="29">
        <f>SUM(J68:J69)</f>
        <v>0</v>
      </c>
      <c r="K67" s="29"/>
      <c r="L67" s="29"/>
    </row>
    <row r="68" spans="1:12" x14ac:dyDescent="0.3">
      <c r="A68" s="61"/>
      <c r="B68" s="40" t="s">
        <v>119</v>
      </c>
      <c r="C68" s="41"/>
      <c r="D68" s="41"/>
      <c r="E68" s="41" t="s">
        <v>37</v>
      </c>
      <c r="F68" s="118">
        <v>1</v>
      </c>
      <c r="G68" s="118"/>
      <c r="H68" s="29">
        <f t="shared" ref="H68:H69" si="23">SUM(F68:G68)</f>
        <v>1</v>
      </c>
      <c r="I68" s="42">
        <f>VLOOKUP(B68,СМР!$B$3:$H$9,7,0)</f>
        <v>0</v>
      </c>
      <c r="J68" s="43">
        <f>I68*H68</f>
        <v>0</v>
      </c>
      <c r="K68" s="29"/>
      <c r="L68" s="29"/>
    </row>
    <row r="69" spans="1:12" x14ac:dyDescent="0.3">
      <c r="A69" s="61"/>
      <c r="B69" s="40" t="s">
        <v>120</v>
      </c>
      <c r="C69" s="41"/>
      <c r="D69" s="41"/>
      <c r="E69" s="41" t="s">
        <v>37</v>
      </c>
      <c r="F69" s="118"/>
      <c r="G69" s="118">
        <v>1</v>
      </c>
      <c r="H69" s="29">
        <f t="shared" si="23"/>
        <v>1</v>
      </c>
      <c r="I69" s="42">
        <f>VLOOKUP(B69,СМР!$B$3:$H$9,7,0)</f>
        <v>0</v>
      </c>
      <c r="J69" s="43">
        <f>I69*H69</f>
        <v>0</v>
      </c>
      <c r="K69" s="29"/>
      <c r="L69" s="29"/>
    </row>
    <row r="70" spans="1:12" s="3" customFormat="1" x14ac:dyDescent="0.3">
      <c r="A70" s="48"/>
      <c r="B70" s="49" t="s">
        <v>15</v>
      </c>
      <c r="C70" s="50"/>
      <c r="D70" s="51"/>
      <c r="E70" s="50"/>
      <c r="F70" s="50"/>
      <c r="G70" s="50"/>
      <c r="H70" s="75"/>
      <c r="I70" s="50"/>
      <c r="J70" s="52">
        <v>0</v>
      </c>
      <c r="K70" s="50"/>
      <c r="L70" s="50"/>
    </row>
    <row r="71" spans="1:12" s="3" customFormat="1" x14ac:dyDescent="0.3">
      <c r="A71" s="48"/>
      <c r="B71" s="49"/>
      <c r="C71" s="50"/>
      <c r="D71" s="51"/>
      <c r="E71" s="50"/>
      <c r="F71" s="50"/>
      <c r="G71" s="50"/>
      <c r="H71" s="52"/>
      <c r="I71" s="53"/>
      <c r="J71" s="53"/>
      <c r="K71" s="50"/>
      <c r="L71" s="50"/>
    </row>
    <row r="72" spans="1:12" x14ac:dyDescent="0.3">
      <c r="A72" s="34"/>
      <c r="B72" s="124" t="s">
        <v>117</v>
      </c>
      <c r="C72" s="125"/>
      <c r="D72" s="125"/>
      <c r="E72" s="125"/>
      <c r="F72" s="125"/>
      <c r="G72" s="125"/>
      <c r="H72" s="125"/>
      <c r="I72" s="126"/>
      <c r="J72" s="74">
        <f>J38+J16+J66</f>
        <v>0</v>
      </c>
      <c r="K72" s="73"/>
      <c r="L72" s="73"/>
    </row>
    <row r="73" spans="1:12" x14ac:dyDescent="0.3">
      <c r="A73" s="76"/>
      <c r="B73" s="127" t="s">
        <v>17</v>
      </c>
      <c r="C73" s="128"/>
      <c r="D73" s="128"/>
      <c r="E73" s="128"/>
      <c r="F73" s="128"/>
      <c r="G73" s="128"/>
      <c r="H73" s="128"/>
      <c r="I73" s="129"/>
      <c r="J73" s="115">
        <f>SUMIF($B$13:$B$71,"Работа:",J$13:J$71)</f>
        <v>0</v>
      </c>
      <c r="K73" s="77"/>
      <c r="L73" s="77"/>
    </row>
    <row r="74" spans="1:12" x14ac:dyDescent="0.3">
      <c r="A74" s="76"/>
      <c r="B74" s="127" t="s">
        <v>18</v>
      </c>
      <c r="C74" s="128"/>
      <c r="D74" s="128"/>
      <c r="E74" s="128"/>
      <c r="F74" s="128"/>
      <c r="G74" s="128"/>
      <c r="H74" s="128"/>
      <c r="I74" s="129"/>
      <c r="J74" s="115">
        <f>SUMIF($B$13:$B$71,"Материалы:",J$13:J$71)</f>
        <v>0</v>
      </c>
      <c r="K74" s="77"/>
      <c r="L74" s="77"/>
    </row>
    <row r="75" spans="1:12" x14ac:dyDescent="0.3">
      <c r="A75" s="76"/>
      <c r="B75" s="127" t="s">
        <v>118</v>
      </c>
      <c r="C75" s="128"/>
      <c r="D75" s="128"/>
      <c r="E75" s="128"/>
      <c r="F75" s="128"/>
      <c r="G75" s="128"/>
      <c r="H75" s="128"/>
      <c r="I75" s="129"/>
      <c r="J75" s="116">
        <f>J72*22/122</f>
        <v>0</v>
      </c>
      <c r="K75" s="78"/>
      <c r="L75" s="78"/>
    </row>
    <row r="77" spans="1:12" x14ac:dyDescent="0.3">
      <c r="A77" s="79"/>
      <c r="B77" s="80" t="s">
        <v>24</v>
      </c>
      <c r="C77" s="81"/>
      <c r="D77" s="81"/>
      <c r="E77" s="81"/>
      <c r="F77" s="81"/>
      <c r="G77" s="81"/>
      <c r="H77" s="82"/>
      <c r="I77" s="81"/>
      <c r="J77" s="81"/>
      <c r="K77" s="81"/>
      <c r="L77" s="81"/>
    </row>
    <row r="78" spans="1:12" ht="35.25" customHeight="1" x14ac:dyDescent="0.3">
      <c r="A78" s="79" t="s">
        <v>25</v>
      </c>
      <c r="B78" s="123" t="s">
        <v>26</v>
      </c>
      <c r="C78" s="123"/>
      <c r="D78" s="123"/>
      <c r="E78" s="123"/>
      <c r="F78" s="123"/>
      <c r="G78" s="123"/>
      <c r="H78" s="123"/>
      <c r="I78" s="123"/>
      <c r="J78" s="123"/>
      <c r="K78" s="123"/>
    </row>
    <row r="79" spans="1:12" ht="55.5" customHeight="1" x14ac:dyDescent="0.3">
      <c r="A79" s="83" t="s">
        <v>25</v>
      </c>
      <c r="B79" s="121" t="s">
        <v>27</v>
      </c>
      <c r="C79" s="121"/>
      <c r="D79" s="121"/>
      <c r="E79" s="121"/>
      <c r="F79" s="121"/>
      <c r="G79" s="121"/>
      <c r="H79" s="121"/>
      <c r="I79" s="121"/>
      <c r="J79" s="121"/>
      <c r="K79" s="121"/>
    </row>
    <row r="80" spans="1:12" x14ac:dyDescent="0.3">
      <c r="A80" s="79" t="s">
        <v>25</v>
      </c>
      <c r="B80" s="122" t="s">
        <v>28</v>
      </c>
      <c r="C80" s="122"/>
      <c r="D80" s="122"/>
      <c r="E80" s="122"/>
      <c r="F80" s="122"/>
      <c r="G80" s="122"/>
      <c r="H80" s="122"/>
      <c r="I80" s="122"/>
      <c r="J80" s="122"/>
      <c r="K80" s="122"/>
    </row>
    <row r="81" spans="1:12" x14ac:dyDescent="0.3">
      <c r="A81" s="79"/>
      <c r="B81" s="84"/>
      <c r="C81" s="81"/>
      <c r="D81" s="81"/>
      <c r="E81" s="81"/>
      <c r="F81" s="81"/>
      <c r="G81" s="81"/>
      <c r="H81" s="82"/>
      <c r="I81" s="81"/>
      <c r="J81" s="81"/>
      <c r="K81" s="81"/>
      <c r="L81" s="81"/>
    </row>
  </sheetData>
  <autoFilter ref="A12:L75" xr:uid="{C5CED1CB-7C93-4EDB-91EA-77B164F7C290}"/>
  <mergeCells count="7">
    <mergeCell ref="B79:K79"/>
    <mergeCell ref="B80:K80"/>
    <mergeCell ref="B78:K78"/>
    <mergeCell ref="B72:I72"/>
    <mergeCell ref="B73:I73"/>
    <mergeCell ref="B74:I74"/>
    <mergeCell ref="B75:I75"/>
  </mergeCells>
  <phoneticPr fontId="7" type="noConversion"/>
  <conditionalFormatting sqref="L22:L30 L32:L36">
    <cfRule type="cellIs" dxfId="4" priority="1" operator="equal">
      <formula>0</formula>
    </cfRule>
  </conditionalFormatting>
  <conditionalFormatting sqref="L43:L64">
    <cfRule type="cellIs" dxfId="3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F2DE0-6CEF-47D8-B450-8ADC2DABC345}">
  <dimension ref="A1:M16"/>
  <sheetViews>
    <sheetView workbookViewId="0">
      <pane xSplit="10" ySplit="2" topLeftCell="K3" activePane="bottomRight" state="frozen"/>
      <selection activeCell="E3" sqref="E3"/>
      <selection pane="topRight" activeCell="E3" sqref="E3"/>
      <selection pane="bottomLeft" activeCell="E3" sqref="E3"/>
      <selection pane="bottomRight" activeCell="A6" sqref="A6:XFD8"/>
    </sheetView>
  </sheetViews>
  <sheetFormatPr defaultRowHeight="13.8" x14ac:dyDescent="0.3"/>
  <cols>
    <col min="1" max="1" width="7.44140625" style="85" customWidth="1"/>
    <col min="2" max="2" width="30.6640625" style="85" customWidth="1"/>
    <col min="3" max="3" width="30.5546875" style="85" customWidth="1"/>
    <col min="4" max="8" width="8.88671875" style="85"/>
    <col min="9" max="9" width="15" style="85" customWidth="1"/>
    <col min="10" max="10" width="17.44140625" style="85" customWidth="1"/>
    <col min="11" max="16384" width="8.88671875" style="85"/>
  </cols>
  <sheetData>
    <row r="1" spans="1:13" x14ac:dyDescent="0.3">
      <c r="A1" s="85" t="s">
        <v>113</v>
      </c>
    </row>
    <row r="2" spans="1:13" x14ac:dyDescent="0.3">
      <c r="A2" s="86" t="s">
        <v>35</v>
      </c>
      <c r="B2" s="87" t="s">
        <v>1</v>
      </c>
      <c r="C2" s="87" t="s">
        <v>21</v>
      </c>
      <c r="D2" s="87" t="s">
        <v>11</v>
      </c>
      <c r="E2" s="87" t="s">
        <v>105</v>
      </c>
      <c r="F2" s="87" t="s">
        <v>106</v>
      </c>
      <c r="G2" s="88" t="s">
        <v>2</v>
      </c>
      <c r="H2" s="89" t="s">
        <v>8</v>
      </c>
      <c r="I2" s="89" t="s">
        <v>9</v>
      </c>
      <c r="J2" s="89" t="s">
        <v>10</v>
      </c>
    </row>
    <row r="3" spans="1:13" x14ac:dyDescent="0.3">
      <c r="A3" s="90">
        <f>ROW()-2</f>
        <v>1</v>
      </c>
      <c r="B3" s="86" t="s">
        <v>34</v>
      </c>
      <c r="C3" s="90"/>
      <c r="D3" s="90" t="s">
        <v>4</v>
      </c>
      <c r="E3" s="91">
        <f>SUMIF(ЛСР!$B$13:$B$71,СМР!$B3,ЛСР!F$13:F$71)</f>
        <v>1110</v>
      </c>
      <c r="F3" s="91">
        <f>SUMIF(ЛСР!$B$13:$B$71,СМР!$B3,ЛСР!G$13:G$71)</f>
        <v>2060</v>
      </c>
      <c r="G3" s="91">
        <f>SUMIF(ЛСР!$B$13:$B$71,СМР!$B3,ЛСР!H$13:H$71)</f>
        <v>3170</v>
      </c>
      <c r="H3" s="91"/>
      <c r="I3" s="91">
        <f>H3*G3</f>
        <v>0</v>
      </c>
      <c r="J3" s="86"/>
    </row>
    <row r="4" spans="1:13" x14ac:dyDescent="0.3">
      <c r="A4" s="90">
        <f t="shared" ref="A4:A9" si="0">ROW()-2</f>
        <v>2</v>
      </c>
      <c r="B4" s="86" t="s">
        <v>131</v>
      </c>
      <c r="C4" s="92"/>
      <c r="D4" s="90" t="s">
        <v>4</v>
      </c>
      <c r="E4" s="91">
        <f>SUMIF(ЛСР!$B$13:$B$71,СМР!$B4,ЛСР!F$13:F$71)</f>
        <v>969.2</v>
      </c>
      <c r="F4" s="91">
        <f>SUMIF(ЛСР!$B$13:$B$71,СМР!$B4,ЛСР!G$13:G$71)</f>
        <v>1712</v>
      </c>
      <c r="G4" s="91">
        <f>SUMIF(ЛСР!$B$13:$B$71,СМР!$B4,ЛСР!H$13:H$71)</f>
        <v>2681.2</v>
      </c>
      <c r="H4" s="91"/>
      <c r="I4" s="91">
        <f t="shared" ref="I4:I9" si="1">H4*G4</f>
        <v>0</v>
      </c>
      <c r="J4" s="86"/>
    </row>
    <row r="5" spans="1:13" x14ac:dyDescent="0.3">
      <c r="A5" s="90">
        <f t="shared" si="0"/>
        <v>3</v>
      </c>
      <c r="B5" s="86" t="s">
        <v>132</v>
      </c>
      <c r="C5" s="92"/>
      <c r="D5" s="90" t="s">
        <v>4</v>
      </c>
      <c r="E5" s="91">
        <f>SUMIF(ЛСР!$B$13:$B$71,СМР!$B5,ЛСР!F$13:F$71)</f>
        <v>50</v>
      </c>
      <c r="F5" s="91">
        <f>SUMIF(ЛСР!$B$13:$B$71,СМР!$B5,ЛСР!G$13:G$71)</f>
        <v>50</v>
      </c>
      <c r="G5" s="91">
        <f>SUMIF(ЛСР!$B$13:$B$71,СМР!$B5,ЛСР!H$13:H$71)</f>
        <v>100</v>
      </c>
      <c r="H5" s="91"/>
      <c r="I5" s="91">
        <f t="shared" si="1"/>
        <v>0</v>
      </c>
      <c r="J5" s="86"/>
    </row>
    <row r="6" spans="1:13" x14ac:dyDescent="0.3">
      <c r="A6" s="90">
        <f t="shared" si="0"/>
        <v>4</v>
      </c>
      <c r="B6" s="86" t="s">
        <v>22</v>
      </c>
      <c r="C6" s="92"/>
      <c r="D6" s="90" t="s">
        <v>3</v>
      </c>
      <c r="E6" s="91">
        <f>SUMIF(ЛСР!$B$13:$B$71,СМР!$B6,ЛСР!F$13:F$71)</f>
        <v>1</v>
      </c>
      <c r="F6" s="91">
        <f>SUMIF(ЛСР!$B$13:$B$71,СМР!$B6,ЛСР!G$13:G$71)</f>
        <v>1</v>
      </c>
      <c r="G6" s="91">
        <f>SUMIF(ЛСР!$B$13:$B$71,СМР!$B6,ЛСР!H$13:H$71)</f>
        <v>2</v>
      </c>
      <c r="H6" s="91"/>
      <c r="I6" s="91">
        <f t="shared" si="1"/>
        <v>0</v>
      </c>
      <c r="J6" s="86"/>
    </row>
    <row r="7" spans="1:13" x14ac:dyDescent="0.3">
      <c r="A7" s="90">
        <f t="shared" si="0"/>
        <v>5</v>
      </c>
      <c r="B7" s="86" t="s">
        <v>23</v>
      </c>
      <c r="C7" s="92"/>
      <c r="D7" s="90" t="s">
        <v>3</v>
      </c>
      <c r="E7" s="91">
        <f>SUMIF(ЛСР!$B$13:$B$71,СМР!$B7,ЛСР!F$13:F$71)</f>
        <v>1</v>
      </c>
      <c r="F7" s="91">
        <f>SUMIF(ЛСР!$B$13:$B$71,СМР!$B7,ЛСР!G$13:G$71)</f>
        <v>1</v>
      </c>
      <c r="G7" s="91">
        <f>SUMIF(ЛСР!$B$13:$B$71,СМР!$B7,ЛСР!H$13:H$71)</f>
        <v>2</v>
      </c>
      <c r="H7" s="91"/>
      <c r="I7" s="91">
        <f t="shared" si="1"/>
        <v>0</v>
      </c>
      <c r="J7" s="86"/>
    </row>
    <row r="8" spans="1:13" x14ac:dyDescent="0.3">
      <c r="A8" s="90">
        <f t="shared" si="0"/>
        <v>6</v>
      </c>
      <c r="B8" s="93" t="s">
        <v>119</v>
      </c>
      <c r="C8" s="92"/>
      <c r="D8" s="90" t="s">
        <v>37</v>
      </c>
      <c r="E8" s="91">
        <f>SUMIF(ЛСР!$B$13:$B$71,СМР!$B8,ЛСР!F$13:F$71)</f>
        <v>1</v>
      </c>
      <c r="F8" s="91">
        <f>SUMIF(ЛСР!$B$13:$B$71,СМР!$B8,ЛСР!G$13:G$71)</f>
        <v>0</v>
      </c>
      <c r="G8" s="91">
        <f>SUMIF(ЛСР!$B$13:$B$71,СМР!$B8,ЛСР!H$13:H$71)</f>
        <v>1</v>
      </c>
      <c r="H8" s="91"/>
      <c r="I8" s="91">
        <f t="shared" si="1"/>
        <v>0</v>
      </c>
      <c r="J8" s="86"/>
    </row>
    <row r="9" spans="1:13" x14ac:dyDescent="0.3">
      <c r="A9" s="90">
        <f t="shared" si="0"/>
        <v>7</v>
      </c>
      <c r="B9" s="93" t="s">
        <v>120</v>
      </c>
      <c r="C9" s="92"/>
      <c r="D9" s="90" t="s">
        <v>37</v>
      </c>
      <c r="E9" s="91">
        <f>SUMIF(ЛСР!$B$13:$B$71,СМР!$B9,ЛСР!F$13:F$71)</f>
        <v>0</v>
      </c>
      <c r="F9" s="91">
        <f>SUMIF(ЛСР!$B$13:$B$71,СМР!$B9,ЛСР!G$13:G$71)</f>
        <v>1</v>
      </c>
      <c r="G9" s="91">
        <f>SUMIF(ЛСР!$B$13:$B$71,СМР!$B9,ЛСР!H$13:H$71)</f>
        <v>1</v>
      </c>
      <c r="H9" s="91"/>
      <c r="I9" s="91">
        <f t="shared" si="1"/>
        <v>0</v>
      </c>
      <c r="J9" s="86"/>
    </row>
    <row r="10" spans="1:13" x14ac:dyDescent="0.3">
      <c r="H10" s="94" t="s">
        <v>114</v>
      </c>
      <c r="I10" s="95">
        <f>SUM(I3:I9)</f>
        <v>0</v>
      </c>
    </row>
    <row r="11" spans="1:13" x14ac:dyDescent="0.3">
      <c r="H11" s="94" t="s">
        <v>115</v>
      </c>
      <c r="I11" s="96">
        <f>I10-ЛСР!J73</f>
        <v>0</v>
      </c>
    </row>
    <row r="13" spans="1:13" x14ac:dyDescent="0.3">
      <c r="B13" s="97" t="s">
        <v>24</v>
      </c>
      <c r="C13" s="97"/>
      <c r="D13" s="98"/>
      <c r="E13" s="98"/>
      <c r="I13" s="99"/>
      <c r="K13" s="100"/>
      <c r="L13" s="101"/>
      <c r="M13" s="100"/>
    </row>
    <row r="14" spans="1:13" ht="41.25" customHeight="1" x14ac:dyDescent="0.3">
      <c r="A14" s="102" t="s">
        <v>25</v>
      </c>
      <c r="B14" s="130" t="s">
        <v>26</v>
      </c>
      <c r="C14" s="130"/>
      <c r="D14" s="130"/>
      <c r="E14" s="130"/>
      <c r="F14" s="130"/>
      <c r="G14" s="130"/>
      <c r="H14" s="130"/>
      <c r="I14" s="130"/>
      <c r="J14" s="130"/>
      <c r="K14" s="103"/>
      <c r="L14" s="103"/>
      <c r="M14" s="104"/>
    </row>
    <row r="15" spans="1:13" ht="73.2" customHeight="1" x14ac:dyDescent="0.3">
      <c r="A15" s="105" t="s">
        <v>25</v>
      </c>
      <c r="B15" s="130" t="s">
        <v>27</v>
      </c>
      <c r="C15" s="130"/>
      <c r="D15" s="130"/>
      <c r="E15" s="130"/>
      <c r="F15" s="130"/>
      <c r="G15" s="130"/>
      <c r="H15" s="130"/>
      <c r="I15" s="130"/>
      <c r="J15" s="130"/>
      <c r="K15" s="103"/>
      <c r="L15" s="103"/>
      <c r="M15" s="106"/>
    </row>
    <row r="16" spans="1:13" ht="13.8" customHeight="1" x14ac:dyDescent="0.3">
      <c r="A16" s="102" t="s">
        <v>25</v>
      </c>
      <c r="B16" s="107" t="s">
        <v>28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8"/>
    </row>
  </sheetData>
  <mergeCells count="2">
    <mergeCell ref="B14:J14"/>
    <mergeCell ref="B15:J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5A034-CBCD-4C0D-892D-75ECFA0CA01F}">
  <dimension ref="A1:M45"/>
  <sheetViews>
    <sheetView workbookViewId="0">
      <pane xSplit="12" ySplit="2" topLeftCell="M3" activePane="bottomRight" state="frozen"/>
      <selection activeCell="E3" sqref="E3"/>
      <selection pane="topRight" activeCell="E3" sqref="E3"/>
      <selection pane="bottomLeft" activeCell="E3" sqref="E3"/>
      <selection pane="bottomRight" activeCell="K33" sqref="K33"/>
    </sheetView>
  </sheetViews>
  <sheetFormatPr defaultRowHeight="14.4" x14ac:dyDescent="0.3"/>
  <cols>
    <col min="1" max="1" width="8.88671875" style="109"/>
    <col min="2" max="2" width="35.6640625" style="109" customWidth="1"/>
    <col min="3" max="3" width="24.21875" style="109" customWidth="1"/>
    <col min="4" max="4" width="39.33203125" style="109" customWidth="1"/>
    <col min="5" max="9" width="8.88671875" style="109"/>
    <col min="10" max="10" width="15.88671875" style="109" customWidth="1"/>
    <col min="11" max="11" width="32.109375" style="109" customWidth="1"/>
    <col min="12" max="12" width="17.88671875" style="109" customWidth="1"/>
    <col min="13" max="16384" width="8.88671875" style="109"/>
  </cols>
  <sheetData>
    <row r="1" spans="1:12" x14ac:dyDescent="0.3">
      <c r="A1" s="109" t="s">
        <v>116</v>
      </c>
    </row>
    <row r="2" spans="1:12" ht="27.6" x14ac:dyDescent="0.3">
      <c r="A2" s="110" t="s">
        <v>35</v>
      </c>
      <c r="B2" s="87" t="s">
        <v>1</v>
      </c>
      <c r="C2" s="87" t="s">
        <v>20</v>
      </c>
      <c r="D2" s="87" t="s">
        <v>21</v>
      </c>
      <c r="E2" s="87" t="s">
        <v>11</v>
      </c>
      <c r="F2" s="87" t="s">
        <v>105</v>
      </c>
      <c r="G2" s="87" t="s">
        <v>106</v>
      </c>
      <c r="H2" s="88" t="s">
        <v>2</v>
      </c>
      <c r="I2" s="89" t="s">
        <v>8</v>
      </c>
      <c r="J2" s="89" t="s">
        <v>9</v>
      </c>
      <c r="K2" s="89" t="s">
        <v>10</v>
      </c>
      <c r="L2" s="89" t="s">
        <v>45</v>
      </c>
    </row>
    <row r="3" spans="1:12" ht="28.8" x14ac:dyDescent="0.3">
      <c r="A3" s="90">
        <f>ROW()-2</f>
        <v>1</v>
      </c>
      <c r="B3" s="111" t="s">
        <v>55</v>
      </c>
      <c r="C3" s="112"/>
      <c r="D3" s="113" t="s">
        <v>73</v>
      </c>
      <c r="E3" s="113" t="s">
        <v>4</v>
      </c>
      <c r="F3" s="91">
        <f>SUMIF(ЛСР!$B$13:$B$71,$B3,ЛСР!F$13:F$71)</f>
        <v>1000</v>
      </c>
      <c r="G3" s="91">
        <f>SUMIF(ЛСР!$B$13:$B$71,$B3,ЛСР!G$13:G$71)</f>
        <v>1850</v>
      </c>
      <c r="H3" s="91">
        <f>SUMIF(ЛСР!$B$13:$B$71,$B3,ЛСР!H$13:H$71)</f>
        <v>2850</v>
      </c>
      <c r="I3" s="114"/>
      <c r="J3" s="114">
        <f>I3*H3</f>
        <v>0</v>
      </c>
      <c r="K3" s="113">
        <f>VLOOKUP(B3,ЛСР!$B$13:$K$71,10,0)</f>
        <v>0</v>
      </c>
      <c r="L3" s="112"/>
    </row>
    <row r="4" spans="1:12" ht="28.8" x14ac:dyDescent="0.3">
      <c r="A4" s="90">
        <f t="shared" ref="A4:A38" si="0">ROW()-2</f>
        <v>2</v>
      </c>
      <c r="B4" s="111" t="s">
        <v>61</v>
      </c>
      <c r="C4" s="112" t="s">
        <v>62</v>
      </c>
      <c r="D4" s="113" t="s">
        <v>74</v>
      </c>
      <c r="E4" s="113" t="s">
        <v>4</v>
      </c>
      <c r="F4" s="91">
        <f>SUMIF(ЛСР!$B$13:$B$71,$B4,ЛСР!F$13:F$71)</f>
        <v>100</v>
      </c>
      <c r="G4" s="91">
        <f>SUMIF(ЛСР!$B$13:$B$71,$B4,ЛСР!G$13:G$71)</f>
        <v>200</v>
      </c>
      <c r="H4" s="91">
        <f>SUMIF(ЛСР!$B$13:$B$71,$B4,ЛСР!H$13:H$71)</f>
        <v>300</v>
      </c>
      <c r="I4" s="114"/>
      <c r="J4" s="114">
        <f t="shared" ref="J4:J38" si="1">I4*H4</f>
        <v>0</v>
      </c>
      <c r="K4" s="113">
        <f>VLOOKUP(B4,ЛСР!$B$13:$K$71,10,0)</f>
        <v>0</v>
      </c>
      <c r="L4" s="112"/>
    </row>
    <row r="5" spans="1:12" ht="28.8" x14ac:dyDescent="0.3">
      <c r="A5" s="90">
        <f t="shared" si="0"/>
        <v>3</v>
      </c>
      <c r="B5" s="111" t="s">
        <v>57</v>
      </c>
      <c r="C5" s="112" t="s">
        <v>63</v>
      </c>
      <c r="D5" s="113" t="s">
        <v>75</v>
      </c>
      <c r="E5" s="113" t="s">
        <v>4</v>
      </c>
      <c r="F5" s="91">
        <f>SUMIF(ЛСР!$B$13:$B$71,$B5,ЛСР!F$13:F$71)</f>
        <v>10</v>
      </c>
      <c r="G5" s="91">
        <f>SUMIF(ЛСР!$B$13:$B$71,$B5,ЛСР!G$13:G$71)</f>
        <v>10</v>
      </c>
      <c r="H5" s="91">
        <f>SUMIF(ЛСР!$B$13:$B$71,$B5,ЛСР!H$13:H$71)</f>
        <v>20</v>
      </c>
      <c r="I5" s="114"/>
      <c r="J5" s="114">
        <f t="shared" si="1"/>
        <v>0</v>
      </c>
      <c r="K5" s="113" t="str">
        <f>VLOOKUP(B5,ЛСР!$B$13:$K$71,10,0)</f>
        <v>заземление</v>
      </c>
      <c r="L5" s="112"/>
    </row>
    <row r="6" spans="1:12" x14ac:dyDescent="0.3">
      <c r="A6" s="90">
        <f t="shared" si="0"/>
        <v>4</v>
      </c>
      <c r="B6" s="111" t="s">
        <v>59</v>
      </c>
      <c r="C6" s="112"/>
      <c r="D6" s="113" t="s">
        <v>76</v>
      </c>
      <c r="E6" s="113" t="s">
        <v>4</v>
      </c>
      <c r="F6" s="91">
        <f>SUMIF(ЛСР!$B$13:$B$71,$B6,ЛСР!F$13:F$71)</f>
        <v>750</v>
      </c>
      <c r="G6" s="91">
        <f>SUMIF(ЛСР!$B$13:$B$71,$B6,ЛСР!G$13:G$71)</f>
        <v>1360</v>
      </c>
      <c r="H6" s="91">
        <f>SUMIF(ЛСР!$B$13:$B$71,$B6,ЛСР!H$13:H$71)</f>
        <v>2110</v>
      </c>
      <c r="I6" s="114"/>
      <c r="J6" s="114">
        <f t="shared" si="1"/>
        <v>0</v>
      </c>
      <c r="K6" s="113">
        <f>VLOOKUP(B6,ЛСР!$B$13:$K$71,10,0)</f>
        <v>0</v>
      </c>
      <c r="L6" s="112"/>
    </row>
    <row r="7" spans="1:12" x14ac:dyDescent="0.3">
      <c r="A7" s="90">
        <f t="shared" si="0"/>
        <v>5</v>
      </c>
      <c r="B7" s="111" t="s">
        <v>60</v>
      </c>
      <c r="C7" s="112"/>
      <c r="D7" s="113" t="s">
        <v>77</v>
      </c>
      <c r="E7" s="113" t="s">
        <v>4</v>
      </c>
      <c r="F7" s="91">
        <f>SUMIF(ЛСР!$B$13:$B$71,$B7,ЛСР!F$13:F$71)</f>
        <v>140</v>
      </c>
      <c r="G7" s="91">
        <f>SUMIF(ЛСР!$B$13:$B$71,$B7,ЛСР!G$13:G$71)</f>
        <v>220</v>
      </c>
      <c r="H7" s="91">
        <f>SUMIF(ЛСР!$B$13:$B$71,$B7,ЛСР!H$13:H$71)</f>
        <v>360</v>
      </c>
      <c r="I7" s="114"/>
      <c r="J7" s="114">
        <f t="shared" si="1"/>
        <v>0</v>
      </c>
      <c r="K7" s="113">
        <f>VLOOKUP(B7,ЛСР!$B$13:$K$71,10,0)</f>
        <v>0</v>
      </c>
      <c r="L7" s="112"/>
    </row>
    <row r="8" spans="1:12" ht="31.2" customHeight="1" x14ac:dyDescent="0.3">
      <c r="A8" s="90">
        <f t="shared" si="0"/>
        <v>6</v>
      </c>
      <c r="B8" s="111" t="s">
        <v>65</v>
      </c>
      <c r="C8" s="112"/>
      <c r="D8" s="113" t="s">
        <v>95</v>
      </c>
      <c r="E8" s="113" t="s">
        <v>4</v>
      </c>
      <c r="F8" s="91">
        <f>SUMIF(ЛСР!$B$13:$B$71,$B8,ЛСР!F$13:F$71)</f>
        <v>72</v>
      </c>
      <c r="G8" s="91">
        <f>SUMIF(ЛСР!$B$13:$B$71,$B8,ЛСР!G$13:G$71)</f>
        <v>120</v>
      </c>
      <c r="H8" s="91">
        <f>SUMIF(ЛСР!$B$13:$B$71,$B8,ЛСР!H$13:H$71)</f>
        <v>192</v>
      </c>
      <c r="I8" s="114"/>
      <c r="J8" s="114">
        <f t="shared" si="1"/>
        <v>0</v>
      </c>
      <c r="K8" s="113">
        <f>VLOOKUP(B8,ЛСР!$B$13:$K$71,10,0)</f>
        <v>0</v>
      </c>
      <c r="L8" s="112"/>
    </row>
    <row r="9" spans="1:12" x14ac:dyDescent="0.3">
      <c r="A9" s="90">
        <f t="shared" si="0"/>
        <v>7</v>
      </c>
      <c r="B9" s="111" t="s">
        <v>99</v>
      </c>
      <c r="C9" s="112"/>
      <c r="D9" s="113" t="s">
        <v>96</v>
      </c>
      <c r="E9" s="113" t="s">
        <v>4</v>
      </c>
      <c r="F9" s="91">
        <f>SUMIF(ЛСР!$B$13:$B$71,$B9,ЛСР!F$13:F$71)</f>
        <v>7.2</v>
      </c>
      <c r="G9" s="91">
        <f>SUMIF(ЛСР!$B$13:$B$71,$B9,ЛСР!G$13:G$71)</f>
        <v>12</v>
      </c>
      <c r="H9" s="91">
        <f>SUMIF(ЛСР!$B$13:$B$71,$B9,ЛСР!H$13:H$71)</f>
        <v>19.2</v>
      </c>
      <c r="I9" s="114"/>
      <c r="J9" s="114">
        <f t="shared" si="1"/>
        <v>0</v>
      </c>
      <c r="K9" s="113">
        <f>VLOOKUP(B9,ЛСР!$B$13:$K$71,10,0)</f>
        <v>0</v>
      </c>
      <c r="L9" s="112"/>
    </row>
    <row r="10" spans="1:12" x14ac:dyDescent="0.3">
      <c r="A10" s="90">
        <f t="shared" si="0"/>
        <v>8</v>
      </c>
      <c r="B10" s="111" t="s">
        <v>97</v>
      </c>
      <c r="C10" s="112"/>
      <c r="D10" s="113" t="s">
        <v>98</v>
      </c>
      <c r="E10" s="113" t="s">
        <v>4</v>
      </c>
      <c r="F10" s="91">
        <f>SUMIF(ЛСР!$B$13:$B$71,$B10,ЛСР!F$13:F$71)</f>
        <v>50</v>
      </c>
      <c r="G10" s="91">
        <f>SUMIF(ЛСР!$B$13:$B$71,$B10,ЛСР!G$13:G$71)</f>
        <v>50</v>
      </c>
      <c r="H10" s="91">
        <f>SUMIF(ЛСР!$B$13:$B$71,$B10,ЛСР!H$13:H$71)</f>
        <v>100</v>
      </c>
      <c r="I10" s="114"/>
      <c r="J10" s="114">
        <f t="shared" si="1"/>
        <v>0</v>
      </c>
      <c r="K10" s="113">
        <f>VLOOKUP(B10,ЛСР!$B$13:$K$71,10,0)</f>
        <v>0</v>
      </c>
      <c r="L10" s="112"/>
    </row>
    <row r="11" spans="1:12" ht="28.8" x14ac:dyDescent="0.3">
      <c r="A11" s="90">
        <f t="shared" si="0"/>
        <v>9</v>
      </c>
      <c r="B11" s="111" t="s">
        <v>71</v>
      </c>
      <c r="C11" s="112"/>
      <c r="D11" s="113"/>
      <c r="E11" s="113" t="s">
        <v>5</v>
      </c>
      <c r="F11" s="91">
        <f>SUMIF(ЛСР!$B$13:$B$71,$B11,ЛСР!F$13:F$71)</f>
        <v>88</v>
      </c>
      <c r="G11" s="91">
        <f>SUMIF(ЛСР!$B$13:$B$71,$B11,ЛСР!G$13:G$71)</f>
        <v>156</v>
      </c>
      <c r="H11" s="91">
        <f>SUMIF(ЛСР!$B$13:$B$71,$B11,ЛСР!H$13:H$71)</f>
        <v>244</v>
      </c>
      <c r="I11" s="114"/>
      <c r="J11" s="114">
        <f t="shared" si="1"/>
        <v>0</v>
      </c>
      <c r="K11" s="113">
        <f>VLOOKUP(B11,ЛСР!$B$13:$K$71,10,0)</f>
        <v>0</v>
      </c>
      <c r="L11" s="112"/>
    </row>
    <row r="12" spans="1:12" ht="28.8" x14ac:dyDescent="0.3">
      <c r="A12" s="90">
        <f t="shared" si="0"/>
        <v>10</v>
      </c>
      <c r="B12" s="111" t="s">
        <v>72</v>
      </c>
      <c r="C12" s="112"/>
      <c r="D12" s="113"/>
      <c r="E12" s="113" t="s">
        <v>5</v>
      </c>
      <c r="F12" s="91">
        <f>SUMIF(ЛСР!$B$13:$B$71,$B12,ЛСР!F$13:F$71)</f>
        <v>48</v>
      </c>
      <c r="G12" s="91">
        <f>SUMIF(ЛСР!$B$13:$B$71,$B12,ЛСР!G$13:G$71)</f>
        <v>80</v>
      </c>
      <c r="H12" s="91">
        <f>SUMIF(ЛСР!$B$13:$B$71,$B12,ЛСР!H$13:H$71)</f>
        <v>128</v>
      </c>
      <c r="I12" s="114"/>
      <c r="J12" s="114">
        <f t="shared" si="1"/>
        <v>0</v>
      </c>
      <c r="K12" s="113">
        <f>VLOOKUP(B12,ЛСР!$B$13:$K$71,10,0)</f>
        <v>0</v>
      </c>
      <c r="L12" s="112"/>
    </row>
    <row r="13" spans="1:12" ht="33.6" customHeight="1" x14ac:dyDescent="0.3">
      <c r="A13" s="90">
        <f t="shared" si="0"/>
        <v>11</v>
      </c>
      <c r="B13" s="111" t="s">
        <v>100</v>
      </c>
      <c r="C13" s="112"/>
      <c r="D13" s="113"/>
      <c r="E13" s="113" t="s">
        <v>5</v>
      </c>
      <c r="F13" s="91">
        <f>SUMIF(ЛСР!$B$13:$B$71,$B13,ЛСР!F$13:F$71)</f>
        <v>2</v>
      </c>
      <c r="G13" s="91">
        <f>SUMIF(ЛСР!$B$13:$B$71,$B13,ЛСР!G$13:G$71)</f>
        <v>4</v>
      </c>
      <c r="H13" s="91">
        <f>SUMIF(ЛСР!$B$13:$B$71,$B13,ЛСР!H$13:H$71)</f>
        <v>6</v>
      </c>
      <c r="I13" s="114"/>
      <c r="J13" s="114">
        <f t="shared" si="1"/>
        <v>0</v>
      </c>
      <c r="K13" s="113">
        <f>VLOOKUP(B13,ЛСР!$B$13:$K$71,10,0)</f>
        <v>0</v>
      </c>
      <c r="L13" s="112"/>
    </row>
    <row r="14" spans="1:12" ht="57.6" x14ac:dyDescent="0.3">
      <c r="A14" s="90">
        <f t="shared" si="0"/>
        <v>12</v>
      </c>
      <c r="B14" s="111" t="s">
        <v>101</v>
      </c>
      <c r="C14" s="112"/>
      <c r="D14" s="113"/>
      <c r="E14" s="113" t="s">
        <v>5</v>
      </c>
      <c r="F14" s="91">
        <f>SUMIF(ЛСР!$B$13:$B$71,$B14,ЛСР!F$13:F$71)</f>
        <v>2</v>
      </c>
      <c r="G14" s="91">
        <f>SUMIF(ЛСР!$B$13:$B$71,$B14,ЛСР!G$13:G$71)</f>
        <v>4</v>
      </c>
      <c r="H14" s="91">
        <f>SUMIF(ЛСР!$B$13:$B$71,$B14,ЛСР!H$13:H$71)</f>
        <v>6</v>
      </c>
      <c r="I14" s="114"/>
      <c r="J14" s="114">
        <f t="shared" si="1"/>
        <v>0</v>
      </c>
      <c r="K14" s="113">
        <f>VLOOKUP(B14,ЛСР!$B$13:$K$71,10,0)</f>
        <v>0</v>
      </c>
      <c r="L14" s="112"/>
    </row>
    <row r="15" spans="1:12" ht="28.8" x14ac:dyDescent="0.3">
      <c r="A15" s="90">
        <f t="shared" si="0"/>
        <v>13</v>
      </c>
      <c r="B15" s="111" t="s">
        <v>102</v>
      </c>
      <c r="C15" s="112"/>
      <c r="D15" s="113"/>
      <c r="E15" s="113" t="s">
        <v>103</v>
      </c>
      <c r="F15" s="91">
        <f>SUMIF(ЛСР!$B$13:$B$71,$B15,ЛСР!F$13:F$71)</f>
        <v>187.5</v>
      </c>
      <c r="G15" s="91">
        <f>SUMIF(ЛСР!$B$13:$B$71,$B15,ЛСР!G$13:G$71)</f>
        <v>340</v>
      </c>
      <c r="H15" s="91">
        <f>SUMIF(ЛСР!$B$13:$B$71,$B15,ЛСР!H$13:H$71)</f>
        <v>527.5</v>
      </c>
      <c r="I15" s="114"/>
      <c r="J15" s="114">
        <f t="shared" si="1"/>
        <v>0</v>
      </c>
      <c r="K15" s="113">
        <f>VLOOKUP(B15,ЛСР!$B$13:$K$71,10,0)</f>
        <v>0</v>
      </c>
      <c r="L15" s="112"/>
    </row>
    <row r="16" spans="1:12" ht="43.2" x14ac:dyDescent="0.3">
      <c r="A16" s="90">
        <f t="shared" si="0"/>
        <v>14</v>
      </c>
      <c r="B16" s="111" t="s">
        <v>104</v>
      </c>
      <c r="C16" s="112"/>
      <c r="D16" s="113"/>
      <c r="E16" s="113" t="s">
        <v>5</v>
      </c>
      <c r="F16" s="91">
        <f>SUMIF(ЛСР!$B$13:$B$71,$B16,ЛСР!F$13:F$71)</f>
        <v>3750</v>
      </c>
      <c r="G16" s="91">
        <f>SUMIF(ЛСР!$B$13:$B$71,$B16,ЛСР!G$13:G$71)</f>
        <v>6800</v>
      </c>
      <c r="H16" s="91">
        <f>SUMIF(ЛСР!$B$13:$B$71,$B16,ЛСР!H$13:H$71)</f>
        <v>10550</v>
      </c>
      <c r="I16" s="114"/>
      <c r="J16" s="114">
        <f t="shared" si="1"/>
        <v>0</v>
      </c>
      <c r="K16" s="113">
        <f>VLOOKUP(B16,ЛСР!$B$13:$K$71,10,0)</f>
        <v>0</v>
      </c>
      <c r="L16" s="112"/>
    </row>
    <row r="17" spans="1:12" ht="43.2" x14ac:dyDescent="0.3">
      <c r="A17" s="90">
        <f t="shared" si="0"/>
        <v>15</v>
      </c>
      <c r="B17" s="111" t="s">
        <v>47</v>
      </c>
      <c r="C17" s="112"/>
      <c r="D17" s="113" t="s">
        <v>79</v>
      </c>
      <c r="E17" s="113" t="s">
        <v>5</v>
      </c>
      <c r="F17" s="91">
        <f>SUMIF(ЛСР!$B$13:$B$71,$B17,ЛСР!F$13:F$71)</f>
        <v>1</v>
      </c>
      <c r="G17" s="91">
        <f>SUMIF(ЛСР!$B$13:$B$71,$B17,ЛСР!G$13:G$71)</f>
        <v>1</v>
      </c>
      <c r="H17" s="91">
        <f>SUMIF(ЛСР!$B$13:$B$71,$B17,ЛСР!H$13:H$71)</f>
        <v>2</v>
      </c>
      <c r="I17" s="114"/>
      <c r="J17" s="114">
        <f t="shared" si="1"/>
        <v>0</v>
      </c>
      <c r="K17" s="113">
        <f>VLOOKUP(B17,ЛСР!$B$13:$K$71,10,0)</f>
        <v>0</v>
      </c>
      <c r="L17" s="112"/>
    </row>
    <row r="18" spans="1:12" ht="33.6" customHeight="1" x14ac:dyDescent="0.3">
      <c r="A18" s="90">
        <f t="shared" si="0"/>
        <v>16</v>
      </c>
      <c r="B18" s="111" t="s">
        <v>66</v>
      </c>
      <c r="C18" s="112"/>
      <c r="D18" s="113" t="s">
        <v>67</v>
      </c>
      <c r="E18" s="113" t="s">
        <v>5</v>
      </c>
      <c r="F18" s="91">
        <f>SUMIF(ЛСР!$B$13:$B$71,$B18,ЛСР!F$13:F$71)</f>
        <v>1</v>
      </c>
      <c r="G18" s="91">
        <f>SUMIF(ЛСР!$B$13:$B$71,$B18,ЛСР!G$13:G$71)</f>
        <v>1</v>
      </c>
      <c r="H18" s="91">
        <f>SUMIF(ЛСР!$B$13:$B$71,$B18,ЛСР!H$13:H$71)</f>
        <v>2</v>
      </c>
      <c r="I18" s="114"/>
      <c r="J18" s="114">
        <f t="shared" si="1"/>
        <v>0</v>
      </c>
      <c r="K18" s="113">
        <f>VLOOKUP(B18,ЛСР!$B$13:$K$71,10,0)</f>
        <v>0</v>
      </c>
      <c r="L18" s="112"/>
    </row>
    <row r="19" spans="1:12" ht="43.2" x14ac:dyDescent="0.3">
      <c r="A19" s="90">
        <f t="shared" si="0"/>
        <v>17</v>
      </c>
      <c r="B19" s="111" t="s">
        <v>52</v>
      </c>
      <c r="C19" s="112"/>
      <c r="D19" s="113" t="s">
        <v>68</v>
      </c>
      <c r="E19" s="113" t="s">
        <v>5</v>
      </c>
      <c r="F19" s="91">
        <f>SUMIF(ЛСР!$B$13:$B$71,$B19,ЛСР!F$13:F$71)</f>
        <v>1</v>
      </c>
      <c r="G19" s="91">
        <f>SUMIF(ЛСР!$B$13:$B$71,$B19,ЛСР!G$13:G$71)</f>
        <v>1</v>
      </c>
      <c r="H19" s="91">
        <f>SUMIF(ЛСР!$B$13:$B$71,$B19,ЛСР!H$13:H$71)</f>
        <v>2</v>
      </c>
      <c r="I19" s="114"/>
      <c r="J19" s="114">
        <f t="shared" si="1"/>
        <v>0</v>
      </c>
      <c r="K19" s="113">
        <f>VLOOKUP(B19,ЛСР!$B$13:$K$71,10,0)</f>
        <v>0</v>
      </c>
      <c r="L19" s="112"/>
    </row>
    <row r="20" spans="1:12" ht="33.6" customHeight="1" x14ac:dyDescent="0.3">
      <c r="A20" s="90">
        <f t="shared" si="0"/>
        <v>18</v>
      </c>
      <c r="B20" s="111" t="s">
        <v>49</v>
      </c>
      <c r="C20" s="112"/>
      <c r="D20" s="113" t="s">
        <v>48</v>
      </c>
      <c r="E20" s="113" t="s">
        <v>5</v>
      </c>
      <c r="F20" s="91">
        <f>SUMIF(ЛСР!$B$13:$B$71,$B20,ЛСР!F$13:F$71)</f>
        <v>1</v>
      </c>
      <c r="G20" s="91">
        <f>SUMIF(ЛСР!$B$13:$B$71,$B20,ЛСР!G$13:G$71)</f>
        <v>1</v>
      </c>
      <c r="H20" s="91">
        <f>SUMIF(ЛСР!$B$13:$B$71,$B20,ЛСР!H$13:H$71)</f>
        <v>2</v>
      </c>
      <c r="I20" s="114"/>
      <c r="J20" s="114">
        <f t="shared" si="1"/>
        <v>0</v>
      </c>
      <c r="K20" s="113">
        <f>VLOOKUP(B20,ЛСР!$B$13:$K$71,10,0)</f>
        <v>0</v>
      </c>
      <c r="L20" s="112"/>
    </row>
    <row r="21" spans="1:12" ht="33.6" customHeight="1" x14ac:dyDescent="0.3">
      <c r="A21" s="90">
        <f t="shared" si="0"/>
        <v>19</v>
      </c>
      <c r="B21" s="111" t="s">
        <v>50</v>
      </c>
      <c r="C21" s="112"/>
      <c r="D21" s="113" t="s">
        <v>51</v>
      </c>
      <c r="E21" s="113" t="s">
        <v>5</v>
      </c>
      <c r="F21" s="91">
        <f>SUMIF(ЛСР!$B$13:$B$71,$B21,ЛСР!F$13:F$71)</f>
        <v>1</v>
      </c>
      <c r="G21" s="91">
        <f>SUMIF(ЛСР!$B$13:$B$71,$B21,ЛСР!G$13:G$71)</f>
        <v>1</v>
      </c>
      <c r="H21" s="91">
        <f>SUMIF(ЛСР!$B$13:$B$71,$B21,ЛСР!H$13:H$71)</f>
        <v>2</v>
      </c>
      <c r="I21" s="114"/>
      <c r="J21" s="114">
        <f t="shared" si="1"/>
        <v>0</v>
      </c>
      <c r="K21" s="113">
        <f>VLOOKUP(B21,ЛСР!$B$13:$K$71,10,0)</f>
        <v>0</v>
      </c>
      <c r="L21" s="112"/>
    </row>
    <row r="22" spans="1:12" ht="33.6" customHeight="1" x14ac:dyDescent="0.3">
      <c r="A22" s="90">
        <f t="shared" si="0"/>
        <v>20</v>
      </c>
      <c r="B22" s="111" t="s">
        <v>6</v>
      </c>
      <c r="C22" s="112"/>
      <c r="D22" s="113" t="s">
        <v>80</v>
      </c>
      <c r="E22" s="113" t="s">
        <v>5</v>
      </c>
      <c r="F22" s="91">
        <f>SUMIF(ЛСР!$B$13:$B$71,$B22,ЛСР!F$13:F$71)</f>
        <v>2</v>
      </c>
      <c r="G22" s="91">
        <f>SUMIF(ЛСР!$B$13:$B$71,$B22,ЛСР!G$13:G$71)</f>
        <v>4</v>
      </c>
      <c r="H22" s="91">
        <f>SUMIF(ЛСР!$B$13:$B$71,$B22,ЛСР!H$13:H$71)</f>
        <v>6</v>
      </c>
      <c r="I22" s="114"/>
      <c r="J22" s="114">
        <f t="shared" si="1"/>
        <v>0</v>
      </c>
      <c r="K22" s="113">
        <f>VLOOKUP(B22,ЛСР!$B$13:$K$71,10,0)</f>
        <v>0</v>
      </c>
      <c r="L22" s="112"/>
    </row>
    <row r="23" spans="1:12" ht="43.2" x14ac:dyDescent="0.3">
      <c r="A23" s="90">
        <f t="shared" si="0"/>
        <v>21</v>
      </c>
      <c r="B23" s="111" t="s">
        <v>53</v>
      </c>
      <c r="C23" s="112"/>
      <c r="D23" s="113" t="s">
        <v>69</v>
      </c>
      <c r="E23" s="113" t="s">
        <v>5</v>
      </c>
      <c r="F23" s="91">
        <f>SUMIF(ЛСР!$B$13:$B$71,$B23,ЛСР!F$13:F$71)</f>
        <v>2</v>
      </c>
      <c r="G23" s="91">
        <f>SUMIF(ЛСР!$B$13:$B$71,$B23,ЛСР!G$13:G$71)</f>
        <v>4</v>
      </c>
      <c r="H23" s="91">
        <f>SUMIF(ЛСР!$B$13:$B$71,$B23,ЛСР!H$13:H$71)</f>
        <v>6</v>
      </c>
      <c r="I23" s="114"/>
      <c r="J23" s="114">
        <f t="shared" si="1"/>
        <v>0</v>
      </c>
      <c r="K23" s="113">
        <f>VLOOKUP(B23,ЛСР!$B$13:$K$71,10,0)</f>
        <v>0</v>
      </c>
      <c r="L23" s="112"/>
    </row>
    <row r="24" spans="1:12" ht="33.6" customHeight="1" x14ac:dyDescent="0.3">
      <c r="A24" s="90">
        <f t="shared" si="0"/>
        <v>22</v>
      </c>
      <c r="B24" s="111" t="s">
        <v>56</v>
      </c>
      <c r="C24" s="112"/>
      <c r="D24" s="113" t="s">
        <v>81</v>
      </c>
      <c r="E24" s="113" t="s">
        <v>5</v>
      </c>
      <c r="F24" s="91">
        <f>SUMIF(ЛСР!$B$13:$B$71,$B24,ЛСР!F$13:F$71)</f>
        <v>3</v>
      </c>
      <c r="G24" s="91">
        <f>SUMIF(ЛСР!$B$13:$B$71,$B24,ЛСР!G$13:G$71)</f>
        <v>5</v>
      </c>
      <c r="H24" s="91">
        <f>SUMIF(ЛСР!$B$13:$B$71,$B24,ЛСР!H$13:H$71)</f>
        <v>8</v>
      </c>
      <c r="I24" s="114"/>
      <c r="J24" s="114">
        <f t="shared" si="1"/>
        <v>0</v>
      </c>
      <c r="K24" s="113">
        <f>VLOOKUP(B24,ЛСР!$B$13:$K$71,10,0)</f>
        <v>0</v>
      </c>
      <c r="L24" s="112"/>
    </row>
    <row r="25" spans="1:12" ht="33.6" customHeight="1" x14ac:dyDescent="0.3">
      <c r="A25" s="90">
        <f t="shared" si="0"/>
        <v>23</v>
      </c>
      <c r="B25" s="111" t="s">
        <v>7</v>
      </c>
      <c r="C25" s="112"/>
      <c r="D25" s="113" t="s">
        <v>82</v>
      </c>
      <c r="E25" s="113" t="s">
        <v>5</v>
      </c>
      <c r="F25" s="91">
        <f>SUMIF(ЛСР!$B$13:$B$71,$B25,ЛСР!F$13:F$71)</f>
        <v>2</v>
      </c>
      <c r="G25" s="91">
        <f>SUMIF(ЛСР!$B$13:$B$71,$B25,ЛСР!G$13:G$71)</f>
        <v>4</v>
      </c>
      <c r="H25" s="91">
        <f>SUMIF(ЛСР!$B$13:$B$71,$B25,ЛСР!H$13:H$71)</f>
        <v>6</v>
      </c>
      <c r="I25" s="114"/>
      <c r="J25" s="114">
        <f t="shared" si="1"/>
        <v>0</v>
      </c>
      <c r="K25" s="113">
        <f>VLOOKUP(B25,ЛСР!$B$13:$K$71,10,0)</f>
        <v>0</v>
      </c>
      <c r="L25" s="112"/>
    </row>
    <row r="26" spans="1:12" ht="33.6" customHeight="1" x14ac:dyDescent="0.3">
      <c r="A26" s="90">
        <f t="shared" si="0"/>
        <v>24</v>
      </c>
      <c r="B26" s="111" t="s">
        <v>58</v>
      </c>
      <c r="C26" s="112"/>
      <c r="D26" s="113" t="s">
        <v>83</v>
      </c>
      <c r="E26" s="113" t="s">
        <v>5</v>
      </c>
      <c r="F26" s="91">
        <f>SUMIF(ЛСР!$B$13:$B$71,$B26,ЛСР!F$13:F$71)</f>
        <v>140</v>
      </c>
      <c r="G26" s="91">
        <f>SUMIF(ЛСР!$B$13:$B$71,$B26,ЛСР!G$13:G$71)</f>
        <v>250</v>
      </c>
      <c r="H26" s="91">
        <f>SUMIF(ЛСР!$B$13:$B$71,$B26,ЛСР!H$13:H$71)</f>
        <v>390</v>
      </c>
      <c r="I26" s="114"/>
      <c r="J26" s="114">
        <f t="shared" si="1"/>
        <v>0</v>
      </c>
      <c r="K26" s="113">
        <f>VLOOKUP(B26,ЛСР!$B$13:$K$71,10,0)</f>
        <v>0</v>
      </c>
      <c r="L26" s="112"/>
    </row>
    <row r="27" spans="1:12" ht="33.6" customHeight="1" x14ac:dyDescent="0.3">
      <c r="A27" s="90">
        <f t="shared" si="0"/>
        <v>25</v>
      </c>
      <c r="B27" s="111" t="s">
        <v>92</v>
      </c>
      <c r="C27" s="112"/>
      <c r="D27" s="113"/>
      <c r="E27" s="113" t="s">
        <v>5</v>
      </c>
      <c r="F27" s="91">
        <f>SUMIF(ЛСР!$B$13:$B$71,$B27,ЛСР!F$13:F$71)</f>
        <v>1</v>
      </c>
      <c r="G27" s="91">
        <f>SUMIF(ЛСР!$B$13:$B$71,$B27,ЛСР!G$13:G$71)</f>
        <v>0</v>
      </c>
      <c r="H27" s="91">
        <f>SUMIF(ЛСР!$B$13:$B$71,$B27,ЛСР!H$13:H$71)</f>
        <v>1</v>
      </c>
      <c r="I27" s="114"/>
      <c r="J27" s="114">
        <f t="shared" si="1"/>
        <v>0</v>
      </c>
      <c r="K27" s="113">
        <f>VLOOKUP(B27,ЛСР!$B$13:$K$71,10,0)</f>
        <v>0</v>
      </c>
      <c r="L27" s="112"/>
    </row>
    <row r="28" spans="1:12" ht="33.6" customHeight="1" x14ac:dyDescent="0.3">
      <c r="A28" s="90">
        <f t="shared" si="0"/>
        <v>26</v>
      </c>
      <c r="B28" s="111" t="s">
        <v>70</v>
      </c>
      <c r="C28" s="112"/>
      <c r="D28" s="113"/>
      <c r="E28" s="113" t="s">
        <v>5</v>
      </c>
      <c r="F28" s="91">
        <f>SUMIF(ЛСР!$B$13:$B$71,$B28,ЛСР!F$13:F$71)</f>
        <v>0</v>
      </c>
      <c r="G28" s="91">
        <f>SUMIF(ЛСР!$B$13:$B$71,$B28,ЛСР!G$13:G$71)</f>
        <v>1</v>
      </c>
      <c r="H28" s="91">
        <f>SUMIF(ЛСР!$B$13:$B$71,$B28,ЛСР!H$13:H$71)</f>
        <v>1</v>
      </c>
      <c r="I28" s="114"/>
      <c r="J28" s="114">
        <f t="shared" si="1"/>
        <v>0</v>
      </c>
      <c r="K28" s="113">
        <f>VLOOKUP(B28,ЛСР!$B$13:$K$71,10,0)</f>
        <v>0</v>
      </c>
      <c r="L28" s="112"/>
    </row>
    <row r="29" spans="1:12" ht="33.6" customHeight="1" x14ac:dyDescent="0.3">
      <c r="A29" s="90">
        <f t="shared" si="0"/>
        <v>27</v>
      </c>
      <c r="B29" s="111" t="s">
        <v>64</v>
      </c>
      <c r="C29" s="112"/>
      <c r="D29" s="113"/>
      <c r="E29" s="113" t="s">
        <v>5</v>
      </c>
      <c r="F29" s="91">
        <f>SUMIF(ЛСР!$B$13:$B$71,$B29,ЛСР!F$13:F$71)</f>
        <v>2</v>
      </c>
      <c r="G29" s="91">
        <f>SUMIF(ЛСР!$B$13:$B$71,$B29,ЛСР!G$13:G$71)</f>
        <v>2</v>
      </c>
      <c r="H29" s="91">
        <f>SUMIF(ЛСР!$B$13:$B$71,$B29,ЛСР!H$13:H$71)</f>
        <v>4</v>
      </c>
      <c r="I29" s="114"/>
      <c r="J29" s="114">
        <f t="shared" si="1"/>
        <v>0</v>
      </c>
      <c r="K29" s="113">
        <f>VLOOKUP(B29,ЛСР!$B$13:$K$71,10,0)</f>
        <v>0</v>
      </c>
      <c r="L29" s="112"/>
    </row>
    <row r="30" spans="1:12" ht="33.6" customHeight="1" x14ac:dyDescent="0.3">
      <c r="A30" s="90">
        <f t="shared" si="0"/>
        <v>28</v>
      </c>
      <c r="B30" s="111" t="s">
        <v>122</v>
      </c>
      <c r="C30" s="112"/>
      <c r="D30" s="113" t="s">
        <v>84</v>
      </c>
      <c r="E30" s="113" t="s">
        <v>5</v>
      </c>
      <c r="F30" s="91">
        <f>SUMIF(ЛСР!$B$13:$B$71,$B30,ЛСР!F$13:F$71)</f>
        <v>4</v>
      </c>
      <c r="G30" s="91">
        <f>SUMIF(ЛСР!$B$13:$B$71,$B30,ЛСР!G$13:G$71)</f>
        <v>8</v>
      </c>
      <c r="H30" s="91">
        <f>SUMIF(ЛСР!$B$13:$B$71,$B30,ЛСР!H$13:H$71)</f>
        <v>12</v>
      </c>
      <c r="I30" s="114"/>
      <c r="J30" s="114">
        <f t="shared" si="1"/>
        <v>0</v>
      </c>
      <c r="K30" s="113">
        <f>VLOOKUP(B30,ЛСР!$B$13:$K$71,10,0)</f>
        <v>0</v>
      </c>
      <c r="L30" s="112"/>
    </row>
    <row r="31" spans="1:12" ht="33.6" customHeight="1" x14ac:dyDescent="0.3">
      <c r="A31" s="90">
        <f t="shared" si="0"/>
        <v>29</v>
      </c>
      <c r="B31" s="111" t="s">
        <v>123</v>
      </c>
      <c r="C31" s="112"/>
      <c r="D31" s="113" t="s">
        <v>85</v>
      </c>
      <c r="E31" s="113" t="s">
        <v>5</v>
      </c>
      <c r="F31" s="91">
        <f>SUMIF(ЛСР!$B$13:$B$71,$B31,ЛСР!F$13:F$71)</f>
        <v>4</v>
      </c>
      <c r="G31" s="91">
        <f>SUMIF(ЛСР!$B$13:$B$71,$B31,ЛСР!G$13:G$71)</f>
        <v>6</v>
      </c>
      <c r="H31" s="91">
        <f>SUMIF(ЛСР!$B$13:$B$71,$B31,ЛСР!H$13:H$71)</f>
        <v>10</v>
      </c>
      <c r="I31" s="114"/>
      <c r="J31" s="114">
        <f t="shared" si="1"/>
        <v>0</v>
      </c>
      <c r="K31" s="113">
        <f>VLOOKUP(B31,ЛСР!$B$13:$K$71,10,0)</f>
        <v>0</v>
      </c>
      <c r="L31" s="112"/>
    </row>
    <row r="32" spans="1:12" ht="33.6" customHeight="1" x14ac:dyDescent="0.3">
      <c r="A32" s="90">
        <f t="shared" si="0"/>
        <v>30</v>
      </c>
      <c r="B32" s="111" t="s">
        <v>124</v>
      </c>
      <c r="C32" s="112"/>
      <c r="D32" s="113" t="s">
        <v>86</v>
      </c>
      <c r="E32" s="113" t="s">
        <v>5</v>
      </c>
      <c r="F32" s="91">
        <f>SUMIF(ЛСР!$B$13:$B$71,$B32,ЛСР!F$13:F$71)</f>
        <v>4</v>
      </c>
      <c r="G32" s="91">
        <f>SUMIF(ЛСР!$B$13:$B$71,$B32,ЛСР!G$13:G$71)</f>
        <v>6</v>
      </c>
      <c r="H32" s="91">
        <f>SUMIF(ЛСР!$B$13:$B$71,$B32,ЛСР!H$13:H$71)</f>
        <v>10</v>
      </c>
      <c r="I32" s="114"/>
      <c r="J32" s="114">
        <f t="shared" si="1"/>
        <v>0</v>
      </c>
      <c r="K32" s="113">
        <f>VLOOKUP(B32,ЛСР!$B$13:$K$71,10,0)</f>
        <v>0</v>
      </c>
      <c r="L32" s="112"/>
    </row>
    <row r="33" spans="1:13" ht="33.6" customHeight="1" x14ac:dyDescent="0.3">
      <c r="A33" s="90">
        <f t="shared" si="0"/>
        <v>31</v>
      </c>
      <c r="B33" s="111" t="s">
        <v>125</v>
      </c>
      <c r="C33" s="112"/>
      <c r="D33" s="113" t="s">
        <v>87</v>
      </c>
      <c r="E33" s="113" t="s">
        <v>5</v>
      </c>
      <c r="F33" s="91">
        <f>SUMIF(ЛСР!$B$13:$B$71,$B33,ЛСР!F$13:F$71)</f>
        <v>4</v>
      </c>
      <c r="G33" s="91">
        <f>SUMIF(ЛСР!$B$13:$B$71,$B33,ЛСР!G$13:G$71)</f>
        <v>7</v>
      </c>
      <c r="H33" s="91">
        <f>SUMIF(ЛСР!$B$13:$B$71,$B33,ЛСР!H$13:H$71)</f>
        <v>11</v>
      </c>
      <c r="I33" s="114"/>
      <c r="J33" s="114">
        <f t="shared" si="1"/>
        <v>0</v>
      </c>
      <c r="K33" s="113">
        <f>VLOOKUP(B33,ЛСР!$B$13:$K$71,10,0)</f>
        <v>0</v>
      </c>
      <c r="L33" s="112"/>
    </row>
    <row r="34" spans="1:13" ht="33.6" customHeight="1" x14ac:dyDescent="0.3">
      <c r="A34" s="90">
        <f t="shared" si="0"/>
        <v>32</v>
      </c>
      <c r="B34" s="111" t="s">
        <v>126</v>
      </c>
      <c r="C34" s="112"/>
      <c r="D34" s="113" t="s">
        <v>88</v>
      </c>
      <c r="E34" s="113" t="s">
        <v>5</v>
      </c>
      <c r="F34" s="91">
        <f>SUMIF(ЛСР!$B$13:$B$71,$B34,ЛСР!F$13:F$71)</f>
        <v>2</v>
      </c>
      <c r="G34" s="91">
        <f>SUMIF(ЛСР!$B$13:$B$71,$B34,ЛСР!G$13:G$71)</f>
        <v>4</v>
      </c>
      <c r="H34" s="91">
        <f>SUMIF(ЛСР!$B$13:$B$71,$B34,ЛСР!H$13:H$71)</f>
        <v>6</v>
      </c>
      <c r="I34" s="114"/>
      <c r="J34" s="114">
        <f t="shared" si="1"/>
        <v>0</v>
      </c>
      <c r="K34" s="113">
        <f>VLOOKUP(B34,ЛСР!$B$13:$K$71,10,0)</f>
        <v>0</v>
      </c>
      <c r="L34" s="112"/>
    </row>
    <row r="35" spans="1:13" ht="33.6" customHeight="1" x14ac:dyDescent="0.3">
      <c r="A35" s="90">
        <f t="shared" si="0"/>
        <v>33</v>
      </c>
      <c r="B35" s="111" t="s">
        <v>127</v>
      </c>
      <c r="C35" s="112"/>
      <c r="D35" s="113" t="s">
        <v>89</v>
      </c>
      <c r="E35" s="113" t="s">
        <v>5</v>
      </c>
      <c r="F35" s="91">
        <f>SUMIF(ЛСР!$B$13:$B$71,$B35,ЛСР!F$13:F$71)</f>
        <v>2</v>
      </c>
      <c r="G35" s="91">
        <f>SUMIF(ЛСР!$B$13:$B$71,$B35,ЛСР!G$13:G$71)</f>
        <v>4</v>
      </c>
      <c r="H35" s="91">
        <f>SUMIF(ЛСР!$B$13:$B$71,$B35,ЛСР!H$13:H$71)</f>
        <v>6</v>
      </c>
      <c r="I35" s="114"/>
      <c r="J35" s="114">
        <f t="shared" si="1"/>
        <v>0</v>
      </c>
      <c r="K35" s="113">
        <f>VLOOKUP(B35,ЛСР!$B$13:$K$71,10,0)</f>
        <v>0</v>
      </c>
      <c r="L35" s="112"/>
    </row>
    <row r="36" spans="1:13" ht="33.6" customHeight="1" x14ac:dyDescent="0.3">
      <c r="A36" s="90">
        <f t="shared" si="0"/>
        <v>34</v>
      </c>
      <c r="B36" s="111" t="s">
        <v>128</v>
      </c>
      <c r="C36" s="112"/>
      <c r="D36" s="113" t="s">
        <v>90</v>
      </c>
      <c r="E36" s="113" t="s">
        <v>5</v>
      </c>
      <c r="F36" s="91">
        <f>SUMIF(ЛСР!$B$13:$B$71,$B36,ЛСР!F$13:F$71)</f>
        <v>2</v>
      </c>
      <c r="G36" s="91">
        <f>SUMIF(ЛСР!$B$13:$B$71,$B36,ЛСР!G$13:G$71)</f>
        <v>4</v>
      </c>
      <c r="H36" s="91">
        <f>SUMIF(ЛСР!$B$13:$B$71,$B36,ЛСР!H$13:H$71)</f>
        <v>6</v>
      </c>
      <c r="I36" s="114"/>
      <c r="J36" s="114">
        <f t="shared" si="1"/>
        <v>0</v>
      </c>
      <c r="K36" s="113">
        <f>VLOOKUP(B36,ЛСР!$B$13:$K$71,10,0)</f>
        <v>0</v>
      </c>
      <c r="L36" s="112"/>
    </row>
    <row r="37" spans="1:13" ht="33.6" customHeight="1" x14ac:dyDescent="0.3">
      <c r="A37" s="90">
        <f t="shared" si="0"/>
        <v>35</v>
      </c>
      <c r="B37" s="111" t="s">
        <v>129</v>
      </c>
      <c r="C37" s="112"/>
      <c r="D37" s="113" t="s">
        <v>91</v>
      </c>
      <c r="E37" s="113" t="s">
        <v>5</v>
      </c>
      <c r="F37" s="91">
        <f>SUMIF(ЛСР!$B$13:$B$71,$B37,ЛСР!F$13:F$71)</f>
        <v>1</v>
      </c>
      <c r="G37" s="91">
        <f>SUMIF(ЛСР!$B$13:$B$71,$B37,ЛСР!G$13:G$71)</f>
        <v>0</v>
      </c>
      <c r="H37" s="91">
        <f>SUMIF(ЛСР!$B$13:$B$71,$B37,ЛСР!H$13:H$71)</f>
        <v>1</v>
      </c>
      <c r="I37" s="114"/>
      <c r="J37" s="114">
        <f t="shared" si="1"/>
        <v>0</v>
      </c>
      <c r="K37" s="113">
        <f>VLOOKUP(B37,ЛСР!$B$13:$K$71,10,0)</f>
        <v>0</v>
      </c>
      <c r="L37" s="112"/>
    </row>
    <row r="38" spans="1:13" x14ac:dyDescent="0.3">
      <c r="A38" s="90">
        <f t="shared" si="0"/>
        <v>36</v>
      </c>
      <c r="B38" s="111" t="s">
        <v>130</v>
      </c>
      <c r="C38" s="112"/>
      <c r="D38" s="113" t="s">
        <v>93</v>
      </c>
      <c r="E38" s="113" t="s">
        <v>5</v>
      </c>
      <c r="F38" s="91">
        <f>SUMIF(ЛСР!$B$13:$B$71,$B38,ЛСР!F$13:F$71)</f>
        <v>0</v>
      </c>
      <c r="G38" s="91">
        <f>SUMIF(ЛСР!$B$13:$B$71,$B38,ЛСР!G$13:G$71)</f>
        <v>1</v>
      </c>
      <c r="H38" s="91">
        <f>SUMIF(ЛСР!$B$13:$B$71,$B38,ЛСР!H$13:H$71)</f>
        <v>1</v>
      </c>
      <c r="I38" s="114"/>
      <c r="J38" s="114">
        <f t="shared" si="1"/>
        <v>0</v>
      </c>
      <c r="K38" s="113">
        <f>VLOOKUP(B38,ЛСР!$B$13:$K$71,10,0)</f>
        <v>0</v>
      </c>
      <c r="L38" s="112"/>
    </row>
    <row r="39" spans="1:13" x14ac:dyDescent="0.3">
      <c r="I39" s="94" t="s">
        <v>114</v>
      </c>
      <c r="J39" s="95">
        <f>SUM(J3:J38)</f>
        <v>0</v>
      </c>
    </row>
    <row r="40" spans="1:13" x14ac:dyDescent="0.3">
      <c r="I40" s="94" t="s">
        <v>115</v>
      </c>
      <c r="J40" s="96">
        <f>J39-ЛСР!J74</f>
        <v>0</v>
      </c>
    </row>
    <row r="42" spans="1:13" s="85" customFormat="1" ht="13.8" x14ac:dyDescent="0.3">
      <c r="B42" s="97" t="s">
        <v>24</v>
      </c>
      <c r="C42" s="97"/>
      <c r="D42" s="98"/>
      <c r="E42" s="98"/>
      <c r="I42" s="99"/>
      <c r="K42" s="100"/>
      <c r="L42" s="101"/>
      <c r="M42" s="100"/>
    </row>
    <row r="43" spans="1:13" s="85" customFormat="1" ht="41.25" customHeight="1" x14ac:dyDescent="0.3">
      <c r="A43" s="102" t="s">
        <v>25</v>
      </c>
      <c r="B43" s="130" t="s">
        <v>26</v>
      </c>
      <c r="C43" s="130"/>
      <c r="D43" s="130"/>
      <c r="E43" s="130"/>
      <c r="F43" s="130"/>
      <c r="G43" s="130"/>
      <c r="H43" s="130"/>
      <c r="I43" s="130"/>
      <c r="J43" s="130"/>
      <c r="K43" s="103"/>
      <c r="L43" s="103"/>
      <c r="M43" s="104"/>
    </row>
    <row r="44" spans="1:13" s="85" customFormat="1" ht="73.2" customHeight="1" x14ac:dyDescent="0.3">
      <c r="A44" s="105" t="s">
        <v>25</v>
      </c>
      <c r="B44" s="130" t="s">
        <v>27</v>
      </c>
      <c r="C44" s="130"/>
      <c r="D44" s="130"/>
      <c r="E44" s="130"/>
      <c r="F44" s="130"/>
      <c r="G44" s="130"/>
      <c r="H44" s="130"/>
      <c r="I44" s="130"/>
      <c r="J44" s="130"/>
      <c r="K44" s="103"/>
      <c r="L44" s="103"/>
      <c r="M44" s="106"/>
    </row>
    <row r="45" spans="1:13" s="85" customFormat="1" ht="13.8" customHeight="1" x14ac:dyDescent="0.3">
      <c r="A45" s="102" t="s">
        <v>25</v>
      </c>
      <c r="B45" s="107" t="s">
        <v>28</v>
      </c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8"/>
    </row>
  </sheetData>
  <mergeCells count="2">
    <mergeCell ref="B43:J43"/>
    <mergeCell ref="B44:J44"/>
  </mergeCells>
  <conditionalFormatting sqref="B1:B1048576">
    <cfRule type="duplicateValues" dxfId="2" priority="1"/>
    <cfRule type="duplicateValues" dxfId="1" priority="3"/>
  </conditionalFormatting>
  <conditionalFormatting sqref="K3:K38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</vt:lpstr>
      <vt:lpstr>СМР</vt:lpstr>
      <vt:lpstr>ТМЦ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2026-02-18T17:12:51Z</dcterms:modified>
</cp:coreProperties>
</file>